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2"/>
  <workbookPr updateLinks="never" codeName="ThisWorkbook"/>
  <mc:AlternateContent xmlns:mc="http://schemas.openxmlformats.org/markup-compatibility/2006">
    <mc:Choice Requires="x15">
      <x15ac:absPath xmlns:x15ac="http://schemas.microsoft.com/office/spreadsheetml/2010/11/ac" url="https://d.docs.live.net/2ae90f5cbd0fd171/AMC/HIV Prioritization tool/HIV_prioritization_tool/data/"/>
    </mc:Choice>
  </mc:AlternateContent>
  <xr:revisionPtr revIDLastSave="0" documentId="8_{B13DF465-D0F7-BD4C-B39F-0EA8749CA083}" xr6:coauthVersionLast="47" xr6:coauthVersionMax="47" xr10:uidLastSave="{00000000-0000-0000-0000-000000000000}"/>
  <bookViews>
    <workbookView xWindow="0" yWindow="600" windowWidth="28800" windowHeight="17400" tabRatio="819" activeTab="1" xr2:uid="{00000000-000D-0000-FFFF-FFFF00000000}"/>
  </bookViews>
  <sheets>
    <sheet name="Title" sheetId="36" r:id="rId1"/>
    <sheet name="Summary of unit costs" sheetId="5" r:id="rId2"/>
    <sheet name="Ingredients" sheetId="24" r:id="rId3"/>
    <sheet name="InterventionCosts" sheetId="25" r:id="rId4"/>
    <sheet name="Inflation" sheetId="23" state="hidden" r:id="rId5"/>
    <sheet name="ZARtoUSD" sheetId="30" state="hidden" r:id="rId6"/>
    <sheet name="LiteratureCost" sheetId="10" r:id="rId7"/>
    <sheet name="NonART drug data and costs" sheetId="37" r:id="rId8"/>
    <sheet name="NonART prices by med" sheetId="38" state="hidden" r:id="rId9"/>
    <sheet name="May 2023 MPC" sheetId="39" state="hidden" r:id="rId10"/>
    <sheet name="Staff_costs" sheetId="14" state="hidden" r:id="rId11"/>
    <sheet name="MMC" sheetId="33" state="hidden" r:id="rId12"/>
    <sheet name="ART PPP" sheetId="26" state="hidden" r:id="rId13"/>
    <sheet name="ART kids distribution" sheetId="29" state="hidden" r:id="rId14"/>
    <sheet name="ARVs" sheetId="34" state="hidden" r:id="rId15"/>
    <sheet name="Inpatient cost per admission" sheetId="35" state="hidden" r:id="rId16"/>
  </sheets>
  <externalReferences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_xlnm._FilterDatabase" localSheetId="2" hidden="1">Ingredients!$A$1:$E$206</definedName>
    <definedName name="_xlnm._FilterDatabase" localSheetId="3" hidden="1">InterventionCosts!$A$1:$J$2373</definedName>
    <definedName name="_xlnm._FilterDatabase" localSheetId="1" hidden="1">'Summary of unit costs'!$A$1:$F$90</definedName>
    <definedName name="_Key1">#REF!</definedName>
    <definedName name="_Order1">255</definedName>
    <definedName name="_Sort">#REF!</definedName>
    <definedName name="All_Outpatients_diagnosed">'[1]Summary people'!$S$20</definedName>
    <definedName name="Ambulanciers_per_bed">'[1]Staff&amp;infrastructure assumption'!$C$14</definedName>
    <definedName name="ARTcoverage">#REF!</definedName>
    <definedName name="asymp_rate">[2]Summary!$H$3</definedName>
    <definedName name="Av_days_month">'[3]Setting 1 Costs'!$B$9</definedName>
    <definedName name="Beds_occupied">'[3]Setting 1 Costs'!$B$8</definedName>
    <definedName name="BedStay_Critical">'[1]Patient &amp; case assumptions'!$C$17</definedName>
    <definedName name="BedStay_Severe">'[1]Patient &amp; case assumptions'!$C$16</definedName>
    <definedName name="Buffer_stock">'[4]Model Assumption'!$E$127</definedName>
    <definedName name="Caretaker_to_outpatient">'[1]Patient &amp; case assumptions'!$C$24</definedName>
    <definedName name="Caretakers_per_bed">'[1]Staff&amp;infrastructure assumption'!$C$13</definedName>
    <definedName name="COST_METHOD">#REF!</definedName>
    <definedName name="CostYear" localSheetId="14">[5]Inflation!$B$1</definedName>
    <definedName name="CostYear">Inflation!$B$1</definedName>
    <definedName name="CostYrr">Inflation!$B$1</definedName>
    <definedName name="CovLev">#REF!</definedName>
    <definedName name="cpap">[2]Selection!$D$37</definedName>
    <definedName name="cpap_cost">'[2]Cost inputs'!$F$38</definedName>
    <definedName name="cpap_cov">[2]Selection!$G$37</definedName>
    <definedName name="CriticalCasePercentage">'[1]Patient &amp; case assumptions'!$C$13</definedName>
    <definedName name="cur_1">[6]Start!$C$22</definedName>
    <definedName name="currency" localSheetId="14">[7]Assumptions!$O$9</definedName>
    <definedName name="CURRENCY">#REF!</definedName>
    <definedName name="Current_OutBreak_Week_Number">'[1]Total forecast by item'!$E$14</definedName>
    <definedName name="CurrResults">#REF!</definedName>
    <definedName name="CurrYear" localSheetId="14">[8]Projection!$E$6</definedName>
    <definedName name="CutOffMaxTests">'[1]Patient &amp; case assumptions'!$C$29</definedName>
    <definedName name="d">[9]Sheet5!$A:$C</definedName>
    <definedName name="DataDate">[10]OfDates!$B$2</definedName>
    <definedName name="DataWuenic">[10]OfDates!$B$4</definedName>
    <definedName name="DataYear">[10]OfDates!$B$6</definedName>
    <definedName name="date">Title!$M$5</definedName>
    <definedName name="DDL_Private">[11]drop_down_lists!$G$60:$G$63</definedName>
    <definedName name="DDL_yes_no_NR_ND">[11]drop_down_lists!$F$33:$F$36</definedName>
    <definedName name="Depr_Category">[12]!depreciation[Category]</definedName>
    <definedName name="DHIS_HCavg" localSheetId="14">'[5]ART PPP'!$C$18</definedName>
    <definedName name="DHIS_HCavg">'ART PPP'!$C$18</definedName>
    <definedName name="Discount_Rate">'[12]Model parameters'!$B$8</definedName>
    <definedName name="DoublingTime_Best">'[1]Epi curve calcs'!$Q$13</definedName>
    <definedName name="DoublingTime_Medium">'[1]Epi curve calcs'!$J$13</definedName>
    <definedName name="DoublingTime_Worst">'[1]Epi curve calcs'!$C$13</definedName>
    <definedName name="drug_costs">'[2]Cost inputs'!$B$117:$F$125</definedName>
    <definedName name="Epi_drop_rate">'[4]Model Assumption'!$E$133</definedName>
    <definedName name="Epi_Growth_rate">'[4]Model Assumption'!$E$132</definedName>
    <definedName name="Equipment_usage_table">'[1]Equipment per person per day'!$D$14:$I$105</definedName>
    <definedName name="ex_rate_2017">[13]Inflation!$F$21</definedName>
    <definedName name="exr">[13]SummaryInterventions!$A$27</definedName>
    <definedName name="exrate" localSheetId="14">[5]ZARtoUSD!$F$5</definedName>
    <definedName name="exrate" localSheetId="0">'[13]ZAR-USD'!$E$7</definedName>
    <definedName name="exrate">ZARtoUSD!$F$5</definedName>
    <definedName name="Fast_doubling_rate">'[1]Epi curve assumptions'!$C$16</definedName>
    <definedName name="Filename">[14]drop_down_lists!$H$3</definedName>
    <definedName name="HCW_per_lab">'[1]Staff&amp;infrastructure assumption'!$C$28</definedName>
    <definedName name="HCWs_per_bed">'[1]Staff&amp;infrastructure assumption'!$C$11</definedName>
    <definedName name="hfnc">[2]Selection!$D$34</definedName>
    <definedName name="hfnc_cost">'[2]Cost inputs'!$F$45</definedName>
    <definedName name="hfnc_cov">[2]Selection!$G$34</definedName>
    <definedName name="hfnc_supplies_cost">'[2]Cost inputs'!$F$46</definedName>
    <definedName name="hosp_bed_cost">'[2]Cost inputs'!$D$104</definedName>
    <definedName name="hosp_mattrass_cost">'[2]Cost inputs'!$D$105</definedName>
    <definedName name="hosp_staff_cost">'[2]App. C Hospit staff + linen'!$T$46</definedName>
    <definedName name="Hygienists_per_bed">'[1]Staff&amp;infrastructure assumption'!$C$12</definedName>
    <definedName name="Hygienists_per_lab">'[1]Staff&amp;infrastructure assumption'!$C$29</definedName>
    <definedName name="icu_beds">[2]Selection!$D$30</definedName>
    <definedName name="icu_linen">[2]Selection!$D$31</definedName>
    <definedName name="icu_staff">[2]Selection!$D$32</definedName>
    <definedName name="icu_staff_cost">'[2]App. C Hospit staff + linen'!$T$28</definedName>
    <definedName name="Inflation_index">'[12]Model parameters'!$A$23:$B$33</definedName>
    <definedName name="ING" localSheetId="2">Ingredients!$A:$A</definedName>
    <definedName name="ING" localSheetId="0">#REF!</definedName>
    <definedName name="ING">Ingredients!$A:$A</definedName>
    <definedName name="ING_TYPE">[13]Lists!$B$3:$B$11</definedName>
    <definedName name="Inpatient_day_stayed">'[4]Model Assumption'!$K$104</definedName>
    <definedName name="Inpatient_day_stayed_critical">'[4]Model Assumption'!$K$104</definedName>
    <definedName name="Inpatient_day_stayed_noncritical">'[4]Model Assumption'!$K$105</definedName>
    <definedName name="INT_TE">#REF!</definedName>
    <definedName name="IntensifiedEBFneg">#REF!</definedName>
    <definedName name="IntensifiedEBFstart">#REF!</definedName>
    <definedName name="inv">[2]Selection!$D$38</definedName>
    <definedName name="ix_1">[2]Selection!$B$8</definedName>
    <definedName name="ix_10">[2]Selection!$B$43</definedName>
    <definedName name="ix_11">[2]Selection!$B$49</definedName>
    <definedName name="ix_12">[2]Selection!$B$70</definedName>
    <definedName name="ix_13">[2]Selection!$B$54</definedName>
    <definedName name="ix_14">[2]Selection!$B$65</definedName>
    <definedName name="ix_15">[2]Selection!$B$74</definedName>
    <definedName name="ix_2">#REF!</definedName>
    <definedName name="ix_3">[2]Selection!$B$29</definedName>
    <definedName name="ix_4">[2]Selection!$B$36</definedName>
    <definedName name="ix_5">[2]Selection!$B$47</definedName>
    <definedName name="ix_6">[2]Selection!$B$69</definedName>
    <definedName name="ix_7">#REF!</definedName>
    <definedName name="ix_8">[2]Selection!$B$23</definedName>
    <definedName name="ix_9">[2]Selection!$B$39</definedName>
    <definedName name="linen_cost">'[2]App. C Hospit staff + linen'!$P$61</definedName>
    <definedName name="manual_bed">'[2]Cost inputs'!#REF!</definedName>
    <definedName name="manual_bed_cost">'[2]Cost inputs'!#REF!</definedName>
    <definedName name="MatARTrollout">#REF!</definedName>
    <definedName name="MatARTuptake">#REF!</definedName>
    <definedName name="Max_critical_beds_for_period">'[1]Patients over time'!$AE$31</definedName>
    <definedName name="Max_critical_capped_beds">'[15]Patient &amp; HCW Summary'!$BH$17</definedName>
    <definedName name="Max_HCW_for_outpatient">'[1]Summary people'!$S$22</definedName>
    <definedName name="Max_inpatient_ambulancier">'[1]Summary people'!$S$16</definedName>
    <definedName name="Max_inpatient_beds">'[1]Summary people'!$S$12</definedName>
    <definedName name="Max_inpatient_caretaker">'[1]Summary people'!$S$15</definedName>
    <definedName name="Max_inpatient_HCWs">'[1]Summary people'!$S$13</definedName>
    <definedName name="Max_inpatient_hygienist">'[1]Summary people'!$S$14</definedName>
    <definedName name="Max_Lab_HCWs">'[1]Summary people'!$S$27</definedName>
    <definedName name="Max_Lab_hygienists">'[1]Summary people'!$S$28</definedName>
    <definedName name="Max_severe_beds_for_period">'[1]Patients over time'!$AE$30</definedName>
    <definedName name="Max_severe_capped_beds">'[15]Patient &amp; HCW Summary'!$BH$16</definedName>
    <definedName name="MaxTestsPerDay">'[1]Patient &amp; case assumptions'!$C$31</definedName>
    <definedName name="Medium_doubling_rate">'[1]Epi curve assumptions'!$C$17</definedName>
    <definedName name="MildCasePercentage">'[1]Patient &amp; case assumptions'!$C$11</definedName>
    <definedName name="million">'[4]Model Assumption'!$E$129</definedName>
    <definedName name="mort_cab_cost">'[2]Cost inputs'!$D$163</definedName>
    <definedName name="mort_cont_cost">'[2]Cost inputs'!$D$162</definedName>
    <definedName name="Multiplier_non_reusable">'[1]Equipment per person per day'!$C$109</definedName>
    <definedName name="Multiplier_reuseable">'[1]Equipment per person per day'!$C$108</definedName>
    <definedName name="NumberOfBeds_per_centre">'[1]Staff&amp;infrastructure assumption'!$C$17</definedName>
    <definedName name="o2_cost_kg">'[2]App. A Oxygen'!$M$33</definedName>
    <definedName name="O2_critical_kg">'[2]App. A Oxygen'!$F$24</definedName>
    <definedName name="O2_critical_m3">'[2]App. A Oxygen'!$D$24</definedName>
    <definedName name="O2_severe_kg">'[2]App. A Oxygen'!$F$23</definedName>
    <definedName name="O2_severel_m3">'[2]App. A Oxygen'!$D$23</definedName>
    <definedName name="Outpatient_day_stayed">'[4]Model Assumption'!$L$104</definedName>
    <definedName name="p">[16]Sheet4!$A:$C</definedName>
    <definedName name="perc_prvt">[2]Summary!#REF!</definedName>
    <definedName name="phc_care_seeking">[2]Selection!$G$52</definedName>
    <definedName name="phc_care_seeking_opt">[2]Summary!$I$6</definedName>
    <definedName name="phc_care_seeking_pess">[2]Summary!$I$7</definedName>
    <definedName name="phc_staff_cost_consult">'[2]App. O - PHC staff'!$O$10</definedName>
    <definedName name="phc_staff_cost_posttest">'[2]App. O - PHC staff'!$O$21</definedName>
    <definedName name="phc_staff_cost_pretest">'[2]App. O - PHC staff'!$O$13</definedName>
    <definedName name="PO">[16]Sheet3!$A:$L</definedName>
    <definedName name="ppe">[2]Selection!$D$9</definedName>
    <definedName name="PPPassets" localSheetId="14">'[17]PPP summary'!$B$14</definedName>
    <definedName name="PPPassets">'ART PPP'!$C$5</definedName>
    <definedName name="PPPothermeds" localSheetId="14">'[17]PPP summary'!$B$24</definedName>
    <definedName name="PPPothermeds">'ART PPP'!$C$14</definedName>
    <definedName name="PPPoverheads" localSheetId="14">'[17]PPP summary'!$B$15</definedName>
    <definedName name="PPPoverheads">'ART PPP'!$C$6</definedName>
    <definedName name="PPPstaff" localSheetId="14">'[17]PPP summary'!$B$16</definedName>
    <definedName name="PPPstaff">'ART PPP'!$C$7</definedName>
    <definedName name="PPPsupplies" localSheetId="14">'[17]PPP summary'!$B$19</definedName>
    <definedName name="PPPsupplies">'ART PPP'!$C$10</definedName>
    <definedName name="PPPvisitperpt" localSheetId="14">'[17]PPP summary'!$C$30</definedName>
    <definedName name="PPPvisitperpt">'ART PPP'!$C$16</definedName>
    <definedName name="procdayspermonth">Staff_costs!$E$16</definedName>
    <definedName name="procdaysperweek">Staff_costs!$E$17</definedName>
    <definedName name="procdaysperyear">Staff_costs!$E$15</definedName>
    <definedName name="PROG_AREA">#REF!</definedName>
    <definedName name="prov">[2]Selection!$C$4</definedName>
    <definedName name="puo">[9]Sheet4!$A:$K</definedName>
    <definedName name="Rescreening6wk">#REF!</definedName>
    <definedName name="ResultSet">#REF!</definedName>
    <definedName name="scenario">[2]Summary!$E$3</definedName>
    <definedName name="SearchItem_EUT">'[1]Equipment per person per day'!$C$14:$C$105</definedName>
    <definedName name="SearchUser_EUT">'[1]Equipment per person per day'!$D$11:$I$11</definedName>
    <definedName name="SelfQuarantine_Mild">'[1]Patient &amp; case assumptions'!$C$22</definedName>
    <definedName name="SevereCasePercentage">'[1]Patient &amp; case assumptions'!$C$12</definedName>
    <definedName name="Slow_doubling_rate">'[1]Epi curve assumptions'!$C$18</definedName>
    <definedName name="StaffCategories">Staff_costs!$A$22:$A$24</definedName>
    <definedName name="SuspectedCaseMultiplier">'[1]Patient &amp; case assumptions'!$C$27</definedName>
    <definedName name="testcost_abbott">'[2]Cost inputs'!$D$50</definedName>
    <definedName name="testcost_roche">'[2]Cost inputs'!$D$49</definedName>
    <definedName name="testcost_xpert">'[2]Cost inputs'!$D$51</definedName>
    <definedName name="TestingRate">'[1]Patient &amp; case assumptions'!$C$33</definedName>
    <definedName name="TestingStrategy">'[1]Total forecast by item'!$E$13</definedName>
    <definedName name="Tests_MildOrSuspected">'[1]Patient &amp; case assumptions'!$C$37</definedName>
    <definedName name="Tests_per_day_per_lab">'[1]Staff&amp;infrastructure assumption'!$C$27</definedName>
    <definedName name="Tests_per_HCW">'[1]Staff&amp;infrastructure assumption'!$C$21</definedName>
    <definedName name="Tests_SevereOrCritical">'[1]Patient &amp; case assumptions'!$C$35</definedName>
    <definedName name="thermometer_cost">'[2]Cost inputs'!$F$61</definedName>
    <definedName name="Total_caretaker">'[1]Summary people'!$Q$21</definedName>
    <definedName name="Total_critical_cases_for_period">'[1]Patients over time'!$AE$20</definedName>
    <definedName name="Total_HCW_for_outpatient">'[1]Summary people'!$Q$22</definedName>
    <definedName name="Total_HCW_labs">'[1]Summary people'!$Q$27</definedName>
    <definedName name="Total_hygienist_labs">'[1]Summary people'!$Q$28</definedName>
    <definedName name="Total_inpatient_ambulancier">'[1]Summary people'!$Q$16</definedName>
    <definedName name="Total_Inpatient_caretaker">'[1]Summary people'!$Q$15</definedName>
    <definedName name="Total_Inpatient_days">'[1]Summary people'!$Q$12</definedName>
    <definedName name="Total_inpatient_HCW">'[1]Summary people'!$Q$13</definedName>
    <definedName name="Total_inpatient_Hygienist">'[1]Summary people'!$Q$14</definedName>
    <definedName name="Total_mild_cases_for_period">'[1]Patients over time'!$AE$18</definedName>
    <definedName name="Total_new_cases_for_period">'[1]Patients over time'!$AE$17</definedName>
    <definedName name="Total_Outpatient">'[1]Summary people'!$Q$20</definedName>
    <definedName name="Total_severe_cases_for_period">'[1]Patients over time'!$AE$19</definedName>
    <definedName name="Total_tests_conducted">'[1]Summary people'!$Q$26</definedName>
    <definedName name="Total_tests_if_decreased_rate">'[1]Patients over time'!$AE$47</definedName>
    <definedName name="Total_tests_if_everyone">'[1]Patients over time'!$AE$42</definedName>
    <definedName name="UNIT_COST" localSheetId="2">Ingredients!#REF!</definedName>
    <definedName name="UNIT_COST">#REF!</definedName>
    <definedName name="USDexchange" localSheetId="14">'[17]PPP summary'!$I$1</definedName>
    <definedName name="vent_cost_weighted">'[2]Cost inputs'!$H$43</definedName>
    <definedName name="vent_cov_icu">[2]Selection!$G$38</definedName>
    <definedName name="vent_per_critical">'[2]App. A Oxygen'!$D$27</definedName>
    <definedName name="vents_bl_private">'[2]App. F - Avail beds, ventil'!$D$26</definedName>
    <definedName name="VisitsFUyear" localSheetId="14">'[17]PPP summary'!$C$31</definedName>
    <definedName name="VisitsFUyear">'ART PPP'!$C$17</definedName>
    <definedName name="Wastage">'[4]Model Assumption'!$E$128</definedName>
    <definedName name="waves">[2]Summary!$E$11</definedName>
    <definedName name="weekspermonth">Staff_costs!$C$9</definedName>
    <definedName name="WeekSuppliedUntil">'[1]Total forecast by item'!$E$16</definedName>
    <definedName name="workdayspermonth" localSheetId="10">Staff_costs!$C$16</definedName>
    <definedName name="workdayspermonth">Staff_costs!$C$16</definedName>
    <definedName name="workdaysperweek">Staff_costs!$C$17</definedName>
    <definedName name="workdaysperyear" localSheetId="14">[5]Staff_costs!$C$15</definedName>
    <definedName name="workdaysperyear" localSheetId="0">[13]Staff_costs!$C$15</definedName>
    <definedName name="workdaysperyear">Staff_costs!$C$15</definedName>
    <definedName name="workhoursperday" localSheetId="14">[5]Staff_costs!$C$14</definedName>
    <definedName name="workhoursperday" localSheetId="0">[13]Staff_costs!$C$14</definedName>
    <definedName name="workhoursperday">Staff_costs!$C$14</definedName>
    <definedName name="workminutespa" localSheetId="14">[5]Staff_costs!$C$18</definedName>
    <definedName name="workminutespa">Staff_costs!$C$18</definedName>
    <definedName name="workminutespa1">[13]Staff_costs!$C$18</definedName>
    <definedName name="workminutespmt">[13]Staff_costs!$C$19</definedName>
    <definedName name="Wrk_days_in_months">'[4]Model Assumption'!$E$104</definedName>
    <definedName name="YEA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79" i="25" l="1"/>
  <c r="F1502" i="25"/>
  <c r="F1398" i="25"/>
  <c r="F1293" i="25"/>
  <c r="F1186" i="25"/>
  <c r="F1082" i="25"/>
  <c r="F983" i="25"/>
  <c r="F883" i="25"/>
  <c r="F782" i="25"/>
  <c r="C42" i="5"/>
  <c r="C39" i="5"/>
  <c r="C40" i="5"/>
  <c r="C41" i="5"/>
  <c r="C38" i="5"/>
  <c r="C37" i="5"/>
  <c r="C36" i="5"/>
  <c r="C34" i="5"/>
  <c r="C35" i="5"/>
  <c r="H2330" i="25" l="1"/>
  <c r="G2330" i="25"/>
  <c r="H2329" i="25"/>
  <c r="G2329" i="25"/>
  <c r="H2328" i="25"/>
  <c r="G2328" i="25"/>
  <c r="H2327" i="25"/>
  <c r="G2327" i="25"/>
  <c r="H2317" i="25"/>
  <c r="G2317" i="25"/>
  <c r="H2316" i="25"/>
  <c r="G2316" i="25"/>
  <c r="H2315" i="25"/>
  <c r="G2315" i="25"/>
  <c r="H2314" i="25"/>
  <c r="G2314" i="25"/>
  <c r="F1246" i="37"/>
  <c r="G1246" i="37" s="1"/>
  <c r="F1243" i="37"/>
  <c r="G1243" i="37" s="1"/>
  <c r="F1212" i="37"/>
  <c r="G1212" i="37" s="1"/>
  <c r="F1210" i="37"/>
  <c r="G1210" i="37" s="1"/>
  <c r="F1150" i="37"/>
  <c r="G1150" i="37" s="1"/>
  <c r="F1148" i="37"/>
  <c r="G1148" i="37" s="1"/>
  <c r="F1085" i="37"/>
  <c r="G1085" i="37" s="1"/>
  <c r="F1084" i="37"/>
  <c r="F1027" i="37"/>
  <c r="G1027" i="37" s="1"/>
  <c r="F1025" i="37"/>
  <c r="F998" i="37"/>
  <c r="F940" i="37"/>
  <c r="F931" i="37"/>
  <c r="G931" i="37" s="1"/>
  <c r="F887" i="37"/>
  <c r="G887" i="37" s="1"/>
  <c r="F885" i="37"/>
  <c r="G885" i="37" s="1"/>
  <c r="F884" i="37"/>
  <c r="G884" i="37" s="1"/>
  <c r="F859" i="37"/>
  <c r="G859" i="37" s="1"/>
  <c r="F858" i="37"/>
  <c r="G858" i="37" s="1"/>
  <c r="F825" i="37"/>
  <c r="F823" i="37"/>
  <c r="G823" i="37" s="1"/>
  <c r="F820" i="37"/>
  <c r="F765" i="37"/>
  <c r="F669" i="37"/>
  <c r="F552" i="37"/>
  <c r="F551" i="37"/>
  <c r="G551" i="37" s="1"/>
  <c r="F550" i="37"/>
  <c r="F549" i="37"/>
  <c r="F548" i="37"/>
  <c r="F545" i="37"/>
  <c r="F516" i="37"/>
  <c r="F483" i="37"/>
  <c r="G483" i="37" s="1"/>
  <c r="F482" i="37"/>
  <c r="G482" i="37" s="1"/>
  <c r="F481" i="37"/>
  <c r="F480" i="37"/>
  <c r="F479" i="37"/>
  <c r="G479" i="37" s="1"/>
  <c r="F289" i="37"/>
  <c r="F240" i="37"/>
  <c r="F239" i="37"/>
  <c r="G239" i="37" s="1"/>
  <c r="F238" i="37"/>
  <c r="G238" i="37" s="1"/>
  <c r="F223" i="37"/>
  <c r="G223" i="37" s="1"/>
  <c r="F127" i="37"/>
  <c r="G127" i="37" s="1"/>
  <c r="AP1176" i="39"/>
  <c r="AQ1176" i="39" s="1"/>
  <c r="D25" i="38" s="1"/>
  <c r="AP1165" i="39"/>
  <c r="AQ1165" i="39" s="1"/>
  <c r="D102" i="38" s="1"/>
  <c r="F79" i="37" s="1"/>
  <c r="AP1155" i="39"/>
  <c r="AP1154" i="39"/>
  <c r="AP1153" i="39"/>
  <c r="AQ1153" i="39" s="1"/>
  <c r="D101" i="38" s="1"/>
  <c r="AP1119" i="39"/>
  <c r="AQ1119" i="39" s="1"/>
  <c r="D99" i="38" s="1"/>
  <c r="AP1112" i="39"/>
  <c r="AQ1112" i="39" s="1"/>
  <c r="D98" i="38" s="1"/>
  <c r="F143" i="37" s="1"/>
  <c r="G143" i="37" s="1"/>
  <c r="AP1097" i="39"/>
  <c r="AP1096" i="39"/>
  <c r="AP1058" i="39"/>
  <c r="AP1057" i="39"/>
  <c r="AP1056" i="39"/>
  <c r="AQ1056" i="39" s="1"/>
  <c r="D24" i="38" s="1"/>
  <c r="AP1055" i="39"/>
  <c r="AP1054" i="39"/>
  <c r="AP1053" i="39"/>
  <c r="AP1052" i="39"/>
  <c r="AP1051" i="39"/>
  <c r="AP1041" i="39"/>
  <c r="AP1040" i="39"/>
  <c r="AQ1040" i="39" s="1"/>
  <c r="D62" i="38" s="1"/>
  <c r="AP1039" i="39"/>
  <c r="AP1038" i="39"/>
  <c r="AP1036" i="39"/>
  <c r="AP1035" i="39"/>
  <c r="AP989" i="39"/>
  <c r="AP988" i="39"/>
  <c r="AP987" i="39"/>
  <c r="AP951" i="39"/>
  <c r="AP950" i="39"/>
  <c r="AP949" i="39"/>
  <c r="AP948" i="39"/>
  <c r="AP947" i="39"/>
  <c r="AQ947" i="39" s="1"/>
  <c r="D19" i="38" s="1"/>
  <c r="AP946" i="39"/>
  <c r="AP945" i="39"/>
  <c r="AP941" i="39"/>
  <c r="AP940" i="39"/>
  <c r="AP920" i="39"/>
  <c r="AP919" i="39"/>
  <c r="AP918" i="39"/>
  <c r="AP887" i="39"/>
  <c r="AQ887" i="39" s="1"/>
  <c r="D93" i="38" s="1"/>
  <c r="F660" i="37" s="1"/>
  <c r="G660" i="37" s="1"/>
  <c r="AP854" i="39"/>
  <c r="AP853" i="39"/>
  <c r="AP852" i="39"/>
  <c r="AP851" i="39"/>
  <c r="AP850" i="39"/>
  <c r="AQ850" i="39" s="1"/>
  <c r="D92" i="38" s="1"/>
  <c r="AP843" i="39"/>
  <c r="AQ843" i="39" s="1"/>
  <c r="D91" i="38" s="1"/>
  <c r="AP829" i="39"/>
  <c r="AQ829" i="39" s="1"/>
  <c r="D90" i="38" s="1"/>
  <c r="AP828" i="39"/>
  <c r="AQ828" i="39" s="1"/>
  <c r="D89" i="38" s="1"/>
  <c r="AP789" i="39"/>
  <c r="AQ789" i="39" s="1"/>
  <c r="D16" i="38" s="1"/>
  <c r="AP745" i="39"/>
  <c r="AP744" i="39"/>
  <c r="AP743" i="39"/>
  <c r="AQ743" i="39" s="1"/>
  <c r="D87" i="38" s="1"/>
  <c r="F1195" i="37" s="1"/>
  <c r="G1195" i="37" s="1"/>
  <c r="AP742" i="39"/>
  <c r="AP741" i="39"/>
  <c r="AP739" i="39"/>
  <c r="AQ739" i="39" s="1"/>
  <c r="D84" i="38" s="1"/>
  <c r="AP737" i="39"/>
  <c r="AP736" i="39"/>
  <c r="AP735" i="39"/>
  <c r="AQ735" i="39" s="1"/>
  <c r="D85" i="38" s="1"/>
  <c r="F701" i="37" s="1"/>
  <c r="AP732" i="39"/>
  <c r="AP731" i="39"/>
  <c r="AQ731" i="39" s="1"/>
  <c r="D81" i="38" s="1"/>
  <c r="AP717" i="39"/>
  <c r="AP716" i="39"/>
  <c r="AP710" i="39"/>
  <c r="AP709" i="39"/>
  <c r="AP708" i="39"/>
  <c r="AP707" i="39"/>
  <c r="AP706" i="39"/>
  <c r="AP705" i="39"/>
  <c r="AP704" i="39"/>
  <c r="AP686" i="39"/>
  <c r="AQ686" i="39" s="1"/>
  <c r="D79" i="38" s="1"/>
  <c r="F955" i="37" s="1"/>
  <c r="G955" i="37" s="1"/>
  <c r="AP664" i="39"/>
  <c r="AP663" i="39"/>
  <c r="AP661" i="39"/>
  <c r="AP660" i="39"/>
  <c r="AP630" i="39"/>
  <c r="AP629" i="39"/>
  <c r="AP624" i="39"/>
  <c r="AP623" i="39"/>
  <c r="AP619" i="39"/>
  <c r="AQ619" i="39" s="1"/>
  <c r="D76" i="38" s="1"/>
  <c r="F1245" i="37" s="1"/>
  <c r="G1245" i="37" s="1"/>
  <c r="AP607" i="39"/>
  <c r="AP606" i="39"/>
  <c r="AP605" i="39"/>
  <c r="AP604" i="39"/>
  <c r="AP603" i="39"/>
  <c r="AP551" i="39"/>
  <c r="AP550" i="39"/>
  <c r="AQ550" i="39" s="1"/>
  <c r="AP546" i="39"/>
  <c r="AP545" i="39"/>
  <c r="AP544" i="39"/>
  <c r="AP530" i="39"/>
  <c r="AQ530" i="39" s="1"/>
  <c r="D72" i="38" s="1"/>
  <c r="AP529" i="39"/>
  <c r="AP528" i="39"/>
  <c r="AP527" i="39"/>
  <c r="AP526" i="39"/>
  <c r="AQ526" i="39" s="1"/>
  <c r="D9" i="38" s="1"/>
  <c r="AP462" i="39"/>
  <c r="AP461" i="39"/>
  <c r="AP460" i="39"/>
  <c r="AP459" i="39"/>
  <c r="AP451" i="39"/>
  <c r="AP450" i="39"/>
  <c r="AP449" i="39"/>
  <c r="AP433" i="39"/>
  <c r="AP432" i="39"/>
  <c r="AP431" i="39"/>
  <c r="AP430" i="39"/>
  <c r="AP429" i="39"/>
  <c r="AP426" i="39"/>
  <c r="AQ426" i="39" s="1"/>
  <c r="AP425" i="39"/>
  <c r="AQ425" i="39" s="1"/>
  <c r="D66" i="38" s="1"/>
  <c r="AP424" i="39"/>
  <c r="AQ424" i="39" s="1"/>
  <c r="D65" i="38" s="1"/>
  <c r="AP375" i="39"/>
  <c r="AP374" i="39"/>
  <c r="AP373" i="39"/>
  <c r="AP372" i="39"/>
  <c r="AQ372" i="39" s="1"/>
  <c r="D63" i="38" s="1"/>
  <c r="F225" i="37" s="1"/>
  <c r="G225" i="37" s="1"/>
  <c r="AP369" i="39"/>
  <c r="AP368" i="39"/>
  <c r="AP279" i="39"/>
  <c r="AQ279" i="39" s="1"/>
  <c r="D58" i="38" s="1"/>
  <c r="AP276" i="39"/>
  <c r="AP275" i="39"/>
  <c r="AQ275" i="39" s="1"/>
  <c r="D57" i="38" s="1"/>
  <c r="AP250" i="39"/>
  <c r="AP249" i="39"/>
  <c r="AP237" i="39"/>
  <c r="AQ237" i="39" s="1"/>
  <c r="D55" i="38" s="1"/>
  <c r="F1064" i="37" s="1"/>
  <c r="G1064" i="37" s="1"/>
  <c r="AP236" i="39"/>
  <c r="AQ236" i="39" s="1"/>
  <c r="D54" i="38" s="1"/>
  <c r="AP235" i="39"/>
  <c r="AP234" i="39"/>
  <c r="AQ234" i="39" s="1"/>
  <c r="D53" i="38" s="1"/>
  <c r="F926" i="37" s="1"/>
  <c r="G926" i="37" s="1"/>
  <c r="AP232" i="39"/>
  <c r="AQ232" i="39" s="1"/>
  <c r="D51" i="38" s="1"/>
  <c r="F886" i="37" s="1"/>
  <c r="G886" i="37" s="1"/>
  <c r="AP228" i="39"/>
  <c r="AQ228" i="39" s="1"/>
  <c r="D50" i="38" s="1"/>
  <c r="AP223" i="39"/>
  <c r="AP222" i="39"/>
  <c r="AP221" i="39"/>
  <c r="AQ220" i="39" s="1"/>
  <c r="AP220" i="39"/>
  <c r="AP219" i="39"/>
  <c r="AP218" i="39"/>
  <c r="AP217" i="39"/>
  <c r="AP216" i="39"/>
  <c r="AP215" i="39"/>
  <c r="AP183" i="39"/>
  <c r="AP182" i="39"/>
  <c r="AP181" i="39"/>
  <c r="AQ181" i="39" s="1"/>
  <c r="D46" i="38" s="1"/>
  <c r="AP176" i="39"/>
  <c r="AP175" i="39"/>
  <c r="AP174" i="39"/>
  <c r="AP173" i="39"/>
  <c r="AP171" i="39"/>
  <c r="AQ171" i="39" s="1"/>
  <c r="D42" i="38" s="1"/>
  <c r="AP131" i="39"/>
  <c r="AQ131" i="39" s="1"/>
  <c r="D41" i="38" s="1"/>
  <c r="AP121" i="39"/>
  <c r="AP120" i="39"/>
  <c r="AP119" i="39"/>
  <c r="AP118" i="39"/>
  <c r="AP114" i="39"/>
  <c r="AP113" i="39"/>
  <c r="AP99" i="39"/>
  <c r="AQ99" i="39" s="1"/>
  <c r="D6" i="38" s="1"/>
  <c r="AP96" i="39"/>
  <c r="AP95" i="39"/>
  <c r="AP94" i="39"/>
  <c r="AP87" i="39"/>
  <c r="AQ87" i="39" s="1"/>
  <c r="D33" i="38" s="1"/>
  <c r="AP81" i="39"/>
  <c r="AP80" i="39"/>
  <c r="AP79" i="39"/>
  <c r="AP78" i="39"/>
  <c r="AP77" i="39"/>
  <c r="AP76" i="39"/>
  <c r="AP75" i="39"/>
  <c r="AP74" i="39"/>
  <c r="AP70" i="39"/>
  <c r="AP69" i="39"/>
  <c r="AP68" i="39"/>
  <c r="AP61" i="39"/>
  <c r="AP60" i="39"/>
  <c r="AP56" i="39"/>
  <c r="AP55" i="39"/>
  <c r="AP54" i="39"/>
  <c r="AP53" i="39"/>
  <c r="AP52" i="39"/>
  <c r="AP51" i="39"/>
  <c r="AP15" i="39"/>
  <c r="AQ15" i="39" s="1"/>
  <c r="D27" i="38" s="1"/>
  <c r="AP13" i="39"/>
  <c r="AQ13" i="39" s="1"/>
  <c r="D26" i="38" s="1"/>
  <c r="F1066" i="37" s="1"/>
  <c r="G1066" i="37" s="1"/>
  <c r="D100" i="38"/>
  <c r="D96" i="38"/>
  <c r="F142" i="37" s="1"/>
  <c r="D94" i="38"/>
  <c r="D82" i="38"/>
  <c r="F80" i="37" s="1"/>
  <c r="D77" i="38"/>
  <c r="F212" i="37" s="1"/>
  <c r="D59" i="38"/>
  <c r="D52" i="38"/>
  <c r="F158" i="37" s="1"/>
  <c r="G158" i="37" s="1"/>
  <c r="D38" i="38"/>
  <c r="F1119" i="37" s="1"/>
  <c r="G1119" i="37" s="1"/>
  <c r="D37" i="38"/>
  <c r="D36" i="38"/>
  <c r="D28" i="38"/>
  <c r="F1252" i="37" s="1"/>
  <c r="G1252" i="37" s="1"/>
  <c r="H1263" i="37"/>
  <c r="H1262" i="37"/>
  <c r="H1261" i="37"/>
  <c r="H1260" i="37"/>
  <c r="H1259" i="37"/>
  <c r="H1258" i="37"/>
  <c r="H1257" i="37"/>
  <c r="H1256" i="37"/>
  <c r="H1255" i="37"/>
  <c r="H1254" i="37"/>
  <c r="H1253" i="37"/>
  <c r="H1252" i="37"/>
  <c r="H1251" i="37"/>
  <c r="H1250" i="37"/>
  <c r="H1249" i="37"/>
  <c r="H1248" i="37"/>
  <c r="H1247" i="37"/>
  <c r="H1246" i="37"/>
  <c r="H1245" i="37"/>
  <c r="H1244" i="37"/>
  <c r="H1243" i="37"/>
  <c r="H1242" i="37"/>
  <c r="H1241" i="37"/>
  <c r="H1240" i="37"/>
  <c r="H1239" i="37"/>
  <c r="H1238" i="37"/>
  <c r="H1237" i="37"/>
  <c r="H1236" i="37"/>
  <c r="H1235" i="37"/>
  <c r="H1234" i="37"/>
  <c r="H1233" i="37"/>
  <c r="H1232" i="37"/>
  <c r="H1231" i="37"/>
  <c r="H1230" i="37"/>
  <c r="H1229" i="37"/>
  <c r="H1228" i="37"/>
  <c r="H1227" i="37"/>
  <c r="H1226" i="37"/>
  <c r="H1225" i="37"/>
  <c r="H1224" i="37"/>
  <c r="H1223" i="37"/>
  <c r="H1222" i="37"/>
  <c r="H1221" i="37"/>
  <c r="H1220" i="37"/>
  <c r="H1219" i="37"/>
  <c r="H1218" i="37"/>
  <c r="H1217" i="37"/>
  <c r="H1216" i="37"/>
  <c r="H1215" i="37"/>
  <c r="H1214" i="37"/>
  <c r="H1213" i="37"/>
  <c r="H1212" i="37"/>
  <c r="H1211" i="37"/>
  <c r="H1210" i="37"/>
  <c r="H1209" i="37"/>
  <c r="H1208" i="37"/>
  <c r="H1207" i="37"/>
  <c r="H1206" i="37"/>
  <c r="H1205" i="37"/>
  <c r="H1204" i="37"/>
  <c r="H1203" i="37"/>
  <c r="H1202" i="37"/>
  <c r="H1201" i="37"/>
  <c r="H1200" i="37"/>
  <c r="H1199" i="37"/>
  <c r="H1198" i="37"/>
  <c r="H1197" i="37"/>
  <c r="H1196" i="37"/>
  <c r="H1195" i="37"/>
  <c r="H1194" i="37"/>
  <c r="H1193" i="37"/>
  <c r="H1192" i="37"/>
  <c r="H1191" i="37"/>
  <c r="H1190" i="37"/>
  <c r="H1189" i="37"/>
  <c r="H1188" i="37"/>
  <c r="H1187" i="37"/>
  <c r="H1186" i="37"/>
  <c r="H1185" i="37"/>
  <c r="H1184" i="37"/>
  <c r="H1183" i="37"/>
  <c r="H1182" i="37"/>
  <c r="H1181" i="37"/>
  <c r="H1180" i="37"/>
  <c r="H1179" i="37"/>
  <c r="H1178" i="37"/>
  <c r="H1177" i="37"/>
  <c r="H1176" i="37"/>
  <c r="H1175" i="37"/>
  <c r="H1174" i="37"/>
  <c r="H1173" i="37"/>
  <c r="H1172" i="37"/>
  <c r="H1171" i="37"/>
  <c r="H1170" i="37"/>
  <c r="H1169" i="37"/>
  <c r="H1168" i="37"/>
  <c r="H1167" i="37"/>
  <c r="H1166" i="37"/>
  <c r="H1165" i="37"/>
  <c r="H1164" i="37"/>
  <c r="H1163" i="37"/>
  <c r="H1162" i="37"/>
  <c r="H1161" i="37"/>
  <c r="H1160" i="37"/>
  <c r="H1159" i="37"/>
  <c r="H1158" i="37"/>
  <c r="H1157" i="37"/>
  <c r="H1156" i="37"/>
  <c r="H1155" i="37"/>
  <c r="H1154" i="37"/>
  <c r="H1153" i="37"/>
  <c r="H1152" i="37"/>
  <c r="H1151" i="37"/>
  <c r="H1150" i="37"/>
  <c r="H1149" i="37"/>
  <c r="H1148" i="37"/>
  <c r="H1147" i="37"/>
  <c r="H1146" i="37"/>
  <c r="H1145" i="37"/>
  <c r="H1144" i="37"/>
  <c r="H1143" i="37"/>
  <c r="H1142" i="37"/>
  <c r="H1141" i="37"/>
  <c r="H1140" i="37"/>
  <c r="H1139" i="37"/>
  <c r="H1138" i="37"/>
  <c r="H1137" i="37"/>
  <c r="H1136" i="37"/>
  <c r="H1135" i="37"/>
  <c r="H1134" i="37"/>
  <c r="H1133" i="37"/>
  <c r="H1132" i="37"/>
  <c r="H1131" i="37"/>
  <c r="H1130" i="37"/>
  <c r="H1129" i="37"/>
  <c r="H1128" i="37"/>
  <c r="H1127" i="37"/>
  <c r="H1126" i="37"/>
  <c r="H1125" i="37"/>
  <c r="H1124" i="37"/>
  <c r="H1123" i="37"/>
  <c r="H1122" i="37"/>
  <c r="H1121" i="37"/>
  <c r="H1120" i="37"/>
  <c r="H1119" i="37"/>
  <c r="H1118" i="37"/>
  <c r="H1117" i="37"/>
  <c r="H1116" i="37"/>
  <c r="H1115" i="37"/>
  <c r="H1114" i="37"/>
  <c r="H1113" i="37"/>
  <c r="H1112" i="37"/>
  <c r="H1111" i="37"/>
  <c r="H1110" i="37"/>
  <c r="H1109" i="37"/>
  <c r="H1108" i="37"/>
  <c r="H1107" i="37"/>
  <c r="H1106" i="37"/>
  <c r="H1105" i="37"/>
  <c r="H1104" i="37"/>
  <c r="H1103" i="37"/>
  <c r="H1102" i="37"/>
  <c r="H1101" i="37"/>
  <c r="H1100" i="37"/>
  <c r="H1099" i="37"/>
  <c r="H1098" i="37"/>
  <c r="H1097" i="37"/>
  <c r="H1096" i="37"/>
  <c r="H1095" i="37"/>
  <c r="H1094" i="37"/>
  <c r="H1093" i="37"/>
  <c r="H1092" i="37"/>
  <c r="H1091" i="37"/>
  <c r="H1090" i="37"/>
  <c r="H1089" i="37"/>
  <c r="H1088" i="37"/>
  <c r="H1087" i="37"/>
  <c r="H1086" i="37"/>
  <c r="H1085" i="37"/>
  <c r="H1084" i="37"/>
  <c r="G1084" i="37"/>
  <c r="H1083" i="37"/>
  <c r="H1082" i="37"/>
  <c r="H1081" i="37"/>
  <c r="H1080" i="37"/>
  <c r="H1079" i="37"/>
  <c r="H1078" i="37"/>
  <c r="H1077" i="37"/>
  <c r="H1076" i="37"/>
  <c r="H1075" i="37"/>
  <c r="H1074" i="37"/>
  <c r="H1073" i="37"/>
  <c r="H1072" i="37"/>
  <c r="H1071" i="37"/>
  <c r="H1070" i="37"/>
  <c r="H1069" i="37"/>
  <c r="H1068" i="37"/>
  <c r="H1067" i="37"/>
  <c r="H1066" i="37"/>
  <c r="H1065" i="37"/>
  <c r="H1064" i="37"/>
  <c r="H1063" i="37"/>
  <c r="H1062" i="37"/>
  <c r="H1061" i="37"/>
  <c r="H1060" i="37"/>
  <c r="H1059" i="37"/>
  <c r="H1058" i="37"/>
  <c r="H1057" i="37"/>
  <c r="H1056" i="37"/>
  <c r="H1055" i="37"/>
  <c r="H1054" i="37"/>
  <c r="H1053" i="37"/>
  <c r="H1052" i="37"/>
  <c r="H1051" i="37"/>
  <c r="H1050" i="37"/>
  <c r="H1049" i="37"/>
  <c r="H1048" i="37"/>
  <c r="H1047" i="37"/>
  <c r="H1046" i="37"/>
  <c r="H1045" i="37"/>
  <c r="H1044" i="37"/>
  <c r="H1043" i="37"/>
  <c r="H1042" i="37"/>
  <c r="H1041" i="37"/>
  <c r="H1040" i="37"/>
  <c r="H1039" i="37"/>
  <c r="H1038" i="37"/>
  <c r="H1037" i="37"/>
  <c r="H1036" i="37"/>
  <c r="H1035" i="37"/>
  <c r="H1034" i="37"/>
  <c r="H1033" i="37"/>
  <c r="H1032" i="37"/>
  <c r="H1031" i="37"/>
  <c r="H1030" i="37"/>
  <c r="H1029" i="37"/>
  <c r="H1028" i="37"/>
  <c r="H1027" i="37"/>
  <c r="H1026" i="37"/>
  <c r="H1025" i="37"/>
  <c r="G1025" i="37"/>
  <c r="H1024" i="37"/>
  <c r="H1023" i="37"/>
  <c r="H1022" i="37"/>
  <c r="H1021" i="37"/>
  <c r="H1020" i="37"/>
  <c r="H1019" i="37"/>
  <c r="H1018" i="37"/>
  <c r="H1017" i="37"/>
  <c r="H1016" i="37"/>
  <c r="H1015" i="37"/>
  <c r="H1014" i="37"/>
  <c r="H1013" i="37"/>
  <c r="H1012" i="37"/>
  <c r="H1011" i="37"/>
  <c r="H1010" i="37"/>
  <c r="H1009" i="37"/>
  <c r="H1008" i="37"/>
  <c r="H1007" i="37"/>
  <c r="H1006" i="37"/>
  <c r="H1005" i="37"/>
  <c r="H1004" i="37"/>
  <c r="H1003" i="37"/>
  <c r="H1002" i="37"/>
  <c r="H1001" i="37"/>
  <c r="H1000" i="37"/>
  <c r="H999" i="37"/>
  <c r="H998" i="37"/>
  <c r="G998" i="37"/>
  <c r="H997" i="37"/>
  <c r="H996" i="37"/>
  <c r="H995" i="37"/>
  <c r="H994" i="37"/>
  <c r="H993" i="37"/>
  <c r="H992" i="37"/>
  <c r="H991" i="37"/>
  <c r="H990" i="37"/>
  <c r="H989" i="37"/>
  <c r="H988" i="37"/>
  <c r="H987" i="37"/>
  <c r="H986" i="37"/>
  <c r="H985" i="37"/>
  <c r="H984" i="37"/>
  <c r="H983" i="37"/>
  <c r="H982" i="37"/>
  <c r="H981" i="37"/>
  <c r="H980" i="37"/>
  <c r="H979" i="37"/>
  <c r="H978" i="37"/>
  <c r="H977" i="37"/>
  <c r="H976" i="37"/>
  <c r="H975" i="37"/>
  <c r="H974" i="37"/>
  <c r="H973" i="37"/>
  <c r="H972" i="37"/>
  <c r="H971" i="37"/>
  <c r="H970" i="37"/>
  <c r="H969" i="37"/>
  <c r="H968" i="37"/>
  <c r="H967" i="37"/>
  <c r="H966" i="37"/>
  <c r="H965" i="37"/>
  <c r="H964" i="37"/>
  <c r="H963" i="37"/>
  <c r="H962" i="37"/>
  <c r="H961" i="37"/>
  <c r="H960" i="37"/>
  <c r="H959" i="37"/>
  <c r="H958" i="37"/>
  <c r="H957" i="37"/>
  <c r="H956" i="37"/>
  <c r="H955" i="37"/>
  <c r="H954" i="37"/>
  <c r="H953" i="37"/>
  <c r="H952" i="37"/>
  <c r="H951" i="37"/>
  <c r="H950" i="37"/>
  <c r="H949" i="37"/>
  <c r="H948" i="37"/>
  <c r="H947" i="37"/>
  <c r="H946" i="37"/>
  <c r="H945" i="37"/>
  <c r="H944" i="37"/>
  <c r="H943" i="37"/>
  <c r="H942" i="37"/>
  <c r="H941" i="37"/>
  <c r="H940" i="37"/>
  <c r="G940" i="37"/>
  <c r="H939" i="37"/>
  <c r="H938" i="37"/>
  <c r="H937" i="37"/>
  <c r="H936" i="37"/>
  <c r="H935" i="37"/>
  <c r="H934" i="37"/>
  <c r="H933" i="37"/>
  <c r="H932" i="37"/>
  <c r="H931" i="37"/>
  <c r="H930" i="37"/>
  <c r="H929" i="37"/>
  <c r="H928" i="37"/>
  <c r="H927" i="37"/>
  <c r="H926" i="37"/>
  <c r="H925" i="37"/>
  <c r="H924" i="37"/>
  <c r="H923" i="37"/>
  <c r="H922" i="37"/>
  <c r="H921" i="37"/>
  <c r="H920" i="37"/>
  <c r="H919" i="37"/>
  <c r="H918" i="37"/>
  <c r="H917" i="37"/>
  <c r="H916" i="37"/>
  <c r="H915" i="37"/>
  <c r="H914" i="37"/>
  <c r="H913" i="37"/>
  <c r="H912" i="37"/>
  <c r="H911" i="37"/>
  <c r="H910" i="37"/>
  <c r="H909" i="37"/>
  <c r="H908" i="37"/>
  <c r="H907" i="37"/>
  <c r="H906" i="37"/>
  <c r="H905" i="37"/>
  <c r="H904" i="37"/>
  <c r="H903" i="37"/>
  <c r="H902" i="37"/>
  <c r="H901" i="37"/>
  <c r="H900" i="37"/>
  <c r="H899" i="37"/>
  <c r="H898" i="37"/>
  <c r="H897" i="37"/>
  <c r="H896" i="37"/>
  <c r="H895" i="37"/>
  <c r="H894" i="37"/>
  <c r="H893" i="37"/>
  <c r="H892" i="37"/>
  <c r="H891" i="37"/>
  <c r="H890" i="37"/>
  <c r="H889" i="37"/>
  <c r="H888" i="37"/>
  <c r="H887" i="37"/>
  <c r="H886" i="37"/>
  <c r="H885" i="37"/>
  <c r="H884" i="37"/>
  <c r="H883" i="37"/>
  <c r="H882" i="37"/>
  <c r="H881" i="37"/>
  <c r="H880" i="37"/>
  <c r="H879" i="37"/>
  <c r="H878" i="37"/>
  <c r="H877" i="37"/>
  <c r="H876" i="37"/>
  <c r="H875" i="37"/>
  <c r="H874" i="37"/>
  <c r="H873" i="37"/>
  <c r="H872" i="37"/>
  <c r="H871" i="37"/>
  <c r="H870" i="37"/>
  <c r="H869" i="37"/>
  <c r="H868" i="37"/>
  <c r="H867" i="37"/>
  <c r="H866" i="37"/>
  <c r="H865" i="37"/>
  <c r="H864" i="37"/>
  <c r="H863" i="37"/>
  <c r="H862" i="37"/>
  <c r="H861" i="37"/>
  <c r="H860" i="37"/>
  <c r="H859" i="37"/>
  <c r="H858" i="37"/>
  <c r="H857" i="37"/>
  <c r="H856" i="37"/>
  <c r="H855" i="37"/>
  <c r="H854" i="37"/>
  <c r="H853" i="37"/>
  <c r="H852" i="37"/>
  <c r="H851" i="37"/>
  <c r="H850" i="37"/>
  <c r="H849" i="37"/>
  <c r="H848" i="37"/>
  <c r="H847" i="37"/>
  <c r="H846" i="37"/>
  <c r="H845" i="37"/>
  <c r="H844" i="37"/>
  <c r="H843" i="37"/>
  <c r="H842" i="37"/>
  <c r="H841" i="37"/>
  <c r="H840" i="37"/>
  <c r="H839" i="37"/>
  <c r="H838" i="37"/>
  <c r="H837" i="37"/>
  <c r="H836" i="37"/>
  <c r="H835" i="37"/>
  <c r="H834" i="37"/>
  <c r="H833" i="37"/>
  <c r="H832" i="37"/>
  <c r="H831" i="37"/>
  <c r="H830" i="37"/>
  <c r="H829" i="37"/>
  <c r="H828" i="37"/>
  <c r="H827" i="37"/>
  <c r="H826" i="37"/>
  <c r="H825" i="37"/>
  <c r="G825" i="37"/>
  <c r="H824" i="37"/>
  <c r="H823" i="37"/>
  <c r="H822" i="37"/>
  <c r="H821" i="37"/>
  <c r="H820" i="37"/>
  <c r="G820" i="37"/>
  <c r="H819" i="37"/>
  <c r="H818" i="37"/>
  <c r="H817" i="37"/>
  <c r="H816" i="37"/>
  <c r="H815" i="37"/>
  <c r="H814" i="37"/>
  <c r="H813" i="37"/>
  <c r="H812" i="37"/>
  <c r="H811" i="37"/>
  <c r="H810" i="37"/>
  <c r="H809" i="37"/>
  <c r="H808" i="37"/>
  <c r="H807" i="37"/>
  <c r="H806" i="37"/>
  <c r="H805" i="37"/>
  <c r="H804" i="37"/>
  <c r="H803" i="37"/>
  <c r="H802" i="37"/>
  <c r="H801" i="37"/>
  <c r="H800" i="37"/>
  <c r="H799" i="37"/>
  <c r="H798" i="37"/>
  <c r="H797" i="37"/>
  <c r="H796" i="37"/>
  <c r="H795" i="37"/>
  <c r="H794" i="37"/>
  <c r="H793" i="37"/>
  <c r="H792" i="37"/>
  <c r="H791" i="37"/>
  <c r="H790" i="37"/>
  <c r="H789" i="37"/>
  <c r="H788" i="37"/>
  <c r="H787" i="37"/>
  <c r="H786" i="37"/>
  <c r="H785" i="37"/>
  <c r="H784" i="37"/>
  <c r="H783" i="37"/>
  <c r="H782" i="37"/>
  <c r="H781" i="37"/>
  <c r="H780" i="37"/>
  <c r="H779" i="37"/>
  <c r="H778" i="37"/>
  <c r="H777" i="37"/>
  <c r="H776" i="37"/>
  <c r="H775" i="37"/>
  <c r="H774" i="37"/>
  <c r="H773" i="37"/>
  <c r="H772" i="37"/>
  <c r="H771" i="37"/>
  <c r="H770" i="37"/>
  <c r="H769" i="37"/>
  <c r="H768" i="37"/>
  <c r="H767" i="37"/>
  <c r="H766" i="37"/>
  <c r="H765" i="37"/>
  <c r="G765" i="37"/>
  <c r="H764" i="37"/>
  <c r="H763" i="37"/>
  <c r="H762" i="37"/>
  <c r="H761" i="37"/>
  <c r="H760" i="37"/>
  <c r="H759" i="37"/>
  <c r="H758" i="37"/>
  <c r="H757" i="37"/>
  <c r="H756" i="37"/>
  <c r="H755" i="37"/>
  <c r="H754" i="37"/>
  <c r="H753" i="37"/>
  <c r="H752" i="37"/>
  <c r="H751" i="37"/>
  <c r="H750" i="37"/>
  <c r="H749" i="37"/>
  <c r="H748" i="37"/>
  <c r="H747" i="37"/>
  <c r="H746" i="37"/>
  <c r="H745" i="37"/>
  <c r="H744" i="37"/>
  <c r="H743" i="37"/>
  <c r="H742" i="37"/>
  <c r="H741" i="37"/>
  <c r="H740" i="37"/>
  <c r="H739" i="37"/>
  <c r="H738" i="37"/>
  <c r="H737" i="37"/>
  <c r="H736" i="37"/>
  <c r="H735" i="37"/>
  <c r="H734" i="37"/>
  <c r="H733" i="37"/>
  <c r="H732" i="37"/>
  <c r="H731" i="37"/>
  <c r="H730" i="37"/>
  <c r="H729" i="37"/>
  <c r="H728" i="37"/>
  <c r="H727" i="37"/>
  <c r="H726" i="37"/>
  <c r="H725" i="37"/>
  <c r="H724" i="37"/>
  <c r="H723" i="37"/>
  <c r="H722" i="37"/>
  <c r="H721" i="37"/>
  <c r="H720" i="37"/>
  <c r="H719" i="37"/>
  <c r="H718" i="37"/>
  <c r="H717" i="37"/>
  <c r="H716" i="37"/>
  <c r="H715" i="37"/>
  <c r="H714" i="37"/>
  <c r="H713" i="37"/>
  <c r="H712" i="37"/>
  <c r="H711" i="37"/>
  <c r="H710" i="37"/>
  <c r="H709" i="37"/>
  <c r="H708" i="37"/>
  <c r="H707" i="37"/>
  <c r="H706" i="37"/>
  <c r="H705" i="37"/>
  <c r="H704" i="37"/>
  <c r="H703" i="37"/>
  <c r="H702" i="37"/>
  <c r="H701" i="37"/>
  <c r="G701" i="37"/>
  <c r="H700" i="37"/>
  <c r="H699" i="37"/>
  <c r="H698" i="37"/>
  <c r="H697" i="37"/>
  <c r="H696" i="37"/>
  <c r="H695" i="37"/>
  <c r="H694" i="37"/>
  <c r="H693" i="37"/>
  <c r="H692" i="37"/>
  <c r="H691" i="37"/>
  <c r="H690" i="37"/>
  <c r="H689" i="37"/>
  <c r="H688" i="37"/>
  <c r="H687" i="37"/>
  <c r="H686" i="37"/>
  <c r="H685" i="37"/>
  <c r="H684" i="37"/>
  <c r="H683" i="37"/>
  <c r="H682" i="37"/>
  <c r="H681" i="37"/>
  <c r="H680" i="37"/>
  <c r="H679" i="37"/>
  <c r="H678" i="37"/>
  <c r="H677" i="37"/>
  <c r="H676" i="37"/>
  <c r="H675" i="37"/>
  <c r="H674" i="37"/>
  <c r="H673" i="37"/>
  <c r="H672" i="37"/>
  <c r="H671" i="37"/>
  <c r="H670" i="37"/>
  <c r="H669" i="37"/>
  <c r="G669" i="37"/>
  <c r="H668" i="37"/>
  <c r="H667" i="37"/>
  <c r="H666" i="37"/>
  <c r="H665" i="37"/>
  <c r="H664" i="37"/>
  <c r="H663" i="37"/>
  <c r="H662" i="37"/>
  <c r="H661" i="37"/>
  <c r="H660" i="37"/>
  <c r="H659" i="37"/>
  <c r="H658" i="37"/>
  <c r="H657" i="37"/>
  <c r="H656" i="37"/>
  <c r="H655" i="37"/>
  <c r="H654" i="37"/>
  <c r="H653" i="37"/>
  <c r="H652" i="37"/>
  <c r="H651" i="37"/>
  <c r="H650" i="37"/>
  <c r="H649" i="37"/>
  <c r="H648" i="37"/>
  <c r="H647" i="37"/>
  <c r="H646" i="37"/>
  <c r="H645" i="37"/>
  <c r="H644" i="37"/>
  <c r="H643" i="37"/>
  <c r="H642" i="37"/>
  <c r="H641" i="37"/>
  <c r="H640" i="37"/>
  <c r="H639" i="37"/>
  <c r="H638" i="37"/>
  <c r="H637" i="37"/>
  <c r="H636" i="37"/>
  <c r="H635" i="37"/>
  <c r="H634" i="37"/>
  <c r="H633" i="37"/>
  <c r="H632" i="37"/>
  <c r="H631" i="37"/>
  <c r="H630" i="37"/>
  <c r="H629" i="37"/>
  <c r="H628" i="37"/>
  <c r="H627" i="37"/>
  <c r="H626" i="37"/>
  <c r="H625" i="37"/>
  <c r="H624" i="37"/>
  <c r="H623" i="37"/>
  <c r="H622" i="37"/>
  <c r="H621" i="37"/>
  <c r="H620" i="37"/>
  <c r="H619" i="37"/>
  <c r="H618" i="37"/>
  <c r="H617" i="37"/>
  <c r="H616" i="37"/>
  <c r="H615" i="37"/>
  <c r="H614" i="37"/>
  <c r="H613" i="37"/>
  <c r="H612" i="37"/>
  <c r="H611" i="37"/>
  <c r="H610" i="37"/>
  <c r="H609" i="37"/>
  <c r="H608" i="37"/>
  <c r="H607" i="37"/>
  <c r="H606" i="37"/>
  <c r="H605" i="37"/>
  <c r="H604" i="37"/>
  <c r="H603" i="37"/>
  <c r="H602" i="37"/>
  <c r="H601" i="37"/>
  <c r="H600" i="37"/>
  <c r="H599" i="37"/>
  <c r="H598" i="37"/>
  <c r="H597" i="37"/>
  <c r="H596" i="37"/>
  <c r="H595" i="37"/>
  <c r="H594" i="37"/>
  <c r="H593" i="37"/>
  <c r="H592" i="37"/>
  <c r="H591" i="37"/>
  <c r="H590" i="37"/>
  <c r="H589" i="37"/>
  <c r="H588" i="37"/>
  <c r="H587" i="37"/>
  <c r="H586" i="37"/>
  <c r="H585" i="37"/>
  <c r="H584" i="37"/>
  <c r="H583" i="37"/>
  <c r="H582" i="37"/>
  <c r="H581" i="37"/>
  <c r="H580" i="37"/>
  <c r="H579" i="37"/>
  <c r="H578" i="37"/>
  <c r="H577" i="37"/>
  <c r="H576" i="37"/>
  <c r="H575" i="37"/>
  <c r="H574" i="37"/>
  <c r="H573" i="37"/>
  <c r="H572" i="37"/>
  <c r="H571" i="37"/>
  <c r="H570" i="37"/>
  <c r="H569" i="37"/>
  <c r="H568" i="37"/>
  <c r="H567" i="37"/>
  <c r="H566" i="37"/>
  <c r="H565" i="37"/>
  <c r="H564" i="37"/>
  <c r="H563" i="37"/>
  <c r="H562" i="37"/>
  <c r="H561" i="37"/>
  <c r="H560" i="37"/>
  <c r="H559" i="37"/>
  <c r="H558" i="37"/>
  <c r="H557" i="37"/>
  <c r="H556" i="37"/>
  <c r="H555" i="37"/>
  <c r="H554" i="37"/>
  <c r="H553" i="37"/>
  <c r="H552" i="37"/>
  <c r="G552" i="37"/>
  <c r="H551" i="37"/>
  <c r="H550" i="37"/>
  <c r="G550" i="37"/>
  <c r="H549" i="37"/>
  <c r="G549" i="37"/>
  <c r="H548" i="37"/>
  <c r="G548" i="37"/>
  <c r="H547" i="37"/>
  <c r="H546" i="37"/>
  <c r="H545" i="37"/>
  <c r="G545" i="37"/>
  <c r="H544" i="37"/>
  <c r="H543" i="37"/>
  <c r="H542" i="37"/>
  <c r="H541" i="37"/>
  <c r="H540" i="37"/>
  <c r="H539" i="37"/>
  <c r="H538" i="37"/>
  <c r="H537" i="37"/>
  <c r="H536" i="37"/>
  <c r="H535" i="37"/>
  <c r="H534" i="37"/>
  <c r="H533" i="37"/>
  <c r="H532" i="37"/>
  <c r="H531" i="37"/>
  <c r="H530" i="37"/>
  <c r="H529" i="37"/>
  <c r="H528" i="37"/>
  <c r="H527" i="37"/>
  <c r="H526" i="37"/>
  <c r="H525" i="37"/>
  <c r="H524" i="37"/>
  <c r="H523" i="37"/>
  <c r="H522" i="37"/>
  <c r="H521" i="37"/>
  <c r="H520" i="37"/>
  <c r="H519" i="37"/>
  <c r="H518" i="37"/>
  <c r="H517" i="37"/>
  <c r="H516" i="37"/>
  <c r="G516" i="37"/>
  <c r="H515" i="37"/>
  <c r="H514" i="37"/>
  <c r="H513" i="37"/>
  <c r="H512" i="37"/>
  <c r="H511" i="37"/>
  <c r="H510" i="37"/>
  <c r="H509" i="37"/>
  <c r="H508" i="37"/>
  <c r="H507" i="37"/>
  <c r="H506" i="37"/>
  <c r="H505" i="37"/>
  <c r="H504" i="37"/>
  <c r="H503" i="37"/>
  <c r="H502" i="37"/>
  <c r="H501" i="37"/>
  <c r="H500" i="37"/>
  <c r="H499" i="37"/>
  <c r="H498" i="37"/>
  <c r="H497" i="37"/>
  <c r="H496" i="37"/>
  <c r="H495" i="37"/>
  <c r="H494" i="37"/>
  <c r="H493" i="37"/>
  <c r="H492" i="37"/>
  <c r="H491" i="37"/>
  <c r="H490" i="37"/>
  <c r="H489" i="37"/>
  <c r="H488" i="37"/>
  <c r="H487" i="37"/>
  <c r="H486" i="37"/>
  <c r="H485" i="37"/>
  <c r="H484" i="37"/>
  <c r="H483" i="37"/>
  <c r="H482" i="37"/>
  <c r="H481" i="37"/>
  <c r="G481" i="37"/>
  <c r="H480" i="37"/>
  <c r="G480" i="37"/>
  <c r="H479" i="37"/>
  <c r="H478" i="37"/>
  <c r="H477" i="37"/>
  <c r="H476" i="37"/>
  <c r="H475" i="37"/>
  <c r="H474" i="37"/>
  <c r="H473" i="37"/>
  <c r="H472" i="37"/>
  <c r="H471" i="37"/>
  <c r="H470" i="37"/>
  <c r="H469" i="37"/>
  <c r="H468" i="37"/>
  <c r="H467" i="37"/>
  <c r="H466" i="37"/>
  <c r="H465" i="37"/>
  <c r="H464" i="37"/>
  <c r="H463" i="37"/>
  <c r="H462" i="37"/>
  <c r="H461" i="37"/>
  <c r="H460" i="37"/>
  <c r="H459" i="37"/>
  <c r="H458" i="37"/>
  <c r="H457" i="37"/>
  <c r="H456" i="37"/>
  <c r="H455" i="37"/>
  <c r="H454" i="37"/>
  <c r="H453" i="37"/>
  <c r="H452" i="37"/>
  <c r="H451" i="37"/>
  <c r="H450" i="37"/>
  <c r="H449" i="37"/>
  <c r="H448" i="37"/>
  <c r="H447" i="37"/>
  <c r="H446" i="37"/>
  <c r="H445" i="37"/>
  <c r="H444" i="37"/>
  <c r="H443" i="37"/>
  <c r="H442" i="37"/>
  <c r="H441" i="37"/>
  <c r="H440" i="37"/>
  <c r="H439" i="37"/>
  <c r="H438" i="37"/>
  <c r="H437" i="37"/>
  <c r="H436" i="37"/>
  <c r="H435" i="37"/>
  <c r="H434" i="37"/>
  <c r="H433" i="37"/>
  <c r="H432" i="37"/>
  <c r="H431" i="37"/>
  <c r="H430" i="37"/>
  <c r="H429" i="37"/>
  <c r="H428" i="37"/>
  <c r="H427" i="37"/>
  <c r="H426" i="37"/>
  <c r="H425" i="37"/>
  <c r="H424" i="37"/>
  <c r="H423" i="37"/>
  <c r="H422" i="37"/>
  <c r="H421" i="37"/>
  <c r="H420" i="37"/>
  <c r="H419" i="37"/>
  <c r="H418" i="37"/>
  <c r="H417" i="37"/>
  <c r="H416" i="37"/>
  <c r="H415" i="37"/>
  <c r="H414" i="37"/>
  <c r="H413" i="37"/>
  <c r="H412" i="37"/>
  <c r="H411" i="37"/>
  <c r="H410" i="37"/>
  <c r="H409" i="37"/>
  <c r="H408" i="37"/>
  <c r="H407" i="37"/>
  <c r="H406" i="37"/>
  <c r="H405" i="37"/>
  <c r="H404" i="37"/>
  <c r="H403" i="37"/>
  <c r="H402" i="37"/>
  <c r="H401" i="37"/>
  <c r="H400" i="37"/>
  <c r="H399" i="37"/>
  <c r="H398" i="37"/>
  <c r="H397" i="37"/>
  <c r="H396" i="37"/>
  <c r="H395" i="37"/>
  <c r="H394" i="37"/>
  <c r="H393" i="37"/>
  <c r="H392" i="37"/>
  <c r="H391" i="37"/>
  <c r="H390" i="37"/>
  <c r="H389" i="37"/>
  <c r="H388" i="37"/>
  <c r="H387" i="37"/>
  <c r="H386" i="37"/>
  <c r="H385" i="37"/>
  <c r="H384" i="37"/>
  <c r="H383" i="37"/>
  <c r="H382" i="37"/>
  <c r="H381" i="37"/>
  <c r="H380" i="37"/>
  <c r="H379" i="37"/>
  <c r="H378" i="37"/>
  <c r="H377" i="37"/>
  <c r="H376" i="37"/>
  <c r="H375" i="37"/>
  <c r="H374" i="37"/>
  <c r="H373" i="37"/>
  <c r="H372" i="37"/>
  <c r="H371" i="37"/>
  <c r="H370" i="37"/>
  <c r="H369" i="37"/>
  <c r="H368" i="37"/>
  <c r="H367" i="37"/>
  <c r="H366" i="37"/>
  <c r="H365" i="37"/>
  <c r="H364" i="37"/>
  <c r="H363" i="37"/>
  <c r="H362" i="37"/>
  <c r="H361" i="37"/>
  <c r="H360" i="37"/>
  <c r="H359" i="37"/>
  <c r="H358" i="37"/>
  <c r="H357" i="37"/>
  <c r="H356" i="37"/>
  <c r="H355" i="37"/>
  <c r="H354" i="37"/>
  <c r="H353" i="37"/>
  <c r="H352" i="37"/>
  <c r="H351" i="37"/>
  <c r="H350" i="37"/>
  <c r="H349" i="37"/>
  <c r="H348" i="37"/>
  <c r="H347" i="37"/>
  <c r="H346" i="37"/>
  <c r="H345" i="37"/>
  <c r="H344" i="37"/>
  <c r="H343" i="37"/>
  <c r="H342" i="37"/>
  <c r="H341" i="37"/>
  <c r="H340" i="37"/>
  <c r="H339" i="37"/>
  <c r="H338" i="37"/>
  <c r="H337" i="37"/>
  <c r="H336" i="37"/>
  <c r="H335" i="37"/>
  <c r="H334" i="37"/>
  <c r="H333" i="37"/>
  <c r="H332" i="37"/>
  <c r="H331" i="37"/>
  <c r="H330" i="37"/>
  <c r="H329" i="37"/>
  <c r="H328" i="37"/>
  <c r="H327" i="37"/>
  <c r="H326" i="37"/>
  <c r="H325" i="37"/>
  <c r="H324" i="37"/>
  <c r="H323" i="37"/>
  <c r="H322" i="37"/>
  <c r="H321" i="37"/>
  <c r="H320" i="37"/>
  <c r="H319" i="37"/>
  <c r="H318" i="37"/>
  <c r="H317" i="37"/>
  <c r="H316" i="37"/>
  <c r="H315" i="37"/>
  <c r="H314" i="37"/>
  <c r="H313" i="37"/>
  <c r="H312" i="37"/>
  <c r="H311" i="37"/>
  <c r="H310" i="37"/>
  <c r="H309" i="37"/>
  <c r="H308" i="37"/>
  <c r="H307" i="37"/>
  <c r="H306" i="37"/>
  <c r="H305" i="37"/>
  <c r="H304" i="37"/>
  <c r="H303" i="37"/>
  <c r="H302" i="37"/>
  <c r="H301" i="37"/>
  <c r="H300" i="37"/>
  <c r="H299" i="37"/>
  <c r="H298" i="37"/>
  <c r="H297" i="37"/>
  <c r="H296" i="37"/>
  <c r="H295" i="37"/>
  <c r="H294" i="37"/>
  <c r="H293" i="37"/>
  <c r="H292" i="37"/>
  <c r="H291" i="37"/>
  <c r="H290" i="37"/>
  <c r="H289" i="37"/>
  <c r="G289" i="37"/>
  <c r="H288" i="37"/>
  <c r="H287" i="37"/>
  <c r="H286" i="37"/>
  <c r="H285" i="37"/>
  <c r="H284" i="37"/>
  <c r="H283" i="37"/>
  <c r="H282" i="37"/>
  <c r="H281" i="37"/>
  <c r="H280" i="37"/>
  <c r="H279" i="37"/>
  <c r="H278" i="37"/>
  <c r="H277" i="37"/>
  <c r="H276" i="37"/>
  <c r="H275" i="37"/>
  <c r="H274" i="37"/>
  <c r="H273" i="37"/>
  <c r="H272" i="37"/>
  <c r="H271" i="37"/>
  <c r="H270" i="37"/>
  <c r="H269" i="37"/>
  <c r="H268" i="37"/>
  <c r="H267" i="37"/>
  <c r="H266" i="37"/>
  <c r="H265" i="37"/>
  <c r="H264" i="37"/>
  <c r="H263" i="37"/>
  <c r="H262" i="37"/>
  <c r="H261" i="37"/>
  <c r="H260" i="37"/>
  <c r="H259" i="37"/>
  <c r="H258" i="37"/>
  <c r="H257" i="37"/>
  <c r="H256" i="37"/>
  <c r="H255" i="37"/>
  <c r="H254" i="37"/>
  <c r="H253" i="37"/>
  <c r="H252" i="37"/>
  <c r="H251" i="37"/>
  <c r="H250" i="37"/>
  <c r="H249" i="37"/>
  <c r="H248" i="37"/>
  <c r="H247" i="37"/>
  <c r="H246" i="37"/>
  <c r="H245" i="37"/>
  <c r="H244" i="37"/>
  <c r="H243" i="37"/>
  <c r="H242" i="37"/>
  <c r="H241" i="37"/>
  <c r="H240" i="37"/>
  <c r="G240" i="37"/>
  <c r="H239" i="37"/>
  <c r="H238" i="37"/>
  <c r="H237" i="37"/>
  <c r="H236" i="37"/>
  <c r="H235" i="37"/>
  <c r="H234" i="37"/>
  <c r="H233" i="37"/>
  <c r="H232" i="37"/>
  <c r="H231" i="37"/>
  <c r="H230" i="37"/>
  <c r="H229" i="37"/>
  <c r="H228" i="37"/>
  <c r="H227" i="37"/>
  <c r="H226" i="37"/>
  <c r="H225" i="37"/>
  <c r="H224" i="37"/>
  <c r="H223" i="37"/>
  <c r="H222" i="37"/>
  <c r="H221" i="37"/>
  <c r="H220" i="37"/>
  <c r="H219" i="37"/>
  <c r="H218" i="37"/>
  <c r="H217" i="37"/>
  <c r="H216" i="37"/>
  <c r="H215" i="37"/>
  <c r="H214" i="37"/>
  <c r="H213" i="37"/>
  <c r="H212" i="37"/>
  <c r="G212" i="37"/>
  <c r="H211" i="37"/>
  <c r="H210" i="37"/>
  <c r="H209" i="37"/>
  <c r="H208" i="37"/>
  <c r="H207" i="37"/>
  <c r="H206" i="37"/>
  <c r="H205" i="37"/>
  <c r="H204" i="37"/>
  <c r="H203" i="37"/>
  <c r="H202" i="37"/>
  <c r="H201" i="37"/>
  <c r="H200" i="37"/>
  <c r="H199" i="37"/>
  <c r="H198" i="37"/>
  <c r="H197" i="37"/>
  <c r="H196" i="37"/>
  <c r="H195" i="37"/>
  <c r="H194" i="37"/>
  <c r="H193" i="37"/>
  <c r="H192" i="37"/>
  <c r="H191" i="37"/>
  <c r="H190" i="37"/>
  <c r="H189" i="37"/>
  <c r="H188" i="37"/>
  <c r="H187" i="37"/>
  <c r="H186" i="37"/>
  <c r="H185" i="37"/>
  <c r="H184" i="37"/>
  <c r="H183" i="37"/>
  <c r="H182" i="37"/>
  <c r="H181" i="37"/>
  <c r="H180" i="37"/>
  <c r="H179" i="37"/>
  <c r="H178" i="37"/>
  <c r="H177" i="37"/>
  <c r="H176" i="37"/>
  <c r="H175" i="37"/>
  <c r="H174" i="37"/>
  <c r="H173" i="37"/>
  <c r="H172" i="37"/>
  <c r="H171" i="37"/>
  <c r="H170" i="37"/>
  <c r="H169" i="37"/>
  <c r="H168" i="37"/>
  <c r="H167" i="37"/>
  <c r="H166" i="37"/>
  <c r="H165" i="37"/>
  <c r="H164" i="37"/>
  <c r="H163" i="37"/>
  <c r="H162" i="37"/>
  <c r="H161" i="37"/>
  <c r="H160" i="37"/>
  <c r="H159" i="37"/>
  <c r="H158" i="37"/>
  <c r="H157" i="37"/>
  <c r="H156" i="37"/>
  <c r="H155" i="37"/>
  <c r="H154" i="37"/>
  <c r="H153" i="37"/>
  <c r="H152" i="37"/>
  <c r="H151" i="37"/>
  <c r="H150" i="37"/>
  <c r="H149" i="37"/>
  <c r="H148" i="37"/>
  <c r="H147" i="37"/>
  <c r="H146" i="37"/>
  <c r="H145" i="37"/>
  <c r="H144" i="37"/>
  <c r="H143" i="37"/>
  <c r="H142" i="37"/>
  <c r="G142" i="37"/>
  <c r="H141" i="37"/>
  <c r="H140" i="37"/>
  <c r="H139" i="37"/>
  <c r="H138" i="37"/>
  <c r="H137" i="37"/>
  <c r="H136" i="37"/>
  <c r="H135" i="37"/>
  <c r="H134" i="37"/>
  <c r="H133" i="37"/>
  <c r="H132" i="37"/>
  <c r="H131" i="37"/>
  <c r="H130" i="37"/>
  <c r="H129" i="37"/>
  <c r="H128" i="37"/>
  <c r="H127" i="37"/>
  <c r="H126" i="37"/>
  <c r="H125" i="37"/>
  <c r="H124" i="37"/>
  <c r="H123" i="37"/>
  <c r="H122" i="37"/>
  <c r="H121" i="37"/>
  <c r="H120" i="37"/>
  <c r="H119" i="37"/>
  <c r="H118" i="37"/>
  <c r="H117" i="37"/>
  <c r="H116" i="37"/>
  <c r="H115" i="37"/>
  <c r="H114" i="37"/>
  <c r="H113" i="37"/>
  <c r="H112" i="37"/>
  <c r="H111" i="37"/>
  <c r="H110" i="37"/>
  <c r="H109" i="37"/>
  <c r="H108" i="37"/>
  <c r="H107" i="37"/>
  <c r="H106" i="37"/>
  <c r="H105" i="37"/>
  <c r="H104" i="37"/>
  <c r="H103" i="37"/>
  <c r="H102" i="37"/>
  <c r="H101" i="37"/>
  <c r="H100" i="37"/>
  <c r="H99" i="37"/>
  <c r="H98" i="37"/>
  <c r="H97" i="37"/>
  <c r="H96" i="37"/>
  <c r="H95" i="37"/>
  <c r="H94" i="37"/>
  <c r="H93" i="37"/>
  <c r="H92" i="37"/>
  <c r="H91" i="37"/>
  <c r="H90" i="37"/>
  <c r="H89" i="37"/>
  <c r="H88" i="37"/>
  <c r="H87" i="37"/>
  <c r="H86" i="37"/>
  <c r="H85" i="37"/>
  <c r="H84" i="37"/>
  <c r="H83" i="37"/>
  <c r="H82" i="37"/>
  <c r="H81" i="37"/>
  <c r="H80" i="37"/>
  <c r="G80" i="37"/>
  <c r="H79" i="37"/>
  <c r="G79" i="37"/>
  <c r="H78" i="37"/>
  <c r="H77" i="37"/>
  <c r="H76" i="37"/>
  <c r="H75" i="37"/>
  <c r="H74" i="37"/>
  <c r="H73" i="37"/>
  <c r="H72" i="37"/>
  <c r="H71" i="37"/>
  <c r="H70" i="37"/>
  <c r="H69" i="37"/>
  <c r="H68" i="37"/>
  <c r="H67" i="37"/>
  <c r="H66" i="37"/>
  <c r="H65" i="37"/>
  <c r="H64" i="37"/>
  <c r="H63" i="37"/>
  <c r="H62" i="37"/>
  <c r="H61" i="37"/>
  <c r="H60" i="37"/>
  <c r="H59" i="37"/>
  <c r="H58" i="37"/>
  <c r="H57" i="37"/>
  <c r="H56" i="37"/>
  <c r="H55" i="37"/>
  <c r="H54" i="37"/>
  <c r="H53" i="37"/>
  <c r="H52" i="37"/>
  <c r="H51" i="37"/>
  <c r="H50" i="37"/>
  <c r="H49" i="37"/>
  <c r="H48" i="37"/>
  <c r="H47" i="37"/>
  <c r="H46" i="37"/>
  <c r="H45" i="37"/>
  <c r="H44" i="37"/>
  <c r="H43" i="37"/>
  <c r="H42" i="37"/>
  <c r="H41" i="37"/>
  <c r="H40" i="37"/>
  <c r="H39" i="37"/>
  <c r="H38" i="37"/>
  <c r="H37" i="37"/>
  <c r="H36" i="37"/>
  <c r="H35" i="37"/>
  <c r="H34" i="37"/>
  <c r="H33" i="37"/>
  <c r="H32" i="37"/>
  <c r="H31" i="37"/>
  <c r="H30" i="37"/>
  <c r="H29" i="37"/>
  <c r="H28" i="37"/>
  <c r="H27" i="37"/>
  <c r="H26" i="37"/>
  <c r="H25" i="37"/>
  <c r="H24" i="37"/>
  <c r="H23" i="37"/>
  <c r="H22" i="37"/>
  <c r="H21" i="37"/>
  <c r="H20" i="37"/>
  <c r="H19" i="37"/>
  <c r="H18" i="37"/>
  <c r="H17" i="37"/>
  <c r="H16" i="37"/>
  <c r="H15" i="37"/>
  <c r="H14" i="37"/>
  <c r="H13" i="37"/>
  <c r="H12" i="37"/>
  <c r="H11" i="37"/>
  <c r="H10" i="37"/>
  <c r="H9" i="37"/>
  <c r="H8" i="37"/>
  <c r="H7" i="37"/>
  <c r="H6" i="37"/>
  <c r="H5" i="37"/>
  <c r="H4" i="37"/>
  <c r="H3" i="37"/>
  <c r="H2" i="37"/>
  <c r="AQ182" i="39" l="1"/>
  <c r="D43" i="38" s="1"/>
  <c r="AQ744" i="39"/>
  <c r="D88" i="38" s="1"/>
  <c r="AQ459" i="39"/>
  <c r="D70" i="38" s="1"/>
  <c r="AQ660" i="39"/>
  <c r="D78" i="38" s="1"/>
  <c r="AQ1096" i="39"/>
  <c r="D97" i="38" s="1"/>
  <c r="F1167" i="37" s="1"/>
  <c r="G1167" i="37" s="1"/>
  <c r="AQ1051" i="39"/>
  <c r="AQ51" i="39"/>
  <c r="D4" i="38" s="1"/>
  <c r="F748" i="37" s="1"/>
  <c r="G748" i="37" s="1"/>
  <c r="AQ68" i="39"/>
  <c r="D29" i="38" s="1"/>
  <c r="F793" i="37" s="1"/>
  <c r="G793" i="37" s="1"/>
  <c r="AQ113" i="39"/>
  <c r="D35" i="38" s="1"/>
  <c r="F1071" i="37" s="1"/>
  <c r="G1071" i="37" s="1"/>
  <c r="AQ663" i="39"/>
  <c r="D14" i="38" s="1"/>
  <c r="AQ1035" i="39"/>
  <c r="D60" i="38" s="1"/>
  <c r="F1251" i="37" s="1"/>
  <c r="G1251" i="37" s="1"/>
  <c r="AQ527" i="39"/>
  <c r="D10" i="38" s="1"/>
  <c r="F829" i="37" s="1"/>
  <c r="G829" i="37" s="1"/>
  <c r="AQ741" i="39"/>
  <c r="D86" i="38" s="1"/>
  <c r="F477" i="37" s="1"/>
  <c r="G477" i="37" s="1"/>
  <c r="AQ54" i="39"/>
  <c r="D5" i="38" s="1"/>
  <c r="AQ60" i="39"/>
  <c r="D32" i="38" s="1"/>
  <c r="F329" i="37" s="1"/>
  <c r="G329" i="37" s="1"/>
  <c r="AQ1038" i="39"/>
  <c r="D61" i="38" s="1"/>
  <c r="F1196" i="37" s="1"/>
  <c r="G1196" i="37" s="1"/>
  <c r="AQ605" i="39"/>
  <c r="D12" i="38" s="1"/>
  <c r="AQ175" i="39"/>
  <c r="D45" i="38" s="1"/>
  <c r="F807" i="37" s="1"/>
  <c r="G807" i="37" s="1"/>
  <c r="AQ736" i="39"/>
  <c r="D83" i="38" s="1"/>
  <c r="AQ945" i="39"/>
  <c r="D18" i="38" s="1"/>
  <c r="F78" i="37" s="1"/>
  <c r="G78" i="37" s="1"/>
  <c r="F623" i="37"/>
  <c r="G623" i="37" s="1"/>
  <c r="F649" i="37"/>
  <c r="G649" i="37" s="1"/>
  <c r="F378" i="37"/>
  <c r="G378" i="37" s="1"/>
  <c r="F976" i="37"/>
  <c r="G976" i="37" s="1"/>
  <c r="F35" i="37"/>
  <c r="G35" i="37" s="1"/>
  <c r="F86" i="37"/>
  <c r="G86" i="37" s="1"/>
  <c r="F749" i="37"/>
  <c r="G749" i="37" s="1"/>
  <c r="F752" i="37"/>
  <c r="G752" i="37" s="1"/>
  <c r="F11" i="37"/>
  <c r="G11" i="37" s="1"/>
  <c r="F452" i="37"/>
  <c r="G452" i="37" s="1"/>
  <c r="F219" i="37"/>
  <c r="G219" i="37" s="1"/>
  <c r="F91" i="37"/>
  <c r="G91" i="37" s="1"/>
  <c r="F18" i="37"/>
  <c r="G18" i="37" s="1"/>
  <c r="F1158" i="37"/>
  <c r="G1158" i="37" s="1"/>
  <c r="F941" i="37"/>
  <c r="G941" i="37" s="1"/>
  <c r="F271" i="37"/>
  <c r="G271" i="37" s="1"/>
  <c r="F945" i="37"/>
  <c r="G945" i="37" s="1"/>
  <c r="F1239" i="37"/>
  <c r="G1239" i="37" s="1"/>
  <c r="F1079" i="37"/>
  <c r="G1079" i="37" s="1"/>
  <c r="F1063" i="37"/>
  <c r="G1063" i="37" s="1"/>
  <c r="F1023" i="37"/>
  <c r="G1023" i="37" s="1"/>
  <c r="F919" i="37"/>
  <c r="G919" i="37" s="1"/>
  <c r="F1022" i="37"/>
  <c r="G1022" i="37" s="1"/>
  <c r="F942" i="37"/>
  <c r="G942" i="37" s="1"/>
  <c r="F1069" i="37"/>
  <c r="G1069" i="37" s="1"/>
  <c r="F1176" i="37"/>
  <c r="G1176" i="37" s="1"/>
  <c r="F923" i="37"/>
  <c r="G923" i="37" s="1"/>
  <c r="F544" i="37"/>
  <c r="G544" i="37" s="1"/>
  <c r="F1186" i="37"/>
  <c r="G1186" i="37" s="1"/>
  <c r="F1060" i="37"/>
  <c r="G1060" i="37" s="1"/>
  <c r="F921" i="37"/>
  <c r="G921" i="37" s="1"/>
  <c r="F470" i="37"/>
  <c r="G470" i="37" s="1"/>
  <c r="F382" i="37"/>
  <c r="G382" i="37" s="1"/>
  <c r="F1258" i="37"/>
  <c r="G1258" i="37" s="1"/>
  <c r="F1242" i="37"/>
  <c r="G1242" i="37" s="1"/>
  <c r="F1228" i="37"/>
  <c r="G1228" i="37" s="1"/>
  <c r="F690" i="37"/>
  <c r="G690" i="37" s="1"/>
  <c r="F241" i="37"/>
  <c r="G241" i="37" s="1"/>
  <c r="F89" i="37"/>
  <c r="G89" i="37" s="1"/>
  <c r="F532" i="37"/>
  <c r="G532" i="37" s="1"/>
  <c r="F819" i="37"/>
  <c r="G819" i="37" s="1"/>
  <c r="F696" i="37"/>
  <c r="G696" i="37" s="1"/>
  <c r="F619" i="37"/>
  <c r="G619" i="37" s="1"/>
  <c r="F123" i="37"/>
  <c r="G123" i="37" s="1"/>
  <c r="F882" i="37"/>
  <c r="G882" i="37" s="1"/>
  <c r="F220" i="37"/>
  <c r="G220" i="37" s="1"/>
  <c r="F20" i="37"/>
  <c r="G20" i="37" s="1"/>
  <c r="F274" i="37"/>
  <c r="G274" i="37" s="1"/>
  <c r="F286" i="37"/>
  <c r="G286" i="37" s="1"/>
  <c r="F118" i="37"/>
  <c r="G118" i="37" s="1"/>
  <c r="F14" i="37"/>
  <c r="G14" i="37" s="1"/>
  <c r="F26" i="37"/>
  <c r="G26" i="37" s="1"/>
  <c r="F23" i="37"/>
  <c r="G23" i="37" s="1"/>
  <c r="F141" i="37"/>
  <c r="G141" i="37" s="1"/>
  <c r="F517" i="37"/>
  <c r="G517" i="37" s="1"/>
  <c r="F135" i="37"/>
  <c r="G135" i="37" s="1"/>
  <c r="F515" i="37"/>
  <c r="G515" i="37" s="1"/>
  <c r="D67" i="38"/>
  <c r="D64" i="38"/>
  <c r="F575" i="37"/>
  <c r="G575" i="37" s="1"/>
  <c r="F1211" i="37"/>
  <c r="G1211" i="37" s="1"/>
  <c r="F447" i="37"/>
  <c r="G447" i="37" s="1"/>
  <c r="F1170" i="37"/>
  <c r="G1170" i="37" s="1"/>
  <c r="AQ918" i="39"/>
  <c r="D17" i="38" s="1"/>
  <c r="F1185" i="37"/>
  <c r="G1185" i="37" s="1"/>
  <c r="F1257" i="37"/>
  <c r="G1257" i="37" s="1"/>
  <c r="F1103" i="37"/>
  <c r="G1103" i="37" s="1"/>
  <c r="F1055" i="37"/>
  <c r="G1055" i="37" s="1"/>
  <c r="F1039" i="37"/>
  <c r="G1039" i="37" s="1"/>
  <c r="F911" i="37"/>
  <c r="G911" i="37" s="1"/>
  <c r="F1054" i="37"/>
  <c r="G1054" i="37" s="1"/>
  <c r="F1038" i="37"/>
  <c r="G1038" i="37" s="1"/>
  <c r="F622" i="37"/>
  <c r="G622" i="37" s="1"/>
  <c r="F1213" i="37"/>
  <c r="G1213" i="37" s="1"/>
  <c r="F1045" i="37"/>
  <c r="G1045" i="37" s="1"/>
  <c r="F917" i="37"/>
  <c r="G917" i="37" s="1"/>
  <c r="F685" i="37"/>
  <c r="G685" i="37" s="1"/>
  <c r="F629" i="37"/>
  <c r="G629" i="37" s="1"/>
  <c r="F1074" i="37"/>
  <c r="G1074" i="37" s="1"/>
  <c r="F936" i="37"/>
  <c r="G936" i="37" s="1"/>
  <c r="F908" i="37"/>
  <c r="G908" i="37" s="1"/>
  <c r="F600" i="37"/>
  <c r="G600" i="37" s="1"/>
  <c r="F527" i="37"/>
  <c r="G527" i="37" s="1"/>
  <c r="F519" i="37"/>
  <c r="G519" i="37" s="1"/>
  <c r="F1217" i="37"/>
  <c r="G1217" i="37" s="1"/>
  <c r="F1052" i="37"/>
  <c r="G1052" i="37" s="1"/>
  <c r="F953" i="37"/>
  <c r="G953" i="37" s="1"/>
  <c r="F866" i="37"/>
  <c r="G866" i="37" s="1"/>
  <c r="F642" i="37"/>
  <c r="G642" i="37" s="1"/>
  <c r="F232" i="37"/>
  <c r="G232" i="37" s="1"/>
  <c r="F1056" i="37"/>
  <c r="G1056" i="37" s="1"/>
  <c r="F500" i="37"/>
  <c r="G500" i="37" s="1"/>
  <c r="F1044" i="37"/>
  <c r="G1044" i="37" s="1"/>
  <c r="F842" i="37"/>
  <c r="G842" i="37" s="1"/>
  <c r="F31" i="37"/>
  <c r="G31" i="37" s="1"/>
  <c r="F1065" i="37"/>
  <c r="G1065" i="37" s="1"/>
  <c r="F1262" i="37"/>
  <c r="G1262" i="37" s="1"/>
  <c r="F1093" i="37"/>
  <c r="G1093" i="37" s="1"/>
  <c r="F1240" i="37"/>
  <c r="G1240" i="37" s="1"/>
  <c r="F265" i="37"/>
  <c r="G265" i="37" s="1"/>
  <c r="F152" i="37"/>
  <c r="G152" i="37" s="1"/>
  <c r="F263" i="37"/>
  <c r="G263" i="37" s="1"/>
  <c r="F43" i="37"/>
  <c r="G43" i="37" s="1"/>
  <c r="F258" i="37"/>
  <c r="G258" i="37" s="1"/>
  <c r="AQ629" i="39"/>
  <c r="D13" i="38" s="1"/>
  <c r="AQ704" i="39"/>
  <c r="D15" i="38" s="1"/>
  <c r="F566" i="37"/>
  <c r="G566" i="37" s="1"/>
  <c r="F1187" i="37"/>
  <c r="G1187" i="37" s="1"/>
  <c r="F1162" i="37"/>
  <c r="G1162" i="37" s="1"/>
  <c r="F576" i="37"/>
  <c r="G576" i="37" s="1"/>
  <c r="F1249" i="37"/>
  <c r="G1249" i="37" s="1"/>
  <c r="F431" i="37"/>
  <c r="G431" i="37" s="1"/>
  <c r="F996" i="37"/>
  <c r="G996" i="37" s="1"/>
  <c r="F175" i="37"/>
  <c r="G175" i="37" s="1"/>
  <c r="F243" i="37"/>
  <c r="G243" i="37" s="1"/>
  <c r="F195" i="37"/>
  <c r="G195" i="37" s="1"/>
  <c r="F75" i="37"/>
  <c r="G75" i="37" s="1"/>
  <c r="F30" i="37"/>
  <c r="G30" i="37" s="1"/>
  <c r="F133" i="37"/>
  <c r="G133" i="37" s="1"/>
  <c r="F28" i="37"/>
  <c r="G28" i="37" s="1"/>
  <c r="F146" i="37"/>
  <c r="G146" i="37" s="1"/>
  <c r="F7" i="37"/>
  <c r="G7" i="37" s="1"/>
  <c r="F1223" i="37"/>
  <c r="G1223" i="37" s="1"/>
  <c r="F1199" i="37"/>
  <c r="G1199" i="37" s="1"/>
  <c r="F1159" i="37"/>
  <c r="G1159" i="37" s="1"/>
  <c r="F815" i="37"/>
  <c r="G815" i="37" s="1"/>
  <c r="F791" i="37"/>
  <c r="G791" i="37" s="1"/>
  <c r="F775" i="37"/>
  <c r="G775" i="37" s="1"/>
  <c r="F679" i="37"/>
  <c r="G679" i="37" s="1"/>
  <c r="F663" i="37"/>
  <c r="G663" i="37" s="1"/>
  <c r="F631" i="37"/>
  <c r="G631" i="37" s="1"/>
  <c r="F870" i="37"/>
  <c r="G870" i="37" s="1"/>
  <c r="F774" i="37"/>
  <c r="G774" i="37" s="1"/>
  <c r="F694" i="37"/>
  <c r="G694" i="37" s="1"/>
  <c r="F678" i="37"/>
  <c r="G678" i="37" s="1"/>
  <c r="F662" i="37"/>
  <c r="G662" i="37" s="1"/>
  <c r="F630" i="37"/>
  <c r="G630" i="37" s="1"/>
  <c r="F1221" i="37"/>
  <c r="G1221" i="37" s="1"/>
  <c r="F957" i="37"/>
  <c r="G957" i="37" s="1"/>
  <c r="F805" i="37"/>
  <c r="G805" i="37" s="1"/>
  <c r="F789" i="37"/>
  <c r="G789" i="37" s="1"/>
  <c r="F773" i="37"/>
  <c r="G773" i="37" s="1"/>
  <c r="F717" i="37"/>
  <c r="G717" i="37" s="1"/>
  <c r="F1138" i="37"/>
  <c r="G1138" i="37" s="1"/>
  <c r="F1011" i="37"/>
  <c r="G1011" i="37" s="1"/>
  <c r="F836" i="37"/>
  <c r="G836" i="37" s="1"/>
  <c r="F724" i="37"/>
  <c r="G724" i="37" s="1"/>
  <c r="F713" i="37"/>
  <c r="G713" i="37" s="1"/>
  <c r="F699" i="37"/>
  <c r="G699" i="37" s="1"/>
  <c r="F611" i="37"/>
  <c r="G611" i="37" s="1"/>
  <c r="F536" i="37"/>
  <c r="G536" i="37" s="1"/>
  <c r="F1161" i="37"/>
  <c r="G1161" i="37" s="1"/>
  <c r="F698" i="37"/>
  <c r="G698" i="37" s="1"/>
  <c r="F624" i="37"/>
  <c r="G624" i="37" s="1"/>
  <c r="F610" i="37"/>
  <c r="G610" i="37" s="1"/>
  <c r="F834" i="37"/>
  <c r="G834" i="37" s="1"/>
  <c r="F494" i="37"/>
  <c r="G494" i="37" s="1"/>
  <c r="F1203" i="37"/>
  <c r="G1203" i="37" s="1"/>
  <c r="F852" i="37"/>
  <c r="G852" i="37" s="1"/>
  <c r="F841" i="37"/>
  <c r="G841" i="37" s="1"/>
  <c r="F792" i="37"/>
  <c r="G792" i="37" s="1"/>
  <c r="F676" i="37"/>
  <c r="G676" i="37" s="1"/>
  <c r="F616" i="37"/>
  <c r="G616" i="37" s="1"/>
  <c r="F458" i="37"/>
  <c r="G458" i="37" s="1"/>
  <c r="F362" i="37"/>
  <c r="G362" i="37" s="1"/>
  <c r="F816" i="37"/>
  <c r="G816" i="37" s="1"/>
  <c r="F716" i="37"/>
  <c r="G716" i="37" s="1"/>
  <c r="F429" i="37"/>
  <c r="G429" i="37" s="1"/>
  <c r="F1012" i="37"/>
  <c r="G1012" i="37" s="1"/>
  <c r="F612" i="37"/>
  <c r="G612" i="37" s="1"/>
  <c r="F444" i="37"/>
  <c r="G444" i="37" s="1"/>
  <c r="F364" i="37"/>
  <c r="G364" i="37" s="1"/>
  <c r="F851" i="37"/>
  <c r="G851" i="37" s="1"/>
  <c r="F589" i="37"/>
  <c r="G589" i="37" s="1"/>
  <c r="F295" i="37"/>
  <c r="G295" i="37" s="1"/>
  <c r="F279" i="37"/>
  <c r="G279" i="37" s="1"/>
  <c r="F235" i="37"/>
  <c r="G235" i="37" s="1"/>
  <c r="F211" i="37"/>
  <c r="G211" i="37" s="1"/>
  <c r="F657" i="37"/>
  <c r="G657" i="37" s="1"/>
  <c r="F700" i="37"/>
  <c r="G700" i="37" s="1"/>
  <c r="F276" i="37"/>
  <c r="G276" i="37" s="1"/>
  <c r="F124" i="37"/>
  <c r="G124" i="37" s="1"/>
  <c r="F473" i="37"/>
  <c r="G473" i="37" s="1"/>
  <c r="F1202" i="37"/>
  <c r="G1202" i="37" s="1"/>
  <c r="F1152" i="37"/>
  <c r="G1152" i="37" s="1"/>
  <c r="F777" i="37"/>
  <c r="G777" i="37" s="1"/>
  <c r="F596" i="37"/>
  <c r="G596" i="37" s="1"/>
  <c r="F493" i="37"/>
  <c r="G493" i="37" s="1"/>
  <c r="F632" i="37"/>
  <c r="G632" i="37" s="1"/>
  <c r="F491" i="37"/>
  <c r="G491" i="37" s="1"/>
  <c r="F468" i="37"/>
  <c r="G468" i="37" s="1"/>
  <c r="F818" i="37"/>
  <c r="G818" i="37" s="1"/>
  <c r="F298" i="37"/>
  <c r="G298" i="37" s="1"/>
  <c r="F1135" i="37"/>
  <c r="G1135" i="37" s="1"/>
  <c r="F1127" i="37"/>
  <c r="G1127" i="37" s="1"/>
  <c r="F879" i="37"/>
  <c r="G879" i="37" s="1"/>
  <c r="F719" i="37"/>
  <c r="G719" i="37" s="1"/>
  <c r="F1190" i="37"/>
  <c r="G1190" i="37" s="1"/>
  <c r="F1174" i="37"/>
  <c r="G1174" i="37" s="1"/>
  <c r="F1134" i="37"/>
  <c r="G1134" i="37" s="1"/>
  <c r="F910" i="37"/>
  <c r="G910" i="37" s="1"/>
  <c r="F838" i="37"/>
  <c r="G838" i="37" s="1"/>
  <c r="F798" i="37"/>
  <c r="G798" i="37" s="1"/>
  <c r="F790" i="37"/>
  <c r="G790" i="37" s="1"/>
  <c r="F718" i="37"/>
  <c r="G718" i="37" s="1"/>
  <c r="F686" i="37"/>
  <c r="G686" i="37" s="1"/>
  <c r="F638" i="37"/>
  <c r="G638" i="37" s="1"/>
  <c r="F1165" i="37"/>
  <c r="G1165" i="37" s="1"/>
  <c r="F1157" i="37"/>
  <c r="G1157" i="37" s="1"/>
  <c r="F1077" i="37"/>
  <c r="G1077" i="37" s="1"/>
  <c r="F1053" i="37"/>
  <c r="G1053" i="37" s="1"/>
  <c r="F1021" i="37"/>
  <c r="G1021" i="37" s="1"/>
  <c r="F1013" i="37"/>
  <c r="G1013" i="37" s="1"/>
  <c r="F997" i="37"/>
  <c r="G997" i="37" s="1"/>
  <c r="F925" i="37"/>
  <c r="G925" i="37" s="1"/>
  <c r="F837" i="37"/>
  <c r="G837" i="37" s="1"/>
  <c r="F797" i="37"/>
  <c r="G797" i="37" s="1"/>
  <c r="F725" i="37"/>
  <c r="G725" i="37" s="1"/>
  <c r="F677" i="37"/>
  <c r="G677" i="37" s="1"/>
  <c r="F661" i="37"/>
  <c r="G661" i="37" s="1"/>
  <c r="F613" i="37"/>
  <c r="G613" i="37" s="1"/>
  <c r="F864" i="37"/>
  <c r="G864" i="37" s="1"/>
  <c r="F812" i="37"/>
  <c r="G812" i="37" s="1"/>
  <c r="F776" i="37"/>
  <c r="G776" i="37" s="1"/>
  <c r="F568" i="37"/>
  <c r="G568" i="37" s="1"/>
  <c r="F560" i="37"/>
  <c r="G560" i="37" s="1"/>
  <c r="F512" i="37"/>
  <c r="G512" i="37" s="1"/>
  <c r="F472" i="37"/>
  <c r="G472" i="37" s="1"/>
  <c r="F424" i="37"/>
  <c r="G424" i="37" s="1"/>
  <c r="F408" i="37"/>
  <c r="G408" i="37" s="1"/>
  <c r="F400" i="37"/>
  <c r="G400" i="37" s="1"/>
  <c r="F336" i="37"/>
  <c r="G336" i="37" s="1"/>
  <c r="F1236" i="37"/>
  <c r="G1236" i="37" s="1"/>
  <c r="F1098" i="37"/>
  <c r="G1098" i="37" s="1"/>
  <c r="F835" i="37"/>
  <c r="G835" i="37" s="1"/>
  <c r="F723" i="37"/>
  <c r="G723" i="37" s="1"/>
  <c r="F635" i="37"/>
  <c r="G635" i="37" s="1"/>
  <c r="F543" i="37"/>
  <c r="G543" i="37" s="1"/>
  <c r="F471" i="37"/>
  <c r="G471" i="37" s="1"/>
  <c r="F423" i="37"/>
  <c r="G423" i="37" s="1"/>
  <c r="F399" i="37"/>
  <c r="G399" i="37" s="1"/>
  <c r="F391" i="37"/>
  <c r="G391" i="37" s="1"/>
  <c r="F1160" i="37"/>
  <c r="G1160" i="37" s="1"/>
  <c r="F722" i="37"/>
  <c r="G722" i="37" s="1"/>
  <c r="F683" i="37"/>
  <c r="G683" i="37" s="1"/>
  <c r="F574" i="37"/>
  <c r="G574" i="37" s="1"/>
  <c r="F542" i="37"/>
  <c r="G542" i="37" s="1"/>
  <c r="F502" i="37"/>
  <c r="G502" i="37" s="1"/>
  <c r="F446" i="37"/>
  <c r="G446" i="37" s="1"/>
  <c r="F438" i="37"/>
  <c r="G438" i="37" s="1"/>
  <c r="F430" i="37"/>
  <c r="G430" i="37" s="1"/>
  <c r="F414" i="37"/>
  <c r="G414" i="37" s="1"/>
  <c r="F390" i="37"/>
  <c r="G390" i="37" s="1"/>
  <c r="F366" i="37"/>
  <c r="G366" i="37" s="1"/>
  <c r="F326" i="37"/>
  <c r="G326" i="37" s="1"/>
  <c r="F318" i="37"/>
  <c r="G318" i="37" s="1"/>
  <c r="F1192" i="37"/>
  <c r="G1192" i="37" s="1"/>
  <c r="F1178" i="37"/>
  <c r="G1178" i="37" s="1"/>
  <c r="F1041" i="37"/>
  <c r="G1041" i="37" s="1"/>
  <c r="F1002" i="37"/>
  <c r="G1002" i="37" s="1"/>
  <c r="F817" i="37"/>
  <c r="G817" i="37" s="1"/>
  <c r="F538" i="37"/>
  <c r="G538" i="37" s="1"/>
  <c r="F530" i="37"/>
  <c r="G530" i="37" s="1"/>
  <c r="F522" i="37"/>
  <c r="G522" i="37" s="1"/>
  <c r="F506" i="37"/>
  <c r="G506" i="37" s="1"/>
  <c r="F498" i="37"/>
  <c r="G498" i="37" s="1"/>
  <c r="F490" i="37"/>
  <c r="G490" i="37" s="1"/>
  <c r="F474" i="37"/>
  <c r="G474" i="37" s="1"/>
  <c r="F466" i="37"/>
  <c r="G466" i="37" s="1"/>
  <c r="F434" i="37"/>
  <c r="G434" i="37" s="1"/>
  <c r="F426" i="37"/>
  <c r="G426" i="37" s="1"/>
  <c r="F402" i="37"/>
  <c r="G402" i="37" s="1"/>
  <c r="F370" i="37"/>
  <c r="G370" i="37" s="1"/>
  <c r="F346" i="37"/>
  <c r="G346" i="37" s="1"/>
  <c r="F1130" i="37"/>
  <c r="G1130" i="37" s="1"/>
  <c r="F969" i="37"/>
  <c r="G969" i="37" s="1"/>
  <c r="F595" i="37"/>
  <c r="G595" i="37" s="1"/>
  <c r="F563" i="37"/>
  <c r="G563" i="37" s="1"/>
  <c r="F521" i="37"/>
  <c r="G521" i="37" s="1"/>
  <c r="F505" i="37"/>
  <c r="G505" i="37" s="1"/>
  <c r="F445" i="37"/>
  <c r="G445" i="37" s="1"/>
  <c r="F413" i="37"/>
  <c r="G413" i="37" s="1"/>
  <c r="F349" i="37"/>
  <c r="G349" i="37" s="1"/>
  <c r="F305" i="37"/>
  <c r="G305" i="37" s="1"/>
  <c r="F297" i="37"/>
  <c r="G297" i="37" s="1"/>
  <c r="F281" i="37"/>
  <c r="G281" i="37" s="1"/>
  <c r="F233" i="37"/>
  <c r="G233" i="37" s="1"/>
  <c r="F209" i="37"/>
  <c r="G209" i="37" s="1"/>
  <c r="F201" i="37"/>
  <c r="G201" i="37" s="1"/>
  <c r="F185" i="37"/>
  <c r="G185" i="37" s="1"/>
  <c r="F169" i="37"/>
  <c r="G169" i="37" s="1"/>
  <c r="F161" i="37"/>
  <c r="G161" i="37" s="1"/>
  <c r="F145" i="37"/>
  <c r="G145" i="37" s="1"/>
  <c r="F121" i="37"/>
  <c r="G121" i="37" s="1"/>
  <c r="F81" i="37"/>
  <c r="G81" i="37" s="1"/>
  <c r="F49" i="37"/>
  <c r="G49" i="37" s="1"/>
  <c r="F25" i="37"/>
  <c r="G25" i="37" s="1"/>
  <c r="F1128" i="37"/>
  <c r="G1128" i="37" s="1"/>
  <c r="F876" i="37"/>
  <c r="G876" i="37" s="1"/>
  <c r="F561" i="37"/>
  <c r="G561" i="37" s="1"/>
  <c r="F501" i="37"/>
  <c r="G501" i="37" s="1"/>
  <c r="F428" i="37"/>
  <c r="G428" i="37" s="1"/>
  <c r="F412" i="37"/>
  <c r="G412" i="37" s="1"/>
  <c r="F348" i="37"/>
  <c r="G348" i="37" s="1"/>
  <c r="F296" i="37"/>
  <c r="G296" i="37" s="1"/>
  <c r="F280" i="37"/>
  <c r="G280" i="37" s="1"/>
  <c r="F224" i="37"/>
  <c r="G224" i="37" s="1"/>
  <c r="F216" i="37"/>
  <c r="G216" i="37" s="1"/>
  <c r="F208" i="37"/>
  <c r="G208" i="37" s="1"/>
  <c r="F160" i="37"/>
  <c r="G160" i="37" s="1"/>
  <c r="F136" i="37"/>
  <c r="G136" i="37" s="1"/>
  <c r="F56" i="37"/>
  <c r="G56" i="37" s="1"/>
  <c r="F24" i="37"/>
  <c r="G24" i="37" s="1"/>
  <c r="F1121" i="37"/>
  <c r="G1121" i="37" s="1"/>
  <c r="F682" i="37"/>
  <c r="G682" i="37" s="1"/>
  <c r="F608" i="37"/>
  <c r="G608" i="37" s="1"/>
  <c r="F573" i="37"/>
  <c r="G573" i="37" s="1"/>
  <c r="F443" i="37"/>
  <c r="G443" i="37" s="1"/>
  <c r="F427" i="37"/>
  <c r="G427" i="37" s="1"/>
  <c r="F411" i="37"/>
  <c r="G411" i="37" s="1"/>
  <c r="F395" i="37"/>
  <c r="G395" i="37" s="1"/>
  <c r="F363" i="37"/>
  <c r="G363" i="37" s="1"/>
  <c r="F347" i="37"/>
  <c r="G347" i="37" s="1"/>
  <c r="F311" i="37"/>
  <c r="G311" i="37" s="1"/>
  <c r="F207" i="37"/>
  <c r="G207" i="37" s="1"/>
  <c r="F159" i="37"/>
  <c r="G159" i="37" s="1"/>
  <c r="F151" i="37"/>
  <c r="G151" i="37" s="1"/>
  <c r="F95" i="37"/>
  <c r="G95" i="37" s="1"/>
  <c r="F71" i="37"/>
  <c r="G71" i="37" s="1"/>
  <c r="F55" i="37"/>
  <c r="G55" i="37" s="1"/>
  <c r="F47" i="37"/>
  <c r="G47" i="37" s="1"/>
  <c r="F1220" i="37"/>
  <c r="G1220" i="37" s="1"/>
  <c r="F1204" i="37"/>
  <c r="G1204" i="37" s="1"/>
  <c r="F1179" i="37"/>
  <c r="G1179" i="37" s="1"/>
  <c r="F1154" i="37"/>
  <c r="G1154" i="37" s="1"/>
  <c r="F952" i="37"/>
  <c r="G952" i="37" s="1"/>
  <c r="F721" i="37"/>
  <c r="G721" i="37" s="1"/>
  <c r="F598" i="37"/>
  <c r="G598" i="37" s="1"/>
  <c r="F524" i="37"/>
  <c r="G524" i="37" s="1"/>
  <c r="F508" i="37"/>
  <c r="G508" i="37" s="1"/>
  <c r="F492" i="37"/>
  <c r="G492" i="37" s="1"/>
  <c r="F467" i="37"/>
  <c r="G467" i="37" s="1"/>
  <c r="F435" i="37"/>
  <c r="G435" i="37" s="1"/>
  <c r="F403" i="37"/>
  <c r="G403" i="37" s="1"/>
  <c r="F339" i="37"/>
  <c r="G339" i="37" s="1"/>
  <c r="F325" i="37"/>
  <c r="G325" i="37" s="1"/>
  <c r="F315" i="37"/>
  <c r="G315" i="37" s="1"/>
  <c r="F283" i="37"/>
  <c r="G283" i="37" s="1"/>
  <c r="F267" i="37"/>
  <c r="G267" i="37" s="1"/>
  <c r="F227" i="37"/>
  <c r="G227" i="37" s="1"/>
  <c r="F203" i="37"/>
  <c r="G203" i="37" s="1"/>
  <c r="F99" i="37"/>
  <c r="G99" i="37" s="1"/>
  <c r="F67" i="37"/>
  <c r="G67" i="37" s="1"/>
  <c r="F1163" i="37"/>
  <c r="G1163" i="37" s="1"/>
  <c r="F1003" i="37"/>
  <c r="G1003" i="37" s="1"/>
  <c r="F572" i="37"/>
  <c r="G572" i="37" s="1"/>
  <c r="F531" i="37"/>
  <c r="G531" i="37" s="1"/>
  <c r="F277" i="37"/>
  <c r="G277" i="37" s="1"/>
  <c r="F234" i="37"/>
  <c r="G234" i="37" s="1"/>
  <c r="F204" i="37"/>
  <c r="G204" i="37" s="1"/>
  <c r="F172" i="37"/>
  <c r="G172" i="37" s="1"/>
  <c r="F156" i="37"/>
  <c r="G156" i="37" s="1"/>
  <c r="F529" i="37"/>
  <c r="G529" i="37" s="1"/>
  <c r="F324" i="37"/>
  <c r="G324" i="37" s="1"/>
  <c r="F202" i="37"/>
  <c r="G202" i="37" s="1"/>
  <c r="F186" i="37"/>
  <c r="G186" i="37" s="1"/>
  <c r="F170" i="37"/>
  <c r="G170" i="37" s="1"/>
  <c r="F60" i="37"/>
  <c r="G60" i="37" s="1"/>
  <c r="F1155" i="37"/>
  <c r="G1155" i="37" s="1"/>
  <c r="F692" i="37"/>
  <c r="G692" i="37" s="1"/>
  <c r="F569" i="37"/>
  <c r="G569" i="37" s="1"/>
  <c r="F497" i="37"/>
  <c r="G497" i="37" s="1"/>
  <c r="F409" i="37"/>
  <c r="G409" i="37" s="1"/>
  <c r="F345" i="37"/>
  <c r="G345" i="37" s="1"/>
  <c r="F302" i="37"/>
  <c r="G302" i="37" s="1"/>
  <c r="F214" i="37"/>
  <c r="G214" i="37" s="1"/>
  <c r="F198" i="37"/>
  <c r="G198" i="37" s="1"/>
  <c r="F182" i="37"/>
  <c r="G182" i="37" s="1"/>
  <c r="F122" i="37"/>
  <c r="G122" i="37" s="1"/>
  <c r="F58" i="37"/>
  <c r="G58" i="37" s="1"/>
  <c r="F29" i="37"/>
  <c r="G29" i="37" s="1"/>
  <c r="F15" i="37"/>
  <c r="G15" i="37" s="1"/>
  <c r="F643" i="37"/>
  <c r="G643" i="37" s="1"/>
  <c r="F469" i="37"/>
  <c r="G469" i="37" s="1"/>
  <c r="F317" i="37"/>
  <c r="G317" i="37" s="1"/>
  <c r="F270" i="37"/>
  <c r="G270" i="37" s="1"/>
  <c r="F213" i="37"/>
  <c r="G213" i="37" s="1"/>
  <c r="F197" i="37"/>
  <c r="G197" i="37" s="1"/>
  <c r="F70" i="37"/>
  <c r="G70" i="37" s="1"/>
  <c r="F770" i="37"/>
  <c r="G770" i="37" s="1"/>
  <c r="F680" i="37"/>
  <c r="G680" i="37" s="1"/>
  <c r="F436" i="37"/>
  <c r="G436" i="37" s="1"/>
  <c r="F340" i="37"/>
  <c r="G340" i="37" s="1"/>
  <c r="F316" i="37"/>
  <c r="G316" i="37" s="1"/>
  <c r="F253" i="37"/>
  <c r="G253" i="37" s="1"/>
  <c r="F117" i="37"/>
  <c r="G117" i="37" s="1"/>
  <c r="F69" i="37"/>
  <c r="G69" i="37" s="1"/>
  <c r="F53" i="37"/>
  <c r="G53" i="37" s="1"/>
  <c r="F768" i="37"/>
  <c r="G768" i="37" s="1"/>
  <c r="F728" i="37"/>
  <c r="G728" i="37" s="1"/>
  <c r="F555" i="37"/>
  <c r="G555" i="37" s="1"/>
  <c r="F401" i="37"/>
  <c r="G401" i="37" s="1"/>
  <c r="F338" i="37"/>
  <c r="G338" i="37" s="1"/>
  <c r="F284" i="37"/>
  <c r="G284" i="37" s="1"/>
  <c r="F268" i="37"/>
  <c r="G268" i="37" s="1"/>
  <c r="F210" i="37"/>
  <c r="G210" i="37" s="1"/>
  <c r="F162" i="37"/>
  <c r="G162" i="37" s="1"/>
  <c r="F116" i="37"/>
  <c r="G116" i="37" s="1"/>
  <c r="F68" i="37"/>
  <c r="G68" i="37" s="1"/>
  <c r="F52" i="37"/>
  <c r="G52" i="37" s="1"/>
  <c r="F720" i="37"/>
  <c r="G720" i="37" s="1"/>
  <c r="F626" i="37"/>
  <c r="G626" i="37" s="1"/>
  <c r="F553" i="37"/>
  <c r="G553" i="37" s="1"/>
  <c r="F541" i="37"/>
  <c r="G541" i="37" s="1"/>
  <c r="F513" i="37"/>
  <c r="G513" i="37" s="1"/>
  <c r="F425" i="37"/>
  <c r="G425" i="37" s="1"/>
  <c r="F294" i="37"/>
  <c r="G294" i="37" s="1"/>
  <c r="F282" i="37"/>
  <c r="G282" i="37" s="1"/>
  <c r="F266" i="37"/>
  <c r="G266" i="37" s="1"/>
  <c r="F10" i="37"/>
  <c r="G10" i="37" s="1"/>
  <c r="F929" i="37"/>
  <c r="G929" i="37" s="1"/>
  <c r="F509" i="37"/>
  <c r="G509" i="37" s="1"/>
  <c r="F421" i="37"/>
  <c r="G421" i="37" s="1"/>
  <c r="F293" i="37"/>
  <c r="G293" i="37" s="1"/>
  <c r="F278" i="37"/>
  <c r="G278" i="37" s="1"/>
  <c r="F246" i="37"/>
  <c r="G246" i="37" s="1"/>
  <c r="F205" i="37"/>
  <c r="G205" i="37" s="1"/>
  <c r="F173" i="37"/>
  <c r="G173" i="37" s="1"/>
  <c r="F94" i="37"/>
  <c r="G94" i="37" s="1"/>
  <c r="F62" i="37"/>
  <c r="G62" i="37" s="1"/>
  <c r="F46" i="37"/>
  <c r="G46" i="37" s="1"/>
  <c r="F21" i="37"/>
  <c r="G21" i="37" s="1"/>
  <c r="F1263" i="37"/>
  <c r="G1263" i="37" s="1"/>
  <c r="F1191" i="37"/>
  <c r="G1191" i="37" s="1"/>
  <c r="F1111" i="37"/>
  <c r="G1111" i="37" s="1"/>
  <c r="F1095" i="37"/>
  <c r="G1095" i="37" s="1"/>
  <c r="F975" i="37"/>
  <c r="G975" i="37" s="1"/>
  <c r="F1118" i="37"/>
  <c r="G1118" i="37" s="1"/>
  <c r="F1014" i="37"/>
  <c r="G1014" i="37" s="1"/>
  <c r="F1117" i="37"/>
  <c r="G1117" i="37" s="1"/>
  <c r="F733" i="37"/>
  <c r="G733" i="37" s="1"/>
  <c r="F1113" i="37"/>
  <c r="G1113" i="37" s="1"/>
  <c r="F1000" i="37"/>
  <c r="G1000" i="37" s="1"/>
  <c r="F948" i="37"/>
  <c r="G948" i="37" s="1"/>
  <c r="F674" i="37"/>
  <c r="G674" i="37" s="1"/>
  <c r="F464" i="37"/>
  <c r="G464" i="37" s="1"/>
  <c r="F1112" i="37"/>
  <c r="G1112" i="37" s="1"/>
  <c r="F947" i="37"/>
  <c r="G947" i="37" s="1"/>
  <c r="F737" i="37"/>
  <c r="G737" i="37" s="1"/>
  <c r="F672" i="37"/>
  <c r="G672" i="37" s="1"/>
  <c r="F462" i="37"/>
  <c r="G462" i="37" s="1"/>
  <c r="F422" i="37"/>
  <c r="G422" i="37" s="1"/>
  <c r="F334" i="37"/>
  <c r="G334" i="37" s="1"/>
  <c r="F1115" i="37"/>
  <c r="G1115" i="37" s="1"/>
  <c r="F704" i="37"/>
  <c r="G704" i="37" s="1"/>
  <c r="F450" i="37"/>
  <c r="G450" i="37" s="1"/>
  <c r="F418" i="37"/>
  <c r="G418" i="37" s="1"/>
  <c r="F386" i="37"/>
  <c r="G386" i="37" s="1"/>
  <c r="F744" i="37"/>
  <c r="G744" i="37" s="1"/>
  <c r="F461" i="37"/>
  <c r="G461" i="37" s="1"/>
  <c r="F105" i="37"/>
  <c r="G105" i="37" s="1"/>
  <c r="F689" i="37"/>
  <c r="G689" i="37" s="1"/>
  <c r="F333" i="37"/>
  <c r="G333" i="37" s="1"/>
  <c r="F112" i="37"/>
  <c r="G112" i="37" s="1"/>
  <c r="F64" i="37"/>
  <c r="G64" i="37" s="1"/>
  <c r="F1008" i="37"/>
  <c r="G1008" i="37" s="1"/>
  <c r="F332" i="37"/>
  <c r="G332" i="37" s="1"/>
  <c r="F103" i="37"/>
  <c r="G103" i="37" s="1"/>
  <c r="F1107" i="37"/>
  <c r="G1107" i="37" s="1"/>
  <c r="F1067" i="37"/>
  <c r="G1067" i="37" s="1"/>
  <c r="F1019" i="37"/>
  <c r="G1019" i="37" s="1"/>
  <c r="F451" i="37"/>
  <c r="G451" i="37" s="1"/>
  <c r="F388" i="37"/>
  <c r="G388" i="37" s="1"/>
  <c r="F140" i="37"/>
  <c r="G140" i="37" s="1"/>
  <c r="F449" i="37"/>
  <c r="G449" i="37" s="1"/>
  <c r="F417" i="37"/>
  <c r="G417" i="37" s="1"/>
  <c r="F92" i="37"/>
  <c r="G92" i="37" s="1"/>
  <c r="F102" i="37"/>
  <c r="G102" i="37" s="1"/>
  <c r="F1233" i="37"/>
  <c r="G1233" i="37" s="1"/>
  <c r="F1114" i="37"/>
  <c r="G1114" i="37" s="1"/>
  <c r="F1106" i="37"/>
  <c r="G1106" i="37" s="1"/>
  <c r="F1068" i="37"/>
  <c r="G1068" i="37" s="1"/>
  <c r="F465" i="37"/>
  <c r="G465" i="37" s="1"/>
  <c r="F979" i="37"/>
  <c r="G979" i="37" s="1"/>
  <c r="F393" i="37"/>
  <c r="G393" i="37" s="1"/>
  <c r="F66" i="37"/>
  <c r="G66" i="37" s="1"/>
  <c r="F453" i="37"/>
  <c r="G453" i="37" s="1"/>
  <c r="F389" i="37"/>
  <c r="G389" i="37" s="1"/>
  <c r="F330" i="37"/>
  <c r="G330" i="37" s="1"/>
  <c r="F847" i="37"/>
  <c r="G847" i="37" s="1"/>
  <c r="F1046" i="37"/>
  <c r="G1046" i="37" s="1"/>
  <c r="F1205" i="37"/>
  <c r="G1205" i="37" s="1"/>
  <c r="F1005" i="37"/>
  <c r="G1005" i="37" s="1"/>
  <c r="F709" i="37"/>
  <c r="G709" i="37" s="1"/>
  <c r="F786" i="37"/>
  <c r="G786" i="37" s="1"/>
  <c r="F1048" i="37"/>
  <c r="G1048" i="37" s="1"/>
  <c r="F342" i="37"/>
  <c r="G342" i="37" s="1"/>
  <c r="F1164" i="37"/>
  <c r="G1164" i="37" s="1"/>
  <c r="F603" i="37"/>
  <c r="G603" i="37" s="1"/>
  <c r="F177" i="37"/>
  <c r="G177" i="37" s="1"/>
  <c r="F963" i="37"/>
  <c r="G963" i="37" s="1"/>
  <c r="F780" i="37"/>
  <c r="G780" i="37" s="1"/>
  <c r="F59" i="37"/>
  <c r="G59" i="37" s="1"/>
  <c r="F779" i="37"/>
  <c r="G779" i="37" s="1"/>
  <c r="F995" i="37"/>
  <c r="G995" i="37" s="1"/>
  <c r="F1018" i="37"/>
  <c r="G1018" i="37" s="1"/>
  <c r="F1006" i="37"/>
  <c r="G1006" i="37" s="1"/>
  <c r="F229" i="37"/>
  <c r="G229" i="37" s="1"/>
  <c r="F50" i="37"/>
  <c r="G50" i="37" s="1"/>
  <c r="F1078" i="37"/>
  <c r="G1078" i="37" s="1"/>
  <c r="F1226" i="37"/>
  <c r="G1226" i="37" s="1"/>
  <c r="F503" i="37"/>
  <c r="G503" i="37" s="1"/>
  <c r="F558" i="37"/>
  <c r="G558" i="37" s="1"/>
  <c r="F125" i="37"/>
  <c r="G125" i="37" s="1"/>
  <c r="F166" i="37"/>
  <c r="G166" i="37" s="1"/>
  <c r="F148" i="37"/>
  <c r="G148" i="37" s="1"/>
  <c r="F1219" i="37"/>
  <c r="G1219" i="37" s="1"/>
  <c r="F1231" i="37"/>
  <c r="G1231" i="37" s="1"/>
  <c r="F1215" i="37"/>
  <c r="G1215" i="37" s="1"/>
  <c r="F1183" i="37"/>
  <c r="G1183" i="37" s="1"/>
  <c r="F999" i="37"/>
  <c r="G999" i="37" s="1"/>
  <c r="F927" i="37"/>
  <c r="G927" i="37" s="1"/>
  <c r="F903" i="37"/>
  <c r="G903" i="37" s="1"/>
  <c r="F895" i="37"/>
  <c r="G895" i="37" s="1"/>
  <c r="F871" i="37"/>
  <c r="G871" i="37" s="1"/>
  <c r="F863" i="37"/>
  <c r="G863" i="37" s="1"/>
  <c r="F855" i="37"/>
  <c r="G855" i="37" s="1"/>
  <c r="F759" i="37"/>
  <c r="G759" i="37" s="1"/>
  <c r="F695" i="37"/>
  <c r="G695" i="37" s="1"/>
  <c r="F655" i="37"/>
  <c r="G655" i="37" s="1"/>
  <c r="F647" i="37"/>
  <c r="G647" i="37" s="1"/>
  <c r="F615" i="37"/>
  <c r="G615" i="37" s="1"/>
  <c r="F1230" i="37"/>
  <c r="G1230" i="37" s="1"/>
  <c r="F1206" i="37"/>
  <c r="G1206" i="37" s="1"/>
  <c r="F1198" i="37"/>
  <c r="G1198" i="37" s="1"/>
  <c r="F902" i="37"/>
  <c r="G902" i="37" s="1"/>
  <c r="F878" i="37"/>
  <c r="G878" i="37" s="1"/>
  <c r="F862" i="37"/>
  <c r="G862" i="37" s="1"/>
  <c r="F782" i="37"/>
  <c r="G782" i="37" s="1"/>
  <c r="F758" i="37"/>
  <c r="G758" i="37" s="1"/>
  <c r="F726" i="37"/>
  <c r="G726" i="37" s="1"/>
  <c r="F646" i="37"/>
  <c r="G646" i="37" s="1"/>
  <c r="F614" i="37"/>
  <c r="G614" i="37" s="1"/>
  <c r="F606" i="37"/>
  <c r="G606" i="37" s="1"/>
  <c r="F1197" i="37"/>
  <c r="G1197" i="37" s="1"/>
  <c r="F1133" i="37"/>
  <c r="G1133" i="37" s="1"/>
  <c r="F1125" i="37"/>
  <c r="G1125" i="37" s="1"/>
  <c r="F909" i="37"/>
  <c r="G909" i="37" s="1"/>
  <c r="F893" i="37"/>
  <c r="G893" i="37" s="1"/>
  <c r="F845" i="37"/>
  <c r="G845" i="37" s="1"/>
  <c r="F813" i="37"/>
  <c r="G813" i="37" s="1"/>
  <c r="F781" i="37"/>
  <c r="G781" i="37" s="1"/>
  <c r="F741" i="37"/>
  <c r="G741" i="37" s="1"/>
  <c r="F693" i="37"/>
  <c r="G693" i="37" s="1"/>
  <c r="F645" i="37"/>
  <c r="G645" i="37" s="1"/>
  <c r="F605" i="37"/>
  <c r="G605" i="37" s="1"/>
  <c r="F1124" i="37"/>
  <c r="G1124" i="37" s="1"/>
  <c r="F1088" i="37"/>
  <c r="G1088" i="37" s="1"/>
  <c r="F898" i="37"/>
  <c r="G898" i="37" s="1"/>
  <c r="F763" i="37"/>
  <c r="G763" i="37" s="1"/>
  <c r="F664" i="37"/>
  <c r="G664" i="37" s="1"/>
  <c r="F601" i="37"/>
  <c r="G601" i="37" s="1"/>
  <c r="F592" i="37"/>
  <c r="G592" i="37" s="1"/>
  <c r="F520" i="37"/>
  <c r="G520" i="37" s="1"/>
  <c r="F1172" i="37"/>
  <c r="G1172" i="37" s="1"/>
  <c r="F922" i="37"/>
  <c r="G922" i="37" s="1"/>
  <c r="F849" i="37"/>
  <c r="G849" i="37" s="1"/>
  <c r="F811" i="37"/>
  <c r="G811" i="37" s="1"/>
  <c r="F772" i="37"/>
  <c r="G772" i="37" s="1"/>
  <c r="F762" i="37"/>
  <c r="G762" i="37" s="1"/>
  <c r="F684" i="37"/>
  <c r="G684" i="37" s="1"/>
  <c r="F567" i="37"/>
  <c r="G567" i="37" s="1"/>
  <c r="F367" i="37"/>
  <c r="G367" i="37" s="1"/>
  <c r="F1235" i="37"/>
  <c r="G1235" i="37" s="1"/>
  <c r="F1122" i="37"/>
  <c r="G1122" i="37" s="1"/>
  <c r="F1097" i="37"/>
  <c r="G1097" i="37" s="1"/>
  <c r="F932" i="37"/>
  <c r="G932" i="37" s="1"/>
  <c r="F848" i="37"/>
  <c r="G848" i="37" s="1"/>
  <c r="F771" i="37"/>
  <c r="G771" i="37" s="1"/>
  <c r="F761" i="37"/>
  <c r="G761" i="37" s="1"/>
  <c r="F736" i="37"/>
  <c r="G736" i="37" s="1"/>
  <c r="F659" i="37"/>
  <c r="G659" i="37" s="1"/>
  <c r="F609" i="37"/>
  <c r="G609" i="37" s="1"/>
  <c r="F478" i="37"/>
  <c r="G478" i="37" s="1"/>
  <c r="F350" i="37"/>
  <c r="G350" i="37" s="1"/>
  <c r="F1090" i="37"/>
  <c r="G1090" i="37" s="1"/>
  <c r="F914" i="37"/>
  <c r="G914" i="37" s="1"/>
  <c r="F880" i="37"/>
  <c r="G880" i="37" s="1"/>
  <c r="F729" i="37"/>
  <c r="G729" i="37" s="1"/>
  <c r="F715" i="37"/>
  <c r="G715" i="37" s="1"/>
  <c r="F666" i="37"/>
  <c r="G666" i="37" s="1"/>
  <c r="F578" i="37"/>
  <c r="G578" i="37" s="1"/>
  <c r="F570" i="37"/>
  <c r="G570" i="37" s="1"/>
  <c r="F554" i="37"/>
  <c r="G554" i="37" s="1"/>
  <c r="F354" i="37"/>
  <c r="G354" i="37" s="1"/>
  <c r="F1218" i="37"/>
  <c r="G1218" i="37" s="1"/>
  <c r="F1105" i="37"/>
  <c r="G1105" i="37" s="1"/>
  <c r="F994" i="37"/>
  <c r="G994" i="37" s="1"/>
  <c r="F916" i="37"/>
  <c r="G916" i="37" s="1"/>
  <c r="F881" i="37"/>
  <c r="G881" i="37" s="1"/>
  <c r="F667" i="37"/>
  <c r="G667" i="37" s="1"/>
  <c r="F579" i="37"/>
  <c r="G579" i="37" s="1"/>
  <c r="F397" i="37"/>
  <c r="G397" i="37" s="1"/>
  <c r="F381" i="37"/>
  <c r="G381" i="37" s="1"/>
  <c r="F365" i="37"/>
  <c r="G365" i="37" s="1"/>
  <c r="F257" i="37"/>
  <c r="G257" i="37" s="1"/>
  <c r="F217" i="37"/>
  <c r="G217" i="37" s="1"/>
  <c r="F1241" i="37"/>
  <c r="G1241" i="37" s="1"/>
  <c r="F1216" i="37"/>
  <c r="G1216" i="37" s="1"/>
  <c r="F993" i="37"/>
  <c r="G993" i="37" s="1"/>
  <c r="F856" i="37"/>
  <c r="G856" i="37" s="1"/>
  <c r="F809" i="37"/>
  <c r="G809" i="37" s="1"/>
  <c r="F739" i="37"/>
  <c r="G739" i="37" s="1"/>
  <c r="F714" i="37"/>
  <c r="G714" i="37" s="1"/>
  <c r="F665" i="37"/>
  <c r="G665" i="37" s="1"/>
  <c r="F640" i="37"/>
  <c r="G640" i="37" s="1"/>
  <c r="F577" i="37"/>
  <c r="G577" i="37" s="1"/>
  <c r="F396" i="37"/>
  <c r="G396" i="37" s="1"/>
  <c r="F304" i="37"/>
  <c r="G304" i="37" s="1"/>
  <c r="F288" i="37"/>
  <c r="G288" i="37" s="1"/>
  <c r="F192" i="37"/>
  <c r="G192" i="37" s="1"/>
  <c r="F184" i="37"/>
  <c r="G184" i="37" s="1"/>
  <c r="F176" i="37"/>
  <c r="G176" i="37" s="1"/>
  <c r="F144" i="37"/>
  <c r="G144" i="37" s="1"/>
  <c r="F88" i="37"/>
  <c r="G88" i="37" s="1"/>
  <c r="F1234" i="37"/>
  <c r="G1234" i="37" s="1"/>
  <c r="F1193" i="37"/>
  <c r="G1193" i="37" s="1"/>
  <c r="F1096" i="37"/>
  <c r="G1096" i="37" s="1"/>
  <c r="F913" i="37"/>
  <c r="G913" i="37" s="1"/>
  <c r="F888" i="37"/>
  <c r="G888" i="37" s="1"/>
  <c r="F872" i="37"/>
  <c r="G872" i="37" s="1"/>
  <c r="F808" i="37"/>
  <c r="G808" i="37" s="1"/>
  <c r="F760" i="37"/>
  <c r="G760" i="37" s="1"/>
  <c r="F707" i="37"/>
  <c r="G707" i="37" s="1"/>
  <c r="F303" i="37"/>
  <c r="G303" i="37" s="1"/>
  <c r="F215" i="37"/>
  <c r="G215" i="37" s="1"/>
  <c r="F899" i="37"/>
  <c r="G899" i="37" s="1"/>
  <c r="F769" i="37"/>
  <c r="G769" i="37" s="1"/>
  <c r="F581" i="37"/>
  <c r="G581" i="37" s="1"/>
  <c r="F355" i="37"/>
  <c r="G355" i="37" s="1"/>
  <c r="F307" i="37"/>
  <c r="G307" i="37" s="1"/>
  <c r="F291" i="37"/>
  <c r="G291" i="37" s="1"/>
  <c r="F275" i="37"/>
  <c r="G275" i="37" s="1"/>
  <c r="F251" i="37"/>
  <c r="G251" i="37" s="1"/>
  <c r="F51" i="37"/>
  <c r="G51" i="37" s="1"/>
  <c r="F607" i="37"/>
  <c r="G607" i="37" s="1"/>
  <c r="F356" i="37"/>
  <c r="G356" i="37" s="1"/>
  <c r="F292" i="37"/>
  <c r="G292" i="37" s="1"/>
  <c r="F61" i="37"/>
  <c r="G61" i="37" s="1"/>
  <c r="F656" i="37"/>
  <c r="G656" i="37" s="1"/>
  <c r="F604" i="37"/>
  <c r="G604" i="37" s="1"/>
  <c r="F385" i="37"/>
  <c r="G385" i="37" s="1"/>
  <c r="F244" i="37"/>
  <c r="G244" i="37" s="1"/>
  <c r="F76" i="37"/>
  <c r="G76" i="37" s="1"/>
  <c r="F5" i="37"/>
  <c r="G5" i="37" s="1"/>
  <c r="F602" i="37"/>
  <c r="G602" i="37" s="1"/>
  <c r="F904" i="37"/>
  <c r="G904" i="37" s="1"/>
  <c r="F865" i="37"/>
  <c r="G865" i="37" s="1"/>
  <c r="F681" i="37"/>
  <c r="G681" i="37" s="1"/>
  <c r="F523" i="37"/>
  <c r="G523" i="37" s="1"/>
  <c r="F301" i="37"/>
  <c r="G301" i="37" s="1"/>
  <c r="F254" i="37"/>
  <c r="G254" i="37" s="1"/>
  <c r="F1072" i="37"/>
  <c r="G1072" i="37" s="1"/>
  <c r="F404" i="37"/>
  <c r="G404" i="37" s="1"/>
  <c r="F300" i="37"/>
  <c r="G300" i="37" s="1"/>
  <c r="F269" i="37"/>
  <c r="G269" i="37" s="1"/>
  <c r="F1184" i="37"/>
  <c r="G1184" i="37" s="1"/>
  <c r="F675" i="37"/>
  <c r="G675" i="37" s="1"/>
  <c r="F628" i="37"/>
  <c r="G628" i="37" s="1"/>
  <c r="F587" i="37"/>
  <c r="G587" i="37" s="1"/>
  <c r="F1180" i="37"/>
  <c r="G1180" i="37" s="1"/>
  <c r="F844" i="37"/>
  <c r="G844" i="37" s="1"/>
  <c r="F310" i="37"/>
  <c r="G310" i="37" s="1"/>
  <c r="F206" i="37"/>
  <c r="G206" i="37" s="1"/>
  <c r="F98" i="37"/>
  <c r="G98" i="37" s="1"/>
  <c r="F82" i="37"/>
  <c r="G82" i="37" s="1"/>
  <c r="F36" i="37"/>
  <c r="G36" i="37" s="1"/>
  <c r="F1091" i="37"/>
  <c r="G1091" i="37" s="1"/>
  <c r="F970" i="37"/>
  <c r="G970" i="37" s="1"/>
  <c r="F706" i="37"/>
  <c r="G706" i="37" s="1"/>
  <c r="F668" i="37"/>
  <c r="G668" i="37" s="1"/>
  <c r="F580" i="37"/>
  <c r="G580" i="37" s="1"/>
  <c r="AQ74" i="39"/>
  <c r="D30" i="38" s="1"/>
  <c r="F48" i="37" s="1"/>
  <c r="G48" i="37" s="1"/>
  <c r="F943" i="37"/>
  <c r="G943" i="37" s="1"/>
  <c r="F1181" i="37"/>
  <c r="G1181" i="37" s="1"/>
  <c r="F625" i="37"/>
  <c r="G625" i="37" s="1"/>
  <c r="F900" i="37"/>
  <c r="G900" i="37" s="1"/>
  <c r="F108" i="37"/>
  <c r="G108" i="37" s="1"/>
  <c r="F1062" i="37"/>
  <c r="G1062" i="37" s="1"/>
  <c r="F559" i="37"/>
  <c r="G559" i="37" s="1"/>
  <c r="F896" i="37"/>
  <c r="G896" i="37" s="1"/>
  <c r="F1129" i="37"/>
  <c r="G1129" i="37" s="1"/>
  <c r="F658" i="37"/>
  <c r="G658" i="37" s="1"/>
  <c r="F565" i="37"/>
  <c r="G565" i="37" s="1"/>
  <c r="F967" i="37"/>
  <c r="G967" i="37" s="1"/>
  <c r="F897" i="37"/>
  <c r="G897" i="37" s="1"/>
  <c r="F944" i="37"/>
  <c r="G944" i="37" s="1"/>
  <c r="F956" i="37"/>
  <c r="G956" i="37" s="1"/>
  <c r="F702" i="37"/>
  <c r="G702" i="37" s="1"/>
  <c r="F691" i="37"/>
  <c r="G691" i="37" s="1"/>
  <c r="F905" i="37"/>
  <c r="G905" i="37" s="1"/>
  <c r="AQ94" i="39"/>
  <c r="D34" i="38" s="1"/>
  <c r="AQ120" i="39"/>
  <c r="D40" i="38" s="1"/>
  <c r="AQ218" i="39"/>
  <c r="D48" i="38" s="1"/>
  <c r="F935" i="37"/>
  <c r="G935" i="37" s="1"/>
  <c r="F839" i="37"/>
  <c r="G839" i="37" s="1"/>
  <c r="F703" i="37"/>
  <c r="G703" i="37" s="1"/>
  <c r="F687" i="37"/>
  <c r="G687" i="37" s="1"/>
  <c r="F1182" i="37"/>
  <c r="G1182" i="37" s="1"/>
  <c r="F854" i="37"/>
  <c r="G854" i="37" s="1"/>
  <c r="F710" i="37"/>
  <c r="G710" i="37" s="1"/>
  <c r="F1253" i="37"/>
  <c r="G1253" i="37" s="1"/>
  <c r="F877" i="37"/>
  <c r="G877" i="37" s="1"/>
  <c r="F869" i="37"/>
  <c r="G869" i="37" s="1"/>
  <c r="F853" i="37"/>
  <c r="G853" i="37" s="1"/>
  <c r="F1075" i="37"/>
  <c r="G1075" i="37" s="1"/>
  <c r="F1050" i="37"/>
  <c r="G1050" i="37" s="1"/>
  <c r="F875" i="37"/>
  <c r="G875" i="37" s="1"/>
  <c r="F850" i="37"/>
  <c r="G850" i="37" s="1"/>
  <c r="F801" i="37"/>
  <c r="G801" i="37" s="1"/>
  <c r="F787" i="37"/>
  <c r="G787" i="37" s="1"/>
  <c r="F688" i="37"/>
  <c r="G688" i="37" s="1"/>
  <c r="F504" i="37"/>
  <c r="G504" i="37" s="1"/>
  <c r="F1137" i="37"/>
  <c r="G1137" i="37" s="1"/>
  <c r="F961" i="37"/>
  <c r="G961" i="37" s="1"/>
  <c r="F874" i="37"/>
  <c r="G874" i="37" s="1"/>
  <c r="F860" i="37"/>
  <c r="G860" i="37" s="1"/>
  <c r="F712" i="37"/>
  <c r="G712" i="37" s="1"/>
  <c r="F583" i="37"/>
  <c r="G583" i="37" s="1"/>
  <c r="F407" i="37"/>
  <c r="G407" i="37" s="1"/>
  <c r="F343" i="37"/>
  <c r="G343" i="37" s="1"/>
  <c r="F1259" i="37"/>
  <c r="G1259" i="37" s="1"/>
  <c r="F582" i="37"/>
  <c r="G582" i="37" s="1"/>
  <c r="F526" i="37"/>
  <c r="G526" i="37" s="1"/>
  <c r="F1153" i="37"/>
  <c r="G1153" i="37" s="1"/>
  <c r="F803" i="37"/>
  <c r="G803" i="37" s="1"/>
  <c r="F641" i="37"/>
  <c r="G641" i="37" s="1"/>
  <c r="F586" i="37"/>
  <c r="G586" i="37" s="1"/>
  <c r="F562" i="37"/>
  <c r="G562" i="37" s="1"/>
  <c r="F514" i="37"/>
  <c r="G514" i="37" s="1"/>
  <c r="F1017" i="37"/>
  <c r="G1017" i="37" s="1"/>
  <c r="F249" i="37"/>
  <c r="G249" i="37" s="1"/>
  <c r="F9" i="37"/>
  <c r="G9" i="37" s="1"/>
  <c r="F890" i="37"/>
  <c r="G890" i="37" s="1"/>
  <c r="F460" i="37"/>
  <c r="G460" i="37" s="1"/>
  <c r="F459" i="37"/>
  <c r="G459" i="37" s="1"/>
  <c r="F167" i="37"/>
  <c r="G167" i="37" s="1"/>
  <c r="F840" i="37"/>
  <c r="G840" i="37" s="1"/>
  <c r="F171" i="37"/>
  <c r="G171" i="37" s="1"/>
  <c r="F499" i="37"/>
  <c r="G499" i="37" s="1"/>
  <c r="F218" i="37"/>
  <c r="G218" i="37" s="1"/>
  <c r="F138" i="37"/>
  <c r="G138" i="37" s="1"/>
  <c r="F525" i="37"/>
  <c r="G525" i="37" s="1"/>
  <c r="F731" i="37"/>
  <c r="G731" i="37" s="1"/>
  <c r="F437" i="37"/>
  <c r="G437" i="37" s="1"/>
  <c r="F165" i="37"/>
  <c r="G165" i="37" s="1"/>
  <c r="F252" i="37"/>
  <c r="G252" i="37" s="1"/>
  <c r="F100" i="37"/>
  <c r="G100" i="37" s="1"/>
  <c r="F804" i="37"/>
  <c r="G804" i="37" s="1"/>
  <c r="F1004" i="37"/>
  <c r="G1004" i="37" s="1"/>
  <c r="F843" i="37"/>
  <c r="G843" i="37" s="1"/>
  <c r="F1015" i="37"/>
  <c r="G1015" i="37" s="1"/>
  <c r="F831" i="37"/>
  <c r="G831" i="37" s="1"/>
  <c r="F727" i="37"/>
  <c r="G727" i="37" s="1"/>
  <c r="F830" i="37"/>
  <c r="G830" i="37" s="1"/>
  <c r="F1029" i="37"/>
  <c r="G1029" i="37" s="1"/>
  <c r="F1201" i="37"/>
  <c r="G1201" i="37" s="1"/>
  <c r="F488" i="37"/>
  <c r="G488" i="37" s="1"/>
  <c r="F448" i="37"/>
  <c r="G448" i="37" s="1"/>
  <c r="F824" i="37"/>
  <c r="G824" i="37" s="1"/>
  <c r="F971" i="37"/>
  <c r="G971" i="37" s="1"/>
  <c r="F796" i="37"/>
  <c r="G796" i="37" s="1"/>
  <c r="F827" i="37"/>
  <c r="G827" i="37" s="1"/>
  <c r="F129" i="37"/>
  <c r="G129" i="37" s="1"/>
  <c r="F113" i="37"/>
  <c r="G113" i="37" s="1"/>
  <c r="F73" i="37"/>
  <c r="G73" i="37" s="1"/>
  <c r="F968" i="37"/>
  <c r="G968" i="37" s="1"/>
  <c r="F826" i="37"/>
  <c r="G826" i="37" s="1"/>
  <c r="F484" i="37"/>
  <c r="G484" i="37" s="1"/>
  <c r="F371" i="37"/>
  <c r="G371" i="37" s="1"/>
  <c r="F27" i="37"/>
  <c r="G27" i="37" s="1"/>
  <c r="F795" i="37"/>
  <c r="G795" i="37" s="1"/>
  <c r="F1131" i="37"/>
  <c r="G1131" i="37" s="1"/>
  <c r="F74" i="37"/>
  <c r="G74" i="37" s="1"/>
  <c r="F373" i="37"/>
  <c r="G373" i="37" s="1"/>
  <c r="F39" i="37"/>
  <c r="G39" i="37" s="1"/>
  <c r="F372" i="37"/>
  <c r="G372" i="37" s="1"/>
  <c r="F38" i="37"/>
  <c r="G38" i="37" s="1"/>
  <c r="F369" i="37"/>
  <c r="G369" i="37" s="1"/>
  <c r="F37" i="37"/>
  <c r="G37" i="37" s="1"/>
  <c r="F114" i="37"/>
  <c r="G114" i="37" s="1"/>
  <c r="F262" i="37"/>
  <c r="G262" i="37" s="1"/>
  <c r="D23" i="38"/>
  <c r="D2" i="38"/>
  <c r="F1238" i="37"/>
  <c r="G1238" i="37" s="1"/>
  <c r="F1222" i="37"/>
  <c r="G1222" i="37" s="1"/>
  <c r="F958" i="37"/>
  <c r="G958" i="37" s="1"/>
  <c r="F1171" i="37"/>
  <c r="G1171" i="37" s="1"/>
  <c r="F93" i="37"/>
  <c r="G93" i="37" s="1"/>
  <c r="F783" i="37"/>
  <c r="G783" i="37" s="1"/>
  <c r="F767" i="37"/>
  <c r="G767" i="37" s="1"/>
  <c r="F743" i="37"/>
  <c r="G743" i="37" s="1"/>
  <c r="F671" i="37"/>
  <c r="G671" i="37" s="1"/>
  <c r="F966" i="37"/>
  <c r="G966" i="37" s="1"/>
  <c r="F950" i="37"/>
  <c r="G950" i="37" s="1"/>
  <c r="F766" i="37"/>
  <c r="G766" i="37" s="1"/>
  <c r="F742" i="37"/>
  <c r="G742" i="37" s="1"/>
  <c r="F734" i="37"/>
  <c r="G734" i="37" s="1"/>
  <c r="F1061" i="37"/>
  <c r="G1061" i="37" s="1"/>
  <c r="F949" i="37"/>
  <c r="G949" i="37" s="1"/>
  <c r="F597" i="37"/>
  <c r="G597" i="37" s="1"/>
  <c r="F738" i="37"/>
  <c r="G738" i="37" s="1"/>
  <c r="F384" i="37"/>
  <c r="G384" i="37" s="1"/>
  <c r="F360" i="37"/>
  <c r="G360" i="37" s="1"/>
  <c r="F352" i="37"/>
  <c r="G352" i="37" s="1"/>
  <c r="F1260" i="37"/>
  <c r="G1260" i="37" s="1"/>
  <c r="F673" i="37"/>
  <c r="G673" i="37" s="1"/>
  <c r="F359" i="37"/>
  <c r="G359" i="37" s="1"/>
  <c r="F351" i="37"/>
  <c r="G351" i="37" s="1"/>
  <c r="F946" i="37"/>
  <c r="G946" i="37" s="1"/>
  <c r="F785" i="37"/>
  <c r="G785" i="37" s="1"/>
  <c r="F708" i="37"/>
  <c r="G708" i="37" s="1"/>
  <c r="F648" i="37"/>
  <c r="G648" i="37" s="1"/>
  <c r="F634" i="37"/>
  <c r="G634" i="37" s="1"/>
  <c r="F358" i="37"/>
  <c r="G358" i="37" s="1"/>
  <c r="F928" i="37"/>
  <c r="G928" i="37" s="1"/>
  <c r="F627" i="37"/>
  <c r="G627" i="37" s="1"/>
  <c r="F1083" i="37"/>
  <c r="G1083" i="37" s="1"/>
  <c r="F857" i="37"/>
  <c r="G857" i="37" s="1"/>
  <c r="F337" i="37"/>
  <c r="G337" i="37" s="1"/>
  <c r="F104" i="37"/>
  <c r="G104" i="37" s="1"/>
  <c r="F633" i="37"/>
  <c r="G633" i="37" s="1"/>
  <c r="F379" i="37"/>
  <c r="G379" i="37" s="1"/>
  <c r="F247" i="37"/>
  <c r="G247" i="37" s="1"/>
  <c r="F977" i="37"/>
  <c r="G977" i="37" s="1"/>
  <c r="F540" i="37"/>
  <c r="G540" i="37" s="1"/>
  <c r="F259" i="37"/>
  <c r="G259" i="37" s="1"/>
  <c r="F755" i="37"/>
  <c r="G755" i="37" s="1"/>
  <c r="F705" i="37"/>
  <c r="G705" i="37" s="1"/>
  <c r="F1001" i="37"/>
  <c r="G1001" i="37" s="1"/>
  <c r="F571" i="37"/>
  <c r="G571" i="37" s="1"/>
  <c r="F353" i="37"/>
  <c r="G353" i="37" s="1"/>
  <c r="F290" i="37"/>
  <c r="G290" i="37" s="1"/>
  <c r="F1188" i="37"/>
  <c r="G1188" i="37" s="1"/>
  <c r="F285" i="37"/>
  <c r="G285" i="37" s="1"/>
  <c r="F226" i="37"/>
  <c r="G226" i="37" s="1"/>
  <c r="F180" i="37"/>
  <c r="G180" i="37" s="1"/>
  <c r="F980" i="37"/>
  <c r="G980" i="37" s="1"/>
  <c r="F361" i="37"/>
  <c r="G361" i="37" s="1"/>
  <c r="F237" i="37"/>
  <c r="G237" i="37" s="1"/>
  <c r="F357" i="37"/>
  <c r="G357" i="37" s="1"/>
  <c r="F983" i="37"/>
  <c r="G983" i="37" s="1"/>
  <c r="F1010" i="37"/>
  <c r="G1010" i="37" s="1"/>
  <c r="F800" i="37"/>
  <c r="G800" i="37" s="1"/>
  <c r="F193" i="37"/>
  <c r="G193" i="37" s="1"/>
  <c r="F191" i="37"/>
  <c r="G191" i="37" s="1"/>
  <c r="F794" i="37"/>
  <c r="G794" i="37" s="1"/>
  <c r="F187" i="37"/>
  <c r="G187" i="37" s="1"/>
  <c r="F188" i="37"/>
  <c r="G188" i="37" s="1"/>
  <c r="F190" i="37"/>
  <c r="G190" i="37" s="1"/>
  <c r="F189" i="37"/>
  <c r="G189" i="37" s="1"/>
  <c r="F894" i="37"/>
  <c r="G894" i="37" s="1"/>
  <c r="F933" i="37"/>
  <c r="G933" i="37" s="1"/>
  <c r="F644" i="37"/>
  <c r="G644" i="37" s="1"/>
  <c r="F1102" i="37"/>
  <c r="G1102" i="37" s="1"/>
  <c r="F1094" i="37"/>
  <c r="G1094" i="37" s="1"/>
  <c r="F1261" i="37"/>
  <c r="G1261" i="37" s="1"/>
  <c r="F650" i="37"/>
  <c r="G650" i="37" s="1"/>
  <c r="F406" i="37"/>
  <c r="G406" i="37" s="1"/>
  <c r="F273" i="37"/>
  <c r="G273" i="37" s="1"/>
  <c r="F272" i="37"/>
  <c r="G272" i="37" s="1"/>
  <c r="F3" i="37"/>
  <c r="G3" i="37" s="1"/>
  <c r="F150" i="37"/>
  <c r="G150" i="37" s="1"/>
  <c r="F892" i="37"/>
  <c r="G892" i="37" s="1"/>
  <c r="F314" i="37"/>
  <c r="G314" i="37" s="1"/>
  <c r="F1151" i="37"/>
  <c r="G1151" i="37" s="1"/>
  <c r="F1047" i="37"/>
  <c r="G1047" i="37" s="1"/>
  <c r="F440" i="37"/>
  <c r="G440" i="37" s="1"/>
  <c r="F432" i="37"/>
  <c r="G432" i="37" s="1"/>
  <c r="F1224" i="37"/>
  <c r="G1224" i="37" s="1"/>
  <c r="F1108" i="37"/>
  <c r="G1108" i="37" s="1"/>
  <c r="F788" i="37"/>
  <c r="G788" i="37" s="1"/>
  <c r="F222" i="37"/>
  <c r="G222" i="37" s="1"/>
  <c r="F34" i="37"/>
  <c r="G34" i="37" s="1"/>
  <c r="D75" i="38"/>
  <c r="D74" i="38"/>
  <c r="F1229" i="37"/>
  <c r="G1229" i="37" s="1"/>
  <c r="F1250" i="37"/>
  <c r="G1250" i="37" s="1"/>
  <c r="F328" i="37"/>
  <c r="G328" i="37" s="1"/>
  <c r="F1194" i="37"/>
  <c r="G1194" i="37" s="1"/>
  <c r="F764" i="37"/>
  <c r="G764" i="37" s="1"/>
  <c r="F42" i="37"/>
  <c r="G42" i="37" s="1"/>
  <c r="F564" i="37"/>
  <c r="G564" i="37" s="1"/>
  <c r="F756" i="37"/>
  <c r="G756" i="37" s="1"/>
  <c r="F1007" i="37"/>
  <c r="G1007" i="37" s="1"/>
  <c r="F653" i="37"/>
  <c r="G653" i="37" s="1"/>
  <c r="F1168" i="37"/>
  <c r="G1168" i="37" s="1"/>
  <c r="F973" i="37"/>
  <c r="G973" i="37" s="1"/>
  <c r="F383" i="37"/>
  <c r="G383" i="37" s="1"/>
  <c r="AQ461" i="39"/>
  <c r="D71" i="38" s="1"/>
  <c r="AQ544" i="39"/>
  <c r="D73" i="38" s="1"/>
  <c r="F951" i="37"/>
  <c r="G951" i="37" s="1"/>
  <c r="F1110" i="37"/>
  <c r="G1110" i="37" s="1"/>
  <c r="F1237" i="37"/>
  <c r="G1237" i="37" s="1"/>
  <c r="F416" i="37"/>
  <c r="G416" i="37" s="1"/>
  <c r="F392" i="37"/>
  <c r="G392" i="37" s="1"/>
  <c r="F368" i="37"/>
  <c r="G368" i="37" s="1"/>
  <c r="F398" i="37"/>
  <c r="G398" i="37" s="1"/>
  <c r="AQ948" i="39"/>
  <c r="D20" i="38" s="1"/>
  <c r="F974" i="37" s="1"/>
  <c r="G974" i="37" s="1"/>
  <c r="F959" i="37"/>
  <c r="G959" i="37" s="1"/>
  <c r="F810" i="37"/>
  <c r="G810" i="37" s="1"/>
  <c r="F264" i="37"/>
  <c r="G264" i="37" s="1"/>
  <c r="AQ78" i="39"/>
  <c r="D31" i="38" s="1"/>
  <c r="AQ368" i="39"/>
  <c r="D7" i="38" s="1"/>
  <c r="AQ449" i="39"/>
  <c r="D69" i="38" s="1"/>
  <c r="AQ940" i="39"/>
  <c r="D22" i="38" s="1"/>
  <c r="AQ950" i="39"/>
  <c r="D21" i="38" s="1"/>
  <c r="F475" i="37"/>
  <c r="G475" i="37" s="1"/>
  <c r="F87" i="37"/>
  <c r="G87" i="37" s="1"/>
  <c r="AQ173" i="39"/>
  <c r="D44" i="38" s="1"/>
  <c r="AQ623" i="39"/>
  <c r="D3" i="38" s="1"/>
  <c r="AQ987" i="39"/>
  <c r="D95" i="38" s="1"/>
  <c r="AQ118" i="39"/>
  <c r="D39" i="38" s="1"/>
  <c r="AQ215" i="39"/>
  <c r="D47" i="38" s="1"/>
  <c r="F57" i="37" s="1"/>
  <c r="G57" i="37" s="1"/>
  <c r="AQ222" i="39"/>
  <c r="D49" i="38" s="1"/>
  <c r="AQ249" i="39"/>
  <c r="D56" i="38" s="1"/>
  <c r="AQ373" i="39"/>
  <c r="D8" i="38" s="1"/>
  <c r="AQ429" i="39"/>
  <c r="D68" i="38" s="1"/>
  <c r="AQ603" i="39"/>
  <c r="D11" i="38" s="1"/>
  <c r="AQ716" i="39"/>
  <c r="D80" i="38" s="1"/>
  <c r="F745" i="37" l="1"/>
  <c r="G745" i="37" s="1"/>
  <c r="F1200" i="37"/>
  <c r="G1200" i="37" s="1"/>
  <c r="F746" i="37"/>
  <c r="G746" i="37" s="1"/>
  <c r="F750" i="37"/>
  <c r="G750" i="37" s="1"/>
  <c r="F1132" i="37"/>
  <c r="G1132" i="37" s="1"/>
  <c r="F751" i="37"/>
  <c r="G751" i="37" s="1"/>
  <c r="F1099" i="37"/>
  <c r="G1099" i="37" s="1"/>
  <c r="F747" i="37"/>
  <c r="G747" i="37" s="1"/>
  <c r="F799" i="37"/>
  <c r="G799" i="37" s="1"/>
  <c r="F1009" i="37"/>
  <c r="G1009" i="37" s="1"/>
  <c r="F194" i="37"/>
  <c r="G194" i="37" s="1"/>
  <c r="F441" i="37"/>
  <c r="G441" i="37" s="1"/>
  <c r="F200" i="37"/>
  <c r="G200" i="37" s="1"/>
  <c r="F907" i="37"/>
  <c r="G907" i="37" s="1"/>
  <c r="F1189" i="37"/>
  <c r="G1189" i="37" s="1"/>
  <c r="F670" i="37"/>
  <c r="G670" i="37" s="1"/>
  <c r="F245" i="37"/>
  <c r="G245" i="37" s="1"/>
  <c r="F537" i="37"/>
  <c r="G537" i="37" s="1"/>
  <c r="F455" i="37"/>
  <c r="G455" i="37" s="1"/>
  <c r="F982" i="37"/>
  <c r="G982" i="37" s="1"/>
  <c r="F1177" i="37"/>
  <c r="G1177" i="37" s="1"/>
  <c r="F163" i="37"/>
  <c r="G163" i="37" s="1"/>
  <c r="F964" i="37"/>
  <c r="G964" i="37" s="1"/>
  <c r="F456" i="37"/>
  <c r="G456" i="37" s="1"/>
  <c r="F1214" i="37"/>
  <c r="G1214" i="37" s="1"/>
  <c r="F331" i="37"/>
  <c r="G331" i="37" s="1"/>
  <c r="F732" i="37"/>
  <c r="G732" i="37" s="1"/>
  <c r="F1016" i="37"/>
  <c r="G1016" i="37" s="1"/>
  <c r="F584" i="37"/>
  <c r="G584" i="37" s="1"/>
  <c r="F419" i="37"/>
  <c r="G419" i="37" s="1"/>
  <c r="F420" i="37"/>
  <c r="G420" i="37" s="1"/>
  <c r="F1136" i="37"/>
  <c r="G1136" i="37" s="1"/>
  <c r="F822" i="37"/>
  <c r="G822" i="37" s="1"/>
  <c r="F1140" i="37"/>
  <c r="G1140" i="37" s="1"/>
  <c r="F711" i="37"/>
  <c r="G711" i="37" s="1"/>
  <c r="F639" i="37"/>
  <c r="G639" i="37" s="1"/>
  <c r="F1086" i="37"/>
  <c r="G1086" i="37" s="1"/>
  <c r="F934" i="37"/>
  <c r="G934" i="37" s="1"/>
  <c r="F1109" i="37"/>
  <c r="G1109" i="37" s="1"/>
  <c r="F981" i="37"/>
  <c r="G981" i="37" s="1"/>
  <c r="F861" i="37"/>
  <c r="G861" i="37" s="1"/>
  <c r="F757" i="37"/>
  <c r="G757" i="37" s="1"/>
  <c r="F621" i="37"/>
  <c r="G621" i="37" s="1"/>
  <c r="F962" i="37"/>
  <c r="G962" i="37" s="1"/>
  <c r="F937" i="37"/>
  <c r="G937" i="37" s="1"/>
  <c r="F912" i="37"/>
  <c r="G912" i="37" s="1"/>
  <c r="F528" i="37"/>
  <c r="G528" i="37" s="1"/>
  <c r="F496" i="37"/>
  <c r="G496" i="37" s="1"/>
  <c r="F344" i="37"/>
  <c r="G344" i="37" s="1"/>
  <c r="F972" i="37"/>
  <c r="G972" i="37" s="1"/>
  <c r="F591" i="37"/>
  <c r="G591" i="37" s="1"/>
  <c r="F535" i="37"/>
  <c r="G535" i="37" s="1"/>
  <c r="F511" i="37"/>
  <c r="G511" i="37" s="1"/>
  <c r="F495" i="37"/>
  <c r="G495" i="37" s="1"/>
  <c r="F439" i="37"/>
  <c r="G439" i="37" s="1"/>
  <c r="F327" i="37"/>
  <c r="G327" i="37" s="1"/>
  <c r="F319" i="37"/>
  <c r="G319" i="37" s="1"/>
  <c r="F1248" i="37"/>
  <c r="G1248" i="37" s="1"/>
  <c r="F1020" i="37"/>
  <c r="G1020" i="37" s="1"/>
  <c r="F960" i="37"/>
  <c r="G960" i="37" s="1"/>
  <c r="F599" i="37"/>
  <c r="G599" i="37" s="1"/>
  <c r="F534" i="37"/>
  <c r="G534" i="37" s="1"/>
  <c r="F518" i="37"/>
  <c r="G518" i="37" s="1"/>
  <c r="F510" i="37"/>
  <c r="G510" i="37" s="1"/>
  <c r="F454" i="37"/>
  <c r="G454" i="37" s="1"/>
  <c r="F1104" i="37"/>
  <c r="G1104" i="37" s="1"/>
  <c r="F778" i="37"/>
  <c r="G778" i="37" s="1"/>
  <c r="F442" i="37"/>
  <c r="G442" i="37" s="1"/>
  <c r="F410" i="37"/>
  <c r="G410" i="37" s="1"/>
  <c r="F1058" i="37"/>
  <c r="G1058" i="37" s="1"/>
  <c r="F323" i="37"/>
  <c r="G323" i="37" s="1"/>
  <c r="F137" i="37"/>
  <c r="G137" i="37" s="1"/>
  <c r="F65" i="37"/>
  <c r="G65" i="37" s="1"/>
  <c r="F1082" i="37"/>
  <c r="G1082" i="37" s="1"/>
  <c r="F1057" i="37"/>
  <c r="G1057" i="37" s="1"/>
  <c r="F915" i="37"/>
  <c r="G915" i="37" s="1"/>
  <c r="F784" i="37"/>
  <c r="G784" i="37" s="1"/>
  <c r="F593" i="37"/>
  <c r="G593" i="37" s="1"/>
  <c r="F322" i="37"/>
  <c r="G322" i="37" s="1"/>
  <c r="F248" i="37"/>
  <c r="G248" i="37" s="1"/>
  <c r="F168" i="37"/>
  <c r="G168" i="37" s="1"/>
  <c r="F120" i="37"/>
  <c r="G120" i="37" s="1"/>
  <c r="F32" i="37"/>
  <c r="G32" i="37" s="1"/>
  <c r="F1081" i="37"/>
  <c r="G1081" i="37" s="1"/>
  <c r="F557" i="37"/>
  <c r="G557" i="37" s="1"/>
  <c r="F321" i="37"/>
  <c r="G321" i="37" s="1"/>
  <c r="F231" i="37"/>
  <c r="G231" i="37" s="1"/>
  <c r="F183" i="37"/>
  <c r="G183" i="37" s="1"/>
  <c r="F119" i="37"/>
  <c r="G119" i="37" s="1"/>
  <c r="F111" i="37"/>
  <c r="G111" i="37" s="1"/>
  <c r="F1232" i="37"/>
  <c r="G1232" i="37" s="1"/>
  <c r="F1042" i="37"/>
  <c r="G1042" i="37" s="1"/>
  <c r="F924" i="37"/>
  <c r="G924" i="37" s="1"/>
  <c r="F155" i="37"/>
  <c r="G155" i="37" s="1"/>
  <c r="F139" i="37"/>
  <c r="G139" i="37" s="1"/>
  <c r="F115" i="37"/>
  <c r="G115" i="37" s="1"/>
  <c r="F507" i="37"/>
  <c r="G507" i="37" s="1"/>
  <c r="F308" i="37"/>
  <c r="G308" i="37" s="1"/>
  <c r="F77" i="37"/>
  <c r="G77" i="37" s="1"/>
  <c r="F6" i="37"/>
  <c r="G6" i="37" s="1"/>
  <c r="F1156" i="37"/>
  <c r="G1156" i="37" s="1"/>
  <c r="F1043" i="37"/>
  <c r="G1043" i="37" s="1"/>
  <c r="F906" i="37"/>
  <c r="G906" i="37" s="1"/>
  <c r="F868" i="37"/>
  <c r="G868" i="37" s="1"/>
  <c r="F306" i="37"/>
  <c r="G306" i="37" s="1"/>
  <c r="F1040" i="37"/>
  <c r="G1040" i="37" s="1"/>
  <c r="F867" i="37"/>
  <c r="G867" i="37" s="1"/>
  <c r="F377" i="37"/>
  <c r="G377" i="37" s="1"/>
  <c r="F320" i="37"/>
  <c r="G320" i="37" s="1"/>
  <c r="F242" i="37"/>
  <c r="G242" i="37" s="1"/>
  <c r="F134" i="37"/>
  <c r="G134" i="37" s="1"/>
  <c r="F106" i="37"/>
  <c r="G106" i="37" s="1"/>
  <c r="F4" i="37"/>
  <c r="G4" i="37" s="1"/>
  <c r="F341" i="37"/>
  <c r="G341" i="37" s="1"/>
  <c r="F181" i="37"/>
  <c r="G181" i="37" s="1"/>
  <c r="F149" i="37"/>
  <c r="G149" i="37" s="1"/>
  <c r="F2" i="37"/>
  <c r="G2" i="37" s="1"/>
  <c r="F196" i="37"/>
  <c r="G196" i="37" s="1"/>
  <c r="F164" i="37"/>
  <c r="G164" i="37" s="1"/>
  <c r="F132" i="37"/>
  <c r="G132" i="37" s="1"/>
  <c r="F13" i="37"/>
  <c r="G13" i="37" s="1"/>
  <c r="F433" i="37"/>
  <c r="G433" i="37" s="1"/>
  <c r="F130" i="37"/>
  <c r="G130" i="37" s="1"/>
  <c r="F12" i="37"/>
  <c r="G12" i="37" s="1"/>
  <c r="F457" i="37"/>
  <c r="G457" i="37" s="1"/>
  <c r="F250" i="37"/>
  <c r="G250" i="37" s="1"/>
  <c r="F174" i="37"/>
  <c r="G174" i="37" s="1"/>
  <c r="F22" i="37"/>
  <c r="G22" i="37" s="1"/>
  <c r="F802" i="37"/>
  <c r="G802" i="37" s="1"/>
  <c r="F309" i="37"/>
  <c r="G309" i="37" s="1"/>
  <c r="F221" i="37"/>
  <c r="G221" i="37" s="1"/>
  <c r="F110" i="37"/>
  <c r="G110" i="37" s="1"/>
  <c r="F1143" i="37"/>
  <c r="G1143" i="37" s="1"/>
  <c r="F1031" i="37"/>
  <c r="G1031" i="37" s="1"/>
  <c r="F1254" i="37"/>
  <c r="G1254" i="37" s="1"/>
  <c r="F1142" i="37"/>
  <c r="G1142" i="37" s="1"/>
  <c r="F1149" i="37"/>
  <c r="G1149" i="37" s="1"/>
  <c r="F1037" i="37"/>
  <c r="G1037" i="37" s="1"/>
  <c r="F375" i="37"/>
  <c r="G375" i="37" s="1"/>
  <c r="F1147" i="37"/>
  <c r="G1147" i="37" s="1"/>
  <c r="F374" i="37"/>
  <c r="G374" i="37" s="1"/>
  <c r="F652" i="37"/>
  <c r="G652" i="37" s="1"/>
  <c r="F1032" i="37"/>
  <c r="G1032" i="37" s="1"/>
  <c r="F128" i="37"/>
  <c r="G128" i="37" s="1"/>
  <c r="F72" i="37"/>
  <c r="G72" i="37" s="1"/>
  <c r="F1146" i="37"/>
  <c r="G1146" i="37" s="1"/>
  <c r="F1028" i="37"/>
  <c r="G1028" i="37" s="1"/>
  <c r="F261" i="37"/>
  <c r="G261" i="37" s="1"/>
  <c r="F651" i="37"/>
  <c r="G651" i="37" s="1"/>
  <c r="F1116" i="37"/>
  <c r="G1116" i="37" s="1"/>
  <c r="F730" i="37"/>
  <c r="G730" i="37" s="1"/>
  <c r="F846" i="37"/>
  <c r="G846" i="37" s="1"/>
  <c r="F821" i="37"/>
  <c r="G821" i="37" s="1"/>
  <c r="F415" i="37"/>
  <c r="G415" i="37" s="1"/>
  <c r="F891" i="37"/>
  <c r="G891" i="37" s="1"/>
  <c r="F476" i="37"/>
  <c r="G476" i="37" s="1"/>
  <c r="F954" i="37"/>
  <c r="G954" i="37" s="1"/>
  <c r="F1175" i="37"/>
  <c r="G1175" i="37" s="1"/>
  <c r="F1173" i="37"/>
  <c r="G1173" i="37" s="1"/>
  <c r="F636" i="37"/>
  <c r="G636" i="37" s="1"/>
  <c r="F1225" i="37"/>
  <c r="G1225" i="37" s="1"/>
  <c r="F1024" i="37"/>
  <c r="G1024" i="37" s="1"/>
  <c r="F1256" i="37"/>
  <c r="G1256" i="37" s="1"/>
  <c r="F883" i="37"/>
  <c r="G883" i="37" s="1"/>
  <c r="F920" i="37"/>
  <c r="G920" i="37" s="1"/>
  <c r="F901" i="37"/>
  <c r="G901" i="37" s="1"/>
  <c r="F594" i="37"/>
  <c r="G594" i="37" s="1"/>
  <c r="F153" i="37"/>
  <c r="G153" i="37" s="1"/>
  <c r="F1169" i="37"/>
  <c r="G1169" i="37" s="1"/>
  <c r="F335" i="37"/>
  <c r="G335" i="37" s="1"/>
  <c r="F1059" i="37"/>
  <c r="G1059" i="37" s="1"/>
  <c r="F312" i="37"/>
  <c r="G312" i="37" s="1"/>
  <c r="F753" i="37"/>
  <c r="G753" i="37" s="1"/>
  <c r="F44" i="37"/>
  <c r="G44" i="37" s="1"/>
  <c r="F90" i="37"/>
  <c r="G90" i="37" s="1"/>
  <c r="F754" i="37"/>
  <c r="G754" i="37" s="1"/>
  <c r="F97" i="37"/>
  <c r="G97" i="37" s="1"/>
  <c r="F1087" i="37"/>
  <c r="G1087" i="37" s="1"/>
  <c r="F918" i="37"/>
  <c r="G918" i="37" s="1"/>
  <c r="F199" i="37"/>
  <c r="G199" i="37" s="1"/>
  <c r="F107" i="37"/>
  <c r="G107" i="37" s="1"/>
  <c r="F230" i="37"/>
  <c r="G230" i="37" s="1"/>
  <c r="F637" i="37"/>
  <c r="G637" i="37" s="1"/>
  <c r="F697" i="37"/>
  <c r="G697" i="37" s="1"/>
  <c r="F620" i="37"/>
  <c r="G620" i="37" s="1"/>
  <c r="F590" i="37"/>
  <c r="G590" i="37" s="1"/>
  <c r="F19" i="37"/>
  <c r="G19" i="37" s="1"/>
  <c r="F654" i="37"/>
  <c r="G654" i="37" s="1"/>
  <c r="F1101" i="37"/>
  <c r="G1101" i="37" s="1"/>
  <c r="F992" i="37"/>
  <c r="G992" i="37" s="1"/>
  <c r="F1100" i="37"/>
  <c r="G1100" i="37" s="1"/>
  <c r="F63" i="37"/>
  <c r="G63" i="37" s="1"/>
  <c r="F147" i="37"/>
  <c r="G147" i="37" s="1"/>
  <c r="F131" i="37"/>
  <c r="G131" i="37" s="1"/>
  <c r="F154" i="37"/>
  <c r="G154" i="37" s="1"/>
  <c r="F1120" i="37"/>
  <c r="G1120" i="37" s="1"/>
  <c r="F1076" i="37"/>
  <c r="G1076" i="37" s="1"/>
  <c r="F1227" i="37"/>
  <c r="G1227" i="37" s="1"/>
  <c r="F126" i="37"/>
  <c r="G126" i="37" s="1"/>
  <c r="F1070" i="37"/>
  <c r="G1070" i="37" s="1"/>
  <c r="F1123" i="37"/>
  <c r="G1123" i="37" s="1"/>
  <c r="F873" i="37"/>
  <c r="G873" i="37" s="1"/>
  <c r="F1080" i="37"/>
  <c r="G1080" i="37" s="1"/>
  <c r="F1026" i="37"/>
  <c r="G1026" i="37" s="1"/>
  <c r="F1247" i="37"/>
  <c r="G1247" i="37" s="1"/>
  <c r="F546" i="37"/>
  <c r="G546" i="37" s="1"/>
  <c r="F287" i="37"/>
  <c r="G287" i="37" s="1"/>
  <c r="F299" i="37"/>
  <c r="G299" i="37" s="1"/>
  <c r="F405" i="37"/>
  <c r="G405" i="37" s="1"/>
  <c r="F463" i="37"/>
  <c r="G463" i="37" s="1"/>
  <c r="F740" i="37"/>
  <c r="G740" i="37" s="1"/>
  <c r="F96" i="37"/>
  <c r="G96" i="37" s="1"/>
  <c r="F45" i="37"/>
  <c r="G45" i="37" s="1"/>
  <c r="F556" i="37"/>
  <c r="G556" i="37" s="1"/>
  <c r="F547" i="37"/>
  <c r="G547" i="37" s="1"/>
  <c r="F101" i="37"/>
  <c r="G101" i="37" s="1"/>
  <c r="F930" i="37"/>
  <c r="G930" i="37" s="1"/>
  <c r="F618" i="37"/>
  <c r="G618" i="37" s="1"/>
  <c r="F380" i="37"/>
  <c r="G380" i="37" s="1"/>
  <c r="F157" i="37"/>
  <c r="G157" i="37" s="1"/>
  <c r="F256" i="37"/>
  <c r="G256" i="37" s="1"/>
  <c r="F1089" i="37"/>
  <c r="G1089" i="37" s="1"/>
  <c r="F1255" i="37"/>
  <c r="G1255" i="37" s="1"/>
  <c r="F965" i="37"/>
  <c r="G965" i="37" s="1"/>
  <c r="F1207" i="37"/>
  <c r="G1207" i="37" s="1"/>
  <c r="F1141" i="37"/>
  <c r="G1141" i="37" s="1"/>
  <c r="F1036" i="37"/>
  <c r="G1036" i="37" s="1"/>
  <c r="F1035" i="37"/>
  <c r="G1035" i="37" s="1"/>
  <c r="F486" i="37"/>
  <c r="G486" i="37" s="1"/>
  <c r="F485" i="37"/>
  <c r="G485" i="37" s="1"/>
  <c r="F833" i="37"/>
  <c r="G833" i="37" s="1"/>
  <c r="F1208" i="37"/>
  <c r="G1208" i="37" s="1"/>
  <c r="F1145" i="37"/>
  <c r="G1145" i="37" s="1"/>
  <c r="F1144" i="37"/>
  <c r="G1144" i="37" s="1"/>
  <c r="F1126" i="37"/>
  <c r="G1126" i="37" s="1"/>
  <c r="F806" i="37"/>
  <c r="G806" i="37" s="1"/>
  <c r="F376" i="37"/>
  <c r="G376" i="37" s="1"/>
  <c r="F1049" i="37"/>
  <c r="G1049" i="37" s="1"/>
  <c r="F109" i="37"/>
  <c r="G109" i="37" s="1"/>
  <c r="F588" i="37"/>
  <c r="G588" i="37" s="1"/>
  <c r="F178" i="37"/>
  <c r="G178" i="37" s="1"/>
  <c r="F585" i="37"/>
  <c r="G585" i="37" s="1"/>
  <c r="F1051" i="37"/>
  <c r="G1051" i="37" s="1"/>
  <c r="F991" i="37"/>
  <c r="G991" i="37" s="1"/>
  <c r="F1030" i="37"/>
  <c r="G1030" i="37" s="1"/>
  <c r="F990" i="37"/>
  <c r="G990" i="37" s="1"/>
  <c r="F989" i="37"/>
  <c r="G989" i="37" s="1"/>
  <c r="F987" i="37"/>
  <c r="G987" i="37" s="1"/>
  <c r="F986" i="37"/>
  <c r="G986" i="37" s="1"/>
  <c r="F487" i="37"/>
  <c r="G487" i="37" s="1"/>
  <c r="F1034" i="37"/>
  <c r="G1034" i="37" s="1"/>
  <c r="F985" i="37"/>
  <c r="G985" i="37" s="1"/>
  <c r="F1033" i="37"/>
  <c r="G1033" i="37" s="1"/>
  <c r="F832" i="37"/>
  <c r="G832" i="37" s="1"/>
  <c r="F489" i="37"/>
  <c r="G489" i="37" s="1"/>
  <c r="F41" i="37"/>
  <c r="G41" i="37" s="1"/>
  <c r="F828" i="37"/>
  <c r="G828" i="37" s="1"/>
  <c r="F40" i="37"/>
  <c r="G40" i="37" s="1"/>
  <c r="F988" i="37"/>
  <c r="G988" i="37" s="1"/>
  <c r="F1244" i="37"/>
  <c r="G1244" i="37" s="1"/>
  <c r="F1209" i="37"/>
  <c r="G1209" i="37" s="1"/>
  <c r="F260" i="37"/>
  <c r="G260" i="37" s="1"/>
  <c r="F984" i="37"/>
  <c r="G984" i="37" s="1"/>
  <c r="F1092" i="37"/>
  <c r="G1092" i="37" s="1"/>
  <c r="F313" i="37"/>
  <c r="G313" i="37" s="1"/>
  <c r="F228" i="37"/>
  <c r="G228" i="37" s="1"/>
  <c r="F54" i="37"/>
  <c r="G54" i="37" s="1"/>
  <c r="F236" i="37"/>
  <c r="G236" i="37" s="1"/>
  <c r="F735" i="37"/>
  <c r="G735" i="37" s="1"/>
  <c r="F1166" i="37"/>
  <c r="G1166" i="37" s="1"/>
  <c r="F814" i="37"/>
  <c r="G814" i="37" s="1"/>
  <c r="F889" i="37"/>
  <c r="G889" i="37" s="1"/>
  <c r="F533" i="37"/>
  <c r="G533" i="37" s="1"/>
  <c r="F1139" i="37"/>
  <c r="G1139" i="37" s="1"/>
  <c r="F539" i="37"/>
  <c r="G539" i="37" s="1"/>
  <c r="F1073" i="37"/>
  <c r="G1073" i="37" s="1"/>
  <c r="F978" i="37"/>
  <c r="G978" i="37" s="1"/>
  <c r="F939" i="37"/>
  <c r="G939" i="37" s="1"/>
  <c r="F617" i="37"/>
  <c r="G617" i="37" s="1"/>
  <c r="F33" i="37"/>
  <c r="G33" i="37" s="1"/>
  <c r="F16" i="37"/>
  <c r="G16" i="37" s="1"/>
  <c r="F8" i="37"/>
  <c r="G8" i="37" s="1"/>
  <c r="F938" i="37"/>
  <c r="G938" i="37" s="1"/>
  <c r="F255" i="37"/>
  <c r="G255" i="37" s="1"/>
  <c r="F387" i="37"/>
  <c r="G387" i="37" s="1"/>
  <c r="F179" i="37"/>
  <c r="G179" i="37" s="1"/>
  <c r="F83" i="37"/>
  <c r="G83" i="37" s="1"/>
  <c r="F85" i="37"/>
  <c r="G85" i="37" s="1"/>
  <c r="F84" i="37"/>
  <c r="G84" i="37" s="1"/>
  <c r="F394" i="37"/>
  <c r="G394" i="37" s="1"/>
  <c r="F17" i="37"/>
  <c r="G17" i="37" s="1"/>
  <c r="D3" i="5"/>
  <c r="K5" i="37" l="1"/>
  <c r="K7" i="37" s="1"/>
  <c r="C25" i="24" s="1"/>
  <c r="R48" i="5"/>
  <c r="R49" i="5"/>
  <c r="T49" i="5"/>
  <c r="R50" i="5"/>
  <c r="R51" i="5"/>
  <c r="T51" i="5"/>
  <c r="R52" i="5"/>
  <c r="R53" i="5"/>
  <c r="T53" i="5"/>
  <c r="R54" i="5"/>
  <c r="R55" i="5"/>
  <c r="T55" i="5"/>
  <c r="R56" i="5"/>
  <c r="T56" i="5"/>
  <c r="R57" i="5"/>
  <c r="T57" i="5"/>
  <c r="R58" i="5"/>
  <c r="T58" i="5"/>
  <c r="G663" i="25"/>
  <c r="G662" i="25"/>
  <c r="I661" i="25"/>
  <c r="H661" i="25"/>
  <c r="G661" i="25"/>
  <c r="I660" i="25"/>
  <c r="H660" i="25"/>
  <c r="G660" i="25"/>
  <c r="I659" i="25"/>
  <c r="H659" i="25"/>
  <c r="G659" i="25"/>
  <c r="I658" i="25"/>
  <c r="H658" i="25"/>
  <c r="G658" i="25"/>
  <c r="I657" i="25"/>
  <c r="H657" i="25"/>
  <c r="G657" i="25"/>
  <c r="I656" i="25"/>
  <c r="H656" i="25"/>
  <c r="G656" i="25"/>
  <c r="I655" i="25"/>
  <c r="H655" i="25"/>
  <c r="G655" i="25"/>
  <c r="I654" i="25"/>
  <c r="H654" i="25"/>
  <c r="G654" i="25"/>
  <c r="I653" i="25"/>
  <c r="H653" i="25"/>
  <c r="G653" i="25"/>
  <c r="I652" i="25"/>
  <c r="H652" i="25"/>
  <c r="G652" i="25"/>
  <c r="I651" i="25"/>
  <c r="H651" i="25"/>
  <c r="G651" i="25"/>
  <c r="I650" i="25"/>
  <c r="H650" i="25"/>
  <c r="G650" i="25"/>
  <c r="I649" i="25"/>
  <c r="H649" i="25"/>
  <c r="G649" i="25"/>
  <c r="I648" i="25"/>
  <c r="H648" i="25"/>
  <c r="G648" i="25"/>
  <c r="I647" i="25"/>
  <c r="H647" i="25"/>
  <c r="G647" i="25"/>
  <c r="I646" i="25"/>
  <c r="H646" i="25"/>
  <c r="G646" i="25"/>
  <c r="H645" i="25"/>
  <c r="G645" i="25"/>
  <c r="I644" i="25"/>
  <c r="H644" i="25"/>
  <c r="G644" i="25"/>
  <c r="I643" i="25"/>
  <c r="H643" i="25"/>
  <c r="G643" i="25"/>
  <c r="I642" i="25"/>
  <c r="H642" i="25"/>
  <c r="G642" i="25"/>
  <c r="H641" i="25"/>
  <c r="G641" i="25"/>
  <c r="H640" i="25"/>
  <c r="G640" i="25"/>
  <c r="I639" i="25"/>
  <c r="H639" i="25"/>
  <c r="G639" i="25"/>
  <c r="I638" i="25"/>
  <c r="H638" i="25"/>
  <c r="G638" i="25"/>
  <c r="H637" i="25"/>
  <c r="G637" i="25"/>
  <c r="I636" i="25"/>
  <c r="H636" i="25"/>
  <c r="G636" i="25"/>
  <c r="I635" i="25"/>
  <c r="H635" i="25"/>
  <c r="G635" i="25"/>
  <c r="H634" i="25"/>
  <c r="G634" i="25"/>
  <c r="G633" i="25"/>
  <c r="F633" i="25"/>
  <c r="I632" i="25"/>
  <c r="H632" i="25"/>
  <c r="G632" i="25"/>
  <c r="I631" i="25"/>
  <c r="H631" i="25"/>
  <c r="G631" i="25"/>
  <c r="G630" i="25"/>
  <c r="G629" i="25"/>
  <c r="G628" i="25"/>
  <c r="I627" i="25"/>
  <c r="H627" i="25"/>
  <c r="G627" i="25"/>
  <c r="I626" i="25"/>
  <c r="H626" i="25"/>
  <c r="G626" i="25"/>
  <c r="I625" i="25"/>
  <c r="H625" i="25"/>
  <c r="G625" i="25"/>
  <c r="I624" i="25"/>
  <c r="H624" i="25"/>
  <c r="G624" i="25"/>
  <c r="I623" i="25"/>
  <c r="H623" i="25"/>
  <c r="G623" i="25"/>
  <c r="I622" i="25"/>
  <c r="H622" i="25"/>
  <c r="G622" i="25"/>
  <c r="I621" i="25"/>
  <c r="H621" i="25"/>
  <c r="G621" i="25"/>
  <c r="I620" i="25"/>
  <c r="H620" i="25"/>
  <c r="G620" i="25"/>
  <c r="H619" i="25"/>
  <c r="G619" i="25"/>
  <c r="I618" i="25"/>
  <c r="H618" i="25"/>
  <c r="G618" i="25"/>
  <c r="I617" i="25"/>
  <c r="H617" i="25"/>
  <c r="G617" i="25"/>
  <c r="I616" i="25"/>
  <c r="H616" i="25"/>
  <c r="G616" i="25"/>
  <c r="H615" i="25"/>
  <c r="G615" i="25"/>
  <c r="H614" i="25"/>
  <c r="G614" i="25"/>
  <c r="I613" i="25"/>
  <c r="H613" i="25"/>
  <c r="G613" i="25"/>
  <c r="I612" i="25"/>
  <c r="H612" i="25"/>
  <c r="G612" i="25"/>
  <c r="H611" i="25"/>
  <c r="G611" i="25"/>
  <c r="I610" i="25"/>
  <c r="H610" i="25"/>
  <c r="G610" i="25"/>
  <c r="I609" i="25"/>
  <c r="H609" i="25"/>
  <c r="G609" i="25"/>
  <c r="H608" i="25"/>
  <c r="G608" i="25"/>
  <c r="G607" i="25"/>
  <c r="F607" i="25"/>
  <c r="I606" i="25"/>
  <c r="H606" i="25"/>
  <c r="G606" i="25"/>
  <c r="I605" i="25"/>
  <c r="H605" i="25"/>
  <c r="G605" i="25"/>
  <c r="I1579" i="25"/>
  <c r="I1502" i="25"/>
  <c r="I1398" i="25"/>
  <c r="I1293" i="25"/>
  <c r="I1186" i="25"/>
  <c r="I554" i="25" l="1"/>
  <c r="I555" i="25"/>
  <c r="H555" i="25"/>
  <c r="G555" i="25"/>
  <c r="H554" i="25"/>
  <c r="G554" i="25"/>
  <c r="H553" i="25"/>
  <c r="G553" i="25"/>
  <c r="H552" i="25"/>
  <c r="G552" i="25"/>
  <c r="H551" i="25"/>
  <c r="G551" i="25"/>
  <c r="H550" i="25"/>
  <c r="G550" i="25"/>
  <c r="H549" i="25"/>
  <c r="G549" i="25"/>
  <c r="H548" i="25"/>
  <c r="G548" i="25"/>
  <c r="H547" i="25"/>
  <c r="G547" i="25"/>
  <c r="H546" i="25"/>
  <c r="G546" i="25"/>
  <c r="H545" i="25"/>
  <c r="G545" i="25"/>
  <c r="H544" i="25"/>
  <c r="G544" i="25"/>
  <c r="H543" i="25"/>
  <c r="G543" i="25"/>
  <c r="H542" i="25"/>
  <c r="G542" i="25"/>
  <c r="H541" i="25"/>
  <c r="G541" i="25"/>
  <c r="I534" i="25"/>
  <c r="I536" i="25"/>
  <c r="I537" i="25"/>
  <c r="H537" i="25"/>
  <c r="G537" i="25"/>
  <c r="H536" i="25"/>
  <c r="G536" i="25"/>
  <c r="H535" i="25"/>
  <c r="G535" i="25"/>
  <c r="H534" i="25"/>
  <c r="G534" i="25"/>
  <c r="H533" i="25"/>
  <c r="G533" i="25"/>
  <c r="H532" i="25"/>
  <c r="G532" i="25"/>
  <c r="H531" i="25"/>
  <c r="G531" i="25"/>
  <c r="H530" i="25"/>
  <c r="G530" i="25"/>
  <c r="H529" i="25"/>
  <c r="G529" i="25"/>
  <c r="H528" i="25"/>
  <c r="G528" i="25"/>
  <c r="H527" i="25"/>
  <c r="G527" i="25"/>
  <c r="H526" i="25"/>
  <c r="G526" i="25"/>
  <c r="H525" i="25"/>
  <c r="G525" i="25"/>
  <c r="H524" i="25"/>
  <c r="G524" i="25"/>
  <c r="H523" i="25"/>
  <c r="G523" i="25"/>
  <c r="H522" i="25"/>
  <c r="G522" i="25"/>
  <c r="H521" i="25"/>
  <c r="G521" i="25"/>
  <c r="H520" i="25"/>
  <c r="G520" i="25"/>
  <c r="H519" i="25"/>
  <c r="G519" i="25"/>
  <c r="H518" i="25"/>
  <c r="G518" i="25"/>
  <c r="H517" i="25"/>
  <c r="G517" i="25"/>
  <c r="H516" i="25"/>
  <c r="G516" i="25"/>
  <c r="H515" i="25"/>
  <c r="G515" i="25"/>
  <c r="H423" i="25" l="1"/>
  <c r="G423" i="25"/>
  <c r="H422" i="25"/>
  <c r="G422" i="25"/>
  <c r="H421" i="25"/>
  <c r="G421" i="25"/>
  <c r="H420" i="25"/>
  <c r="G420" i="25"/>
  <c r="H419" i="25"/>
  <c r="G419" i="25"/>
  <c r="G418" i="25"/>
  <c r="H417" i="25"/>
  <c r="G417" i="25"/>
  <c r="H416" i="25"/>
  <c r="G416" i="25"/>
  <c r="H415" i="25"/>
  <c r="G415" i="25"/>
  <c r="H414" i="25"/>
  <c r="G414" i="25"/>
  <c r="H413" i="25"/>
  <c r="G413" i="25"/>
  <c r="H412" i="25"/>
  <c r="G412" i="25"/>
  <c r="H411" i="25"/>
  <c r="G411" i="25"/>
  <c r="H410" i="25"/>
  <c r="G410" i="25"/>
  <c r="H409" i="25"/>
  <c r="G409" i="25"/>
  <c r="H408" i="25"/>
  <c r="G408" i="25"/>
  <c r="H407" i="25"/>
  <c r="G407" i="25"/>
  <c r="I402" i="25"/>
  <c r="I403" i="25"/>
  <c r="H403" i="25"/>
  <c r="G403" i="25"/>
  <c r="H402" i="25"/>
  <c r="G402" i="25"/>
  <c r="H401" i="25"/>
  <c r="G401" i="25"/>
  <c r="H400" i="25"/>
  <c r="G400" i="25"/>
  <c r="H399" i="25"/>
  <c r="G399" i="25"/>
  <c r="H398" i="25"/>
  <c r="G398" i="25"/>
  <c r="H397" i="25"/>
  <c r="G397" i="25"/>
  <c r="H396" i="25"/>
  <c r="G396" i="25"/>
  <c r="H395" i="25"/>
  <c r="G395" i="25"/>
  <c r="H394" i="25"/>
  <c r="G394" i="25"/>
  <c r="H393" i="25"/>
  <c r="G393" i="25"/>
  <c r="G392" i="25"/>
  <c r="H391" i="25"/>
  <c r="G391" i="25"/>
  <c r="H390" i="25"/>
  <c r="G390" i="25"/>
  <c r="H389" i="25"/>
  <c r="G389" i="25"/>
  <c r="H388" i="25"/>
  <c r="G388" i="25"/>
  <c r="H387" i="25"/>
  <c r="G387" i="25"/>
  <c r="H386" i="25"/>
  <c r="G386" i="25"/>
  <c r="H385" i="25"/>
  <c r="G385" i="25"/>
  <c r="H384" i="25"/>
  <c r="G384" i="25"/>
  <c r="H383" i="25"/>
  <c r="G383" i="25"/>
  <c r="H382" i="25"/>
  <c r="G382" i="25"/>
  <c r="H381" i="25"/>
  <c r="G381" i="25"/>
  <c r="L112" i="24"/>
  <c r="L196" i="24"/>
  <c r="L122" i="24"/>
  <c r="L108" i="24"/>
  <c r="L133" i="24"/>
  <c r="L60" i="24"/>
  <c r="L37" i="24"/>
  <c r="L38" i="24"/>
  <c r="L39" i="24"/>
  <c r="L41" i="24"/>
  <c r="L42" i="24"/>
  <c r="L43" i="24"/>
  <c r="L44" i="24"/>
  <c r="L45" i="24"/>
  <c r="L46" i="24"/>
  <c r="L48" i="24"/>
  <c r="L50" i="24"/>
  <c r="L54" i="24"/>
  <c r="L55" i="24"/>
  <c r="L57" i="24"/>
  <c r="L58" i="24"/>
  <c r="L72" i="24"/>
  <c r="L74" i="24"/>
  <c r="L78" i="24"/>
  <c r="L79" i="24"/>
  <c r="L86" i="24"/>
  <c r="L87" i="24"/>
  <c r="L88" i="24"/>
  <c r="L89" i="24"/>
  <c r="L90" i="24"/>
  <c r="L91" i="24"/>
  <c r="L92" i="24"/>
  <c r="L93" i="24"/>
  <c r="L94" i="24"/>
  <c r="L95" i="24"/>
  <c r="L96" i="24"/>
  <c r="L97" i="24"/>
  <c r="L98" i="24"/>
  <c r="L100" i="24"/>
  <c r="L101" i="24"/>
  <c r="L102" i="24"/>
  <c r="L103" i="24"/>
  <c r="L104" i="24"/>
  <c r="L105" i="24"/>
  <c r="L113" i="24"/>
  <c r="L116" i="24"/>
  <c r="L117" i="24"/>
  <c r="L119" i="24"/>
  <c r="L124" i="24"/>
  <c r="L125" i="24"/>
  <c r="L127" i="24"/>
  <c r="L128" i="24"/>
  <c r="L129" i="24"/>
  <c r="L134" i="24"/>
  <c r="L145" i="24"/>
  <c r="L180" i="24"/>
  <c r="L181" i="24"/>
  <c r="L192" i="24"/>
  <c r="L195" i="24"/>
  <c r="L206" i="24"/>
  <c r="L34" i="24"/>
  <c r="L35" i="24"/>
  <c r="L36" i="24"/>
  <c r="L27" i="24"/>
  <c r="H17" i="10"/>
  <c r="L32" i="24" l="1"/>
  <c r="L26" i="24"/>
  <c r="L182" i="24"/>
  <c r="L144" i="24"/>
  <c r="L84" i="24"/>
  <c r="L40" i="24"/>
  <c r="L179" i="24"/>
  <c r="L132" i="24"/>
  <c r="L110" i="24"/>
  <c r="L170" i="24"/>
  <c r="L205" i="24"/>
  <c r="L62" i="24"/>
  <c r="L204" i="24"/>
  <c r="L203" i="24"/>
  <c r="L158" i="24"/>
  <c r="L169" i="24"/>
  <c r="L168" i="24"/>
  <c r="L157" i="24"/>
  <c r="L194" i="24"/>
  <c r="L156" i="24"/>
  <c r="L193" i="24"/>
  <c r="L146" i="24"/>
  <c r="L120" i="24"/>
  <c r="L51" i="24"/>
  <c r="L121" i="24"/>
  <c r="L109" i="24"/>
  <c r="L85" i="24"/>
  <c r="L73" i="24"/>
  <c r="L61" i="24"/>
  <c r="L49" i="24"/>
  <c r="L131" i="24"/>
  <c r="L59" i="24"/>
  <c r="L178" i="24"/>
  <c r="L142" i="24"/>
  <c r="L82" i="24"/>
  <c r="L70" i="24"/>
  <c r="L191" i="24"/>
  <c r="L167" i="24"/>
  <c r="L143" i="24"/>
  <c r="L83" i="24"/>
  <c r="L47" i="24"/>
  <c r="L190" i="24"/>
  <c r="L154" i="24"/>
  <c r="L118" i="24"/>
  <c r="L106" i="24"/>
  <c r="L201" i="24"/>
  <c r="L189" i="24"/>
  <c r="L165" i="24"/>
  <c r="L141" i="24"/>
  <c r="L81" i="24"/>
  <c r="L69" i="24"/>
  <c r="L200" i="24"/>
  <c r="L176" i="24"/>
  <c r="L140" i="24"/>
  <c r="L80" i="24"/>
  <c r="L56" i="24"/>
  <c r="L31" i="24"/>
  <c r="L199" i="24"/>
  <c r="L175" i="24"/>
  <c r="L163" i="24"/>
  <c r="L151" i="24"/>
  <c r="L139" i="24"/>
  <c r="L115" i="24"/>
  <c r="L67" i="24"/>
  <c r="L30" i="24"/>
  <c r="L198" i="24"/>
  <c r="L186" i="24"/>
  <c r="L174" i="24"/>
  <c r="L162" i="24"/>
  <c r="L150" i="24"/>
  <c r="L138" i="24"/>
  <c r="L126" i="24"/>
  <c r="L114" i="24"/>
  <c r="L66" i="24"/>
  <c r="L107" i="24"/>
  <c r="L71" i="24"/>
  <c r="L202" i="24"/>
  <c r="L166" i="24"/>
  <c r="L130" i="24"/>
  <c r="L33" i="24"/>
  <c r="L177" i="24"/>
  <c r="L153" i="24"/>
  <c r="L188" i="24"/>
  <c r="L164" i="24"/>
  <c r="L152" i="24"/>
  <c r="L68" i="24"/>
  <c r="L187" i="24"/>
  <c r="L29" i="24"/>
  <c r="L197" i="24"/>
  <c r="L185" i="24"/>
  <c r="L173" i="24"/>
  <c r="L161" i="24"/>
  <c r="L149" i="24"/>
  <c r="L137" i="24"/>
  <c r="L77" i="24"/>
  <c r="L65" i="24"/>
  <c r="L53" i="24"/>
  <c r="L155" i="24"/>
  <c r="L28" i="24"/>
  <c r="L184" i="24"/>
  <c r="L172" i="24"/>
  <c r="L160" i="24"/>
  <c r="L148" i="24"/>
  <c r="L136" i="24"/>
  <c r="L76" i="24"/>
  <c r="L64" i="24"/>
  <c r="L52" i="24"/>
  <c r="L207" i="24"/>
  <c r="L183" i="24"/>
  <c r="L171" i="24"/>
  <c r="L159" i="24"/>
  <c r="L147" i="24"/>
  <c r="L135" i="24"/>
  <c r="L123" i="24"/>
  <c r="L111" i="24"/>
  <c r="L99" i="24"/>
  <c r="L75" i="24"/>
  <c r="L63" i="24"/>
  <c r="I2301" i="25" l="1"/>
  <c r="I741" i="25" l="1"/>
  <c r="H1103" i="25" l="1"/>
  <c r="G1103" i="25"/>
  <c r="H1102" i="25"/>
  <c r="G1102" i="25"/>
  <c r="H1101" i="25"/>
  <c r="G1101" i="25"/>
  <c r="H1100" i="25"/>
  <c r="G1100" i="25"/>
  <c r="H1099" i="25"/>
  <c r="G1099" i="25"/>
  <c r="H1098" i="25"/>
  <c r="G1098" i="25"/>
  <c r="H1096" i="25"/>
  <c r="G1096" i="25"/>
  <c r="H1095" i="25"/>
  <c r="G1095" i="25"/>
  <c r="H1094" i="25"/>
  <c r="G1094" i="25"/>
  <c r="H1093" i="25"/>
  <c r="G1093" i="25"/>
  <c r="H1091" i="25"/>
  <c r="G1091" i="25"/>
  <c r="H1090" i="25"/>
  <c r="G1090" i="25"/>
  <c r="H1089" i="25"/>
  <c r="G1089" i="25"/>
  <c r="H1088" i="25"/>
  <c r="G1088" i="25"/>
  <c r="H1086" i="25"/>
  <c r="G1086" i="25"/>
  <c r="H1085" i="25"/>
  <c r="G1085" i="25"/>
  <c r="H1084" i="25"/>
  <c r="G1084" i="25"/>
  <c r="I1082" i="25"/>
  <c r="I1084" i="25" s="1"/>
  <c r="H1081" i="25"/>
  <c r="G1081" i="25"/>
  <c r="H1080" i="25"/>
  <c r="G1080" i="25"/>
  <c r="I1078" i="25"/>
  <c r="H1078" i="25"/>
  <c r="G1078" i="25"/>
  <c r="I1077" i="25"/>
  <c r="H1077" i="25"/>
  <c r="G1077" i="25"/>
  <c r="I1076" i="25"/>
  <c r="H1076" i="25"/>
  <c r="G1076" i="25"/>
  <c r="I1075" i="25"/>
  <c r="H1075" i="25"/>
  <c r="G1075" i="25"/>
  <c r="H1074" i="25"/>
  <c r="G1074" i="25"/>
  <c r="I1072" i="25"/>
  <c r="H1072" i="25"/>
  <c r="G1072" i="25"/>
  <c r="I1071" i="25"/>
  <c r="H1071" i="25"/>
  <c r="G1071" i="25"/>
  <c r="I1070" i="25"/>
  <c r="H1070" i="25"/>
  <c r="G1070" i="25"/>
  <c r="I1069" i="25"/>
  <c r="H1069" i="25"/>
  <c r="G1069" i="25"/>
  <c r="H1067" i="25"/>
  <c r="G1067" i="25"/>
  <c r="H1066" i="25"/>
  <c r="G1066" i="25"/>
  <c r="H1065" i="25"/>
  <c r="G1065" i="25"/>
  <c r="H1064" i="25"/>
  <c r="G1064" i="25"/>
  <c r="H1004" i="25"/>
  <c r="G1004" i="25"/>
  <c r="H1003" i="25"/>
  <c r="G1003" i="25"/>
  <c r="H1002" i="25"/>
  <c r="G1002" i="25"/>
  <c r="H1001" i="25"/>
  <c r="G1001" i="25"/>
  <c r="H1000" i="25"/>
  <c r="G1000" i="25"/>
  <c r="H999" i="25"/>
  <c r="G999" i="25"/>
  <c r="H997" i="25"/>
  <c r="G997" i="25"/>
  <c r="H996" i="25"/>
  <c r="G996" i="25"/>
  <c r="H995" i="25"/>
  <c r="G995" i="25"/>
  <c r="H994" i="25"/>
  <c r="G994" i="25"/>
  <c r="H992" i="25"/>
  <c r="G992" i="25"/>
  <c r="H991" i="25"/>
  <c r="G991" i="25"/>
  <c r="H990" i="25"/>
  <c r="G990" i="25"/>
  <c r="H989" i="25"/>
  <c r="G989" i="25"/>
  <c r="H987" i="25"/>
  <c r="G987" i="25"/>
  <c r="H986" i="25"/>
  <c r="G986" i="25"/>
  <c r="H985" i="25"/>
  <c r="G985" i="25"/>
  <c r="I983" i="25"/>
  <c r="I985" i="25" s="1"/>
  <c r="H982" i="25"/>
  <c r="G982" i="25"/>
  <c r="H981" i="25"/>
  <c r="G981" i="25"/>
  <c r="I979" i="25"/>
  <c r="H979" i="25"/>
  <c r="G979" i="25"/>
  <c r="I978" i="25"/>
  <c r="H978" i="25"/>
  <c r="G978" i="25"/>
  <c r="I977" i="25"/>
  <c r="H977" i="25"/>
  <c r="G977" i="25"/>
  <c r="I976" i="25"/>
  <c r="H976" i="25"/>
  <c r="G976" i="25"/>
  <c r="H975" i="25"/>
  <c r="G975" i="25"/>
  <c r="I973" i="25"/>
  <c r="H973" i="25"/>
  <c r="G973" i="25"/>
  <c r="I972" i="25"/>
  <c r="H972" i="25"/>
  <c r="G972" i="25"/>
  <c r="I971" i="25"/>
  <c r="H971" i="25"/>
  <c r="G971" i="25"/>
  <c r="I970" i="25"/>
  <c r="H970" i="25"/>
  <c r="G970" i="25"/>
  <c r="H968" i="25"/>
  <c r="G968" i="25"/>
  <c r="H967" i="25"/>
  <c r="G967" i="25"/>
  <c r="H966" i="25"/>
  <c r="G966" i="25"/>
  <c r="H965" i="25"/>
  <c r="G965" i="25"/>
  <c r="H882" i="25"/>
  <c r="G882" i="25"/>
  <c r="H881" i="25"/>
  <c r="G881" i="25"/>
  <c r="I879" i="25"/>
  <c r="H879" i="25"/>
  <c r="G879" i="25"/>
  <c r="I878" i="25"/>
  <c r="H878" i="25"/>
  <c r="G878" i="25"/>
  <c r="I877" i="25"/>
  <c r="H877" i="25"/>
  <c r="G877" i="25"/>
  <c r="I876" i="25"/>
  <c r="H876" i="25"/>
  <c r="G876" i="25"/>
  <c r="H875" i="25"/>
  <c r="G875" i="25"/>
  <c r="I873" i="25"/>
  <c r="H873" i="25"/>
  <c r="G873" i="25"/>
  <c r="I872" i="25"/>
  <c r="H872" i="25"/>
  <c r="G872" i="25"/>
  <c r="I871" i="25"/>
  <c r="H871" i="25"/>
  <c r="G871" i="25"/>
  <c r="I870" i="25"/>
  <c r="H870" i="25"/>
  <c r="G870" i="25"/>
  <c r="H868" i="25"/>
  <c r="G868" i="25"/>
  <c r="H867" i="25"/>
  <c r="G867" i="25"/>
  <c r="H866" i="25"/>
  <c r="G866" i="25"/>
  <c r="H865" i="25"/>
  <c r="G865" i="25"/>
  <c r="I883" i="25"/>
  <c r="I1004" i="25" s="1"/>
  <c r="I772" i="25"/>
  <c r="I771" i="25"/>
  <c r="I770" i="25"/>
  <c r="I769" i="25"/>
  <c r="I782" i="25"/>
  <c r="I785" i="25" s="1"/>
  <c r="H781" i="25"/>
  <c r="G781" i="25"/>
  <c r="H780" i="25"/>
  <c r="G780" i="25"/>
  <c r="I778" i="25"/>
  <c r="H778" i="25"/>
  <c r="G778" i="25"/>
  <c r="I777" i="25"/>
  <c r="H777" i="25"/>
  <c r="G777" i="25"/>
  <c r="I776" i="25"/>
  <c r="H776" i="25"/>
  <c r="G776" i="25"/>
  <c r="I775" i="25"/>
  <c r="H775" i="25"/>
  <c r="G775" i="25"/>
  <c r="H774" i="25"/>
  <c r="G774" i="25"/>
  <c r="H772" i="25"/>
  <c r="G772" i="25"/>
  <c r="H771" i="25"/>
  <c r="G771" i="25"/>
  <c r="H770" i="25"/>
  <c r="G770" i="25"/>
  <c r="H769" i="25"/>
  <c r="G769" i="25"/>
  <c r="H767" i="25"/>
  <c r="G767" i="25"/>
  <c r="H766" i="25"/>
  <c r="G766" i="25"/>
  <c r="H765" i="25"/>
  <c r="G765" i="25"/>
  <c r="H764" i="25"/>
  <c r="G764" i="25"/>
  <c r="I1103" i="25" l="1"/>
  <c r="I1085" i="25"/>
  <c r="I1095" i="25"/>
  <c r="I1093" i="25"/>
  <c r="I1090" i="25"/>
  <c r="I1096" i="25"/>
  <c r="I1091" i="25"/>
  <c r="I1089" i="25"/>
  <c r="I1086" i="25"/>
  <c r="I1098" i="25"/>
  <c r="I1094" i="25"/>
  <c r="I1088" i="25"/>
  <c r="I804" i="25"/>
  <c r="I788" i="25"/>
  <c r="I1066" i="25"/>
  <c r="I1064" i="25"/>
  <c r="I1067" i="25"/>
  <c r="I1065" i="25"/>
  <c r="I866" i="25"/>
  <c r="I889" i="25"/>
  <c r="I897" i="25"/>
  <c r="I904" i="25"/>
  <c r="I990" i="25"/>
  <c r="I991" i="25"/>
  <c r="I865" i="25"/>
  <c r="I999" i="25"/>
  <c r="I965" i="25"/>
  <c r="I890" i="25"/>
  <c r="I896" i="25"/>
  <c r="I966" i="25"/>
  <c r="I997" i="25"/>
  <c r="I996" i="25"/>
  <c r="I987" i="25"/>
  <c r="I886" i="25"/>
  <c r="I968" i="25"/>
  <c r="I994" i="25"/>
  <c r="I899" i="25"/>
  <c r="I867" i="25"/>
  <c r="I887" i="25"/>
  <c r="I891" i="25"/>
  <c r="I905" i="25"/>
  <c r="I989" i="25"/>
  <c r="I892" i="25"/>
  <c r="I995" i="25"/>
  <c r="I868" i="25"/>
  <c r="I894" i="25"/>
  <c r="I986" i="25"/>
  <c r="I895" i="25"/>
  <c r="I967" i="25"/>
  <c r="I992" i="25"/>
  <c r="I885" i="25"/>
  <c r="I766" i="25"/>
  <c r="I764" i="25"/>
  <c r="I765" i="25"/>
  <c r="I767" i="25"/>
  <c r="I784" i="25"/>
  <c r="I786" i="25"/>
  <c r="I789" i="25"/>
  <c r="I803" i="25"/>
  <c r="I791" i="25"/>
  <c r="I793" i="25"/>
  <c r="I794" i="25"/>
  <c r="I795" i="25"/>
  <c r="I796" i="25"/>
  <c r="I798" i="25"/>
  <c r="I790" i="25"/>
  <c r="I1102" i="25" l="1"/>
  <c r="I1099" i="25"/>
  <c r="I1101" i="25"/>
  <c r="I1100" i="25"/>
  <c r="I1003" i="25"/>
  <c r="I1000" i="25"/>
  <c r="I1002" i="25"/>
  <c r="I1001" i="25"/>
  <c r="I903" i="25"/>
  <c r="I902" i="25"/>
  <c r="I901" i="25"/>
  <c r="I900" i="25"/>
  <c r="I801" i="25"/>
  <c r="I800" i="25"/>
  <c r="I799" i="25"/>
  <c r="I802" i="25"/>
  <c r="I2367" i="25"/>
  <c r="I2366" i="25"/>
  <c r="I2016" i="25" l="1"/>
  <c r="H2016" i="25"/>
  <c r="G2016" i="25"/>
  <c r="H2015" i="25"/>
  <c r="G2015" i="25"/>
  <c r="I2014" i="25"/>
  <c r="H2014" i="25"/>
  <c r="G2014" i="25"/>
  <c r="I2013" i="25"/>
  <c r="H2013" i="25"/>
  <c r="G2013" i="25"/>
  <c r="I2012" i="25"/>
  <c r="H2012" i="25"/>
  <c r="G2012" i="25"/>
  <c r="I2011" i="25"/>
  <c r="H2011" i="25"/>
  <c r="G2011" i="25"/>
  <c r="I2010" i="25"/>
  <c r="H2010" i="25"/>
  <c r="G2010" i="25"/>
  <c r="I2009" i="25"/>
  <c r="H2009" i="25"/>
  <c r="G2009" i="25"/>
  <c r="H2008" i="25"/>
  <c r="G2008" i="25"/>
  <c r="I2007" i="25"/>
  <c r="H2007" i="25"/>
  <c r="G2007" i="25"/>
  <c r="I2074" i="25"/>
  <c r="H2074" i="25"/>
  <c r="G2074" i="25"/>
  <c r="H2073" i="25"/>
  <c r="G2073" i="25"/>
  <c r="I2072" i="25"/>
  <c r="H2072" i="25"/>
  <c r="G2072" i="25"/>
  <c r="I2071" i="25"/>
  <c r="H2071" i="25"/>
  <c r="G2071" i="25"/>
  <c r="I2070" i="25"/>
  <c r="H2070" i="25"/>
  <c r="G2070" i="25"/>
  <c r="I2069" i="25"/>
  <c r="H2069" i="25"/>
  <c r="G2069" i="25"/>
  <c r="I2068" i="25"/>
  <c r="H2068" i="25"/>
  <c r="G2068" i="25"/>
  <c r="I2067" i="25"/>
  <c r="H2067" i="25"/>
  <c r="G2067" i="25"/>
  <c r="H2066" i="25"/>
  <c r="G2066" i="25"/>
  <c r="I2065" i="25"/>
  <c r="H2065" i="25"/>
  <c r="G2065" i="25"/>
  <c r="I2134" i="25"/>
  <c r="H2134" i="25"/>
  <c r="G2134" i="25"/>
  <c r="H2133" i="25"/>
  <c r="G2133" i="25"/>
  <c r="I2132" i="25"/>
  <c r="H2132" i="25"/>
  <c r="G2132" i="25"/>
  <c r="I2131" i="25"/>
  <c r="H2131" i="25"/>
  <c r="G2131" i="25"/>
  <c r="I2130" i="25"/>
  <c r="H2130" i="25"/>
  <c r="G2130" i="25"/>
  <c r="I2129" i="25"/>
  <c r="H2129" i="25"/>
  <c r="G2129" i="25"/>
  <c r="I2128" i="25"/>
  <c r="H2128" i="25"/>
  <c r="G2128" i="25"/>
  <c r="I2127" i="25"/>
  <c r="H2127" i="25"/>
  <c r="G2127" i="25"/>
  <c r="H2126" i="25"/>
  <c r="G2126" i="25"/>
  <c r="I2125" i="25"/>
  <c r="H2125" i="25"/>
  <c r="G2125" i="25"/>
  <c r="I2194" i="25"/>
  <c r="H2194" i="25"/>
  <c r="G2194" i="25"/>
  <c r="H2193" i="25"/>
  <c r="G2193" i="25"/>
  <c r="I2192" i="25"/>
  <c r="H2192" i="25"/>
  <c r="G2192" i="25"/>
  <c r="I2191" i="25"/>
  <c r="H2191" i="25"/>
  <c r="G2191" i="25"/>
  <c r="I2190" i="25"/>
  <c r="H2190" i="25"/>
  <c r="G2190" i="25"/>
  <c r="I2189" i="25"/>
  <c r="H2189" i="25"/>
  <c r="G2189" i="25"/>
  <c r="I2188" i="25"/>
  <c r="H2188" i="25"/>
  <c r="G2188" i="25"/>
  <c r="I2187" i="25"/>
  <c r="H2187" i="25"/>
  <c r="G2187" i="25"/>
  <c r="H2186" i="25"/>
  <c r="G2186" i="25"/>
  <c r="I2185" i="25"/>
  <c r="H2185" i="25"/>
  <c r="G2185" i="25"/>
  <c r="G2154" i="25"/>
  <c r="H2154" i="25"/>
  <c r="I2045" i="25" l="1"/>
  <c r="H2045" i="25"/>
  <c r="G2045" i="25"/>
  <c r="H2044" i="25"/>
  <c r="G2044" i="25"/>
  <c r="I2043" i="25"/>
  <c r="H2043" i="25"/>
  <c r="G2043" i="25"/>
  <c r="I2042" i="25"/>
  <c r="H2042" i="25"/>
  <c r="G2042" i="25"/>
  <c r="I2041" i="25"/>
  <c r="H2041" i="25"/>
  <c r="G2041" i="25"/>
  <c r="I2040" i="25"/>
  <c r="H2040" i="25"/>
  <c r="G2040" i="25"/>
  <c r="I2039" i="25"/>
  <c r="H2039" i="25"/>
  <c r="G2039" i="25"/>
  <c r="I2038" i="25"/>
  <c r="H2038" i="25"/>
  <c r="G2038" i="25"/>
  <c r="H2037" i="25"/>
  <c r="G2037" i="25"/>
  <c r="I2036" i="25"/>
  <c r="H2036" i="25"/>
  <c r="G2036" i="25"/>
  <c r="I2104" i="25"/>
  <c r="H2104" i="25"/>
  <c r="G2104" i="25"/>
  <c r="H2103" i="25"/>
  <c r="G2103" i="25"/>
  <c r="I2102" i="25"/>
  <c r="H2102" i="25"/>
  <c r="G2102" i="25"/>
  <c r="I2101" i="25"/>
  <c r="H2101" i="25"/>
  <c r="G2101" i="25"/>
  <c r="I2100" i="25"/>
  <c r="H2100" i="25"/>
  <c r="G2100" i="25"/>
  <c r="I2099" i="25"/>
  <c r="H2099" i="25"/>
  <c r="G2099" i="25"/>
  <c r="I2098" i="25"/>
  <c r="H2098" i="25"/>
  <c r="G2098" i="25"/>
  <c r="I2097" i="25"/>
  <c r="H2097" i="25"/>
  <c r="G2097" i="25"/>
  <c r="H2096" i="25"/>
  <c r="G2096" i="25"/>
  <c r="I2095" i="25"/>
  <c r="H2095" i="25"/>
  <c r="G2095" i="25"/>
  <c r="I2164" i="25"/>
  <c r="H2164" i="25"/>
  <c r="G2164" i="25"/>
  <c r="H2163" i="25"/>
  <c r="G2163" i="25"/>
  <c r="I2162" i="25"/>
  <c r="H2162" i="25"/>
  <c r="G2162" i="25"/>
  <c r="I2161" i="25"/>
  <c r="H2161" i="25"/>
  <c r="G2161" i="25"/>
  <c r="I2160" i="25"/>
  <c r="H2160" i="25"/>
  <c r="G2160" i="25"/>
  <c r="I2159" i="25"/>
  <c r="H2159" i="25"/>
  <c r="G2159" i="25"/>
  <c r="I2158" i="25"/>
  <c r="H2158" i="25"/>
  <c r="G2158" i="25"/>
  <c r="I2157" i="25"/>
  <c r="H2157" i="25"/>
  <c r="G2157" i="25"/>
  <c r="H2156" i="25"/>
  <c r="G2156" i="25"/>
  <c r="I2155" i="25"/>
  <c r="H2155" i="25"/>
  <c r="G2155" i="25"/>
  <c r="H2208" i="25"/>
  <c r="G2208" i="25"/>
  <c r="H2207" i="25"/>
  <c r="G2207" i="25"/>
  <c r="H2206" i="25"/>
  <c r="G2206" i="25"/>
  <c r="H2205" i="25"/>
  <c r="G2205" i="25"/>
  <c r="I2204" i="25"/>
  <c r="H2204" i="25"/>
  <c r="G2204" i="25"/>
  <c r="H2203" i="25"/>
  <c r="G2203" i="25"/>
  <c r="H2202" i="25"/>
  <c r="G2202" i="25"/>
  <c r="H2201" i="25"/>
  <c r="G2201" i="25"/>
  <c r="H2200" i="25"/>
  <c r="G2200" i="25"/>
  <c r="I2199" i="25"/>
  <c r="G2199" i="25"/>
  <c r="H2198" i="25"/>
  <c r="G2198" i="25"/>
  <c r="H2197" i="25"/>
  <c r="G2197" i="25"/>
  <c r="H2196" i="25"/>
  <c r="G2196" i="25"/>
  <c r="H2195" i="25"/>
  <c r="G2195" i="25"/>
  <c r="H2184" i="25"/>
  <c r="G2184" i="25"/>
  <c r="H2183" i="25"/>
  <c r="G2183" i="25"/>
  <c r="H2182" i="25"/>
  <c r="G2182" i="25"/>
  <c r="H2178" i="25"/>
  <c r="G2178" i="25"/>
  <c r="H2177" i="25"/>
  <c r="G2177" i="25"/>
  <c r="H2176" i="25"/>
  <c r="G2176" i="25"/>
  <c r="H2175" i="25"/>
  <c r="G2175" i="25"/>
  <c r="I2174" i="25"/>
  <c r="H2174" i="25"/>
  <c r="G2174" i="25"/>
  <c r="H2173" i="25"/>
  <c r="G2173" i="25"/>
  <c r="H2172" i="25"/>
  <c r="G2172" i="25"/>
  <c r="H2171" i="25"/>
  <c r="G2171" i="25"/>
  <c r="H2170" i="25"/>
  <c r="G2170" i="25"/>
  <c r="I2169" i="25"/>
  <c r="G2169" i="25"/>
  <c r="H2168" i="25"/>
  <c r="G2168" i="25"/>
  <c r="H2167" i="25"/>
  <c r="G2167" i="25"/>
  <c r="H2166" i="25"/>
  <c r="G2166" i="25"/>
  <c r="H2165" i="25"/>
  <c r="G2165" i="25"/>
  <c r="H2153" i="25"/>
  <c r="G2153" i="25"/>
  <c r="H2152" i="25"/>
  <c r="G2152" i="25"/>
  <c r="H2148" i="25"/>
  <c r="G2148" i="25"/>
  <c r="H2147" i="25"/>
  <c r="G2147" i="25"/>
  <c r="H2146" i="25"/>
  <c r="G2146" i="25"/>
  <c r="H2145" i="25"/>
  <c r="G2145" i="25"/>
  <c r="I2144" i="25"/>
  <c r="H2144" i="25"/>
  <c r="G2144" i="25"/>
  <c r="H2143" i="25"/>
  <c r="G2143" i="25"/>
  <c r="H2142" i="25"/>
  <c r="G2142" i="25"/>
  <c r="H2141" i="25"/>
  <c r="G2141" i="25"/>
  <c r="H2140" i="25"/>
  <c r="G2140" i="25"/>
  <c r="I2139" i="25"/>
  <c r="G2139" i="25"/>
  <c r="H2138" i="25"/>
  <c r="G2138" i="25"/>
  <c r="H2137" i="25"/>
  <c r="G2137" i="25"/>
  <c r="H2136" i="25"/>
  <c r="G2136" i="25"/>
  <c r="H2135" i="25"/>
  <c r="G2135" i="25"/>
  <c r="H2124" i="25"/>
  <c r="G2124" i="25"/>
  <c r="H2123" i="25"/>
  <c r="G2123" i="25"/>
  <c r="H2122" i="25"/>
  <c r="G2122" i="25"/>
  <c r="I2118" i="25"/>
  <c r="H2118" i="25"/>
  <c r="G2118" i="25"/>
  <c r="H2117" i="25"/>
  <c r="G2117" i="25"/>
  <c r="H2116" i="25"/>
  <c r="G2116" i="25"/>
  <c r="H2115" i="25"/>
  <c r="G2115" i="25"/>
  <c r="I2114" i="25"/>
  <c r="H2114" i="25"/>
  <c r="G2114" i="25"/>
  <c r="H2113" i="25"/>
  <c r="G2113" i="25"/>
  <c r="H2112" i="25"/>
  <c r="G2112" i="25"/>
  <c r="H2111" i="25"/>
  <c r="G2111" i="25"/>
  <c r="H2110" i="25"/>
  <c r="G2110" i="25"/>
  <c r="I2109" i="25"/>
  <c r="G2109" i="25"/>
  <c r="H2108" i="25"/>
  <c r="G2108" i="25"/>
  <c r="H2107" i="25"/>
  <c r="G2107" i="25"/>
  <c r="H2106" i="25"/>
  <c r="G2106" i="25"/>
  <c r="H2105" i="25"/>
  <c r="G2105" i="25"/>
  <c r="H2094" i="25"/>
  <c r="G2094" i="25"/>
  <c r="H2093" i="25"/>
  <c r="G2093" i="25"/>
  <c r="H2092" i="25"/>
  <c r="G2092" i="25"/>
  <c r="H2088" i="25"/>
  <c r="G2088" i="25"/>
  <c r="H2087" i="25"/>
  <c r="G2087" i="25"/>
  <c r="H2086" i="25"/>
  <c r="G2086" i="25"/>
  <c r="H2085" i="25"/>
  <c r="G2085" i="25"/>
  <c r="I2084" i="25"/>
  <c r="H2084" i="25"/>
  <c r="G2084" i="25"/>
  <c r="H2083" i="25"/>
  <c r="G2083" i="25"/>
  <c r="H2082" i="25"/>
  <c r="G2082" i="25"/>
  <c r="H2081" i="25"/>
  <c r="G2081" i="25"/>
  <c r="H2080" i="25"/>
  <c r="G2080" i="25"/>
  <c r="I2079" i="25"/>
  <c r="G2079" i="25"/>
  <c r="H2078" i="25"/>
  <c r="G2078" i="25"/>
  <c r="H2077" i="25"/>
  <c r="G2077" i="25"/>
  <c r="H2076" i="25"/>
  <c r="G2076" i="25"/>
  <c r="H2075" i="25"/>
  <c r="G2075" i="25"/>
  <c r="H2064" i="25"/>
  <c r="G2064" i="25"/>
  <c r="H2063" i="25"/>
  <c r="G2063" i="25"/>
  <c r="I2059" i="25"/>
  <c r="H2059" i="25"/>
  <c r="G2059" i="25"/>
  <c r="H2058" i="25"/>
  <c r="G2058" i="25"/>
  <c r="H2057" i="25"/>
  <c r="G2057" i="25"/>
  <c r="H2056" i="25"/>
  <c r="G2056" i="25"/>
  <c r="I2055" i="25"/>
  <c r="H2055" i="25"/>
  <c r="G2055" i="25"/>
  <c r="H2054" i="25"/>
  <c r="G2054" i="25"/>
  <c r="H2053" i="25"/>
  <c r="G2053" i="25"/>
  <c r="H2052" i="25"/>
  <c r="G2052" i="25"/>
  <c r="H2051" i="25"/>
  <c r="G2051" i="25"/>
  <c r="I2050" i="25"/>
  <c r="G2050" i="25"/>
  <c r="H2049" i="25"/>
  <c r="G2049" i="25"/>
  <c r="H2048" i="25"/>
  <c r="G2048" i="25"/>
  <c r="H2047" i="25"/>
  <c r="G2047" i="25"/>
  <c r="H2046" i="25"/>
  <c r="G2046" i="25"/>
  <c r="H2035" i="25"/>
  <c r="G2035" i="25"/>
  <c r="H2034" i="25"/>
  <c r="G2034" i="25"/>
  <c r="I2030" i="25"/>
  <c r="H2030" i="25"/>
  <c r="G2030" i="25"/>
  <c r="H2029" i="25"/>
  <c r="G2029" i="25"/>
  <c r="H2028" i="25"/>
  <c r="G2028" i="25"/>
  <c r="H2027" i="25"/>
  <c r="G2027" i="25"/>
  <c r="I2026" i="25"/>
  <c r="H2026" i="25"/>
  <c r="G2026" i="25"/>
  <c r="H2025" i="25"/>
  <c r="G2025" i="25"/>
  <c r="H2024" i="25"/>
  <c r="G2024" i="25"/>
  <c r="H2023" i="25"/>
  <c r="G2023" i="25"/>
  <c r="H2022" i="25"/>
  <c r="G2022" i="25"/>
  <c r="I2021" i="25"/>
  <c r="G2021" i="25"/>
  <c r="H2020" i="25"/>
  <c r="G2020" i="25"/>
  <c r="H2019" i="25"/>
  <c r="G2019" i="25"/>
  <c r="H2018" i="25"/>
  <c r="G2018" i="25"/>
  <c r="H2017" i="25"/>
  <c r="G2017" i="25"/>
  <c r="H2006" i="25"/>
  <c r="G2006" i="25"/>
  <c r="H2005" i="25"/>
  <c r="G2005" i="25"/>
  <c r="H2004" i="25"/>
  <c r="G2004" i="25"/>
  <c r="H2000" i="25"/>
  <c r="G2000" i="25"/>
  <c r="H1999" i="25"/>
  <c r="G1999" i="25"/>
  <c r="H1998" i="25"/>
  <c r="G1998" i="25"/>
  <c r="H1997" i="25"/>
  <c r="G1997" i="25"/>
  <c r="I1996" i="25"/>
  <c r="H1996" i="25"/>
  <c r="G1996" i="25"/>
  <c r="H1995" i="25"/>
  <c r="G1995" i="25"/>
  <c r="H1994" i="25"/>
  <c r="G1994" i="25"/>
  <c r="H1993" i="25"/>
  <c r="G1993" i="25"/>
  <c r="H1992" i="25"/>
  <c r="G1992" i="25"/>
  <c r="I1991" i="25"/>
  <c r="G1991" i="25"/>
  <c r="H1990" i="25"/>
  <c r="G1990" i="25"/>
  <c r="H1989" i="25"/>
  <c r="G1989" i="25"/>
  <c r="H1988" i="25"/>
  <c r="G1988" i="25"/>
  <c r="H1987" i="25"/>
  <c r="G1987" i="25"/>
  <c r="H1986" i="25"/>
  <c r="G1986" i="25"/>
  <c r="I1985" i="25"/>
  <c r="H1985" i="25"/>
  <c r="G1985" i="25"/>
  <c r="I2224" i="25" l="1"/>
  <c r="I2222" i="25"/>
  <c r="I2221" i="25"/>
  <c r="I2220" i="25"/>
  <c r="I2219" i="25"/>
  <c r="I2218" i="25"/>
  <c r="I2217" i="25"/>
  <c r="I2215" i="25"/>
  <c r="I1964" i="25"/>
  <c r="I1962" i="25"/>
  <c r="I1961" i="25"/>
  <c r="I1960" i="25"/>
  <c r="I1959" i="25"/>
  <c r="I1958" i="25"/>
  <c r="I1957" i="25"/>
  <c r="I1955" i="25"/>
  <c r="I1925" i="25"/>
  <c r="I1927" i="25"/>
  <c r="I1928" i="25"/>
  <c r="I1929" i="25"/>
  <c r="I1930" i="25"/>
  <c r="I1931" i="25"/>
  <c r="I1932" i="25"/>
  <c r="I1934" i="25"/>
  <c r="I1904" i="25"/>
  <c r="I1902" i="25"/>
  <c r="I1901" i="25"/>
  <c r="I1900" i="25"/>
  <c r="I1899" i="25"/>
  <c r="I1898" i="25"/>
  <c r="I1897" i="25"/>
  <c r="I1895" i="25"/>
  <c r="G2349" i="25"/>
  <c r="H2349" i="25"/>
  <c r="I2349" i="25"/>
  <c r="I2254" i="25"/>
  <c r="H2254" i="25"/>
  <c r="G2254" i="25"/>
  <c r="H2224" i="25"/>
  <c r="G2224" i="25"/>
  <c r="H1964" i="25"/>
  <c r="G1964" i="25"/>
  <c r="H1934" i="25"/>
  <c r="G1934" i="25"/>
  <c r="G1904" i="25"/>
  <c r="H1904" i="25"/>
  <c r="H1903" i="25" l="1"/>
  <c r="G1903" i="25"/>
  <c r="H1902" i="25"/>
  <c r="G1902" i="25"/>
  <c r="H1901" i="25"/>
  <c r="G1901" i="25"/>
  <c r="H1900" i="25"/>
  <c r="G1900" i="25"/>
  <c r="H1899" i="25"/>
  <c r="G1899" i="25"/>
  <c r="H1898" i="25"/>
  <c r="G1898" i="25"/>
  <c r="H1897" i="25"/>
  <c r="G1897" i="25"/>
  <c r="H1896" i="25"/>
  <c r="G1896" i="25"/>
  <c r="H1895" i="25"/>
  <c r="G1895" i="25"/>
  <c r="H1933" i="25"/>
  <c r="G1933" i="25"/>
  <c r="H1932" i="25"/>
  <c r="G1932" i="25"/>
  <c r="H1931" i="25"/>
  <c r="G1931" i="25"/>
  <c r="H1930" i="25"/>
  <c r="G1930" i="25"/>
  <c r="H1929" i="25"/>
  <c r="G1929" i="25"/>
  <c r="H1928" i="25"/>
  <c r="G1928" i="25"/>
  <c r="H1927" i="25"/>
  <c r="G1927" i="25"/>
  <c r="H1926" i="25"/>
  <c r="G1926" i="25"/>
  <c r="H1925" i="25"/>
  <c r="G1925" i="25"/>
  <c r="H1963" i="25"/>
  <c r="G1963" i="25"/>
  <c r="H1962" i="25"/>
  <c r="G1962" i="25"/>
  <c r="H1961" i="25"/>
  <c r="G1961" i="25"/>
  <c r="H1960" i="25"/>
  <c r="G1960" i="25"/>
  <c r="H1959" i="25"/>
  <c r="G1959" i="25"/>
  <c r="H1958" i="25"/>
  <c r="G1958" i="25"/>
  <c r="H1957" i="25"/>
  <c r="G1957" i="25"/>
  <c r="H1956" i="25"/>
  <c r="G1956" i="25"/>
  <c r="H1955" i="25"/>
  <c r="G1955" i="25"/>
  <c r="H2223" i="25"/>
  <c r="G2223" i="25"/>
  <c r="H2222" i="25"/>
  <c r="G2222" i="25"/>
  <c r="H2221" i="25"/>
  <c r="G2221" i="25"/>
  <c r="H2220" i="25"/>
  <c r="G2220" i="25"/>
  <c r="H2219" i="25"/>
  <c r="G2219" i="25"/>
  <c r="H2218" i="25"/>
  <c r="G2218" i="25"/>
  <c r="H2217" i="25"/>
  <c r="G2217" i="25"/>
  <c r="H2216" i="25"/>
  <c r="G2216" i="25"/>
  <c r="H2215" i="25"/>
  <c r="G2215" i="25"/>
  <c r="H2253" i="25"/>
  <c r="G2253" i="25"/>
  <c r="I2252" i="25"/>
  <c r="H2252" i="25"/>
  <c r="G2252" i="25"/>
  <c r="I2251" i="25"/>
  <c r="H2251" i="25"/>
  <c r="G2251" i="25"/>
  <c r="I2250" i="25"/>
  <c r="H2250" i="25"/>
  <c r="G2250" i="25"/>
  <c r="I2249" i="25"/>
  <c r="H2249" i="25"/>
  <c r="G2249" i="25"/>
  <c r="I2248" i="25"/>
  <c r="H2248" i="25"/>
  <c r="G2248" i="25"/>
  <c r="I2247" i="25"/>
  <c r="H2247" i="25"/>
  <c r="G2247" i="25"/>
  <c r="H2246" i="25"/>
  <c r="G2246" i="25"/>
  <c r="I2245" i="25"/>
  <c r="H2245" i="25"/>
  <c r="G2245" i="25"/>
  <c r="H2268" i="25"/>
  <c r="G2268" i="25"/>
  <c r="H2267" i="25"/>
  <c r="G2267" i="25"/>
  <c r="H2266" i="25"/>
  <c r="G2266" i="25"/>
  <c r="H2265" i="25"/>
  <c r="G2265" i="25"/>
  <c r="I2264" i="25"/>
  <c r="H2264" i="25"/>
  <c r="G2264" i="25"/>
  <c r="H2263" i="25"/>
  <c r="G2263" i="25"/>
  <c r="H2262" i="25"/>
  <c r="G2262" i="25"/>
  <c r="H2261" i="25"/>
  <c r="G2261" i="25"/>
  <c r="H2260" i="25"/>
  <c r="G2260" i="25"/>
  <c r="I2259" i="25"/>
  <c r="G2259" i="25"/>
  <c r="H2258" i="25"/>
  <c r="G2258" i="25"/>
  <c r="H2257" i="25"/>
  <c r="G2257" i="25"/>
  <c r="H2256" i="25"/>
  <c r="G2256" i="25"/>
  <c r="H2255" i="25"/>
  <c r="G2255" i="25"/>
  <c r="H2244" i="25"/>
  <c r="G2244" i="25"/>
  <c r="H2243" i="25"/>
  <c r="G2243" i="25"/>
  <c r="H2242" i="25"/>
  <c r="G2242" i="25"/>
  <c r="H2238" i="25"/>
  <c r="G2238" i="25"/>
  <c r="H2237" i="25"/>
  <c r="G2237" i="25"/>
  <c r="H2236" i="25"/>
  <c r="G2236" i="25"/>
  <c r="H2235" i="25"/>
  <c r="G2235" i="25"/>
  <c r="I2234" i="25"/>
  <c r="H2234" i="25"/>
  <c r="G2234" i="25"/>
  <c r="H2233" i="25"/>
  <c r="G2233" i="25"/>
  <c r="H2232" i="25"/>
  <c r="G2232" i="25"/>
  <c r="H2231" i="25"/>
  <c r="G2231" i="25"/>
  <c r="H2230" i="25"/>
  <c r="G2230" i="25"/>
  <c r="I2229" i="25"/>
  <c r="G2229" i="25"/>
  <c r="H2228" i="25"/>
  <c r="G2228" i="25"/>
  <c r="H2227" i="25"/>
  <c r="G2227" i="25"/>
  <c r="H2226" i="25"/>
  <c r="G2226" i="25"/>
  <c r="H2225" i="25"/>
  <c r="G2225" i="25"/>
  <c r="H2214" i="25"/>
  <c r="G2214" i="25"/>
  <c r="H2213" i="25"/>
  <c r="G2213" i="25"/>
  <c r="H2212" i="25"/>
  <c r="G2212" i="25"/>
  <c r="H1981" i="25"/>
  <c r="G1981" i="25"/>
  <c r="I1980" i="25"/>
  <c r="H1980" i="25"/>
  <c r="G1980" i="25"/>
  <c r="I1979" i="25"/>
  <c r="H1979" i="25"/>
  <c r="G1979" i="25"/>
  <c r="H1978" i="25"/>
  <c r="G1978" i="25"/>
  <c r="H1977" i="25"/>
  <c r="G1977" i="25"/>
  <c r="H1976" i="25"/>
  <c r="G1976" i="25"/>
  <c r="I1975" i="25"/>
  <c r="H1975" i="25"/>
  <c r="G1975" i="25"/>
  <c r="H1974" i="25"/>
  <c r="G1974" i="25"/>
  <c r="H1973" i="25"/>
  <c r="G1973" i="25"/>
  <c r="H1972" i="25"/>
  <c r="G1972" i="25"/>
  <c r="H1971" i="25"/>
  <c r="G1971" i="25"/>
  <c r="I1970" i="25"/>
  <c r="G1970" i="25"/>
  <c r="H1969" i="25"/>
  <c r="G1969" i="25"/>
  <c r="H1968" i="25"/>
  <c r="G1968" i="25"/>
  <c r="H1967" i="25"/>
  <c r="G1967" i="25"/>
  <c r="H1966" i="25"/>
  <c r="G1966" i="25"/>
  <c r="H1965" i="25"/>
  <c r="G1965" i="25"/>
  <c r="H1951" i="25"/>
  <c r="G1951" i="25"/>
  <c r="I1950" i="25"/>
  <c r="H1950" i="25"/>
  <c r="G1950" i="25"/>
  <c r="I1949" i="25"/>
  <c r="H1949" i="25"/>
  <c r="G1949" i="25"/>
  <c r="H1948" i="25"/>
  <c r="G1948" i="25"/>
  <c r="H1947" i="25"/>
  <c r="G1947" i="25"/>
  <c r="H1946" i="25"/>
  <c r="G1946" i="25"/>
  <c r="I1945" i="25"/>
  <c r="H1945" i="25"/>
  <c r="G1945" i="25"/>
  <c r="H1944" i="25"/>
  <c r="G1944" i="25"/>
  <c r="H1943" i="25"/>
  <c r="G1943" i="25"/>
  <c r="H1942" i="25"/>
  <c r="G1942" i="25"/>
  <c r="H1941" i="25"/>
  <c r="G1941" i="25"/>
  <c r="I1940" i="25"/>
  <c r="G1940" i="25"/>
  <c r="H1939" i="25"/>
  <c r="G1939" i="25"/>
  <c r="H1938" i="25"/>
  <c r="G1938" i="25"/>
  <c r="H1937" i="25"/>
  <c r="G1937" i="25"/>
  <c r="H1936" i="25"/>
  <c r="G1936" i="25"/>
  <c r="H1935" i="25"/>
  <c r="G1935" i="25"/>
  <c r="H1921" i="25"/>
  <c r="G1921" i="25"/>
  <c r="I1920" i="25"/>
  <c r="H1920" i="25"/>
  <c r="G1920" i="25"/>
  <c r="I1919" i="25"/>
  <c r="H1919" i="25"/>
  <c r="G1919" i="25"/>
  <c r="H1918" i="25"/>
  <c r="G1918" i="25"/>
  <c r="H1917" i="25"/>
  <c r="G1917" i="25"/>
  <c r="H1916" i="25"/>
  <c r="G1916" i="25"/>
  <c r="I1915" i="25"/>
  <c r="H1915" i="25"/>
  <c r="G1915" i="25"/>
  <c r="H1914" i="25"/>
  <c r="G1914" i="25"/>
  <c r="H1913" i="25"/>
  <c r="G1913" i="25"/>
  <c r="H1912" i="25"/>
  <c r="G1912" i="25"/>
  <c r="H1911" i="25"/>
  <c r="G1911" i="25"/>
  <c r="I1910" i="25"/>
  <c r="G1910" i="25"/>
  <c r="H1909" i="25"/>
  <c r="G1909" i="25"/>
  <c r="H1908" i="25"/>
  <c r="G1908" i="25"/>
  <c r="H1907" i="25"/>
  <c r="G1907" i="25"/>
  <c r="H1906" i="25"/>
  <c r="G1906" i="25"/>
  <c r="H1905" i="25"/>
  <c r="G1905" i="25"/>
  <c r="I2365" i="25" l="1"/>
  <c r="H2364" i="25"/>
  <c r="T92" i="5" l="1"/>
  <c r="R92" i="5"/>
  <c r="S91" i="5"/>
  <c r="U90" i="5"/>
  <c r="T90" i="5"/>
  <c r="S90" i="5"/>
  <c r="R90" i="5"/>
  <c r="Q90" i="5"/>
  <c r="T66" i="5"/>
  <c r="R66" i="5"/>
  <c r="T17" i="5"/>
  <c r="R17" i="5"/>
  <c r="T47" i="5"/>
  <c r="R47" i="5"/>
  <c r="U46" i="5"/>
  <c r="S46" i="5"/>
  <c r="R46" i="5"/>
  <c r="U45" i="5"/>
  <c r="S45" i="5"/>
  <c r="R45" i="5"/>
  <c r="U44" i="5"/>
  <c r="S44" i="5"/>
  <c r="R44" i="5"/>
  <c r="V43" i="5"/>
  <c r="U43" i="5"/>
  <c r="T43" i="5"/>
  <c r="S43" i="5"/>
  <c r="Q43" i="5"/>
  <c r="S42" i="5"/>
  <c r="S41" i="5"/>
  <c r="S40" i="5"/>
  <c r="S39" i="5"/>
  <c r="S38" i="5"/>
  <c r="S37" i="5"/>
  <c r="S36" i="5"/>
  <c r="S35" i="5"/>
  <c r="S34" i="5"/>
  <c r="T65" i="5"/>
  <c r="V32" i="5"/>
  <c r="T32" i="5"/>
  <c r="S32" i="5"/>
  <c r="R32" i="5"/>
  <c r="V33" i="5"/>
  <c r="T33" i="5"/>
  <c r="S33" i="5"/>
  <c r="R33" i="5"/>
  <c r="S15" i="5"/>
  <c r="Q15" i="5"/>
  <c r="S14" i="5"/>
  <c r="Q14" i="5"/>
  <c r="S13" i="5"/>
  <c r="Q13" i="5"/>
  <c r="S12" i="5"/>
  <c r="Q12" i="5"/>
  <c r="S11" i="5"/>
  <c r="Q11" i="5"/>
  <c r="S10" i="5"/>
  <c r="Q10" i="5"/>
  <c r="S9" i="5"/>
  <c r="Q9" i="5"/>
  <c r="S8" i="5"/>
  <c r="Q8" i="5"/>
  <c r="S7" i="5"/>
  <c r="Q7" i="5"/>
  <c r="S6" i="5"/>
  <c r="Q6" i="5"/>
  <c r="S4" i="5"/>
  <c r="Q4" i="5"/>
  <c r="S3" i="5"/>
  <c r="Q3" i="5"/>
  <c r="S2" i="5"/>
  <c r="Q2" i="5"/>
  <c r="I89" i="5" a="1"/>
  <c r="I89" i="5" s="1"/>
  <c r="I88" i="5" a="1"/>
  <c r="I88" i="5" s="1"/>
  <c r="I87" i="5" a="1"/>
  <c r="I87" i="5" s="1"/>
  <c r="I86" i="5" a="1"/>
  <c r="I86" i="5" s="1"/>
  <c r="I69" i="5" a="1"/>
  <c r="I69" i="5" s="1"/>
  <c r="I67" i="5" a="1"/>
  <c r="I67" i="5" s="1"/>
  <c r="I63" i="5" a="1"/>
  <c r="I63" i="5" s="1"/>
  <c r="I62" i="5" a="1"/>
  <c r="I62" i="5" s="1"/>
  <c r="I61" i="5" a="1"/>
  <c r="I61" i="5" s="1"/>
  <c r="I60" i="5" a="1"/>
  <c r="I60" i="5" s="1"/>
  <c r="I59" i="5" a="1"/>
  <c r="I59" i="5" s="1"/>
  <c r="J202" i="24"/>
  <c r="F2369" i="25" s="1"/>
  <c r="G2369" i="25" s="1"/>
  <c r="J203" i="24"/>
  <c r="F2370" i="25" s="1"/>
  <c r="G2370" i="25" s="1"/>
  <c r="S5" i="5" l="1"/>
  <c r="S16" i="5"/>
  <c r="Q16" i="5"/>
  <c r="Q5" i="5"/>
  <c r="G2360" i="25"/>
  <c r="H2360" i="25"/>
  <c r="J111" i="24"/>
  <c r="F2360" i="25" s="1"/>
  <c r="H2359" i="25"/>
  <c r="G2359" i="25"/>
  <c r="J110" i="24"/>
  <c r="F2359" i="25" s="1"/>
  <c r="G2355" i="25"/>
  <c r="H2355" i="25"/>
  <c r="G2356" i="25"/>
  <c r="H2356" i="25"/>
  <c r="G2357" i="25"/>
  <c r="H2357" i="25"/>
  <c r="G2358" i="25"/>
  <c r="H2358" i="25"/>
  <c r="J73" i="24"/>
  <c r="F2358" i="25" s="1"/>
  <c r="J32" i="24"/>
  <c r="F2357" i="25" s="1"/>
  <c r="J31" i="24"/>
  <c r="F2356" i="25" s="1"/>
  <c r="J30" i="24"/>
  <c r="F2355" i="25" s="1"/>
  <c r="H2354" i="25"/>
  <c r="G2354" i="25"/>
  <c r="I2353" i="25"/>
  <c r="H2353" i="25"/>
  <c r="G2353" i="25"/>
  <c r="J70" i="24"/>
  <c r="F2353" i="25" s="1"/>
  <c r="I102" i="14"/>
  <c r="J102" i="14"/>
  <c r="K102" i="14"/>
  <c r="J126" i="24" l="1"/>
  <c r="J14" i="24" l="1"/>
  <c r="H1670" i="25"/>
  <c r="G1670" i="25"/>
  <c r="H1649" i="25"/>
  <c r="G1649" i="25"/>
  <c r="H1628" i="25"/>
  <c r="G1628" i="25"/>
  <c r="F648" i="25" l="1"/>
  <c r="F654" i="25"/>
  <c r="F622" i="25"/>
  <c r="F525" i="25"/>
  <c r="F530" i="25"/>
  <c r="F551" i="25"/>
  <c r="F421" i="25"/>
  <c r="F399" i="25"/>
  <c r="F395" i="25"/>
  <c r="F1064" i="25"/>
  <c r="F1088" i="25"/>
  <c r="F965" i="25"/>
  <c r="F989" i="25"/>
  <c r="F870" i="25"/>
  <c r="F764" i="25"/>
  <c r="F1069" i="25"/>
  <c r="F769" i="25"/>
  <c r="F1093" i="25"/>
  <c r="F970" i="25"/>
  <c r="F994" i="25"/>
  <c r="F865" i="25"/>
  <c r="C17" i="24"/>
  <c r="C16" i="24"/>
  <c r="C15" i="24"/>
  <c r="C11" i="24"/>
  <c r="E67" i="24" l="1"/>
  <c r="I101" i="14"/>
  <c r="J101" i="14"/>
  <c r="K101" i="14"/>
  <c r="I97" i="14"/>
  <c r="J97" i="14"/>
  <c r="K97" i="14"/>
  <c r="I98" i="14"/>
  <c r="J98" i="14"/>
  <c r="K98" i="14"/>
  <c r="I99" i="14"/>
  <c r="J99" i="14"/>
  <c r="K99" i="14"/>
  <c r="I96" i="14"/>
  <c r="J96" i="14"/>
  <c r="J85" i="14"/>
  <c r="K85" i="14"/>
  <c r="J86" i="14"/>
  <c r="K86" i="14"/>
  <c r="J87" i="14"/>
  <c r="K87" i="14"/>
  <c r="I88" i="14"/>
  <c r="J88" i="14"/>
  <c r="K88" i="14"/>
  <c r="J89" i="14"/>
  <c r="K89" i="14"/>
  <c r="I90" i="14"/>
  <c r="J90" i="14"/>
  <c r="K90" i="14"/>
  <c r="J91" i="14"/>
  <c r="K91" i="14"/>
  <c r="J92" i="14"/>
  <c r="K92" i="14"/>
  <c r="J93" i="14"/>
  <c r="K93" i="14"/>
  <c r="J94" i="14"/>
  <c r="K94" i="14"/>
  <c r="I95" i="14"/>
  <c r="J95" i="14"/>
  <c r="K95" i="14"/>
  <c r="G85" i="14"/>
  <c r="J80" i="14"/>
  <c r="K80" i="14"/>
  <c r="J81" i="14"/>
  <c r="K81" i="14"/>
  <c r="J82" i="14"/>
  <c r="K82" i="14"/>
  <c r="J83" i="14"/>
  <c r="K83" i="14"/>
  <c r="I84" i="14"/>
  <c r="J84" i="14"/>
  <c r="K84" i="14"/>
  <c r="K96" i="14"/>
  <c r="F100" i="14"/>
  <c r="F117" i="34"/>
  <c r="F116" i="34"/>
  <c r="F115" i="34"/>
  <c r="F114" i="34"/>
  <c r="F113" i="34"/>
  <c r="F112" i="34"/>
  <c r="F111" i="34"/>
  <c r="F110" i="34"/>
  <c r="F109" i="34"/>
  <c r="F108" i="34"/>
  <c r="F107" i="34"/>
  <c r="F106" i="34"/>
  <c r="F105" i="34"/>
  <c r="F104" i="34"/>
  <c r="F103" i="34"/>
  <c r="F102" i="34"/>
  <c r="F101" i="34"/>
  <c r="F100" i="34"/>
  <c r="F99" i="34"/>
  <c r="F98" i="34"/>
  <c r="F97" i="34"/>
  <c r="F96" i="34"/>
  <c r="F95" i="34"/>
  <c r="F94" i="34"/>
  <c r="F93" i="34"/>
  <c r="F92" i="34"/>
  <c r="F91" i="34"/>
  <c r="F90" i="34"/>
  <c r="F89" i="34"/>
  <c r="F88" i="34"/>
  <c r="F87" i="34"/>
  <c r="F86" i="34"/>
  <c r="F85" i="34"/>
  <c r="F84" i="34"/>
  <c r="F83" i="34"/>
  <c r="F82" i="34"/>
  <c r="F81" i="34"/>
  <c r="F80" i="34"/>
  <c r="F79" i="34"/>
  <c r="F78" i="34"/>
  <c r="F77" i="34"/>
  <c r="F76" i="34"/>
  <c r="AQ71" i="34"/>
  <c r="AQ70" i="34"/>
  <c r="AQ69" i="34"/>
  <c r="AR69" i="34" s="1"/>
  <c r="E117" i="34" s="1"/>
  <c r="AP69" i="34"/>
  <c r="AQ68" i="34"/>
  <c r="AR68" i="34" s="1"/>
  <c r="E116" i="34" s="1"/>
  <c r="C127" i="24" s="1"/>
  <c r="AP68" i="34"/>
  <c r="AQ67" i="34"/>
  <c r="AR67" i="34" s="1"/>
  <c r="E115" i="34" s="1"/>
  <c r="AP67" i="34"/>
  <c r="AQ66" i="34"/>
  <c r="AP66" i="34"/>
  <c r="AQ65" i="34"/>
  <c r="AP65" i="34"/>
  <c r="AQ64" i="34"/>
  <c r="AR64" i="34" s="1"/>
  <c r="E113" i="34" s="1"/>
  <c r="C196" i="24" s="1"/>
  <c r="AP64" i="34"/>
  <c r="AQ63" i="34"/>
  <c r="AP63" i="34"/>
  <c r="AQ62" i="34"/>
  <c r="AP62" i="34"/>
  <c r="AQ61" i="34"/>
  <c r="AP61" i="34"/>
  <c r="AQ60" i="34"/>
  <c r="AP60" i="34"/>
  <c r="AQ59" i="34"/>
  <c r="AP59" i="34"/>
  <c r="AQ58" i="34"/>
  <c r="AP58" i="34"/>
  <c r="AQ57" i="34"/>
  <c r="AP57" i="34"/>
  <c r="AQ56" i="34"/>
  <c r="AP56" i="34"/>
  <c r="AQ55" i="34"/>
  <c r="AP55" i="34"/>
  <c r="AQ54" i="34"/>
  <c r="AP54" i="34"/>
  <c r="AQ53" i="34"/>
  <c r="AP53" i="34"/>
  <c r="AQ52" i="34"/>
  <c r="AP52" i="34"/>
  <c r="AQ51" i="34"/>
  <c r="AP51" i="34"/>
  <c r="AQ50" i="34"/>
  <c r="AP50" i="34"/>
  <c r="AQ49" i="34"/>
  <c r="AP49" i="34"/>
  <c r="AQ48" i="34"/>
  <c r="AP48" i="34"/>
  <c r="AQ47" i="34"/>
  <c r="AP47" i="34"/>
  <c r="AQ46" i="34"/>
  <c r="AP46" i="34"/>
  <c r="AQ45" i="34"/>
  <c r="AR45" i="34" s="1"/>
  <c r="E107" i="34" s="1"/>
  <c r="AP45" i="34"/>
  <c r="AQ44" i="34"/>
  <c r="AR44" i="34" s="1"/>
  <c r="E106" i="34" s="1"/>
  <c r="AP44" i="34"/>
  <c r="AQ43" i="34"/>
  <c r="AR43" i="34" s="1"/>
  <c r="E105" i="34" s="1"/>
  <c r="AP43" i="34"/>
  <c r="AQ42" i="34"/>
  <c r="AR42" i="34" s="1"/>
  <c r="E104" i="34" s="1"/>
  <c r="AP42" i="34"/>
  <c r="AQ41" i="34"/>
  <c r="AR41" i="34" s="1"/>
  <c r="E103" i="34" s="1"/>
  <c r="AP41" i="34"/>
  <c r="AQ40" i="34"/>
  <c r="AR40" i="34" s="1"/>
  <c r="E102" i="34" s="1"/>
  <c r="AP40" i="34"/>
  <c r="AQ39" i="34"/>
  <c r="AR39" i="34" s="1"/>
  <c r="E101" i="34" s="1"/>
  <c r="AP39" i="34"/>
  <c r="AQ38" i="34"/>
  <c r="AR38" i="34" s="1"/>
  <c r="E100" i="34" s="1"/>
  <c r="C129" i="24" s="1"/>
  <c r="AP38" i="34"/>
  <c r="AQ37" i="34"/>
  <c r="AR37" i="34" s="1"/>
  <c r="E99" i="34" s="1"/>
  <c r="AP37" i="34"/>
  <c r="AQ36" i="34"/>
  <c r="AR36" i="34" s="1"/>
  <c r="E98" i="34" s="1"/>
  <c r="AP36" i="34"/>
  <c r="AQ35" i="34"/>
  <c r="AP35" i="34"/>
  <c r="AQ34" i="34"/>
  <c r="AP34" i="34"/>
  <c r="AQ33" i="34"/>
  <c r="AR33" i="34" s="1"/>
  <c r="E96" i="34" s="1"/>
  <c r="C179" i="24" s="1"/>
  <c r="AP33" i="34"/>
  <c r="AQ32" i="34"/>
  <c r="AP32" i="34"/>
  <c r="AQ31" i="34"/>
  <c r="AP31" i="34"/>
  <c r="AQ30" i="34"/>
  <c r="AP30" i="34"/>
  <c r="AQ29" i="34"/>
  <c r="AP29" i="34"/>
  <c r="AQ28" i="34"/>
  <c r="AP28" i="34"/>
  <c r="AQ27" i="34"/>
  <c r="AP27" i="34"/>
  <c r="AQ26" i="34"/>
  <c r="AP26" i="34"/>
  <c r="AQ25" i="34"/>
  <c r="AP25" i="34"/>
  <c r="AQ24" i="34"/>
  <c r="AP24" i="34"/>
  <c r="AQ23" i="34"/>
  <c r="AP23" i="34"/>
  <c r="AQ22" i="34"/>
  <c r="AR22" i="34" s="1"/>
  <c r="E90" i="34" s="1"/>
  <c r="AP22" i="34"/>
  <c r="AQ21" i="34"/>
  <c r="AP21" i="34"/>
  <c r="AQ20" i="34"/>
  <c r="AP20" i="34"/>
  <c r="AQ19" i="34"/>
  <c r="AR19" i="34" s="1"/>
  <c r="E88" i="34" s="1"/>
  <c r="AP19" i="34"/>
  <c r="AQ18" i="34"/>
  <c r="AP18" i="34"/>
  <c r="AQ17" i="34"/>
  <c r="AR17" i="34" s="1"/>
  <c r="E87" i="34" s="1"/>
  <c r="AP17" i="34"/>
  <c r="AQ16" i="34"/>
  <c r="AP16" i="34"/>
  <c r="AQ15" i="34"/>
  <c r="AP15" i="34"/>
  <c r="AQ14" i="34"/>
  <c r="AP14" i="34"/>
  <c r="AQ13" i="34"/>
  <c r="AP13" i="34"/>
  <c r="AQ12" i="34"/>
  <c r="AR12" i="34" s="1"/>
  <c r="E85" i="34" s="1"/>
  <c r="AP12" i="34"/>
  <c r="AQ11" i="34"/>
  <c r="AR11" i="34" s="1"/>
  <c r="E84" i="34" s="1"/>
  <c r="AP11" i="34"/>
  <c r="AQ10" i="34"/>
  <c r="AR10" i="34" s="1"/>
  <c r="E83" i="34" s="1"/>
  <c r="AP10" i="34"/>
  <c r="AQ9" i="34"/>
  <c r="AR9" i="34" s="1"/>
  <c r="E82" i="34" s="1"/>
  <c r="AP9" i="34"/>
  <c r="AQ8" i="34"/>
  <c r="AR8" i="34" s="1"/>
  <c r="E81" i="34" s="1"/>
  <c r="AP8" i="34"/>
  <c r="AQ7" i="34"/>
  <c r="AR7" i="34" s="1"/>
  <c r="E80" i="34" s="1"/>
  <c r="AP7" i="34"/>
  <c r="AQ6" i="34"/>
  <c r="AR6" i="34" s="1"/>
  <c r="E79" i="34" s="1"/>
  <c r="C198" i="24" s="1"/>
  <c r="AP6" i="34"/>
  <c r="AQ5" i="34"/>
  <c r="AR5" i="34" s="1"/>
  <c r="E78" i="34" s="1"/>
  <c r="C177" i="24" s="1"/>
  <c r="AP5" i="34"/>
  <c r="AQ4" i="34"/>
  <c r="AR4" i="34" s="1"/>
  <c r="E77" i="34" s="1"/>
  <c r="C176" i="24" s="1"/>
  <c r="AP4" i="34"/>
  <c r="AQ3" i="34"/>
  <c r="AP3" i="34"/>
  <c r="AQ2" i="34"/>
  <c r="AR2" i="34" l="1"/>
  <c r="E76" i="34" s="1"/>
  <c r="AR34" i="34"/>
  <c r="E97" i="34" s="1"/>
  <c r="AR23" i="34"/>
  <c r="E91" i="34" s="1"/>
  <c r="AR27" i="34"/>
  <c r="E93" i="34" s="1"/>
  <c r="AR31" i="34"/>
  <c r="E95" i="34" s="1"/>
  <c r="C197" i="24" s="1"/>
  <c r="AR65" i="34"/>
  <c r="E114" i="34" s="1"/>
  <c r="AR70" i="34"/>
  <c r="E86" i="34" s="1"/>
  <c r="C170" i="24" s="1"/>
  <c r="AR25" i="34"/>
  <c r="E92" i="34" s="1"/>
  <c r="C188" i="24" s="1"/>
  <c r="C141" i="24"/>
  <c r="C136" i="24"/>
  <c r="C126" i="24"/>
  <c r="C193" i="24"/>
  <c r="C189" i="24"/>
  <c r="C160" i="24"/>
  <c r="C144" i="24"/>
  <c r="C168" i="24"/>
  <c r="C152" i="24"/>
  <c r="AR54" i="34"/>
  <c r="AR61" i="34" s="1"/>
  <c r="E112" i="34" s="1"/>
  <c r="C154" i="24"/>
  <c r="C162" i="24"/>
  <c r="C146" i="24"/>
  <c r="AR46" i="34"/>
  <c r="AR49" i="34" s="1"/>
  <c r="E109" i="34" s="1"/>
  <c r="AR13" i="34"/>
  <c r="AR20" i="34"/>
  <c r="E89" i="34" s="1"/>
  <c r="AR51" i="34"/>
  <c r="E110" i="34" s="1"/>
  <c r="C134" i="24"/>
  <c r="C139" i="24"/>
  <c r="C173" i="24"/>
  <c r="C185" i="24"/>
  <c r="AR29" i="34"/>
  <c r="E94" i="34" s="1"/>
  <c r="C157" i="24"/>
  <c r="C182" i="24"/>
  <c r="C165" i="24"/>
  <c r="C149" i="24"/>
  <c r="C20" i="23"/>
  <c r="D20" i="23" s="1"/>
  <c r="C178" i="24" l="1"/>
  <c r="C175" i="24" s="1"/>
  <c r="E108" i="34"/>
  <c r="C125" i="24"/>
  <c r="C123" i="24"/>
  <c r="C124" i="24"/>
  <c r="C122" i="24"/>
  <c r="C133" i="24"/>
  <c r="C128" i="24"/>
  <c r="C199" i="24" s="1"/>
  <c r="C192" i="24"/>
  <c r="C191" i="24" s="1"/>
  <c r="E111" i="34"/>
  <c r="C132" i="24" s="1"/>
  <c r="C130" i="24" s="1"/>
  <c r="C145" i="24"/>
  <c r="C135" i="24"/>
  <c r="C169" i="24"/>
  <c r="C153" i="24"/>
  <c r="C140" i="24"/>
  <c r="C161" i="24"/>
  <c r="F5" i="30"/>
  <c r="T91" i="5" l="1"/>
  <c r="I1202" i="25"/>
  <c r="I98" i="25"/>
  <c r="I97" i="25"/>
  <c r="I100" i="25"/>
  <c r="I99" i="25"/>
  <c r="I96" i="25"/>
  <c r="I94" i="25"/>
  <c r="I2304" i="25"/>
  <c r="I2303" i="25"/>
  <c r="I2302" i="25"/>
  <c r="I2291" i="25"/>
  <c r="I2290" i="25"/>
  <c r="I2289" i="25"/>
  <c r="I2288" i="25"/>
  <c r="I2284" i="25"/>
  <c r="I2280" i="25"/>
  <c r="I2279" i="25"/>
  <c r="I2278" i="25"/>
  <c r="I2277" i="25"/>
  <c r="I2276" i="25"/>
  <c r="I2275" i="25"/>
  <c r="I2274" i="25"/>
  <c r="I2273" i="25"/>
  <c r="I2272" i="25"/>
  <c r="I1782" i="25"/>
  <c r="I1777" i="25"/>
  <c r="I1887" i="25"/>
  <c r="I1882" i="25"/>
  <c r="I1866" i="25"/>
  <c r="I1861" i="25"/>
  <c r="I1845" i="25"/>
  <c r="I1840" i="25"/>
  <c r="I1824" i="25"/>
  <c r="I1819" i="25"/>
  <c r="I1803" i="25"/>
  <c r="I1798" i="25"/>
  <c r="I1761" i="25"/>
  <c r="I1756" i="25"/>
  <c r="I1741" i="25"/>
  <c r="I1736" i="25"/>
  <c r="I1721" i="25"/>
  <c r="I1716" i="25"/>
  <c r="I1700" i="25"/>
  <c r="I1695" i="25"/>
  <c r="I1679" i="25"/>
  <c r="I1674" i="25"/>
  <c r="I1658" i="25" l="1"/>
  <c r="I1653" i="25"/>
  <c r="I1637" i="25"/>
  <c r="I1632" i="25"/>
  <c r="I95" i="25"/>
  <c r="I93" i="25"/>
  <c r="I92" i="25"/>
  <c r="I91" i="25"/>
  <c r="I90" i="25"/>
  <c r="I89" i="25"/>
  <c r="I88" i="25"/>
  <c r="I87" i="25"/>
  <c r="I79" i="25"/>
  <c r="I69" i="25" l="1"/>
  <c r="I68" i="25"/>
  <c r="I55" i="25"/>
  <c r="I52" i="25"/>
  <c r="I51" i="25"/>
  <c r="J207" i="24" l="1"/>
  <c r="J206" i="24"/>
  <c r="J201" i="24"/>
  <c r="J200" i="24"/>
  <c r="J199" i="24"/>
  <c r="J191" i="24"/>
  <c r="F1981" i="25" s="1"/>
  <c r="J189" i="24"/>
  <c r="J188" i="24"/>
  <c r="J187" i="24"/>
  <c r="J185" i="24"/>
  <c r="J184" i="24"/>
  <c r="J182" i="24"/>
  <c r="J181" i="24"/>
  <c r="J179" i="24"/>
  <c r="J178" i="24"/>
  <c r="J177" i="24"/>
  <c r="J176" i="24"/>
  <c r="J175" i="24"/>
  <c r="J173" i="24"/>
  <c r="J172" i="24"/>
  <c r="J170" i="24"/>
  <c r="J169" i="24"/>
  <c r="J168" i="24"/>
  <c r="J167" i="24"/>
  <c r="J165" i="24"/>
  <c r="J164" i="24"/>
  <c r="J162" i="24"/>
  <c r="J161" i="24"/>
  <c r="J160" i="24"/>
  <c r="J159" i="24"/>
  <c r="J157" i="24"/>
  <c r="J156" i="24"/>
  <c r="J154" i="24"/>
  <c r="J153" i="24"/>
  <c r="J152" i="24"/>
  <c r="J151" i="24"/>
  <c r="J149" i="24"/>
  <c r="J148" i="24"/>
  <c r="F2006" i="25" s="1"/>
  <c r="J146" i="24"/>
  <c r="J145" i="24"/>
  <c r="J144" i="24"/>
  <c r="J143" i="24"/>
  <c r="F2005" i="25" s="1"/>
  <c r="J141" i="24"/>
  <c r="J140" i="24"/>
  <c r="J139" i="24"/>
  <c r="J138" i="24"/>
  <c r="F2004" i="25" s="1"/>
  <c r="J136" i="24"/>
  <c r="J135" i="24"/>
  <c r="J134" i="24"/>
  <c r="J133" i="24"/>
  <c r="F1985" i="25" s="1"/>
  <c r="J132" i="24"/>
  <c r="J130" i="24"/>
  <c r="J198" i="24"/>
  <c r="J197" i="24"/>
  <c r="J196" i="24"/>
  <c r="J195" i="24"/>
  <c r="J129" i="24"/>
  <c r="J128" i="24"/>
  <c r="J127" i="24"/>
  <c r="J125" i="24"/>
  <c r="J124" i="24"/>
  <c r="J123" i="24"/>
  <c r="J122" i="24"/>
  <c r="J119" i="24"/>
  <c r="J117" i="24"/>
  <c r="J116" i="24"/>
  <c r="J115" i="24"/>
  <c r="J114" i="24"/>
  <c r="J113" i="24"/>
  <c r="J109" i="24"/>
  <c r="J108" i="24"/>
  <c r="J107" i="24"/>
  <c r="J106" i="24"/>
  <c r="J105" i="24"/>
  <c r="J104" i="24"/>
  <c r="J103" i="24"/>
  <c r="J102" i="24"/>
  <c r="J101" i="24"/>
  <c r="J100" i="24"/>
  <c r="J99" i="24"/>
  <c r="J98" i="24"/>
  <c r="J97" i="24"/>
  <c r="J96" i="24"/>
  <c r="J95" i="24"/>
  <c r="J94" i="24"/>
  <c r="J93" i="24"/>
  <c r="J92" i="24"/>
  <c r="J91" i="24"/>
  <c r="J90" i="24"/>
  <c r="J89" i="24"/>
  <c r="J88" i="24"/>
  <c r="J87" i="24"/>
  <c r="J85" i="24"/>
  <c r="J84" i="24"/>
  <c r="J83" i="24"/>
  <c r="J82" i="24"/>
  <c r="J81" i="24"/>
  <c r="J80" i="24"/>
  <c r="J79" i="24"/>
  <c r="F1986" i="25" s="1"/>
  <c r="J78" i="24"/>
  <c r="J76" i="24"/>
  <c r="J75" i="24"/>
  <c r="J74" i="24"/>
  <c r="J52" i="24"/>
  <c r="J53" i="24"/>
  <c r="J54" i="24"/>
  <c r="J55" i="24"/>
  <c r="J56" i="24"/>
  <c r="J57" i="24"/>
  <c r="J58" i="24"/>
  <c r="J59" i="24"/>
  <c r="J61" i="24"/>
  <c r="J62" i="24"/>
  <c r="J63" i="24"/>
  <c r="J64" i="24"/>
  <c r="J67" i="24"/>
  <c r="J68" i="24"/>
  <c r="J69" i="24"/>
  <c r="J51" i="24"/>
  <c r="J50" i="24"/>
  <c r="J49" i="24"/>
  <c r="J48" i="24"/>
  <c r="J47" i="24"/>
  <c r="J46" i="24"/>
  <c r="J45" i="24"/>
  <c r="J40" i="24"/>
  <c r="J39" i="24"/>
  <c r="J38" i="24"/>
  <c r="J37" i="24"/>
  <c r="J36" i="24"/>
  <c r="J35" i="24"/>
  <c r="J4" i="24"/>
  <c r="J5" i="24"/>
  <c r="J6" i="24"/>
  <c r="J7" i="24"/>
  <c r="J8" i="24"/>
  <c r="J9" i="24"/>
  <c r="J10" i="24"/>
  <c r="J11" i="24"/>
  <c r="J12" i="24"/>
  <c r="J13" i="24"/>
  <c r="J15" i="24"/>
  <c r="J16" i="24"/>
  <c r="J17" i="24"/>
  <c r="J18" i="24"/>
  <c r="J19" i="24"/>
  <c r="J20" i="24"/>
  <c r="J21" i="24"/>
  <c r="J22" i="24"/>
  <c r="J23" i="24"/>
  <c r="J24" i="24"/>
  <c r="J25" i="24"/>
  <c r="J26" i="24"/>
  <c r="J27" i="24"/>
  <c r="J28" i="24"/>
  <c r="J29" i="24"/>
  <c r="J3" i="24"/>
  <c r="E18" i="25"/>
  <c r="E17" i="25"/>
  <c r="F620" i="25" l="1"/>
  <c r="F646" i="25"/>
  <c r="F523" i="25"/>
  <c r="F549" i="25"/>
  <c r="F419" i="25"/>
  <c r="F393" i="25"/>
  <c r="F516" i="25"/>
  <c r="F542" i="25"/>
  <c r="F413" i="25"/>
  <c r="F388" i="25"/>
  <c r="F387" i="25"/>
  <c r="F414" i="25"/>
  <c r="F521" i="25"/>
  <c r="F547" i="25"/>
  <c r="F605" i="25"/>
  <c r="F631" i="25"/>
  <c r="F624" i="25"/>
  <c r="F650" i="25"/>
  <c r="F535" i="25"/>
  <c r="F533" i="25"/>
  <c r="F531" i="25"/>
  <c r="F529" i="25"/>
  <c r="F527" i="25"/>
  <c r="F553" i="25"/>
  <c r="F423" i="25"/>
  <c r="F397" i="25"/>
  <c r="F658" i="25"/>
  <c r="F534" i="25"/>
  <c r="F401" i="25"/>
  <c r="F392" i="25"/>
  <c r="F418" i="25"/>
  <c r="F383" i="25"/>
  <c r="F409" i="25"/>
  <c r="F385" i="25"/>
  <c r="F411" i="25"/>
  <c r="F643" i="25"/>
  <c r="F617" i="25"/>
  <c r="F659" i="25"/>
  <c r="F651" i="25"/>
  <c r="F641" i="25"/>
  <c r="F625" i="25"/>
  <c r="F615" i="25"/>
  <c r="F614" i="25"/>
  <c r="F640" i="25"/>
  <c r="F657" i="25"/>
  <c r="F655" i="25"/>
  <c r="F619" i="25"/>
  <c r="F645" i="25"/>
  <c r="F653" i="25"/>
  <c r="F656" i="25"/>
  <c r="F652" i="25"/>
  <c r="F532" i="25"/>
  <c r="F528" i="25"/>
  <c r="F400" i="25"/>
  <c r="F398" i="25"/>
  <c r="F390" i="25"/>
  <c r="F416" i="25"/>
  <c r="F518" i="25"/>
  <c r="F544" i="25"/>
  <c r="F410" i="25"/>
  <c r="F384" i="25"/>
  <c r="F627" i="25"/>
  <c r="F661" i="25"/>
  <c r="F536" i="25"/>
  <c r="F555" i="25"/>
  <c r="F402" i="25"/>
  <c r="F541" i="25"/>
  <c r="F515" i="25"/>
  <c r="F381" i="25"/>
  <c r="F407" i="25"/>
  <c r="F2365" i="25"/>
  <c r="G2365" i="25" s="1"/>
  <c r="F636" i="25"/>
  <c r="F616" i="25"/>
  <c r="F642" i="25"/>
  <c r="F610" i="25"/>
  <c r="F519" i="25"/>
  <c r="F545" i="25"/>
  <c r="F522" i="25"/>
  <c r="F548" i="25"/>
  <c r="F415" i="25"/>
  <c r="F389" i="25"/>
  <c r="F417" i="25"/>
  <c r="F391" i="25"/>
  <c r="F632" i="25"/>
  <c r="F606" i="25"/>
  <c r="F612" i="25"/>
  <c r="F638" i="25"/>
  <c r="F613" i="25"/>
  <c r="F639" i="25"/>
  <c r="F660" i="25"/>
  <c r="F626" i="25"/>
  <c r="F537" i="25"/>
  <c r="F554" i="25"/>
  <c r="F403" i="25"/>
  <c r="F609" i="25"/>
  <c r="F635" i="25"/>
  <c r="F408" i="25"/>
  <c r="F382" i="25"/>
  <c r="F412" i="25"/>
  <c r="F386" i="25"/>
  <c r="F618" i="25"/>
  <c r="F644" i="25"/>
  <c r="F623" i="25"/>
  <c r="F649" i="25"/>
  <c r="F526" i="25"/>
  <c r="F552" i="25"/>
  <c r="F396" i="25"/>
  <c r="F422" i="25"/>
  <c r="F621" i="25"/>
  <c r="F647" i="25"/>
  <c r="F524" i="25"/>
  <c r="F550" i="25"/>
  <c r="F394" i="25"/>
  <c r="F420" i="25"/>
  <c r="F608" i="25"/>
  <c r="F634" i="25"/>
  <c r="F611" i="25"/>
  <c r="F637" i="25"/>
  <c r="F517" i="25"/>
  <c r="F543" i="25"/>
  <c r="F520" i="25"/>
  <c r="F546" i="25"/>
  <c r="F2315" i="25"/>
  <c r="F2327" i="25"/>
  <c r="F2330" i="25"/>
  <c r="F2329" i="25"/>
  <c r="F2328" i="25"/>
  <c r="F2317" i="25"/>
  <c r="F2314" i="25"/>
  <c r="F2316" i="25"/>
  <c r="F2189" i="25"/>
  <c r="F2129" i="25"/>
  <c r="F2069" i="25"/>
  <c r="F2011" i="25"/>
  <c r="F2159" i="25"/>
  <c r="F2099" i="25"/>
  <c r="F2040" i="25"/>
  <c r="F1929" i="25"/>
  <c r="F1959" i="25"/>
  <c r="F1899" i="25"/>
  <c r="F2249" i="25"/>
  <c r="F2219" i="25"/>
  <c r="F2125" i="25"/>
  <c r="F2065" i="25"/>
  <c r="F2007" i="25"/>
  <c r="F2185" i="25"/>
  <c r="F2155" i="25"/>
  <c r="F2095" i="25"/>
  <c r="F2036" i="25"/>
  <c r="F1955" i="25"/>
  <c r="F1895" i="25"/>
  <c r="F2215" i="25"/>
  <c r="F1925" i="25"/>
  <c r="F2245" i="25"/>
  <c r="F2072" i="25"/>
  <c r="F2014" i="25"/>
  <c r="F2192" i="25"/>
  <c r="F2132" i="25"/>
  <c r="F2102" i="25"/>
  <c r="F2043" i="25"/>
  <c r="F2162" i="25"/>
  <c r="F1932" i="25"/>
  <c r="F2252" i="25"/>
  <c r="F1962" i="25"/>
  <c r="F1902" i="25"/>
  <c r="F2222" i="25"/>
  <c r="F1098" i="25"/>
  <c r="F999" i="25"/>
  <c r="F875" i="25"/>
  <c r="F1074" i="25"/>
  <c r="F975" i="25"/>
  <c r="F774" i="25"/>
  <c r="F2008" i="25"/>
  <c r="F2186" i="25"/>
  <c r="F2126" i="25"/>
  <c r="F2066" i="25"/>
  <c r="F2037" i="25"/>
  <c r="F2156" i="25"/>
  <c r="F2096" i="25"/>
  <c r="F2216" i="25"/>
  <c r="F2246" i="25"/>
  <c r="F1926" i="25"/>
  <c r="F1956" i="25"/>
  <c r="F1896" i="25"/>
  <c r="F1101" i="25"/>
  <c r="F1077" i="25"/>
  <c r="F1002" i="25"/>
  <c r="F978" i="25"/>
  <c r="F777" i="25"/>
  <c r="F878" i="25"/>
  <c r="F2203" i="25"/>
  <c r="F2113" i="25"/>
  <c r="F2173" i="25"/>
  <c r="F2083" i="25"/>
  <c r="F2025" i="25"/>
  <c r="F2143" i="25"/>
  <c r="F1995" i="25"/>
  <c r="F2054" i="25"/>
  <c r="F2263" i="25"/>
  <c r="F2233" i="25"/>
  <c r="F1974" i="25"/>
  <c r="F1944" i="25"/>
  <c r="F1914" i="25"/>
  <c r="F1951" i="25"/>
  <c r="F1921" i="25"/>
  <c r="F2242" i="25"/>
  <c r="F2212" i="25"/>
  <c r="F2243" i="25"/>
  <c r="F2213" i="25"/>
  <c r="F2026" i="25"/>
  <c r="F1996" i="25"/>
  <c r="F2144" i="25"/>
  <c r="F2055" i="25"/>
  <c r="F2204" i="25"/>
  <c r="F2114" i="25"/>
  <c r="F2174" i="25"/>
  <c r="F2084" i="25"/>
  <c r="F2264" i="25"/>
  <c r="F2234" i="25"/>
  <c r="F1975" i="25"/>
  <c r="F1945" i="25"/>
  <c r="F1915" i="25"/>
  <c r="F2124" i="25"/>
  <c r="F2094" i="25"/>
  <c r="F2153" i="25"/>
  <c r="F2183" i="25"/>
  <c r="F996" i="25"/>
  <c r="F867" i="25"/>
  <c r="F1066" i="25"/>
  <c r="F872" i="25"/>
  <c r="F1100" i="25"/>
  <c r="F1090" i="25"/>
  <c r="F967" i="25"/>
  <c r="F877" i="25"/>
  <c r="F771" i="25"/>
  <c r="F1071" i="25"/>
  <c r="F1001" i="25"/>
  <c r="F991" i="25"/>
  <c r="F1076" i="25"/>
  <c r="F972" i="25"/>
  <c r="F1095" i="25"/>
  <c r="F977" i="25"/>
  <c r="F776" i="25"/>
  <c r="F766" i="25"/>
  <c r="F2136" i="25"/>
  <c r="F1988" i="25"/>
  <c r="F2047" i="25"/>
  <c r="F2196" i="25"/>
  <c r="F2106" i="25"/>
  <c r="F2166" i="25"/>
  <c r="F2076" i="25"/>
  <c r="F2018" i="25"/>
  <c r="F2226" i="25"/>
  <c r="F1967" i="25"/>
  <c r="F1937" i="25"/>
  <c r="F1907" i="25"/>
  <c r="F2256" i="25"/>
  <c r="F2207" i="25"/>
  <c r="F2117" i="25"/>
  <c r="F2177" i="25"/>
  <c r="F2087" i="25"/>
  <c r="F2029" i="25"/>
  <c r="F2147" i="25"/>
  <c r="F1999" i="25"/>
  <c r="F2058" i="25"/>
  <c r="F2267" i="25"/>
  <c r="F2237" i="25"/>
  <c r="F1978" i="25"/>
  <c r="F1948" i="25"/>
  <c r="F1918" i="25"/>
  <c r="F2030" i="25"/>
  <c r="F2148" i="25"/>
  <c r="F2000" i="25"/>
  <c r="F2059" i="25"/>
  <c r="F2208" i="25"/>
  <c r="F2118" i="25"/>
  <c r="F2178" i="25"/>
  <c r="F2088" i="25"/>
  <c r="F2268" i="25"/>
  <c r="F2238" i="25"/>
  <c r="F1979" i="25"/>
  <c r="F1949" i="25"/>
  <c r="F1919" i="25"/>
  <c r="F2244" i="25"/>
  <c r="F2214" i="25"/>
  <c r="F2167" i="25"/>
  <c r="F2077" i="25"/>
  <c r="F2019" i="25"/>
  <c r="F2137" i="25"/>
  <c r="F1989" i="25"/>
  <c r="F2048" i="25"/>
  <c r="F2197" i="25"/>
  <c r="F2107" i="25"/>
  <c r="F2257" i="25"/>
  <c r="F2227" i="25"/>
  <c r="F1968" i="25"/>
  <c r="F1938" i="25"/>
  <c r="F1908" i="25"/>
  <c r="F2122" i="25"/>
  <c r="F2092" i="25"/>
  <c r="F2193" i="25"/>
  <c r="F2133" i="25"/>
  <c r="F2073" i="25"/>
  <c r="F2015" i="25"/>
  <c r="F2163" i="25"/>
  <c r="F2103" i="25"/>
  <c r="F2044" i="25"/>
  <c r="F1963" i="25"/>
  <c r="F1903" i="25"/>
  <c r="F2223" i="25"/>
  <c r="F1933" i="25"/>
  <c r="F2253" i="25"/>
  <c r="F1091" i="25"/>
  <c r="F1072" i="25"/>
  <c r="F968" i="25"/>
  <c r="F772" i="25"/>
  <c r="F992" i="25"/>
  <c r="F973" i="25"/>
  <c r="F879" i="25"/>
  <c r="F767" i="25"/>
  <c r="F1096" i="25"/>
  <c r="F1067" i="25"/>
  <c r="F1102" i="25"/>
  <c r="F1078" i="25"/>
  <c r="F997" i="25"/>
  <c r="F868" i="25"/>
  <c r="F1003" i="25"/>
  <c r="F979" i="25"/>
  <c r="F873" i="25"/>
  <c r="F778" i="25"/>
  <c r="F2138" i="25"/>
  <c r="F1990" i="25"/>
  <c r="F2049" i="25"/>
  <c r="F2198" i="25"/>
  <c r="F2108" i="25"/>
  <c r="F2168" i="25"/>
  <c r="F2078" i="25"/>
  <c r="F2020" i="25"/>
  <c r="F2228" i="25"/>
  <c r="F1969" i="25"/>
  <c r="F1939" i="25"/>
  <c r="F1909" i="25"/>
  <c r="F2258" i="25"/>
  <c r="F2034" i="25"/>
  <c r="F2063" i="25"/>
  <c r="F2182" i="25"/>
  <c r="F2152" i="25"/>
  <c r="F2169" i="25"/>
  <c r="F2079" i="25"/>
  <c r="F2021" i="25"/>
  <c r="F2139" i="25"/>
  <c r="F1991" i="25"/>
  <c r="F2050" i="25"/>
  <c r="F2199" i="25"/>
  <c r="F2109" i="25"/>
  <c r="F2259" i="25"/>
  <c r="F2229" i="25"/>
  <c r="F1970" i="25"/>
  <c r="F1940" i="25"/>
  <c r="F1910" i="25"/>
  <c r="F1980" i="25"/>
  <c r="F1950" i="25"/>
  <c r="F1920" i="25"/>
  <c r="F986" i="25"/>
  <c r="F882" i="25"/>
  <c r="F781" i="25"/>
  <c r="F1081" i="25"/>
  <c r="F1085" i="25"/>
  <c r="F982" i="25"/>
  <c r="F2201" i="25"/>
  <c r="F2111" i="25"/>
  <c r="F2171" i="25"/>
  <c r="F2081" i="25"/>
  <c r="F2023" i="25"/>
  <c r="F2141" i="25"/>
  <c r="F1993" i="25"/>
  <c r="F2052" i="25"/>
  <c r="F2261" i="25"/>
  <c r="F2231" i="25"/>
  <c r="F1972" i="25"/>
  <c r="F1942" i="25"/>
  <c r="F1912" i="25"/>
  <c r="F2367" i="25"/>
  <c r="G2367" i="25" s="1"/>
  <c r="F2028" i="25"/>
  <c r="F2146" i="25"/>
  <c r="F1998" i="25"/>
  <c r="F2057" i="25"/>
  <c r="F2206" i="25"/>
  <c r="F2116" i="25"/>
  <c r="F2176" i="25"/>
  <c r="F2086" i="25"/>
  <c r="F2266" i="25"/>
  <c r="F2236" i="25"/>
  <c r="F1977" i="25"/>
  <c r="F1947" i="25"/>
  <c r="F1917" i="25"/>
  <c r="F2127" i="25"/>
  <c r="F2067" i="25"/>
  <c r="F2009" i="25"/>
  <c r="F2187" i="25"/>
  <c r="F2157" i="25"/>
  <c r="F2097" i="25"/>
  <c r="F2038" i="25"/>
  <c r="F1957" i="25"/>
  <c r="F1897" i="25"/>
  <c r="F2217" i="25"/>
  <c r="F2247" i="25"/>
  <c r="F1927" i="25"/>
  <c r="F2035" i="25"/>
  <c r="F2064" i="25"/>
  <c r="F2123" i="25"/>
  <c r="F2093" i="25"/>
  <c r="F2074" i="25"/>
  <c r="F2016" i="25"/>
  <c r="F2194" i="25"/>
  <c r="F2134" i="25"/>
  <c r="F2104" i="25"/>
  <c r="F2024" i="25"/>
  <c r="F2142" i="25"/>
  <c r="F1994" i="25"/>
  <c r="F2045" i="25"/>
  <c r="F2053" i="25"/>
  <c r="F2202" i="25"/>
  <c r="F2112" i="25"/>
  <c r="F2172" i="25"/>
  <c r="F2082" i="25"/>
  <c r="F2164" i="25"/>
  <c r="F1904" i="25"/>
  <c r="F2224" i="25"/>
  <c r="F1964" i="25"/>
  <c r="F2349" i="25"/>
  <c r="F2254" i="25"/>
  <c r="F1934" i="25"/>
  <c r="F2262" i="25"/>
  <c r="F2232" i="25"/>
  <c r="F1973" i="25"/>
  <c r="F1943" i="25"/>
  <c r="F1913" i="25"/>
  <c r="F1103" i="25"/>
  <c r="F1004" i="25"/>
  <c r="F1070" i="25"/>
  <c r="F1075" i="25"/>
  <c r="F971" i="25"/>
  <c r="F1094" i="25"/>
  <c r="F976" i="25"/>
  <c r="F775" i="25"/>
  <c r="F765" i="25"/>
  <c r="F995" i="25"/>
  <c r="F866" i="25"/>
  <c r="F1000" i="25"/>
  <c r="F1086" i="25"/>
  <c r="F1065" i="25"/>
  <c r="F987" i="25"/>
  <c r="F990" i="25"/>
  <c r="F1099" i="25"/>
  <c r="F1089" i="25"/>
  <c r="F966" i="25"/>
  <c r="F871" i="25"/>
  <c r="F770" i="25"/>
  <c r="F876" i="25"/>
  <c r="F2022" i="25"/>
  <c r="F1992" i="25"/>
  <c r="F2140" i="25"/>
  <c r="F2051" i="25"/>
  <c r="F2200" i="25"/>
  <c r="F2110" i="25"/>
  <c r="F2170" i="25"/>
  <c r="F2080" i="25"/>
  <c r="F2260" i="25"/>
  <c r="F2230" i="25"/>
  <c r="F1971" i="25"/>
  <c r="F1941" i="25"/>
  <c r="F1911" i="25"/>
  <c r="F2366" i="25"/>
  <c r="G2366" i="25" s="1"/>
  <c r="F2205" i="25"/>
  <c r="F2115" i="25"/>
  <c r="F2175" i="25"/>
  <c r="F2085" i="25"/>
  <c r="F2027" i="25"/>
  <c r="F2145" i="25"/>
  <c r="F1997" i="25"/>
  <c r="F2056" i="25"/>
  <c r="F2265" i="25"/>
  <c r="F2235" i="25"/>
  <c r="F1976" i="25"/>
  <c r="F1946" i="25"/>
  <c r="F1916" i="25"/>
  <c r="F2017" i="25"/>
  <c r="F2135" i="25"/>
  <c r="F1987" i="25"/>
  <c r="F2046" i="25"/>
  <c r="F2195" i="25"/>
  <c r="F2105" i="25"/>
  <c r="F2165" i="25"/>
  <c r="F2075" i="25"/>
  <c r="F2255" i="25"/>
  <c r="F2225" i="25"/>
  <c r="F1965" i="25"/>
  <c r="F1935" i="25"/>
  <c r="F1905" i="25"/>
  <c r="F2131" i="25"/>
  <c r="F2071" i="25"/>
  <c r="F2013" i="25"/>
  <c r="F2191" i="25"/>
  <c r="F2161" i="25"/>
  <c r="F2101" i="25"/>
  <c r="F2042" i="25"/>
  <c r="F1901" i="25"/>
  <c r="F2221" i="25"/>
  <c r="F1931" i="25"/>
  <c r="F1961" i="25"/>
  <c r="F2251" i="25"/>
  <c r="F2068" i="25"/>
  <c r="F2010" i="25"/>
  <c r="F2128" i="25"/>
  <c r="F2188" i="25"/>
  <c r="F2098" i="25"/>
  <c r="F2039" i="25"/>
  <c r="F2158" i="25"/>
  <c r="F1898" i="25"/>
  <c r="F2218" i="25"/>
  <c r="F2248" i="25"/>
  <c r="F1928" i="25"/>
  <c r="F1958" i="25"/>
  <c r="F2070" i="25"/>
  <c r="F2190" i="25"/>
  <c r="F2012" i="25"/>
  <c r="F2130" i="25"/>
  <c r="F2100" i="25"/>
  <c r="F2041" i="25"/>
  <c r="F2160" i="25"/>
  <c r="F1960" i="25"/>
  <c r="F2250" i="25"/>
  <c r="F1900" i="25"/>
  <c r="F2220" i="25"/>
  <c r="F1930" i="25"/>
  <c r="F1906" i="25"/>
  <c r="F1966" i="25"/>
  <c r="F1936" i="25"/>
  <c r="F2154" i="25"/>
  <c r="F2184" i="25"/>
  <c r="F1080" i="25"/>
  <c r="F1084" i="25"/>
  <c r="F981" i="25"/>
  <c r="F780" i="25"/>
  <c r="F985" i="25"/>
  <c r="F881" i="25"/>
  <c r="F2354" i="25"/>
  <c r="F1628" i="25"/>
  <c r="F1670" i="25"/>
  <c r="F1649" i="25"/>
  <c r="I1" i="24"/>
  <c r="E1" i="25" l="1"/>
  <c r="F2344" i="25" l="1"/>
  <c r="F2343" i="25"/>
  <c r="F2346" i="25"/>
  <c r="F2347" i="25"/>
  <c r="F2342" i="25"/>
  <c r="F2345" i="25"/>
  <c r="F2340" i="25"/>
  <c r="I2347" i="25"/>
  <c r="I2346" i="25"/>
  <c r="I2345" i="25"/>
  <c r="I2344" i="25"/>
  <c r="I2343" i="25"/>
  <c r="I2342" i="25"/>
  <c r="I2340" i="25"/>
  <c r="F2348" i="25"/>
  <c r="F2341" i="25"/>
  <c r="H2348" i="25"/>
  <c r="H2347" i="25"/>
  <c r="H2346" i="25"/>
  <c r="H2345" i="25"/>
  <c r="H2344" i="25"/>
  <c r="H2343" i="25"/>
  <c r="H2342" i="25"/>
  <c r="H2341" i="25"/>
  <c r="H2340" i="25"/>
  <c r="G2348" i="25"/>
  <c r="G2347" i="25"/>
  <c r="G2346" i="25"/>
  <c r="G2345" i="25"/>
  <c r="G2344" i="25"/>
  <c r="G2343" i="25"/>
  <c r="G2342" i="25"/>
  <c r="G2341" i="25"/>
  <c r="G2340" i="25"/>
  <c r="G2284" i="25" l="1"/>
  <c r="H2284" i="25"/>
  <c r="G2304" i="25" l="1"/>
  <c r="H2304" i="25"/>
  <c r="G2303" i="25"/>
  <c r="H2303" i="25"/>
  <c r="G2302" i="25"/>
  <c r="H2302" i="25"/>
  <c r="G2301" i="25"/>
  <c r="H2301" i="25"/>
  <c r="F2291" i="25"/>
  <c r="F2288" i="25"/>
  <c r="G2291" i="25"/>
  <c r="G2290" i="25"/>
  <c r="G2289" i="25"/>
  <c r="G2288" i="25"/>
  <c r="H2291" i="25"/>
  <c r="H2290" i="25"/>
  <c r="H2289" i="25"/>
  <c r="H2288" i="25"/>
  <c r="F2304" i="25"/>
  <c r="F2302" i="25" l="1"/>
  <c r="F2303" i="25"/>
  <c r="F2289" i="25"/>
  <c r="F2290" i="25"/>
  <c r="F2301" i="25"/>
  <c r="C19" i="23" l="1"/>
  <c r="D19" i="23" s="1"/>
  <c r="C200" i="24" l="1"/>
  <c r="C75" i="24"/>
  <c r="C28" i="24"/>
  <c r="C107" i="24"/>
  <c r="H2" i="10"/>
  <c r="K100" i="14" l="1"/>
  <c r="J100" i="14"/>
  <c r="G100" i="14"/>
  <c r="H100" i="14" s="1"/>
  <c r="L100" i="14" s="1"/>
  <c r="I100" i="14" l="1"/>
  <c r="M100" i="14" l="1"/>
  <c r="N100" i="14" s="1"/>
  <c r="B48" i="14" s="1"/>
  <c r="C62" i="24" l="1"/>
  <c r="G49" i="25"/>
  <c r="H49" i="25"/>
  <c r="G48" i="25"/>
  <c r="H48" i="25"/>
  <c r="I47" i="25"/>
  <c r="G47" i="25"/>
  <c r="H47" i="25"/>
  <c r="F46" i="25"/>
  <c r="G46" i="25"/>
  <c r="H46" i="25"/>
  <c r="F45" i="25"/>
  <c r="G45" i="25"/>
  <c r="H45" i="25"/>
  <c r="F44" i="25"/>
  <c r="G44" i="25"/>
  <c r="H44" i="25"/>
  <c r="I1408" i="25" l="1"/>
  <c r="I1400" i="25"/>
  <c r="C117" i="24" l="1"/>
  <c r="C116" i="24"/>
  <c r="C95" i="24"/>
  <c r="L4" i="24" l="1"/>
  <c r="L5" i="24"/>
  <c r="L6" i="24"/>
  <c r="L9" i="24"/>
  <c r="L10" i="24"/>
  <c r="L7" i="24"/>
  <c r="L8" i="24"/>
  <c r="L11" i="24"/>
  <c r="L12" i="24"/>
  <c r="L13" i="24"/>
  <c r="L15" i="24"/>
  <c r="L16" i="24"/>
  <c r="L17" i="24"/>
  <c r="L18" i="24"/>
  <c r="L19" i="24"/>
  <c r="L20" i="24"/>
  <c r="L21" i="24"/>
  <c r="L22" i="24"/>
  <c r="L23" i="24"/>
  <c r="L24" i="24"/>
  <c r="L25" i="24"/>
  <c r="L14" i="24"/>
  <c r="L3" i="24"/>
  <c r="H24" i="25" l="1"/>
  <c r="G24" i="25"/>
  <c r="H25" i="25"/>
  <c r="G25" i="25"/>
  <c r="H26" i="25"/>
  <c r="G26" i="25"/>
  <c r="F26" i="25"/>
  <c r="F25" i="25"/>
  <c r="F24" i="25"/>
  <c r="E200" i="24"/>
  <c r="G22" i="25"/>
  <c r="G23" i="25"/>
  <c r="H22" i="25"/>
  <c r="H23" i="25"/>
  <c r="F22" i="25"/>
  <c r="F23" i="25"/>
  <c r="G93" i="14" l="1"/>
  <c r="H93" i="14" s="1"/>
  <c r="L93" i="14" l="1"/>
  <c r="I93" i="14"/>
  <c r="M93" i="14"/>
  <c r="N93" i="14" s="1"/>
  <c r="B46" i="14" s="1"/>
  <c r="C43" i="24" s="1"/>
  <c r="F59" i="24"/>
  <c r="H85" i="14"/>
  <c r="G87" i="14"/>
  <c r="H87" i="14" s="1"/>
  <c r="L87" i="14" l="1"/>
  <c r="I87" i="14"/>
  <c r="L85" i="14"/>
  <c r="I85" i="14"/>
  <c r="M87" i="14" l="1"/>
  <c r="N87" i="14" s="1"/>
  <c r="B43" i="14" s="1"/>
  <c r="C61" i="24"/>
  <c r="M85" i="14"/>
  <c r="N85" i="14" l="1"/>
  <c r="B45" i="14" s="1"/>
  <c r="C67" i="24" l="1"/>
  <c r="G1890" i="25"/>
  <c r="H1890" i="25"/>
  <c r="G1889" i="25"/>
  <c r="H1889" i="25"/>
  <c r="G1888" i="25"/>
  <c r="H1888" i="25"/>
  <c r="F1887" i="25"/>
  <c r="G1887" i="25"/>
  <c r="H1887" i="25"/>
  <c r="F1886" i="25"/>
  <c r="G1886" i="25"/>
  <c r="H1886" i="25"/>
  <c r="F1885" i="25"/>
  <c r="G1885" i="25"/>
  <c r="H1885" i="25"/>
  <c r="G1884" i="25"/>
  <c r="H1884" i="25"/>
  <c r="F1883" i="25"/>
  <c r="G1883" i="25"/>
  <c r="H1883" i="25"/>
  <c r="F1882" i="25"/>
  <c r="G1882" i="25"/>
  <c r="G1881" i="25"/>
  <c r="H1881" i="25"/>
  <c r="F1880" i="25"/>
  <c r="G1880" i="25"/>
  <c r="H1880" i="25"/>
  <c r="F1879" i="25"/>
  <c r="G1879" i="25"/>
  <c r="H1879" i="25"/>
  <c r="G1848" i="25"/>
  <c r="H1848" i="25"/>
  <c r="G1847" i="25"/>
  <c r="H1847" i="25"/>
  <c r="G1846" i="25"/>
  <c r="H1846" i="25"/>
  <c r="F1845" i="25"/>
  <c r="G1845" i="25"/>
  <c r="H1845" i="25"/>
  <c r="F1844" i="25"/>
  <c r="G1844" i="25"/>
  <c r="H1844" i="25"/>
  <c r="F1843" i="25"/>
  <c r="G1843" i="25"/>
  <c r="H1843" i="25"/>
  <c r="G1842" i="25"/>
  <c r="H1842" i="25"/>
  <c r="F1841" i="25"/>
  <c r="G1841" i="25"/>
  <c r="H1841" i="25"/>
  <c r="F1840" i="25"/>
  <c r="G1840" i="25"/>
  <c r="G1839" i="25"/>
  <c r="H1839" i="25"/>
  <c r="F1838" i="25"/>
  <c r="G1838" i="25"/>
  <c r="H1838" i="25"/>
  <c r="F1837" i="25"/>
  <c r="G1837" i="25"/>
  <c r="H1837" i="25"/>
  <c r="G1806" i="25"/>
  <c r="H1806" i="25"/>
  <c r="G1805" i="25"/>
  <c r="H1805" i="25"/>
  <c r="G1804" i="25"/>
  <c r="H1804" i="25"/>
  <c r="F1803" i="25"/>
  <c r="G1803" i="25"/>
  <c r="H1803" i="25"/>
  <c r="F1802" i="25"/>
  <c r="G1802" i="25"/>
  <c r="H1802" i="25"/>
  <c r="F1801" i="25"/>
  <c r="G1801" i="25"/>
  <c r="H1801" i="25"/>
  <c r="G1800" i="25"/>
  <c r="H1800" i="25"/>
  <c r="F1799" i="25"/>
  <c r="G1799" i="25"/>
  <c r="H1799" i="25"/>
  <c r="F1798" i="25"/>
  <c r="G1798" i="25"/>
  <c r="G1797" i="25"/>
  <c r="H1797" i="25"/>
  <c r="F1796" i="25"/>
  <c r="G1796" i="25"/>
  <c r="H1796" i="25"/>
  <c r="F1795" i="25"/>
  <c r="G1795" i="25"/>
  <c r="H1795" i="25"/>
  <c r="G1869" i="25"/>
  <c r="H1869" i="25"/>
  <c r="G1868" i="25"/>
  <c r="H1868" i="25"/>
  <c r="G1867" i="25"/>
  <c r="H1867" i="25"/>
  <c r="F1866" i="25"/>
  <c r="G1866" i="25"/>
  <c r="H1866" i="25"/>
  <c r="F1865" i="25"/>
  <c r="G1865" i="25"/>
  <c r="H1865" i="25"/>
  <c r="F1864" i="25"/>
  <c r="G1864" i="25"/>
  <c r="H1864" i="25"/>
  <c r="G1863" i="25"/>
  <c r="H1863" i="25"/>
  <c r="F1862" i="25"/>
  <c r="G1862" i="25"/>
  <c r="H1862" i="25"/>
  <c r="F1861" i="25"/>
  <c r="G1861" i="25"/>
  <c r="G1860" i="25"/>
  <c r="H1860" i="25"/>
  <c r="F1859" i="25"/>
  <c r="G1859" i="25"/>
  <c r="H1859" i="25"/>
  <c r="F1858" i="25"/>
  <c r="G1858" i="25"/>
  <c r="H1858" i="25"/>
  <c r="G1827" i="25"/>
  <c r="H1827" i="25"/>
  <c r="G1826" i="25"/>
  <c r="H1826" i="25"/>
  <c r="G1825" i="25"/>
  <c r="H1825" i="25"/>
  <c r="F1824" i="25"/>
  <c r="G1824" i="25"/>
  <c r="H1824" i="25"/>
  <c r="F1823" i="25"/>
  <c r="G1823" i="25"/>
  <c r="H1823" i="25"/>
  <c r="F1822" i="25"/>
  <c r="G1822" i="25"/>
  <c r="H1822" i="25"/>
  <c r="G1821" i="25"/>
  <c r="H1821" i="25"/>
  <c r="F1820" i="25"/>
  <c r="G1820" i="25"/>
  <c r="H1820" i="25"/>
  <c r="F1819" i="25"/>
  <c r="G1819" i="25"/>
  <c r="G1818" i="25"/>
  <c r="H1818" i="25"/>
  <c r="F1817" i="25"/>
  <c r="G1817" i="25"/>
  <c r="H1817" i="25"/>
  <c r="F1816" i="25"/>
  <c r="G1816" i="25"/>
  <c r="H1816" i="25"/>
  <c r="G1785" i="25"/>
  <c r="H1785" i="25"/>
  <c r="G1784" i="25"/>
  <c r="H1784" i="25"/>
  <c r="G1783" i="25"/>
  <c r="H1783" i="25"/>
  <c r="F1782" i="25"/>
  <c r="G1782" i="25"/>
  <c r="H1782" i="25"/>
  <c r="F1781" i="25"/>
  <c r="G1781" i="25"/>
  <c r="H1781" i="25"/>
  <c r="F1780" i="25"/>
  <c r="G1780" i="25"/>
  <c r="H1780" i="25"/>
  <c r="G1779" i="25"/>
  <c r="H1779" i="25"/>
  <c r="F1778" i="25"/>
  <c r="G1778" i="25"/>
  <c r="H1778" i="25"/>
  <c r="F1777" i="25"/>
  <c r="G1777" i="25"/>
  <c r="G1776" i="25"/>
  <c r="H1776" i="25"/>
  <c r="F1775" i="25"/>
  <c r="G1775" i="25"/>
  <c r="H1775" i="25"/>
  <c r="F1774" i="25"/>
  <c r="G1774" i="25"/>
  <c r="H1774" i="25"/>
  <c r="G1764" i="25"/>
  <c r="H1764" i="25"/>
  <c r="G1763" i="25"/>
  <c r="H1763" i="25"/>
  <c r="G1762" i="25"/>
  <c r="H1762" i="25"/>
  <c r="F1761" i="25"/>
  <c r="G1761" i="25"/>
  <c r="H1761" i="25"/>
  <c r="F1760" i="25"/>
  <c r="G1760" i="25"/>
  <c r="H1760" i="25"/>
  <c r="F1759" i="25"/>
  <c r="G1759" i="25"/>
  <c r="H1759" i="25"/>
  <c r="G1758" i="25"/>
  <c r="H1758" i="25"/>
  <c r="F1757" i="25"/>
  <c r="G1757" i="25"/>
  <c r="H1757" i="25"/>
  <c r="F1756" i="25"/>
  <c r="G1756" i="25"/>
  <c r="G1755" i="25"/>
  <c r="H1755" i="25"/>
  <c r="F1754" i="25"/>
  <c r="G1754" i="25"/>
  <c r="H1754" i="25"/>
  <c r="F1753" i="25"/>
  <c r="G1753" i="25"/>
  <c r="H1753" i="25"/>
  <c r="G1744" i="25"/>
  <c r="H1744" i="25"/>
  <c r="G1743" i="25"/>
  <c r="H1743" i="25"/>
  <c r="G1742" i="25"/>
  <c r="H1742" i="25"/>
  <c r="F1741" i="25"/>
  <c r="G1741" i="25"/>
  <c r="H1741" i="25"/>
  <c r="F1740" i="25"/>
  <c r="G1740" i="25"/>
  <c r="H1740" i="25"/>
  <c r="F1739" i="25"/>
  <c r="G1739" i="25"/>
  <c r="H1739" i="25"/>
  <c r="G1738" i="25"/>
  <c r="H1738" i="25"/>
  <c r="F1737" i="25"/>
  <c r="G1737" i="25"/>
  <c r="H1737" i="25"/>
  <c r="F1736" i="25"/>
  <c r="G1736" i="25"/>
  <c r="G1735" i="25"/>
  <c r="H1735" i="25"/>
  <c r="F1734" i="25"/>
  <c r="G1734" i="25"/>
  <c r="H1734" i="25"/>
  <c r="F1733" i="25"/>
  <c r="G1733" i="25"/>
  <c r="H1733" i="25"/>
  <c r="G1724" i="25"/>
  <c r="H1724" i="25"/>
  <c r="G1723" i="25"/>
  <c r="H1723" i="25"/>
  <c r="G1722" i="25"/>
  <c r="H1722" i="25"/>
  <c r="F1721" i="25"/>
  <c r="G1721" i="25"/>
  <c r="H1721" i="25"/>
  <c r="F1720" i="25"/>
  <c r="G1720" i="25"/>
  <c r="H1720" i="25"/>
  <c r="F1719" i="25"/>
  <c r="G1719" i="25"/>
  <c r="H1719" i="25"/>
  <c r="G1718" i="25"/>
  <c r="H1718" i="25"/>
  <c r="F1717" i="25"/>
  <c r="G1717" i="25"/>
  <c r="H1717" i="25"/>
  <c r="F1716" i="25"/>
  <c r="G1716" i="25"/>
  <c r="G1715" i="25"/>
  <c r="H1715" i="25"/>
  <c r="F1714" i="25"/>
  <c r="G1714" i="25"/>
  <c r="H1714" i="25"/>
  <c r="F1713" i="25"/>
  <c r="G1713" i="25"/>
  <c r="H1713" i="25"/>
  <c r="G1703" i="25"/>
  <c r="H1703" i="25"/>
  <c r="G1702" i="25"/>
  <c r="H1702" i="25"/>
  <c r="G1701" i="25"/>
  <c r="H1701" i="25"/>
  <c r="F1700" i="25"/>
  <c r="G1700" i="25"/>
  <c r="H1700" i="25"/>
  <c r="F1699" i="25"/>
  <c r="G1699" i="25"/>
  <c r="H1699" i="25"/>
  <c r="F1698" i="25"/>
  <c r="G1698" i="25"/>
  <c r="H1698" i="25"/>
  <c r="G1697" i="25"/>
  <c r="H1697" i="25"/>
  <c r="F1696" i="25"/>
  <c r="G1696" i="25"/>
  <c r="H1696" i="25"/>
  <c r="F1695" i="25"/>
  <c r="G1695" i="25"/>
  <c r="G1694" i="25"/>
  <c r="H1694" i="25"/>
  <c r="F1693" i="25"/>
  <c r="G1693" i="25"/>
  <c r="H1693" i="25"/>
  <c r="F1692" i="25"/>
  <c r="G1692" i="25"/>
  <c r="H1692" i="25"/>
  <c r="G1682" i="25"/>
  <c r="H1682" i="25"/>
  <c r="G1681" i="25"/>
  <c r="H1681" i="25"/>
  <c r="G1680" i="25"/>
  <c r="H1680" i="25"/>
  <c r="F1679" i="25"/>
  <c r="G1679" i="25"/>
  <c r="H1679" i="25"/>
  <c r="F1678" i="25"/>
  <c r="G1678" i="25"/>
  <c r="H1678" i="25"/>
  <c r="F1677" i="25"/>
  <c r="G1677" i="25"/>
  <c r="H1677" i="25"/>
  <c r="G1676" i="25"/>
  <c r="H1676" i="25"/>
  <c r="F1675" i="25"/>
  <c r="G1675" i="25"/>
  <c r="H1675" i="25"/>
  <c r="F1674" i="25"/>
  <c r="G1674" i="25"/>
  <c r="G1673" i="25"/>
  <c r="H1673" i="25"/>
  <c r="F1672" i="25"/>
  <c r="G1672" i="25"/>
  <c r="H1672" i="25"/>
  <c r="F1671" i="25"/>
  <c r="G1671" i="25"/>
  <c r="H1671" i="25"/>
  <c r="G1661" i="25"/>
  <c r="H1661" i="25"/>
  <c r="G1660" i="25"/>
  <c r="H1660" i="25"/>
  <c r="G1659" i="25"/>
  <c r="H1659" i="25"/>
  <c r="F1658" i="25"/>
  <c r="G1658" i="25"/>
  <c r="H1658" i="25"/>
  <c r="F1657" i="25"/>
  <c r="G1657" i="25"/>
  <c r="H1657" i="25"/>
  <c r="F1656" i="25"/>
  <c r="G1656" i="25"/>
  <c r="H1656" i="25"/>
  <c r="G1655" i="25"/>
  <c r="H1655" i="25"/>
  <c r="F1654" i="25"/>
  <c r="G1654" i="25"/>
  <c r="H1654" i="25"/>
  <c r="F1653" i="25"/>
  <c r="G1653" i="25"/>
  <c r="G1652" i="25"/>
  <c r="H1652" i="25"/>
  <c r="F1651" i="25"/>
  <c r="G1651" i="25"/>
  <c r="H1651" i="25"/>
  <c r="F1650" i="25"/>
  <c r="G1650" i="25"/>
  <c r="H1650" i="25"/>
  <c r="F1881" i="25"/>
  <c r="F1652" i="25" l="1"/>
  <c r="F1797" i="25"/>
  <c r="F1776" i="25"/>
  <c r="F1694" i="25"/>
  <c r="F1735" i="25"/>
  <c r="F1818" i="25"/>
  <c r="F1631" i="25"/>
  <c r="F1839" i="25"/>
  <c r="F1755" i="25"/>
  <c r="F1860" i="25"/>
  <c r="F1673" i="25"/>
  <c r="F1715" i="25"/>
  <c r="H1640" i="25"/>
  <c r="G1640" i="25"/>
  <c r="G76" i="14"/>
  <c r="H76" i="14" s="1"/>
  <c r="J76" i="14"/>
  <c r="K76" i="14"/>
  <c r="G77" i="14"/>
  <c r="H77" i="14" s="1"/>
  <c r="I77" i="14" s="1"/>
  <c r="J77" i="14"/>
  <c r="K77" i="14"/>
  <c r="G78" i="14"/>
  <c r="H78" i="14" s="1"/>
  <c r="J78" i="14"/>
  <c r="K78" i="14"/>
  <c r="G79" i="14"/>
  <c r="H79" i="14" s="1"/>
  <c r="J79" i="14"/>
  <c r="K79" i="14"/>
  <c r="G1639" i="25"/>
  <c r="H1639" i="25"/>
  <c r="F1639" i="25"/>
  <c r="G60" i="14"/>
  <c r="H60" i="14" s="1"/>
  <c r="I60" i="14"/>
  <c r="J60" i="14"/>
  <c r="K60" i="14"/>
  <c r="G61" i="14"/>
  <c r="H61" i="14" s="1"/>
  <c r="I61" i="14"/>
  <c r="J61" i="14"/>
  <c r="K61" i="14"/>
  <c r="G62" i="14"/>
  <c r="H62" i="14" s="1"/>
  <c r="L62" i="14" s="1"/>
  <c r="I62" i="14"/>
  <c r="J62" i="14"/>
  <c r="K62" i="14"/>
  <c r="G1638" i="25"/>
  <c r="H1638" i="25"/>
  <c r="F1637" i="25"/>
  <c r="G1637" i="25"/>
  <c r="H1637" i="25"/>
  <c r="F1636" i="25"/>
  <c r="G1636" i="25"/>
  <c r="H1636" i="25"/>
  <c r="J66" i="14"/>
  <c r="K66" i="14"/>
  <c r="J67" i="14"/>
  <c r="K67" i="14"/>
  <c r="J68" i="14"/>
  <c r="K68" i="14"/>
  <c r="G68" i="14"/>
  <c r="H68" i="14" s="1"/>
  <c r="G67" i="14"/>
  <c r="H67" i="14" s="1"/>
  <c r="G66" i="14"/>
  <c r="H66" i="14" s="1"/>
  <c r="F1827" i="25" l="1"/>
  <c r="F1661" i="25"/>
  <c r="F1744" i="25"/>
  <c r="F1806" i="25"/>
  <c r="F1703" i="25"/>
  <c r="F1848" i="25"/>
  <c r="F1785" i="25"/>
  <c r="F1890" i="25"/>
  <c r="F1724" i="25"/>
  <c r="F1869" i="25"/>
  <c r="F1682" i="25"/>
  <c r="F1764" i="25"/>
  <c r="F1640" i="25"/>
  <c r="F1762" i="25"/>
  <c r="F1846" i="25"/>
  <c r="F1659" i="25"/>
  <c r="F1825" i="25"/>
  <c r="F1701" i="25"/>
  <c r="F1722" i="25"/>
  <c r="F1742" i="25"/>
  <c r="F1804" i="25"/>
  <c r="F1867" i="25"/>
  <c r="F1783" i="25"/>
  <c r="F1680" i="25"/>
  <c r="F1888" i="25"/>
  <c r="F1784" i="25"/>
  <c r="F1660" i="25"/>
  <c r="F1702" i="25"/>
  <c r="F1889" i="25"/>
  <c r="F1723" i="25"/>
  <c r="F1681" i="25"/>
  <c r="F1743" i="25"/>
  <c r="F1805" i="25"/>
  <c r="F1868" i="25"/>
  <c r="F1763" i="25"/>
  <c r="F1847" i="25"/>
  <c r="F1826" i="25"/>
  <c r="F1638" i="25"/>
  <c r="L78" i="14"/>
  <c r="I78" i="14"/>
  <c r="L79" i="14"/>
  <c r="I79" i="14"/>
  <c r="M79" i="14" s="1"/>
  <c r="I76" i="14"/>
  <c r="L76" i="14"/>
  <c r="L77" i="14"/>
  <c r="M77" i="14" s="1"/>
  <c r="L61" i="14"/>
  <c r="M61" i="14"/>
  <c r="L60" i="14"/>
  <c r="M60" i="14" s="1"/>
  <c r="M62" i="14"/>
  <c r="I68" i="14"/>
  <c r="L68" i="14"/>
  <c r="I67" i="14"/>
  <c r="L67" i="14"/>
  <c r="I66" i="14"/>
  <c r="L66" i="14"/>
  <c r="M78" i="14" l="1"/>
  <c r="M76" i="14"/>
  <c r="M66" i="14"/>
  <c r="N77" i="14"/>
  <c r="B28" i="14" s="1"/>
  <c r="M67" i="14"/>
  <c r="N60" i="14"/>
  <c r="B27" i="14" s="1"/>
  <c r="M68" i="14"/>
  <c r="N66" i="14" l="1"/>
  <c r="B34" i="14" s="1"/>
  <c r="F1635" i="25"/>
  <c r="G1635" i="25"/>
  <c r="H1635" i="25"/>
  <c r="G1634" i="25"/>
  <c r="H1634" i="25"/>
  <c r="F1633" i="25"/>
  <c r="G1633" i="25"/>
  <c r="H1633" i="25"/>
  <c r="F1632" i="25"/>
  <c r="G1631" i="25"/>
  <c r="G1632" i="25"/>
  <c r="H1631" i="25"/>
  <c r="F1630" i="25"/>
  <c r="G1630" i="25"/>
  <c r="H1630" i="25"/>
  <c r="F1629" i="25"/>
  <c r="G1629" i="25"/>
  <c r="H1629" i="25"/>
  <c r="H2" i="33" l="1"/>
  <c r="C206" i="24" s="1"/>
  <c r="C87" i="24" l="1"/>
  <c r="C18" i="24"/>
  <c r="C201" i="24" l="1"/>
  <c r="I1617" i="25" l="1"/>
  <c r="I1553" i="25"/>
  <c r="I1541" i="25"/>
  <c r="I1449" i="25"/>
  <c r="I1437" i="25"/>
  <c r="I1345" i="25"/>
  <c r="I1333" i="25"/>
  <c r="I1238" i="25"/>
  <c r="I1226" i="25"/>
  <c r="I1131" i="25"/>
  <c r="I1119" i="25"/>
  <c r="I1032" i="25"/>
  <c r="I1020" i="25"/>
  <c r="I933" i="25"/>
  <c r="I921" i="25"/>
  <c r="I832" i="25"/>
  <c r="I820" i="25"/>
  <c r="I731" i="25"/>
  <c r="I702" i="25"/>
  <c r="I696" i="25"/>
  <c r="I676" i="25"/>
  <c r="I670" i="25"/>
  <c r="I587" i="25"/>
  <c r="I566" i="25"/>
  <c r="I496" i="25"/>
  <c r="I493" i="25"/>
  <c r="I478" i="25"/>
  <c r="I475" i="25"/>
  <c r="I452" i="25"/>
  <c r="I449" i="25"/>
  <c r="I434" i="25"/>
  <c r="I431" i="25"/>
  <c r="I363" i="25"/>
  <c r="I343" i="25"/>
  <c r="I317" i="25"/>
  <c r="I297" i="25"/>
  <c r="I262" i="25"/>
  <c r="I256" i="25"/>
  <c r="I236" i="25"/>
  <c r="I230" i="25"/>
  <c r="I202" i="25"/>
  <c r="I196" i="25"/>
  <c r="I175" i="25"/>
  <c r="I171" i="25"/>
  <c r="I141" i="25"/>
  <c r="I135" i="25"/>
  <c r="I115" i="25"/>
  <c r="I109" i="25"/>
  <c r="I548" i="25" l="1"/>
  <c r="I519" i="25"/>
  <c r="I545" i="25"/>
  <c r="I522" i="25"/>
  <c r="I415" i="25"/>
  <c r="I389" i="25"/>
  <c r="I66" i="25"/>
  <c r="I64" i="25"/>
  <c r="I62" i="25"/>
  <c r="I1601" i="25" l="1"/>
  <c r="I1595" i="25"/>
  <c r="I1590" i="25"/>
  <c r="I1569" i="25"/>
  <c r="I1526" i="25"/>
  <c r="I1520" i="25"/>
  <c r="I1515" i="25"/>
  <c r="I1508" i="25"/>
  <c r="I1499" i="25"/>
  <c r="I1493" i="25"/>
  <c r="I1488" i="25"/>
  <c r="I1483" i="25"/>
  <c r="I1476" i="25"/>
  <c r="I1465" i="25"/>
  <c r="I1422" i="25"/>
  <c r="I1416" i="25"/>
  <c r="I1411" i="25"/>
  <c r="I1404" i="25"/>
  <c r="I1395" i="25"/>
  <c r="I1389" i="25"/>
  <c r="I1384" i="25"/>
  <c r="I1379" i="25"/>
  <c r="I1372" i="25"/>
  <c r="I1361" i="25"/>
  <c r="I1317" i="25"/>
  <c r="I1311" i="25"/>
  <c r="I1306" i="25"/>
  <c r="I1299" i="25"/>
  <c r="I1289" i="25"/>
  <c r="I1283" i="25"/>
  <c r="I1278" i="25"/>
  <c r="I1273" i="25"/>
  <c r="I1266" i="25"/>
  <c r="I1254" i="25"/>
  <c r="I1210" i="25"/>
  <c r="I1204" i="25"/>
  <c r="I1199" i="25"/>
  <c r="I1192" i="25"/>
  <c r="I1182" i="25"/>
  <c r="I1176" i="25"/>
  <c r="I1171" i="25"/>
  <c r="I1166" i="25"/>
  <c r="I1159" i="25"/>
  <c r="I1147" i="25"/>
  <c r="I1141" i="25"/>
  <c r="I1136" i="25"/>
  <c r="I1048" i="25"/>
  <c r="I949" i="25"/>
  <c r="I848" i="25"/>
  <c r="I747" i="25"/>
  <c r="I736" i="25"/>
  <c r="I708" i="25"/>
  <c r="I595" i="25"/>
  <c r="I574" i="25"/>
  <c r="I509" i="25"/>
  <c r="I507" i="25"/>
  <c r="I533" i="25" s="1"/>
  <c r="I505" i="25"/>
  <c r="I503" i="25"/>
  <c r="I501" i="25"/>
  <c r="I483" i="25"/>
  <c r="I465" i="25"/>
  <c r="I463" i="25"/>
  <c r="I461" i="25"/>
  <c r="I459" i="25"/>
  <c r="I457" i="25"/>
  <c r="I439" i="25"/>
  <c r="I371" i="25"/>
  <c r="I351" i="25"/>
  <c r="I325" i="25"/>
  <c r="I305" i="25"/>
  <c r="I282" i="25"/>
  <c r="I279" i="25"/>
  <c r="I276" i="25"/>
  <c r="I273" i="25"/>
  <c r="I270" i="25"/>
  <c r="I244" i="25"/>
  <c r="I210" i="25"/>
  <c r="I184" i="25"/>
  <c r="I149" i="25"/>
  <c r="I123" i="25"/>
  <c r="I65" i="25"/>
  <c r="F35" i="24"/>
  <c r="F44" i="24"/>
  <c r="G90" i="14"/>
  <c r="G86" i="14"/>
  <c r="H86" i="14" s="1"/>
  <c r="I529" i="25" l="1"/>
  <c r="I531" i="25"/>
  <c r="H418" i="25"/>
  <c r="H392" i="25"/>
  <c r="I553" i="25"/>
  <c r="H607" i="25"/>
  <c r="H633" i="25"/>
  <c r="I527" i="25"/>
  <c r="I535" i="25"/>
  <c r="I423" i="25"/>
  <c r="I397" i="25"/>
  <c r="H2021" i="25"/>
  <c r="H2079" i="25"/>
  <c r="H2199" i="25"/>
  <c r="H2169" i="25"/>
  <c r="H2050" i="25"/>
  <c r="H2109" i="25"/>
  <c r="H2139" i="25"/>
  <c r="H1991" i="25"/>
  <c r="H1940" i="25"/>
  <c r="H1970" i="25"/>
  <c r="H1910" i="25"/>
  <c r="H2229" i="25"/>
  <c r="H2259" i="25"/>
  <c r="L86" i="14"/>
  <c r="I86" i="14"/>
  <c r="M86" i="14" s="1"/>
  <c r="N86" i="14" s="1"/>
  <c r="B42" i="14" s="1"/>
  <c r="C64" i="24" s="1"/>
  <c r="H1632" i="25"/>
  <c r="H1653" i="25"/>
  <c r="H1861" i="25"/>
  <c r="H1819" i="25"/>
  <c r="H1777" i="25"/>
  <c r="H1882" i="25"/>
  <c r="H1840" i="25"/>
  <c r="H1798" i="25"/>
  <c r="H1756" i="25"/>
  <c r="H1736" i="25"/>
  <c r="H1716" i="25"/>
  <c r="H1695" i="25"/>
  <c r="H1674" i="25"/>
  <c r="H16" i="10" l="1"/>
  <c r="F66" i="24" l="1"/>
  <c r="E66" i="24"/>
  <c r="D66" i="24"/>
  <c r="J66" i="24" s="1"/>
  <c r="F65" i="24"/>
  <c r="E65" i="24"/>
  <c r="D65" i="24"/>
  <c r="J65" i="24" s="1"/>
  <c r="F60" i="24"/>
  <c r="D60" i="24"/>
  <c r="J60" i="24" s="1"/>
  <c r="F2272" i="25"/>
  <c r="G2274" i="25"/>
  <c r="G2275" i="25"/>
  <c r="G2276" i="25"/>
  <c r="G2277" i="25"/>
  <c r="G2280" i="25"/>
  <c r="G2272" i="25"/>
  <c r="H1745" i="25"/>
  <c r="H1732" i="25"/>
  <c r="H1731" i="25"/>
  <c r="H1730" i="25"/>
  <c r="H1729" i="25"/>
  <c r="H1765" i="25"/>
  <c r="H1752" i="25"/>
  <c r="H1751" i="25"/>
  <c r="H1750" i="25"/>
  <c r="H1749" i="25"/>
  <c r="H1786" i="25"/>
  <c r="H1773" i="25"/>
  <c r="H1772" i="25"/>
  <c r="H1771" i="25"/>
  <c r="H1770" i="25"/>
  <c r="H1769" i="25"/>
  <c r="H1807" i="25"/>
  <c r="H1794" i="25"/>
  <c r="H1793" i="25"/>
  <c r="H1792" i="25"/>
  <c r="H1791" i="25"/>
  <c r="H1790" i="25"/>
  <c r="H1828" i="25"/>
  <c r="H1815" i="25"/>
  <c r="H1814" i="25"/>
  <c r="H1813" i="25"/>
  <c r="H1812" i="25"/>
  <c r="H1811" i="25"/>
  <c r="H1849" i="25"/>
  <c r="H1836" i="25"/>
  <c r="H1835" i="25"/>
  <c r="H1834" i="25"/>
  <c r="H1833" i="25"/>
  <c r="H1832" i="25"/>
  <c r="H1870" i="25"/>
  <c r="H1857" i="25"/>
  <c r="H1856" i="25"/>
  <c r="H1855" i="25"/>
  <c r="H1854" i="25"/>
  <c r="H1853" i="25"/>
  <c r="H1891" i="25"/>
  <c r="H1878" i="25"/>
  <c r="H1877" i="25"/>
  <c r="H1876" i="25"/>
  <c r="H1875" i="25"/>
  <c r="H1874" i="25"/>
  <c r="H2280" i="25"/>
  <c r="H2277" i="25"/>
  <c r="H2276" i="25"/>
  <c r="H2275" i="25"/>
  <c r="H2274" i="25"/>
  <c r="H2272" i="25"/>
  <c r="H2278" i="25" l="1"/>
  <c r="H2279" i="25"/>
  <c r="F2274" i="25"/>
  <c r="F2284" i="25"/>
  <c r="F2275" i="25"/>
  <c r="H2273" i="25"/>
  <c r="F2276" i="25"/>
  <c r="F2278" i="25"/>
  <c r="F2280" i="25"/>
  <c r="F2279" i="25"/>
  <c r="F2273" i="25"/>
  <c r="F2277" i="25"/>
  <c r="G2279" i="25"/>
  <c r="G2278" i="25"/>
  <c r="G2273" i="25"/>
  <c r="G1624" i="25"/>
  <c r="G1623" i="25"/>
  <c r="I1622" i="25"/>
  <c r="F1622" i="25"/>
  <c r="G1622" i="25"/>
  <c r="H1622" i="25"/>
  <c r="I1619" i="25"/>
  <c r="F1619" i="25"/>
  <c r="G1619" i="25"/>
  <c r="H1619" i="25"/>
  <c r="I1618" i="25"/>
  <c r="F1618" i="25"/>
  <c r="G1618" i="25"/>
  <c r="H1618" i="25"/>
  <c r="F1617" i="25"/>
  <c r="G1617" i="25"/>
  <c r="H1617" i="25"/>
  <c r="G1615" i="25"/>
  <c r="H1615" i="25"/>
  <c r="G1614" i="25"/>
  <c r="H1614" i="25"/>
  <c r="I1613" i="25"/>
  <c r="G1613" i="25"/>
  <c r="H1613" i="25"/>
  <c r="I1611" i="25"/>
  <c r="F1611" i="25"/>
  <c r="G1611" i="25"/>
  <c r="H1611" i="25"/>
  <c r="G1609" i="25"/>
  <c r="H1609" i="25"/>
  <c r="I1607" i="25"/>
  <c r="F1607" i="25"/>
  <c r="G1607" i="25"/>
  <c r="H1607" i="25"/>
  <c r="I1605" i="25"/>
  <c r="G1605" i="25"/>
  <c r="H1605" i="25"/>
  <c r="I1581" i="25"/>
  <c r="I1602" i="25"/>
  <c r="G1602" i="25"/>
  <c r="H1602" i="25"/>
  <c r="F1601" i="25"/>
  <c r="G1601" i="25"/>
  <c r="H1601" i="25"/>
  <c r="I1600" i="25"/>
  <c r="F1600" i="25"/>
  <c r="G1600" i="25"/>
  <c r="H1600" i="25"/>
  <c r="I1599" i="25"/>
  <c r="G1599" i="25"/>
  <c r="H1599" i="25"/>
  <c r="I1598" i="25"/>
  <c r="F1598" i="25"/>
  <c r="G1598" i="25"/>
  <c r="H1598" i="25"/>
  <c r="I1597" i="25"/>
  <c r="F1597" i="25"/>
  <c r="G1597" i="25"/>
  <c r="H1597" i="25"/>
  <c r="F1595" i="25"/>
  <c r="G1595" i="25"/>
  <c r="H1595" i="25"/>
  <c r="I1594" i="25"/>
  <c r="G1594" i="25"/>
  <c r="H1594" i="25"/>
  <c r="I1593" i="25"/>
  <c r="F1593" i="25"/>
  <c r="G1593" i="25"/>
  <c r="H1593" i="25"/>
  <c r="I1592" i="25"/>
  <c r="F1592" i="25"/>
  <c r="G1592" i="25"/>
  <c r="H1592" i="25"/>
  <c r="F1590" i="25"/>
  <c r="G1590" i="25"/>
  <c r="H1590" i="25"/>
  <c r="I1589" i="25"/>
  <c r="G1589" i="25"/>
  <c r="H1589" i="25"/>
  <c r="I1588" i="25"/>
  <c r="F1588" i="25"/>
  <c r="G1588" i="25"/>
  <c r="H1588" i="25"/>
  <c r="I1587" i="25"/>
  <c r="F1587" i="25"/>
  <c r="G1587" i="25"/>
  <c r="H1587" i="25"/>
  <c r="I1585" i="25"/>
  <c r="F1585" i="25"/>
  <c r="G1585" i="25"/>
  <c r="H1585" i="25"/>
  <c r="I1583" i="25"/>
  <c r="F1583" i="25"/>
  <c r="G1583" i="25"/>
  <c r="H1583" i="25"/>
  <c r="G1582" i="25"/>
  <c r="H1582" i="25"/>
  <c r="G1581" i="25"/>
  <c r="H1581" i="25"/>
  <c r="F1581" i="25"/>
  <c r="G1578" i="25"/>
  <c r="H1578" i="25"/>
  <c r="G1577" i="25"/>
  <c r="H1577" i="25"/>
  <c r="F1575" i="25"/>
  <c r="G1575" i="25"/>
  <c r="H1575" i="25"/>
  <c r="F1574" i="25"/>
  <c r="G1574" i="25"/>
  <c r="H1574" i="25"/>
  <c r="G1572" i="25"/>
  <c r="H1572" i="25"/>
  <c r="G1571" i="25"/>
  <c r="H1571" i="25"/>
  <c r="F1569" i="25"/>
  <c r="G1569" i="25"/>
  <c r="H1569" i="25"/>
  <c r="I1568" i="25"/>
  <c r="F1568" i="25"/>
  <c r="G1568" i="25"/>
  <c r="H1568" i="25"/>
  <c r="I1567" i="25"/>
  <c r="G1567" i="25"/>
  <c r="H1567" i="25"/>
  <c r="I1566" i="25"/>
  <c r="F1566" i="25"/>
  <c r="G1566" i="25"/>
  <c r="H1566" i="25"/>
  <c r="F1565" i="25"/>
  <c r="G1565" i="25"/>
  <c r="H1565" i="25"/>
  <c r="F1563" i="25"/>
  <c r="G1563" i="25"/>
  <c r="H1563" i="25"/>
  <c r="G1562" i="25"/>
  <c r="H1562" i="25"/>
  <c r="F1561" i="25"/>
  <c r="G1561" i="25"/>
  <c r="H1561" i="25"/>
  <c r="F1560" i="25"/>
  <c r="G1560" i="25"/>
  <c r="H1560" i="25"/>
  <c r="F1558" i="25"/>
  <c r="G1558" i="25"/>
  <c r="H1558" i="25"/>
  <c r="G1557" i="25"/>
  <c r="H1557" i="25"/>
  <c r="F1556" i="25"/>
  <c r="G1556" i="25"/>
  <c r="H1556" i="25"/>
  <c r="F1555" i="25"/>
  <c r="G1555" i="25"/>
  <c r="H1555" i="25"/>
  <c r="I1554" i="25"/>
  <c r="F1553" i="25"/>
  <c r="G1553" i="25"/>
  <c r="H1553" i="25"/>
  <c r="F1552" i="25"/>
  <c r="G1552" i="25"/>
  <c r="H1552" i="25"/>
  <c r="I1561" i="25" l="1"/>
  <c r="I1558" i="25"/>
  <c r="I1563" i="25"/>
  <c r="F1577" i="25"/>
  <c r="I1555" i="25"/>
  <c r="I1560" i="25"/>
  <c r="I1557" i="25"/>
  <c r="I1562" i="25"/>
  <c r="I1556" i="25"/>
  <c r="F682" i="25" l="1"/>
  <c r="G723" i="25"/>
  <c r="G722" i="25"/>
  <c r="K664" i="25"/>
  <c r="I721" i="25"/>
  <c r="I720" i="25"/>
  <c r="I719" i="25"/>
  <c r="I718" i="25"/>
  <c r="I717" i="25"/>
  <c r="I716" i="25"/>
  <c r="I715" i="25"/>
  <c r="I714" i="25"/>
  <c r="I713" i="25"/>
  <c r="I712" i="25"/>
  <c r="I711" i="25"/>
  <c r="I710" i="25"/>
  <c r="I709" i="25"/>
  <c r="I707" i="25"/>
  <c r="I704" i="25"/>
  <c r="I703" i="25"/>
  <c r="I699" i="25"/>
  <c r="I698" i="25"/>
  <c r="I695" i="25"/>
  <c r="I692" i="25"/>
  <c r="I691" i="25"/>
  <c r="I687" i="25"/>
  <c r="I686" i="25"/>
  <c r="I685" i="25"/>
  <c r="I678" i="25"/>
  <c r="I677" i="25"/>
  <c r="I673" i="25"/>
  <c r="I672" i="25"/>
  <c r="I669" i="25"/>
  <c r="I666" i="25"/>
  <c r="I665" i="25"/>
  <c r="G689" i="25"/>
  <c r="G688" i="25"/>
  <c r="F721" i="25"/>
  <c r="F720" i="25"/>
  <c r="F719" i="25"/>
  <c r="F718" i="25"/>
  <c r="F717" i="25"/>
  <c r="F716" i="25"/>
  <c r="F715" i="25"/>
  <c r="F714" i="25"/>
  <c r="F713" i="25"/>
  <c r="F712" i="25"/>
  <c r="F711" i="25"/>
  <c r="F709" i="25"/>
  <c r="F708" i="25"/>
  <c r="F707" i="25"/>
  <c r="F705" i="25"/>
  <c r="F702" i="25"/>
  <c r="F701" i="25"/>
  <c r="F700" i="25"/>
  <c r="F697" i="25"/>
  <c r="F696" i="25"/>
  <c r="F695" i="25"/>
  <c r="F694" i="25"/>
  <c r="F693" i="25"/>
  <c r="F687" i="25"/>
  <c r="F686" i="25"/>
  <c r="F685" i="25"/>
  <c r="F684" i="25"/>
  <c r="F683" i="25"/>
  <c r="F680" i="25"/>
  <c r="F679" i="25"/>
  <c r="F676" i="25"/>
  <c r="F675" i="25"/>
  <c r="F674" i="25"/>
  <c r="F671" i="25"/>
  <c r="F670" i="25"/>
  <c r="F669" i="25"/>
  <c r="F668" i="25"/>
  <c r="F667" i="25"/>
  <c r="G721" i="25"/>
  <c r="G720" i="25"/>
  <c r="G719" i="25"/>
  <c r="G718" i="25"/>
  <c r="G717" i="25"/>
  <c r="G716" i="25"/>
  <c r="G715" i="25"/>
  <c r="G714" i="25"/>
  <c r="G713" i="25"/>
  <c r="G712" i="25"/>
  <c r="G711" i="25"/>
  <c r="G710" i="25"/>
  <c r="G709" i="25"/>
  <c r="G708" i="25"/>
  <c r="G707" i="25"/>
  <c r="G706" i="25"/>
  <c r="G705" i="25"/>
  <c r="G704" i="25"/>
  <c r="G703" i="25"/>
  <c r="G702" i="25"/>
  <c r="G701" i="25"/>
  <c r="G700" i="25"/>
  <c r="G699" i="25"/>
  <c r="G698" i="25"/>
  <c r="G697" i="25"/>
  <c r="G696" i="25"/>
  <c r="G695" i="25"/>
  <c r="G694" i="25"/>
  <c r="G693" i="25"/>
  <c r="G692" i="25"/>
  <c r="G691" i="25"/>
  <c r="H721" i="25"/>
  <c r="H720" i="25"/>
  <c r="H719" i="25"/>
  <c r="H718" i="25"/>
  <c r="H717" i="25"/>
  <c r="H716" i="25"/>
  <c r="H715" i="25"/>
  <c r="H714" i="25"/>
  <c r="H713" i="25"/>
  <c r="H712" i="25"/>
  <c r="H711" i="25"/>
  <c r="H710" i="25"/>
  <c r="H709" i="25"/>
  <c r="H708" i="25"/>
  <c r="H707" i="25"/>
  <c r="H706" i="25"/>
  <c r="H705" i="25"/>
  <c r="H704" i="25"/>
  <c r="H703" i="25"/>
  <c r="H702" i="25"/>
  <c r="H701" i="25"/>
  <c r="H700" i="25"/>
  <c r="H699" i="25"/>
  <c r="H698" i="25"/>
  <c r="H697" i="25"/>
  <c r="H696" i="25"/>
  <c r="H695" i="25"/>
  <c r="H694" i="25"/>
  <c r="H693" i="25"/>
  <c r="H692" i="25"/>
  <c r="H691" i="25"/>
  <c r="G687" i="25"/>
  <c r="G686" i="25"/>
  <c r="G685" i="25"/>
  <c r="G684" i="25"/>
  <c r="G683" i="25"/>
  <c r="G682" i="25"/>
  <c r="G681" i="25"/>
  <c r="G680" i="25"/>
  <c r="G679" i="25"/>
  <c r="G678" i="25"/>
  <c r="G677" i="25"/>
  <c r="G676" i="25"/>
  <c r="G675" i="25"/>
  <c r="G674" i="25"/>
  <c r="G673" i="25"/>
  <c r="G672" i="25"/>
  <c r="G671" i="25"/>
  <c r="G670" i="25"/>
  <c r="G669" i="25"/>
  <c r="G668" i="25"/>
  <c r="G667" i="25"/>
  <c r="G666" i="25"/>
  <c r="G665" i="25"/>
  <c r="H686" i="25"/>
  <c r="H687" i="25"/>
  <c r="H666" i="25"/>
  <c r="H667" i="25"/>
  <c r="H668" i="25"/>
  <c r="H669" i="25"/>
  <c r="H670" i="25"/>
  <c r="H671" i="25"/>
  <c r="H672" i="25"/>
  <c r="H673" i="25"/>
  <c r="H674" i="25"/>
  <c r="H675" i="25"/>
  <c r="H676" i="25"/>
  <c r="H677" i="25"/>
  <c r="H678" i="25"/>
  <c r="H679" i="25"/>
  <c r="H680" i="25"/>
  <c r="H681" i="25"/>
  <c r="H682" i="25"/>
  <c r="H683" i="25"/>
  <c r="H684" i="25"/>
  <c r="H685" i="25"/>
  <c r="H665" i="25"/>
  <c r="F706" i="25" l="1"/>
  <c r="G16" i="29"/>
  <c r="F16" i="29"/>
  <c r="E16" i="29"/>
  <c r="D16" i="29"/>
  <c r="C16" i="29"/>
  <c r="B16" i="29"/>
  <c r="G15" i="29"/>
  <c r="F15" i="29"/>
  <c r="E15" i="29"/>
  <c r="D15" i="29"/>
  <c r="C15" i="29"/>
  <c r="B15" i="29"/>
  <c r="G14" i="29"/>
  <c r="F14" i="29"/>
  <c r="E14" i="29"/>
  <c r="D14" i="29"/>
  <c r="C14" i="29"/>
  <c r="B14" i="29"/>
  <c r="G13" i="29"/>
  <c r="F13" i="29"/>
  <c r="E13" i="29"/>
  <c r="D13" i="29"/>
  <c r="C13" i="29"/>
  <c r="B13" i="29"/>
  <c r="G12" i="29"/>
  <c r="F12" i="29"/>
  <c r="E12" i="29"/>
  <c r="D12" i="29"/>
  <c r="C12" i="29"/>
  <c r="B12" i="29"/>
  <c r="G11" i="29"/>
  <c r="F11" i="29"/>
  <c r="E11" i="29"/>
  <c r="D11" i="29"/>
  <c r="C11" i="29"/>
  <c r="B11" i="29"/>
  <c r="C14" i="26"/>
  <c r="C10" i="26"/>
  <c r="C9" i="26"/>
  <c r="C8" i="26"/>
  <c r="C7" i="26"/>
  <c r="C6" i="26"/>
  <c r="C5" i="26"/>
  <c r="G99" i="14"/>
  <c r="H99" i="14" s="1"/>
  <c r="M99" i="14" s="1"/>
  <c r="G98" i="14"/>
  <c r="H98" i="14" s="1"/>
  <c r="M98" i="14" s="1"/>
  <c r="G97" i="14"/>
  <c r="H97" i="14" s="1"/>
  <c r="M97" i="14" s="1"/>
  <c r="G95" i="14"/>
  <c r="H95" i="14" s="1"/>
  <c r="G94" i="14"/>
  <c r="H94" i="14" s="1"/>
  <c r="G92" i="14"/>
  <c r="H92" i="14" s="1"/>
  <c r="G91" i="14"/>
  <c r="H91" i="14" s="1"/>
  <c r="H90" i="14"/>
  <c r="L90" i="14" s="1"/>
  <c r="G89" i="14"/>
  <c r="H89" i="14" s="1"/>
  <c r="G84" i="14"/>
  <c r="H84" i="14" s="1"/>
  <c r="L84" i="14" s="1"/>
  <c r="G83" i="14"/>
  <c r="H83" i="14" s="1"/>
  <c r="G82" i="14"/>
  <c r="H82" i="14" s="1"/>
  <c r="G81" i="14"/>
  <c r="H81" i="14" s="1"/>
  <c r="G80" i="14"/>
  <c r="H80" i="14" s="1"/>
  <c r="K75" i="14"/>
  <c r="J75" i="14"/>
  <c r="G75" i="14"/>
  <c r="H75" i="14" s="1"/>
  <c r="K74" i="14"/>
  <c r="J74" i="14"/>
  <c r="G74" i="14"/>
  <c r="H74" i="14" s="1"/>
  <c r="K73" i="14"/>
  <c r="J73" i="14"/>
  <c r="G73" i="14"/>
  <c r="H73" i="14" s="1"/>
  <c r="K72" i="14"/>
  <c r="J72" i="14"/>
  <c r="G72" i="14"/>
  <c r="H72" i="14" s="1"/>
  <c r="K71" i="14"/>
  <c r="J71" i="14"/>
  <c r="G71" i="14"/>
  <c r="H71" i="14" s="1"/>
  <c r="K70" i="14"/>
  <c r="J70" i="14"/>
  <c r="G70" i="14"/>
  <c r="H70" i="14" s="1"/>
  <c r="K69" i="14"/>
  <c r="J69" i="14"/>
  <c r="G69" i="14"/>
  <c r="H69" i="14" s="1"/>
  <c r="K65" i="14"/>
  <c r="J65" i="14"/>
  <c r="G65" i="14"/>
  <c r="H65" i="14" s="1"/>
  <c r="K64" i="14"/>
  <c r="J64" i="14"/>
  <c r="G64" i="14"/>
  <c r="H64" i="14" s="1"/>
  <c r="K63" i="14"/>
  <c r="J63" i="14"/>
  <c r="G63" i="14"/>
  <c r="H63" i="14" s="1"/>
  <c r="K59" i="14"/>
  <c r="J59" i="14"/>
  <c r="I59" i="14"/>
  <c r="G59" i="14"/>
  <c r="H59" i="14" s="1"/>
  <c r="K58" i="14"/>
  <c r="J58" i="14"/>
  <c r="I58" i="14"/>
  <c r="G58" i="14"/>
  <c r="H58" i="14" s="1"/>
  <c r="K57" i="14"/>
  <c r="J57" i="14"/>
  <c r="I57" i="14"/>
  <c r="G57" i="14"/>
  <c r="H57" i="14" s="1"/>
  <c r="L57" i="14" s="1"/>
  <c r="C15" i="14"/>
  <c r="G102" i="14" s="1"/>
  <c r="H102" i="14" s="1"/>
  <c r="M102" i="14" s="1"/>
  <c r="N102" i="14" s="1"/>
  <c r="B49" i="14" s="1"/>
  <c r="C70" i="24" s="1"/>
  <c r="C9" i="14"/>
  <c r="H15" i="10"/>
  <c r="H14" i="10"/>
  <c r="H13" i="10"/>
  <c r="H12" i="10"/>
  <c r="H11" i="10"/>
  <c r="H10" i="10"/>
  <c r="H9" i="10"/>
  <c r="H8" i="10"/>
  <c r="H7" i="10"/>
  <c r="H6" i="10"/>
  <c r="H5" i="10"/>
  <c r="F5" i="10"/>
  <c r="H4" i="10"/>
  <c r="H3" i="10"/>
  <c r="C18" i="23"/>
  <c r="D18" i="23" s="1"/>
  <c r="C17" i="23"/>
  <c r="C16" i="23"/>
  <c r="C15" i="23"/>
  <c r="C14" i="23"/>
  <c r="C13" i="23"/>
  <c r="C12" i="23"/>
  <c r="C11" i="23"/>
  <c r="C10" i="23"/>
  <c r="C9" i="23"/>
  <c r="C8" i="23"/>
  <c r="C7" i="23"/>
  <c r="C6" i="23"/>
  <c r="C5" i="23"/>
  <c r="G1891" i="25"/>
  <c r="F1878" i="25"/>
  <c r="G1878" i="25"/>
  <c r="F1877" i="25"/>
  <c r="G1877" i="25"/>
  <c r="G1876" i="25"/>
  <c r="G1875" i="25"/>
  <c r="G1874" i="25"/>
  <c r="G1870" i="25"/>
  <c r="F1857" i="25"/>
  <c r="G1857" i="25"/>
  <c r="F1856" i="25"/>
  <c r="G1856" i="25"/>
  <c r="G1855" i="25"/>
  <c r="G1854" i="25"/>
  <c r="G1853" i="25"/>
  <c r="G1849" i="25"/>
  <c r="F1836" i="25"/>
  <c r="G1836" i="25"/>
  <c r="F1835" i="25"/>
  <c r="G1835" i="25"/>
  <c r="G1834" i="25"/>
  <c r="G1833" i="25"/>
  <c r="G1832" i="25"/>
  <c r="G1828" i="25"/>
  <c r="F1815" i="25"/>
  <c r="G1815" i="25"/>
  <c r="F1814" i="25"/>
  <c r="G1814" i="25"/>
  <c r="G1813" i="25"/>
  <c r="G1812" i="25"/>
  <c r="G1811" i="25"/>
  <c r="G1807" i="25"/>
  <c r="F1794" i="25"/>
  <c r="G1794" i="25"/>
  <c r="F1793" i="25"/>
  <c r="G1793" i="25"/>
  <c r="G1792" i="25"/>
  <c r="G1791" i="25"/>
  <c r="G1790" i="25"/>
  <c r="I1786" i="25"/>
  <c r="G1786" i="25"/>
  <c r="F1773" i="25"/>
  <c r="G1773" i="25"/>
  <c r="F1772" i="25"/>
  <c r="G1772" i="25"/>
  <c r="G1771" i="25"/>
  <c r="G1770" i="25"/>
  <c r="G1769" i="25"/>
  <c r="G1765" i="25"/>
  <c r="F1752" i="25"/>
  <c r="G1752" i="25"/>
  <c r="F1751" i="25"/>
  <c r="G1751" i="25"/>
  <c r="G1750" i="25"/>
  <c r="G1749" i="25"/>
  <c r="I1745" i="25"/>
  <c r="G1745" i="25"/>
  <c r="F1732" i="25"/>
  <c r="G1732" i="25"/>
  <c r="F1731" i="25"/>
  <c r="G1731" i="25"/>
  <c r="G1730" i="25"/>
  <c r="G1729" i="25"/>
  <c r="I1725" i="25"/>
  <c r="G1725" i="25"/>
  <c r="H1725" i="25"/>
  <c r="F1712" i="25"/>
  <c r="G1712" i="25"/>
  <c r="H1712" i="25"/>
  <c r="F1711" i="25"/>
  <c r="G1711" i="25"/>
  <c r="H1711" i="25"/>
  <c r="G1710" i="25"/>
  <c r="H1710" i="25"/>
  <c r="G1709" i="25"/>
  <c r="H1709" i="25"/>
  <c r="G1708" i="25"/>
  <c r="H1708" i="25"/>
  <c r="G1704" i="25"/>
  <c r="H1704" i="25"/>
  <c r="F1691" i="25"/>
  <c r="G1691" i="25"/>
  <c r="H1691" i="25"/>
  <c r="F1690" i="25"/>
  <c r="G1690" i="25"/>
  <c r="H1690" i="25"/>
  <c r="I1689" i="25"/>
  <c r="G1689" i="25"/>
  <c r="H1689" i="25"/>
  <c r="G1685" i="25"/>
  <c r="H1685" i="25"/>
  <c r="I1684" i="25"/>
  <c r="G1684" i="25"/>
  <c r="H1684" i="25"/>
  <c r="I1683" i="25"/>
  <c r="G1683" i="25"/>
  <c r="H1683" i="25"/>
  <c r="F1669" i="25"/>
  <c r="G1669" i="25"/>
  <c r="H1669" i="25"/>
  <c r="F1668" i="25"/>
  <c r="G1668" i="25"/>
  <c r="H1668" i="25"/>
  <c r="G1664" i="25"/>
  <c r="H1664" i="25"/>
  <c r="I1663" i="25"/>
  <c r="G1663" i="25"/>
  <c r="H1663" i="25"/>
  <c r="I1662" i="25"/>
  <c r="G1662" i="25"/>
  <c r="H1662" i="25"/>
  <c r="F1648" i="25"/>
  <c r="G1648" i="25"/>
  <c r="H1648" i="25"/>
  <c r="F1647" i="25"/>
  <c r="G1647" i="25"/>
  <c r="H1647" i="25"/>
  <c r="G1643" i="25"/>
  <c r="H1643" i="25"/>
  <c r="I1642" i="25"/>
  <c r="G1642" i="25"/>
  <c r="H1642" i="25"/>
  <c r="I1641" i="25"/>
  <c r="G1641" i="25"/>
  <c r="H1641" i="25"/>
  <c r="F1627" i="25"/>
  <c r="G1627" i="25"/>
  <c r="H1627" i="25"/>
  <c r="F1626" i="25"/>
  <c r="G1626" i="25"/>
  <c r="H1626" i="25"/>
  <c r="G1548" i="25"/>
  <c r="G1547" i="25"/>
  <c r="I1546" i="25"/>
  <c r="F1546" i="25"/>
  <c r="G1546" i="25"/>
  <c r="H1546" i="25"/>
  <c r="I1543" i="25"/>
  <c r="F1543" i="25"/>
  <c r="G1543" i="25"/>
  <c r="H1543" i="25"/>
  <c r="I1542" i="25"/>
  <c r="F1542" i="25"/>
  <c r="G1542" i="25"/>
  <c r="H1542" i="25"/>
  <c r="F1541" i="25"/>
  <c r="G1541" i="25"/>
  <c r="H1541" i="25"/>
  <c r="G1539" i="25"/>
  <c r="H1539" i="25"/>
  <c r="G1538" i="25"/>
  <c r="H1538" i="25"/>
  <c r="I1537" i="25"/>
  <c r="G1537" i="25"/>
  <c r="H1537" i="25"/>
  <c r="I1535" i="25"/>
  <c r="F1535" i="25"/>
  <c r="G1535" i="25"/>
  <c r="H1535" i="25"/>
  <c r="G1533" i="25"/>
  <c r="H1533" i="25"/>
  <c r="I1531" i="25"/>
  <c r="F1531" i="25"/>
  <c r="G1531" i="25"/>
  <c r="H1531" i="25"/>
  <c r="I1529" i="25"/>
  <c r="G1529" i="25"/>
  <c r="H1529" i="25"/>
  <c r="F1526" i="25"/>
  <c r="G1526" i="25"/>
  <c r="H1526" i="25"/>
  <c r="I1525" i="25"/>
  <c r="F1525" i="25"/>
  <c r="G1525" i="25"/>
  <c r="H1525" i="25"/>
  <c r="I1524" i="25"/>
  <c r="G1524" i="25"/>
  <c r="H1524" i="25"/>
  <c r="I1523" i="25"/>
  <c r="F1523" i="25"/>
  <c r="G1523" i="25"/>
  <c r="H1523" i="25"/>
  <c r="I1522" i="25"/>
  <c r="F1522" i="25"/>
  <c r="G1522" i="25"/>
  <c r="H1522" i="25"/>
  <c r="F1520" i="25"/>
  <c r="G1520" i="25"/>
  <c r="H1520" i="25"/>
  <c r="I1519" i="25"/>
  <c r="G1519" i="25"/>
  <c r="H1519" i="25"/>
  <c r="I1518" i="25"/>
  <c r="F1518" i="25"/>
  <c r="G1518" i="25"/>
  <c r="H1518" i="25"/>
  <c r="I1517" i="25"/>
  <c r="F1517" i="25"/>
  <c r="G1517" i="25"/>
  <c r="H1517" i="25"/>
  <c r="F1515" i="25"/>
  <c r="G1515" i="25"/>
  <c r="H1515" i="25"/>
  <c r="I1514" i="25"/>
  <c r="G1514" i="25"/>
  <c r="H1514" i="25"/>
  <c r="I1513" i="25"/>
  <c r="F1513" i="25"/>
  <c r="G1513" i="25"/>
  <c r="H1513" i="25"/>
  <c r="I1512" i="25"/>
  <c r="F1512" i="25"/>
  <c r="G1512" i="25"/>
  <c r="H1512" i="25"/>
  <c r="I1510" i="25"/>
  <c r="F1510" i="25"/>
  <c r="G1510" i="25"/>
  <c r="H1510" i="25"/>
  <c r="F1508" i="25"/>
  <c r="G1508" i="25"/>
  <c r="H1508" i="25"/>
  <c r="I1507" i="25"/>
  <c r="F1507" i="25"/>
  <c r="G1507" i="25"/>
  <c r="H1507" i="25"/>
  <c r="I1506" i="25"/>
  <c r="F1506" i="25"/>
  <c r="G1506" i="25"/>
  <c r="H1506" i="25"/>
  <c r="I1505" i="25"/>
  <c r="G1505" i="25"/>
  <c r="H1505" i="25"/>
  <c r="I1504" i="25"/>
  <c r="G1504" i="25"/>
  <c r="H1504" i="25"/>
  <c r="F1501" i="25"/>
  <c r="G1501" i="25"/>
  <c r="H1501" i="25"/>
  <c r="F1499" i="25"/>
  <c r="G1499" i="25"/>
  <c r="H1499" i="25"/>
  <c r="I1498" i="25"/>
  <c r="F1498" i="25"/>
  <c r="G1498" i="25"/>
  <c r="H1498" i="25"/>
  <c r="I1497" i="25"/>
  <c r="G1497" i="25"/>
  <c r="H1497" i="25"/>
  <c r="I1496" i="25"/>
  <c r="F1496" i="25"/>
  <c r="G1496" i="25"/>
  <c r="H1496" i="25"/>
  <c r="F1495" i="25"/>
  <c r="G1495" i="25"/>
  <c r="H1495" i="25"/>
  <c r="F1493" i="25"/>
  <c r="G1493" i="25"/>
  <c r="H1493" i="25"/>
  <c r="I1492" i="25"/>
  <c r="G1492" i="25"/>
  <c r="H1492" i="25"/>
  <c r="I1491" i="25"/>
  <c r="F1491" i="25"/>
  <c r="G1491" i="25"/>
  <c r="H1491" i="25"/>
  <c r="I1490" i="25"/>
  <c r="F1490" i="25"/>
  <c r="G1490" i="25"/>
  <c r="H1490" i="25"/>
  <c r="F1488" i="25"/>
  <c r="G1488" i="25"/>
  <c r="H1488" i="25"/>
  <c r="I1487" i="25"/>
  <c r="G1487" i="25"/>
  <c r="H1487" i="25"/>
  <c r="F1486" i="25"/>
  <c r="G1486" i="25"/>
  <c r="H1486" i="25"/>
  <c r="F1485" i="25"/>
  <c r="G1485" i="25"/>
  <c r="H1485" i="25"/>
  <c r="F1483" i="25"/>
  <c r="G1483" i="25"/>
  <c r="H1483" i="25"/>
  <c r="I1482" i="25"/>
  <c r="F1482" i="25"/>
  <c r="G1482" i="25"/>
  <c r="H1482" i="25"/>
  <c r="F1481" i="25"/>
  <c r="G1481" i="25"/>
  <c r="H1481" i="25"/>
  <c r="G1480" i="25"/>
  <c r="H1480" i="25"/>
  <c r="G1479" i="25"/>
  <c r="H1479" i="25"/>
  <c r="F1476" i="25"/>
  <c r="G1476" i="25"/>
  <c r="H1476" i="25"/>
  <c r="I1475" i="25"/>
  <c r="F1475" i="25"/>
  <c r="G1475" i="25"/>
  <c r="H1475" i="25"/>
  <c r="G1474" i="25"/>
  <c r="H1474" i="25"/>
  <c r="G1473" i="25"/>
  <c r="H1473" i="25"/>
  <c r="F1471" i="25"/>
  <c r="G1471" i="25"/>
  <c r="H1471" i="25"/>
  <c r="F1470" i="25"/>
  <c r="G1470" i="25"/>
  <c r="H1470" i="25"/>
  <c r="F1468" i="25"/>
  <c r="G1468" i="25"/>
  <c r="H1468" i="25"/>
  <c r="G1467" i="25"/>
  <c r="H1467" i="25"/>
  <c r="F1465" i="25"/>
  <c r="G1465" i="25"/>
  <c r="H1465" i="25"/>
  <c r="I1464" i="25"/>
  <c r="F1464" i="25"/>
  <c r="G1464" i="25"/>
  <c r="H1464" i="25"/>
  <c r="I1463" i="25"/>
  <c r="G1463" i="25"/>
  <c r="H1463" i="25"/>
  <c r="I1462" i="25"/>
  <c r="F1462" i="25"/>
  <c r="G1462" i="25"/>
  <c r="H1462" i="25"/>
  <c r="F1461" i="25"/>
  <c r="G1461" i="25"/>
  <c r="H1461" i="25"/>
  <c r="F1459" i="25"/>
  <c r="G1459" i="25"/>
  <c r="H1459" i="25"/>
  <c r="G1458" i="25"/>
  <c r="H1458" i="25"/>
  <c r="F1457" i="25"/>
  <c r="G1457" i="25"/>
  <c r="H1457" i="25"/>
  <c r="F1456" i="25"/>
  <c r="G1456" i="25"/>
  <c r="H1456" i="25"/>
  <c r="F1454" i="25"/>
  <c r="G1454" i="25"/>
  <c r="H1454" i="25"/>
  <c r="G1453" i="25"/>
  <c r="H1453" i="25"/>
  <c r="F1452" i="25"/>
  <c r="G1452" i="25"/>
  <c r="H1452" i="25"/>
  <c r="F1451" i="25"/>
  <c r="G1451" i="25"/>
  <c r="H1451" i="25"/>
  <c r="I1450" i="25"/>
  <c r="F1449" i="25"/>
  <c r="G1449" i="25"/>
  <c r="H1449" i="25"/>
  <c r="F1448" i="25"/>
  <c r="G1448" i="25"/>
  <c r="H1448" i="25"/>
  <c r="G1444" i="25"/>
  <c r="G1443" i="25"/>
  <c r="I1442" i="25"/>
  <c r="F1442" i="25"/>
  <c r="G1442" i="25"/>
  <c r="H1442" i="25"/>
  <c r="I1439" i="25"/>
  <c r="F1439" i="25"/>
  <c r="G1439" i="25"/>
  <c r="H1439" i="25"/>
  <c r="I1438" i="25"/>
  <c r="F1438" i="25"/>
  <c r="G1438" i="25"/>
  <c r="H1438" i="25"/>
  <c r="F1437" i="25"/>
  <c r="G1437" i="25"/>
  <c r="H1437" i="25"/>
  <c r="G1435" i="25"/>
  <c r="H1435" i="25"/>
  <c r="G1434" i="25"/>
  <c r="H1434" i="25"/>
  <c r="I1433" i="25"/>
  <c r="G1433" i="25"/>
  <c r="H1433" i="25"/>
  <c r="I1431" i="25"/>
  <c r="F1431" i="25"/>
  <c r="G1431" i="25"/>
  <c r="H1431" i="25"/>
  <c r="G1429" i="25"/>
  <c r="H1429" i="25"/>
  <c r="I1427" i="25"/>
  <c r="F1427" i="25"/>
  <c r="G1427" i="25"/>
  <c r="H1427" i="25"/>
  <c r="I1425" i="25"/>
  <c r="G1425" i="25"/>
  <c r="H1425" i="25"/>
  <c r="F1422" i="25"/>
  <c r="G1422" i="25"/>
  <c r="H1422" i="25"/>
  <c r="I1421" i="25"/>
  <c r="F1421" i="25"/>
  <c r="G1421" i="25"/>
  <c r="H1421" i="25"/>
  <c r="I1420" i="25"/>
  <c r="G1420" i="25"/>
  <c r="H1420" i="25"/>
  <c r="I1419" i="25"/>
  <c r="F1419" i="25"/>
  <c r="G1419" i="25"/>
  <c r="H1419" i="25"/>
  <c r="I1418" i="25"/>
  <c r="F1418" i="25"/>
  <c r="G1418" i="25"/>
  <c r="H1418" i="25"/>
  <c r="F1416" i="25"/>
  <c r="G1416" i="25"/>
  <c r="H1416" i="25"/>
  <c r="I1415" i="25"/>
  <c r="G1415" i="25"/>
  <c r="H1415" i="25"/>
  <c r="I1414" i="25"/>
  <c r="F1414" i="25"/>
  <c r="G1414" i="25"/>
  <c r="H1414" i="25"/>
  <c r="I1413" i="25"/>
  <c r="F1413" i="25"/>
  <c r="G1413" i="25"/>
  <c r="H1413" i="25"/>
  <c r="F1411" i="25"/>
  <c r="G1411" i="25"/>
  <c r="H1411" i="25"/>
  <c r="I1410" i="25"/>
  <c r="G1410" i="25"/>
  <c r="H1410" i="25"/>
  <c r="I1409" i="25"/>
  <c r="F1409" i="25"/>
  <c r="G1409" i="25"/>
  <c r="H1409" i="25"/>
  <c r="F1408" i="25"/>
  <c r="G1408" i="25"/>
  <c r="H1408" i="25"/>
  <c r="I1406" i="25"/>
  <c r="F1406" i="25"/>
  <c r="G1406" i="25"/>
  <c r="H1406" i="25"/>
  <c r="F1404" i="25"/>
  <c r="G1404" i="25"/>
  <c r="H1404" i="25"/>
  <c r="I1403" i="25"/>
  <c r="F1403" i="25"/>
  <c r="G1403" i="25"/>
  <c r="H1403" i="25"/>
  <c r="I1402" i="25"/>
  <c r="F1402" i="25"/>
  <c r="G1402" i="25"/>
  <c r="H1402" i="25"/>
  <c r="I1401" i="25"/>
  <c r="G1401" i="25"/>
  <c r="H1401" i="25"/>
  <c r="G1400" i="25"/>
  <c r="H1400" i="25"/>
  <c r="F1397" i="25"/>
  <c r="G1397" i="25"/>
  <c r="H1397" i="25"/>
  <c r="F1395" i="25"/>
  <c r="G1395" i="25"/>
  <c r="H1395" i="25"/>
  <c r="I1394" i="25"/>
  <c r="F1394" i="25"/>
  <c r="G1394" i="25"/>
  <c r="H1394" i="25"/>
  <c r="I1393" i="25"/>
  <c r="G1393" i="25"/>
  <c r="H1393" i="25"/>
  <c r="I1392" i="25"/>
  <c r="F1392" i="25"/>
  <c r="G1392" i="25"/>
  <c r="H1392" i="25"/>
  <c r="F1391" i="25"/>
  <c r="G1391" i="25"/>
  <c r="H1391" i="25"/>
  <c r="F1389" i="25"/>
  <c r="G1389" i="25"/>
  <c r="H1389" i="25"/>
  <c r="I1388" i="25"/>
  <c r="G1388" i="25"/>
  <c r="H1388" i="25"/>
  <c r="I1387" i="25"/>
  <c r="F1387" i="25"/>
  <c r="G1387" i="25"/>
  <c r="H1387" i="25"/>
  <c r="I1386" i="25"/>
  <c r="F1386" i="25"/>
  <c r="G1386" i="25"/>
  <c r="H1386" i="25"/>
  <c r="F1384" i="25"/>
  <c r="G1384" i="25"/>
  <c r="H1384" i="25"/>
  <c r="I1383" i="25"/>
  <c r="G1383" i="25"/>
  <c r="H1383" i="25"/>
  <c r="F1382" i="25"/>
  <c r="G1382" i="25"/>
  <c r="H1382" i="25"/>
  <c r="F1381" i="25"/>
  <c r="G1381" i="25"/>
  <c r="H1381" i="25"/>
  <c r="F1379" i="25"/>
  <c r="G1379" i="25"/>
  <c r="H1379" i="25"/>
  <c r="I1378" i="25"/>
  <c r="F1378" i="25"/>
  <c r="G1378" i="25"/>
  <c r="H1378" i="25"/>
  <c r="F1377" i="25"/>
  <c r="G1377" i="25"/>
  <c r="H1377" i="25"/>
  <c r="G1376" i="25"/>
  <c r="H1376" i="25"/>
  <c r="G1375" i="25"/>
  <c r="H1375" i="25"/>
  <c r="F1372" i="25"/>
  <c r="G1372" i="25"/>
  <c r="H1372" i="25"/>
  <c r="I1371" i="25"/>
  <c r="F1371" i="25"/>
  <c r="G1371" i="25"/>
  <c r="H1371" i="25"/>
  <c r="G1370" i="25"/>
  <c r="H1370" i="25"/>
  <c r="G1369" i="25"/>
  <c r="H1369" i="25"/>
  <c r="F1367" i="25"/>
  <c r="G1367" i="25"/>
  <c r="H1367" i="25"/>
  <c r="F1366" i="25"/>
  <c r="G1366" i="25"/>
  <c r="H1366" i="25"/>
  <c r="F1364" i="25"/>
  <c r="G1364" i="25"/>
  <c r="H1364" i="25"/>
  <c r="G1363" i="25"/>
  <c r="H1363" i="25"/>
  <c r="F1361" i="25"/>
  <c r="G1361" i="25"/>
  <c r="H1361" i="25"/>
  <c r="I1360" i="25"/>
  <c r="F1360" i="25"/>
  <c r="G1360" i="25"/>
  <c r="H1360" i="25"/>
  <c r="I1359" i="25"/>
  <c r="G1359" i="25"/>
  <c r="H1359" i="25"/>
  <c r="I1358" i="25"/>
  <c r="F1358" i="25"/>
  <c r="G1358" i="25"/>
  <c r="H1358" i="25"/>
  <c r="F1357" i="25"/>
  <c r="G1357" i="25"/>
  <c r="H1357" i="25"/>
  <c r="F1355" i="25"/>
  <c r="G1355" i="25"/>
  <c r="H1355" i="25"/>
  <c r="G1354" i="25"/>
  <c r="H1354" i="25"/>
  <c r="F1353" i="25"/>
  <c r="G1353" i="25"/>
  <c r="H1353" i="25"/>
  <c r="F1352" i="25"/>
  <c r="G1352" i="25"/>
  <c r="H1352" i="25"/>
  <c r="F1350" i="25"/>
  <c r="G1350" i="25"/>
  <c r="H1350" i="25"/>
  <c r="G1349" i="25"/>
  <c r="H1349" i="25"/>
  <c r="F1348" i="25"/>
  <c r="G1348" i="25"/>
  <c r="H1348" i="25"/>
  <c r="F1347" i="25"/>
  <c r="G1347" i="25"/>
  <c r="H1347" i="25"/>
  <c r="I1346" i="25"/>
  <c r="F1345" i="25"/>
  <c r="G1345" i="25"/>
  <c r="H1345" i="25"/>
  <c r="F1344" i="25"/>
  <c r="G1344" i="25"/>
  <c r="H1344" i="25"/>
  <c r="G1340" i="25"/>
  <c r="G1339" i="25"/>
  <c r="I1338" i="25"/>
  <c r="F1338" i="25"/>
  <c r="G1338" i="25"/>
  <c r="H1338" i="25"/>
  <c r="I1335" i="25"/>
  <c r="F1335" i="25"/>
  <c r="G1335" i="25"/>
  <c r="H1335" i="25"/>
  <c r="I1334" i="25"/>
  <c r="F1334" i="25"/>
  <c r="G1334" i="25"/>
  <c r="H1334" i="25"/>
  <c r="F1333" i="25"/>
  <c r="G1333" i="25"/>
  <c r="H1333" i="25"/>
  <c r="G1331" i="25"/>
  <c r="H1331" i="25"/>
  <c r="G1330" i="25"/>
  <c r="H1330" i="25"/>
  <c r="I1329" i="25"/>
  <c r="G1329" i="25"/>
  <c r="H1329" i="25"/>
  <c r="I1327" i="25"/>
  <c r="F1327" i="25"/>
  <c r="G1327" i="25"/>
  <c r="H1327" i="25"/>
  <c r="G1325" i="25"/>
  <c r="H1325" i="25"/>
  <c r="I1323" i="25"/>
  <c r="F1323" i="25"/>
  <c r="G1323" i="25"/>
  <c r="H1323" i="25"/>
  <c r="I1321" i="25"/>
  <c r="G1321" i="25"/>
  <c r="H1321" i="25"/>
  <c r="I1318" i="25"/>
  <c r="G1318" i="25"/>
  <c r="H1318" i="25"/>
  <c r="F1317" i="25"/>
  <c r="G1317" i="25"/>
  <c r="H1317" i="25"/>
  <c r="I1316" i="25"/>
  <c r="F1316" i="25"/>
  <c r="G1316" i="25"/>
  <c r="H1316" i="25"/>
  <c r="I1315" i="25"/>
  <c r="G1315" i="25"/>
  <c r="H1315" i="25"/>
  <c r="I1314" i="25"/>
  <c r="F1314" i="25"/>
  <c r="G1314" i="25"/>
  <c r="H1314" i="25"/>
  <c r="I1313" i="25"/>
  <c r="F1313" i="25"/>
  <c r="G1313" i="25"/>
  <c r="H1313" i="25"/>
  <c r="F1311" i="25"/>
  <c r="G1311" i="25"/>
  <c r="H1311" i="25"/>
  <c r="I1310" i="25"/>
  <c r="G1310" i="25"/>
  <c r="H1310" i="25"/>
  <c r="I1309" i="25"/>
  <c r="F1309" i="25"/>
  <c r="G1309" i="25"/>
  <c r="H1309" i="25"/>
  <c r="I1308" i="25"/>
  <c r="F1308" i="25"/>
  <c r="G1308" i="25"/>
  <c r="H1308" i="25"/>
  <c r="F1306" i="25"/>
  <c r="G1306" i="25"/>
  <c r="H1306" i="25"/>
  <c r="I1305" i="25"/>
  <c r="G1305" i="25"/>
  <c r="H1305" i="25"/>
  <c r="I1304" i="25"/>
  <c r="F1304" i="25"/>
  <c r="G1304" i="25"/>
  <c r="H1304" i="25"/>
  <c r="I1303" i="25"/>
  <c r="F1303" i="25"/>
  <c r="G1303" i="25"/>
  <c r="H1303" i="25"/>
  <c r="I1301" i="25"/>
  <c r="F1301" i="25"/>
  <c r="G1301" i="25"/>
  <c r="H1301" i="25"/>
  <c r="F1299" i="25"/>
  <c r="G1299" i="25"/>
  <c r="H1299" i="25"/>
  <c r="I1298" i="25"/>
  <c r="F1298" i="25"/>
  <c r="G1298" i="25"/>
  <c r="H1298" i="25"/>
  <c r="I1297" i="25"/>
  <c r="F1297" i="25"/>
  <c r="G1297" i="25"/>
  <c r="H1297" i="25"/>
  <c r="I1296" i="25"/>
  <c r="G1296" i="25"/>
  <c r="H1296" i="25"/>
  <c r="I1295" i="25"/>
  <c r="G1295" i="25"/>
  <c r="H1295" i="25"/>
  <c r="G1292" i="25"/>
  <c r="H1292" i="25"/>
  <c r="F1291" i="25"/>
  <c r="G1291" i="25"/>
  <c r="H1291" i="25"/>
  <c r="F1289" i="25"/>
  <c r="G1289" i="25"/>
  <c r="H1289" i="25"/>
  <c r="I1288" i="25"/>
  <c r="F1288" i="25"/>
  <c r="G1288" i="25"/>
  <c r="H1288" i="25"/>
  <c r="I1287" i="25"/>
  <c r="G1287" i="25"/>
  <c r="H1287" i="25"/>
  <c r="I1286" i="25"/>
  <c r="F1286" i="25"/>
  <c r="G1286" i="25"/>
  <c r="H1286" i="25"/>
  <c r="F1285" i="25"/>
  <c r="G1285" i="25"/>
  <c r="H1285" i="25"/>
  <c r="F1283" i="25"/>
  <c r="G1283" i="25"/>
  <c r="H1283" i="25"/>
  <c r="I1282" i="25"/>
  <c r="G1282" i="25"/>
  <c r="H1282" i="25"/>
  <c r="I1281" i="25"/>
  <c r="F1281" i="25"/>
  <c r="G1281" i="25"/>
  <c r="H1281" i="25"/>
  <c r="I1280" i="25"/>
  <c r="F1280" i="25"/>
  <c r="G1280" i="25"/>
  <c r="H1280" i="25"/>
  <c r="F1278" i="25"/>
  <c r="G1278" i="25"/>
  <c r="H1278" i="25"/>
  <c r="I1277" i="25"/>
  <c r="G1277" i="25"/>
  <c r="H1277" i="25"/>
  <c r="F1276" i="25"/>
  <c r="G1276" i="25"/>
  <c r="H1276" i="25"/>
  <c r="F1275" i="25"/>
  <c r="G1275" i="25"/>
  <c r="H1275" i="25"/>
  <c r="F1273" i="25"/>
  <c r="G1273" i="25"/>
  <c r="H1273" i="25"/>
  <c r="I1272" i="25"/>
  <c r="F1272" i="25"/>
  <c r="G1272" i="25"/>
  <c r="H1272" i="25"/>
  <c r="F1271" i="25"/>
  <c r="G1271" i="25"/>
  <c r="H1271" i="25"/>
  <c r="G1270" i="25"/>
  <c r="H1270" i="25"/>
  <c r="G1269" i="25"/>
  <c r="H1269" i="25"/>
  <c r="F1266" i="25"/>
  <c r="G1266" i="25"/>
  <c r="H1266" i="25"/>
  <c r="I1265" i="25"/>
  <c r="F1265" i="25"/>
  <c r="G1265" i="25"/>
  <c r="H1265" i="25"/>
  <c r="G1264" i="25"/>
  <c r="H1264" i="25"/>
  <c r="G1263" i="25"/>
  <c r="H1263" i="25"/>
  <c r="F1261" i="25"/>
  <c r="G1261" i="25"/>
  <c r="H1261" i="25"/>
  <c r="F1260" i="25"/>
  <c r="G1260" i="25"/>
  <c r="H1260" i="25"/>
  <c r="G1258" i="25"/>
  <c r="H1258" i="25"/>
  <c r="F1257" i="25"/>
  <c r="G1257" i="25"/>
  <c r="H1257" i="25"/>
  <c r="G1256" i="25"/>
  <c r="H1256" i="25"/>
  <c r="F1254" i="25"/>
  <c r="G1254" i="25"/>
  <c r="H1254" i="25"/>
  <c r="I1253" i="25"/>
  <c r="F1253" i="25"/>
  <c r="G1253" i="25"/>
  <c r="H1253" i="25"/>
  <c r="I1252" i="25"/>
  <c r="G1252" i="25"/>
  <c r="H1252" i="25"/>
  <c r="I1251" i="25"/>
  <c r="F1251" i="25"/>
  <c r="G1251" i="25"/>
  <c r="H1251" i="25"/>
  <c r="F1250" i="25"/>
  <c r="G1250" i="25"/>
  <c r="H1250" i="25"/>
  <c r="F1248" i="25"/>
  <c r="G1248" i="25"/>
  <c r="H1248" i="25"/>
  <c r="G1247" i="25"/>
  <c r="H1247" i="25"/>
  <c r="F1246" i="25"/>
  <c r="G1246" i="25"/>
  <c r="H1246" i="25"/>
  <c r="F1245" i="25"/>
  <c r="G1245" i="25"/>
  <c r="H1245" i="25"/>
  <c r="F1243" i="25"/>
  <c r="G1243" i="25"/>
  <c r="H1243" i="25"/>
  <c r="G1242" i="25"/>
  <c r="H1242" i="25"/>
  <c r="F1241" i="25"/>
  <c r="G1241" i="25"/>
  <c r="H1241" i="25"/>
  <c r="F1240" i="25"/>
  <c r="G1240" i="25"/>
  <c r="H1240" i="25"/>
  <c r="I1239" i="25"/>
  <c r="F1238" i="25"/>
  <c r="G1238" i="25"/>
  <c r="H1238" i="25"/>
  <c r="F1237" i="25"/>
  <c r="G1237" i="25"/>
  <c r="H1237" i="25"/>
  <c r="G1233" i="25"/>
  <c r="G1232" i="25"/>
  <c r="I1231" i="25"/>
  <c r="F1231" i="25"/>
  <c r="G1231" i="25"/>
  <c r="H1231" i="25"/>
  <c r="I1228" i="25"/>
  <c r="F1228" i="25"/>
  <c r="G1228" i="25"/>
  <c r="H1228" i="25"/>
  <c r="I1227" i="25"/>
  <c r="F1227" i="25"/>
  <c r="G1227" i="25"/>
  <c r="H1227" i="25"/>
  <c r="F1226" i="25"/>
  <c r="G1226" i="25"/>
  <c r="H1226" i="25"/>
  <c r="G1224" i="25"/>
  <c r="H1224" i="25"/>
  <c r="G1223" i="25"/>
  <c r="H1223" i="25"/>
  <c r="I1222" i="25"/>
  <c r="G1222" i="25"/>
  <c r="H1222" i="25"/>
  <c r="I1220" i="25"/>
  <c r="F1220" i="25"/>
  <c r="G1220" i="25"/>
  <c r="H1220" i="25"/>
  <c r="G1218" i="25"/>
  <c r="H1218" i="25"/>
  <c r="I1216" i="25"/>
  <c r="F1216" i="25"/>
  <c r="G1216" i="25"/>
  <c r="H1216" i="25"/>
  <c r="I1214" i="25"/>
  <c r="G1214" i="25"/>
  <c r="H1214" i="25"/>
  <c r="I1211" i="25"/>
  <c r="G1211" i="25"/>
  <c r="H1211" i="25"/>
  <c r="F1210" i="25"/>
  <c r="G1210" i="25"/>
  <c r="H1210" i="25"/>
  <c r="I1209" i="25"/>
  <c r="F1209" i="25"/>
  <c r="G1209" i="25"/>
  <c r="H1209" i="25"/>
  <c r="I1208" i="25"/>
  <c r="G1208" i="25"/>
  <c r="H1208" i="25"/>
  <c r="I1207" i="25"/>
  <c r="F1207" i="25"/>
  <c r="G1207" i="25"/>
  <c r="H1207" i="25"/>
  <c r="I1206" i="25"/>
  <c r="F1206" i="25"/>
  <c r="G1206" i="25"/>
  <c r="H1206" i="25"/>
  <c r="F1204" i="25"/>
  <c r="G1204" i="25"/>
  <c r="H1204" i="25"/>
  <c r="I1203" i="25"/>
  <c r="G1203" i="25"/>
  <c r="H1203" i="25"/>
  <c r="F1202" i="25"/>
  <c r="G1202" i="25"/>
  <c r="H1202" i="25"/>
  <c r="I1201" i="25"/>
  <c r="F1201" i="25"/>
  <c r="G1201" i="25"/>
  <c r="H1201" i="25"/>
  <c r="F1199" i="25"/>
  <c r="G1199" i="25"/>
  <c r="H1199" i="25"/>
  <c r="I1198" i="25"/>
  <c r="G1198" i="25"/>
  <c r="H1198" i="25"/>
  <c r="I1197" i="25"/>
  <c r="F1197" i="25"/>
  <c r="G1197" i="25"/>
  <c r="H1197" i="25"/>
  <c r="I1196" i="25"/>
  <c r="F1196" i="25"/>
  <c r="G1196" i="25"/>
  <c r="H1196" i="25"/>
  <c r="I1194" i="25"/>
  <c r="F1194" i="25"/>
  <c r="G1194" i="25"/>
  <c r="H1194" i="25"/>
  <c r="F1192" i="25"/>
  <c r="G1192" i="25"/>
  <c r="H1192" i="25"/>
  <c r="I1191" i="25"/>
  <c r="F1191" i="25"/>
  <c r="G1191" i="25"/>
  <c r="H1191" i="25"/>
  <c r="I1190" i="25"/>
  <c r="F1190" i="25"/>
  <c r="G1190" i="25"/>
  <c r="H1190" i="25"/>
  <c r="I1189" i="25"/>
  <c r="G1189" i="25"/>
  <c r="H1189" i="25"/>
  <c r="I1188" i="25"/>
  <c r="G1188" i="25"/>
  <c r="H1188" i="25"/>
  <c r="G1185" i="25"/>
  <c r="H1185" i="25"/>
  <c r="F1184" i="25"/>
  <c r="G1184" i="25"/>
  <c r="H1184" i="25"/>
  <c r="F1182" i="25"/>
  <c r="G1182" i="25"/>
  <c r="H1182" i="25"/>
  <c r="I1181" i="25"/>
  <c r="F1181" i="25"/>
  <c r="G1181" i="25"/>
  <c r="H1181" i="25"/>
  <c r="I1180" i="25"/>
  <c r="G1180" i="25"/>
  <c r="H1180" i="25"/>
  <c r="I1179" i="25"/>
  <c r="F1179" i="25"/>
  <c r="G1179" i="25"/>
  <c r="H1179" i="25"/>
  <c r="F1178" i="25"/>
  <c r="G1178" i="25"/>
  <c r="H1178" i="25"/>
  <c r="F1176" i="25"/>
  <c r="G1176" i="25"/>
  <c r="H1176" i="25"/>
  <c r="I1175" i="25"/>
  <c r="G1175" i="25"/>
  <c r="H1175" i="25"/>
  <c r="I1174" i="25"/>
  <c r="F1174" i="25"/>
  <c r="G1174" i="25"/>
  <c r="H1174" i="25"/>
  <c r="I1173" i="25"/>
  <c r="F1173" i="25"/>
  <c r="G1173" i="25"/>
  <c r="H1173" i="25"/>
  <c r="F1171" i="25"/>
  <c r="G1171" i="25"/>
  <c r="H1171" i="25"/>
  <c r="I1170" i="25"/>
  <c r="G1170" i="25"/>
  <c r="H1170" i="25"/>
  <c r="F1169" i="25"/>
  <c r="G1169" i="25"/>
  <c r="H1169" i="25"/>
  <c r="F1168" i="25"/>
  <c r="G1168" i="25"/>
  <c r="H1168" i="25"/>
  <c r="F1166" i="25"/>
  <c r="G1166" i="25"/>
  <c r="H1166" i="25"/>
  <c r="I1165" i="25"/>
  <c r="F1165" i="25"/>
  <c r="G1165" i="25"/>
  <c r="H1165" i="25"/>
  <c r="F1164" i="25"/>
  <c r="G1164" i="25"/>
  <c r="H1164" i="25"/>
  <c r="G1163" i="25"/>
  <c r="H1163" i="25"/>
  <c r="G1162" i="25"/>
  <c r="H1162" i="25"/>
  <c r="F1159" i="25"/>
  <c r="G1159" i="25"/>
  <c r="H1159" i="25"/>
  <c r="I1158" i="25"/>
  <c r="F1158" i="25"/>
  <c r="G1158" i="25"/>
  <c r="H1158" i="25"/>
  <c r="G1157" i="25"/>
  <c r="H1157" i="25"/>
  <c r="G1156" i="25"/>
  <c r="H1156" i="25"/>
  <c r="F1154" i="25"/>
  <c r="G1154" i="25"/>
  <c r="H1154" i="25"/>
  <c r="F1153" i="25"/>
  <c r="G1153" i="25"/>
  <c r="H1153" i="25"/>
  <c r="G1151" i="25"/>
  <c r="H1151" i="25"/>
  <c r="F1150" i="25"/>
  <c r="G1150" i="25"/>
  <c r="H1150" i="25"/>
  <c r="G1149" i="25"/>
  <c r="H1149" i="25"/>
  <c r="F1147" i="25"/>
  <c r="G1147" i="25"/>
  <c r="H1147" i="25"/>
  <c r="I1146" i="25"/>
  <c r="F1146" i="25"/>
  <c r="G1146" i="25"/>
  <c r="H1146" i="25"/>
  <c r="I1145" i="25"/>
  <c r="G1145" i="25"/>
  <c r="H1145" i="25"/>
  <c r="I1144" i="25"/>
  <c r="F1144" i="25"/>
  <c r="G1144" i="25"/>
  <c r="H1144" i="25"/>
  <c r="F1143" i="25"/>
  <c r="G1143" i="25"/>
  <c r="H1143" i="25"/>
  <c r="F1141" i="25"/>
  <c r="G1141" i="25"/>
  <c r="H1141" i="25"/>
  <c r="I1140" i="25"/>
  <c r="G1140" i="25"/>
  <c r="H1140" i="25"/>
  <c r="I1139" i="25"/>
  <c r="F1139" i="25"/>
  <c r="G1139" i="25"/>
  <c r="H1139" i="25"/>
  <c r="I1138" i="25"/>
  <c r="F1138" i="25"/>
  <c r="G1138" i="25"/>
  <c r="H1138" i="25"/>
  <c r="F1136" i="25"/>
  <c r="G1136" i="25"/>
  <c r="H1136" i="25"/>
  <c r="I1135" i="25"/>
  <c r="G1135" i="25"/>
  <c r="H1135" i="25"/>
  <c r="I1134" i="25"/>
  <c r="F1134" i="25"/>
  <c r="G1134" i="25"/>
  <c r="H1134" i="25"/>
  <c r="I1133" i="25"/>
  <c r="F1133" i="25"/>
  <c r="G1133" i="25"/>
  <c r="H1133" i="25"/>
  <c r="F1131" i="25"/>
  <c r="G1131" i="25"/>
  <c r="H1131" i="25"/>
  <c r="F1130" i="25"/>
  <c r="G1130" i="25"/>
  <c r="H1130" i="25"/>
  <c r="G1126" i="25"/>
  <c r="G1125" i="25"/>
  <c r="F1124" i="25"/>
  <c r="G1124" i="25"/>
  <c r="H1124" i="25"/>
  <c r="I1121" i="25"/>
  <c r="F1121" i="25"/>
  <c r="G1121" i="25"/>
  <c r="H1121" i="25"/>
  <c r="I1120" i="25"/>
  <c r="F1120" i="25"/>
  <c r="G1120" i="25"/>
  <c r="H1120" i="25"/>
  <c r="F1119" i="25"/>
  <c r="G1119" i="25"/>
  <c r="H1119" i="25"/>
  <c r="G1117" i="25"/>
  <c r="H1117" i="25"/>
  <c r="G1116" i="25"/>
  <c r="H1116" i="25"/>
  <c r="I1115" i="25"/>
  <c r="G1115" i="25"/>
  <c r="H1115" i="25"/>
  <c r="G1113" i="25"/>
  <c r="H1113" i="25"/>
  <c r="I1112" i="25"/>
  <c r="G1112" i="25"/>
  <c r="H1112" i="25"/>
  <c r="G1110" i="25"/>
  <c r="H1110" i="25"/>
  <c r="I1109" i="25"/>
  <c r="G1109" i="25"/>
  <c r="H1109" i="25"/>
  <c r="G1107" i="25"/>
  <c r="H1107" i="25"/>
  <c r="I1106" i="25"/>
  <c r="G1106" i="25"/>
  <c r="H1106" i="25"/>
  <c r="F1061" i="25"/>
  <c r="G1061" i="25"/>
  <c r="H1061" i="25"/>
  <c r="F1060" i="25"/>
  <c r="G1060" i="25"/>
  <c r="H1060" i="25"/>
  <c r="F1059" i="25"/>
  <c r="G1059" i="25"/>
  <c r="H1059" i="25"/>
  <c r="G1058" i="25"/>
  <c r="H1058" i="25"/>
  <c r="G1057" i="25"/>
  <c r="H1057" i="25"/>
  <c r="F1055" i="25"/>
  <c r="G1055" i="25"/>
  <c r="H1055" i="25"/>
  <c r="F1054" i="25"/>
  <c r="G1054" i="25"/>
  <c r="H1054" i="25"/>
  <c r="F1052" i="25"/>
  <c r="G1052" i="25"/>
  <c r="H1052" i="25"/>
  <c r="F1051" i="25"/>
  <c r="G1051" i="25"/>
  <c r="H1051" i="25"/>
  <c r="G1050" i="25"/>
  <c r="H1050" i="25"/>
  <c r="F1048" i="25"/>
  <c r="G1048" i="25"/>
  <c r="H1048" i="25"/>
  <c r="I1047" i="25"/>
  <c r="F1047" i="25"/>
  <c r="G1047" i="25"/>
  <c r="H1047" i="25"/>
  <c r="I1046" i="25"/>
  <c r="G1046" i="25"/>
  <c r="H1046" i="25"/>
  <c r="I1045" i="25"/>
  <c r="F1045" i="25"/>
  <c r="G1045" i="25"/>
  <c r="H1045" i="25"/>
  <c r="F1044" i="25"/>
  <c r="G1044" i="25"/>
  <c r="H1044" i="25"/>
  <c r="F1042" i="25"/>
  <c r="G1042" i="25"/>
  <c r="H1042" i="25"/>
  <c r="G1041" i="25"/>
  <c r="H1041" i="25"/>
  <c r="F1040" i="25"/>
  <c r="G1040" i="25"/>
  <c r="H1040" i="25"/>
  <c r="F1039" i="25"/>
  <c r="G1039" i="25"/>
  <c r="H1039" i="25"/>
  <c r="F1037" i="25"/>
  <c r="G1037" i="25"/>
  <c r="H1037" i="25"/>
  <c r="G1036" i="25"/>
  <c r="H1036" i="25"/>
  <c r="F1035" i="25"/>
  <c r="G1035" i="25"/>
  <c r="H1035" i="25"/>
  <c r="F1034" i="25"/>
  <c r="G1034" i="25"/>
  <c r="H1034" i="25"/>
  <c r="I1033" i="25"/>
  <c r="F1032" i="25"/>
  <c r="G1032" i="25"/>
  <c r="H1032" i="25"/>
  <c r="F1031" i="25"/>
  <c r="G1031" i="25"/>
  <c r="H1031" i="25"/>
  <c r="G1027" i="25"/>
  <c r="G1026" i="25"/>
  <c r="F1025" i="25"/>
  <c r="G1025" i="25"/>
  <c r="H1025" i="25"/>
  <c r="I1022" i="25"/>
  <c r="F1022" i="25"/>
  <c r="G1022" i="25"/>
  <c r="H1022" i="25"/>
  <c r="I1021" i="25"/>
  <c r="F1021" i="25"/>
  <c r="G1021" i="25"/>
  <c r="H1021" i="25"/>
  <c r="F1020" i="25"/>
  <c r="G1020" i="25"/>
  <c r="H1020" i="25"/>
  <c r="G1018" i="25"/>
  <c r="H1018" i="25"/>
  <c r="G1017" i="25"/>
  <c r="H1017" i="25"/>
  <c r="I1016" i="25"/>
  <c r="G1016" i="25"/>
  <c r="H1016" i="25"/>
  <c r="G1014" i="25"/>
  <c r="H1014" i="25"/>
  <c r="I1013" i="25"/>
  <c r="G1013" i="25"/>
  <c r="H1013" i="25"/>
  <c r="G1011" i="25"/>
  <c r="H1011" i="25"/>
  <c r="I1010" i="25"/>
  <c r="G1010" i="25"/>
  <c r="H1010" i="25"/>
  <c r="G1008" i="25"/>
  <c r="H1008" i="25"/>
  <c r="I1007" i="25"/>
  <c r="G1007" i="25"/>
  <c r="H1007" i="25"/>
  <c r="F962" i="25"/>
  <c r="G962" i="25"/>
  <c r="H962" i="25"/>
  <c r="F961" i="25"/>
  <c r="G961" i="25"/>
  <c r="H961" i="25"/>
  <c r="F960" i="25"/>
  <c r="G960" i="25"/>
  <c r="H960" i="25"/>
  <c r="G959" i="25"/>
  <c r="H959" i="25"/>
  <c r="G958" i="25"/>
  <c r="H958" i="25"/>
  <c r="F956" i="25"/>
  <c r="G956" i="25"/>
  <c r="H956" i="25"/>
  <c r="F955" i="25"/>
  <c r="G955" i="25"/>
  <c r="H955" i="25"/>
  <c r="F953" i="25"/>
  <c r="G953" i="25"/>
  <c r="H953" i="25"/>
  <c r="F952" i="25"/>
  <c r="G952" i="25"/>
  <c r="H952" i="25"/>
  <c r="G951" i="25"/>
  <c r="H951" i="25"/>
  <c r="F949" i="25"/>
  <c r="G949" i="25"/>
  <c r="H949" i="25"/>
  <c r="I948" i="25"/>
  <c r="F948" i="25"/>
  <c r="G948" i="25"/>
  <c r="H948" i="25"/>
  <c r="I947" i="25"/>
  <c r="G947" i="25"/>
  <c r="H947" i="25"/>
  <c r="I946" i="25"/>
  <c r="F946" i="25"/>
  <c r="G946" i="25"/>
  <c r="H946" i="25"/>
  <c r="F945" i="25"/>
  <c r="G945" i="25"/>
  <c r="H945" i="25"/>
  <c r="F943" i="25"/>
  <c r="G943" i="25"/>
  <c r="H943" i="25"/>
  <c r="G942" i="25"/>
  <c r="H942" i="25"/>
  <c r="F941" i="25"/>
  <c r="G941" i="25"/>
  <c r="H941" i="25"/>
  <c r="F940" i="25"/>
  <c r="G940" i="25"/>
  <c r="H940" i="25"/>
  <c r="F938" i="25"/>
  <c r="G938" i="25"/>
  <c r="H938" i="25"/>
  <c r="G937" i="25"/>
  <c r="H937" i="25"/>
  <c r="F936" i="25"/>
  <c r="G936" i="25"/>
  <c r="H936" i="25"/>
  <c r="F935" i="25"/>
  <c r="G935" i="25"/>
  <c r="H935" i="25"/>
  <c r="I934" i="25"/>
  <c r="F933" i="25"/>
  <c r="G933" i="25"/>
  <c r="H933" i="25"/>
  <c r="F932" i="25"/>
  <c r="G932" i="25"/>
  <c r="H932" i="25"/>
  <c r="G928" i="25"/>
  <c r="G927" i="25"/>
  <c r="F926" i="25"/>
  <c r="G926" i="25"/>
  <c r="H926" i="25"/>
  <c r="I923" i="25"/>
  <c r="F923" i="25"/>
  <c r="G923" i="25"/>
  <c r="H923" i="25"/>
  <c r="I922" i="25"/>
  <c r="F922" i="25"/>
  <c r="G922" i="25"/>
  <c r="H922" i="25"/>
  <c r="F921" i="25"/>
  <c r="G921" i="25"/>
  <c r="H921" i="25"/>
  <c r="G919" i="25"/>
  <c r="H919" i="25"/>
  <c r="G918" i="25"/>
  <c r="H918" i="25"/>
  <c r="I917" i="25"/>
  <c r="G917" i="25"/>
  <c r="H917" i="25"/>
  <c r="G915" i="25"/>
  <c r="H915" i="25"/>
  <c r="I914" i="25"/>
  <c r="G914" i="25"/>
  <c r="H914" i="25"/>
  <c r="G912" i="25"/>
  <c r="H912" i="25"/>
  <c r="I911" i="25"/>
  <c r="G911" i="25"/>
  <c r="H911" i="25"/>
  <c r="G909" i="25"/>
  <c r="H909" i="25"/>
  <c r="I908" i="25"/>
  <c r="G908" i="25"/>
  <c r="H908" i="25"/>
  <c r="F905" i="25"/>
  <c r="G905" i="25"/>
  <c r="H905" i="25"/>
  <c r="G904" i="25"/>
  <c r="H904" i="25"/>
  <c r="F903" i="25"/>
  <c r="G903" i="25"/>
  <c r="H903" i="25"/>
  <c r="F902" i="25"/>
  <c r="G902" i="25"/>
  <c r="H902" i="25"/>
  <c r="G901" i="25"/>
  <c r="H901" i="25"/>
  <c r="F900" i="25"/>
  <c r="G900" i="25"/>
  <c r="H900" i="25"/>
  <c r="F899" i="25"/>
  <c r="G899" i="25"/>
  <c r="H899" i="25"/>
  <c r="F897" i="25"/>
  <c r="G897" i="25"/>
  <c r="H897" i="25"/>
  <c r="G896" i="25"/>
  <c r="H896" i="25"/>
  <c r="F895" i="25"/>
  <c r="G895" i="25"/>
  <c r="H895" i="25"/>
  <c r="F894" i="25"/>
  <c r="G894" i="25"/>
  <c r="H894" i="25"/>
  <c r="F892" i="25"/>
  <c r="G892" i="25"/>
  <c r="H892" i="25"/>
  <c r="G891" i="25"/>
  <c r="H891" i="25"/>
  <c r="F890" i="25"/>
  <c r="G890" i="25"/>
  <c r="H890" i="25"/>
  <c r="F889" i="25"/>
  <c r="G889" i="25"/>
  <c r="H889" i="25"/>
  <c r="F887" i="25"/>
  <c r="G887" i="25"/>
  <c r="H887" i="25"/>
  <c r="G886" i="25"/>
  <c r="H886" i="25"/>
  <c r="G885" i="25"/>
  <c r="H885" i="25"/>
  <c r="F862" i="25"/>
  <c r="G862" i="25"/>
  <c r="H862" i="25"/>
  <c r="F861" i="25"/>
  <c r="G861" i="25"/>
  <c r="H861" i="25"/>
  <c r="F860" i="25"/>
  <c r="G860" i="25"/>
  <c r="H860" i="25"/>
  <c r="G859" i="25"/>
  <c r="H859" i="25"/>
  <c r="G858" i="25"/>
  <c r="H858" i="25"/>
  <c r="F856" i="25"/>
  <c r="G856" i="25"/>
  <c r="H856" i="25"/>
  <c r="F855" i="25"/>
  <c r="G855" i="25"/>
  <c r="H855" i="25"/>
  <c r="G853" i="25"/>
  <c r="H853" i="25"/>
  <c r="F852" i="25"/>
  <c r="G852" i="25"/>
  <c r="H852" i="25"/>
  <c r="F851" i="25"/>
  <c r="G851" i="25"/>
  <c r="H851" i="25"/>
  <c r="G850" i="25"/>
  <c r="H850" i="25"/>
  <c r="F848" i="25"/>
  <c r="G848" i="25"/>
  <c r="H848" i="25"/>
  <c r="I847" i="25"/>
  <c r="F847" i="25"/>
  <c r="G847" i="25"/>
  <c r="H847" i="25"/>
  <c r="I846" i="25"/>
  <c r="G846" i="25"/>
  <c r="H846" i="25"/>
  <c r="I845" i="25"/>
  <c r="F845" i="25"/>
  <c r="G845" i="25"/>
  <c r="H845" i="25"/>
  <c r="F844" i="25"/>
  <c r="G844" i="25"/>
  <c r="H844" i="25"/>
  <c r="F842" i="25"/>
  <c r="G842" i="25"/>
  <c r="H842" i="25"/>
  <c r="G841" i="25"/>
  <c r="H841" i="25"/>
  <c r="F840" i="25"/>
  <c r="G840" i="25"/>
  <c r="H840" i="25"/>
  <c r="F839" i="25"/>
  <c r="G839" i="25"/>
  <c r="H839" i="25"/>
  <c r="F837" i="25"/>
  <c r="G837" i="25"/>
  <c r="H837" i="25"/>
  <c r="G836" i="25"/>
  <c r="H836" i="25"/>
  <c r="F835" i="25"/>
  <c r="G835" i="25"/>
  <c r="H835" i="25"/>
  <c r="F834" i="25"/>
  <c r="G834" i="25"/>
  <c r="H834" i="25"/>
  <c r="I833" i="25"/>
  <c r="F832" i="25"/>
  <c r="G832" i="25"/>
  <c r="H832" i="25"/>
  <c r="F831" i="25"/>
  <c r="G831" i="25"/>
  <c r="H831" i="25"/>
  <c r="G827" i="25"/>
  <c r="G826" i="25"/>
  <c r="F825" i="25"/>
  <c r="G825" i="25"/>
  <c r="H825" i="25"/>
  <c r="I822" i="25"/>
  <c r="F822" i="25"/>
  <c r="G822" i="25"/>
  <c r="H822" i="25"/>
  <c r="I821" i="25"/>
  <c r="F821" i="25"/>
  <c r="G821" i="25"/>
  <c r="H821" i="25"/>
  <c r="F820" i="25"/>
  <c r="G820" i="25"/>
  <c r="H820" i="25"/>
  <c r="G818" i="25"/>
  <c r="H818" i="25"/>
  <c r="G817" i="25"/>
  <c r="H817" i="25"/>
  <c r="I816" i="25"/>
  <c r="G816" i="25"/>
  <c r="H816" i="25"/>
  <c r="G814" i="25"/>
  <c r="H814" i="25"/>
  <c r="I813" i="25"/>
  <c r="G813" i="25"/>
  <c r="H813" i="25"/>
  <c r="G811" i="25"/>
  <c r="H811" i="25"/>
  <c r="I810" i="25"/>
  <c r="G810" i="25"/>
  <c r="H810" i="25"/>
  <c r="G808" i="25"/>
  <c r="H808" i="25"/>
  <c r="I807" i="25"/>
  <c r="G807" i="25"/>
  <c r="H807" i="25"/>
  <c r="F804" i="25"/>
  <c r="G804" i="25"/>
  <c r="H804" i="25"/>
  <c r="G803" i="25"/>
  <c r="H803" i="25"/>
  <c r="F802" i="25"/>
  <c r="G802" i="25"/>
  <c r="H802" i="25"/>
  <c r="F801" i="25"/>
  <c r="G801" i="25"/>
  <c r="H801" i="25"/>
  <c r="G800" i="25"/>
  <c r="H800" i="25"/>
  <c r="F799" i="25"/>
  <c r="G799" i="25"/>
  <c r="H799" i="25"/>
  <c r="F798" i="25"/>
  <c r="G798" i="25"/>
  <c r="H798" i="25"/>
  <c r="F796" i="25"/>
  <c r="G796" i="25"/>
  <c r="H796" i="25"/>
  <c r="G795" i="25"/>
  <c r="H795" i="25"/>
  <c r="F794" i="25"/>
  <c r="G794" i="25"/>
  <c r="H794" i="25"/>
  <c r="F793" i="25"/>
  <c r="G793" i="25"/>
  <c r="H793" i="25"/>
  <c r="F791" i="25"/>
  <c r="G791" i="25"/>
  <c r="H791" i="25"/>
  <c r="G790" i="25"/>
  <c r="H790" i="25"/>
  <c r="F789" i="25"/>
  <c r="G789" i="25"/>
  <c r="H789" i="25"/>
  <c r="F788" i="25"/>
  <c r="G788" i="25"/>
  <c r="H788" i="25"/>
  <c r="F786" i="25"/>
  <c r="G786" i="25"/>
  <c r="H786" i="25"/>
  <c r="G785" i="25"/>
  <c r="H785" i="25"/>
  <c r="G784" i="25"/>
  <c r="H784" i="25"/>
  <c r="F761" i="25"/>
  <c r="G761" i="25"/>
  <c r="H761" i="25"/>
  <c r="F760" i="25"/>
  <c r="G760" i="25"/>
  <c r="H760" i="25"/>
  <c r="F759" i="25"/>
  <c r="G759" i="25"/>
  <c r="H759" i="25"/>
  <c r="G758" i="25"/>
  <c r="H758" i="25"/>
  <c r="G757" i="25"/>
  <c r="H757" i="25"/>
  <c r="F755" i="25"/>
  <c r="G755" i="25"/>
  <c r="H755" i="25"/>
  <c r="F754" i="25"/>
  <c r="G754" i="25"/>
  <c r="H754" i="25"/>
  <c r="G752" i="25"/>
  <c r="H752" i="25"/>
  <c r="F751" i="25"/>
  <c r="G751" i="25"/>
  <c r="H751" i="25"/>
  <c r="F750" i="25"/>
  <c r="G750" i="25"/>
  <c r="H750" i="25"/>
  <c r="G749" i="25"/>
  <c r="H749" i="25"/>
  <c r="F747" i="25"/>
  <c r="G747" i="25"/>
  <c r="H747" i="25"/>
  <c r="I746" i="25"/>
  <c r="F746" i="25"/>
  <c r="G746" i="25"/>
  <c r="H746" i="25"/>
  <c r="I745" i="25"/>
  <c r="G745" i="25"/>
  <c r="H745" i="25"/>
  <c r="I744" i="25"/>
  <c r="F744" i="25"/>
  <c r="G744" i="25"/>
  <c r="H744" i="25"/>
  <c r="F743" i="25"/>
  <c r="G743" i="25"/>
  <c r="H743" i="25"/>
  <c r="F741" i="25"/>
  <c r="G741" i="25"/>
  <c r="H741" i="25"/>
  <c r="I740" i="25"/>
  <c r="G740" i="25"/>
  <c r="H740" i="25"/>
  <c r="I739" i="25"/>
  <c r="F739" i="25"/>
  <c r="G739" i="25"/>
  <c r="H739" i="25"/>
  <c r="I738" i="25"/>
  <c r="F738" i="25"/>
  <c r="G738" i="25"/>
  <c r="H738" i="25"/>
  <c r="F736" i="25"/>
  <c r="G736" i="25"/>
  <c r="H736" i="25"/>
  <c r="I735" i="25"/>
  <c r="G735" i="25"/>
  <c r="H735" i="25"/>
  <c r="I734" i="25"/>
  <c r="F734" i="25"/>
  <c r="G734" i="25"/>
  <c r="H734" i="25"/>
  <c r="I733" i="25"/>
  <c r="F733" i="25"/>
  <c r="G733" i="25"/>
  <c r="H733" i="25"/>
  <c r="F731" i="25"/>
  <c r="G731" i="25"/>
  <c r="H731" i="25"/>
  <c r="F730" i="25"/>
  <c r="G730" i="25"/>
  <c r="H730" i="25"/>
  <c r="G604" i="25"/>
  <c r="G603" i="25"/>
  <c r="G602" i="25"/>
  <c r="F601" i="25"/>
  <c r="G601" i="25"/>
  <c r="H601" i="25"/>
  <c r="F600" i="25"/>
  <c r="G600" i="25"/>
  <c r="H600" i="25"/>
  <c r="I599" i="25"/>
  <c r="F599" i="25"/>
  <c r="G599" i="25"/>
  <c r="H599" i="25"/>
  <c r="I598" i="25"/>
  <c r="F598" i="25"/>
  <c r="G598" i="25"/>
  <c r="H598" i="25"/>
  <c r="I597" i="25"/>
  <c r="F597" i="25"/>
  <c r="G597" i="25"/>
  <c r="H597" i="25"/>
  <c r="I596" i="25"/>
  <c r="F596" i="25"/>
  <c r="G596" i="25"/>
  <c r="H596" i="25"/>
  <c r="F595" i="25"/>
  <c r="G595" i="25"/>
  <c r="H595" i="25"/>
  <c r="I594" i="25"/>
  <c r="F594" i="25"/>
  <c r="G594" i="25"/>
  <c r="H594" i="25"/>
  <c r="I593" i="25"/>
  <c r="F593" i="25"/>
  <c r="G593" i="25"/>
  <c r="H593" i="25"/>
  <c r="I592" i="25"/>
  <c r="G592" i="25"/>
  <c r="H592" i="25"/>
  <c r="I591" i="25"/>
  <c r="F591" i="25"/>
  <c r="G591" i="25"/>
  <c r="H591" i="25"/>
  <c r="I590" i="25"/>
  <c r="F590" i="25"/>
  <c r="G590" i="25"/>
  <c r="H590" i="25"/>
  <c r="I589" i="25"/>
  <c r="G589" i="25"/>
  <c r="H589" i="25"/>
  <c r="I588" i="25"/>
  <c r="G588" i="25"/>
  <c r="H588" i="25"/>
  <c r="F587" i="25"/>
  <c r="G587" i="25"/>
  <c r="H587" i="25"/>
  <c r="F586" i="25"/>
  <c r="G586" i="25"/>
  <c r="H586" i="25"/>
  <c r="F585" i="25"/>
  <c r="G585" i="25"/>
  <c r="H585" i="25"/>
  <c r="I584" i="25"/>
  <c r="F584" i="25"/>
  <c r="G584" i="25"/>
  <c r="H584" i="25"/>
  <c r="I583" i="25"/>
  <c r="G583" i="25"/>
  <c r="H583" i="25"/>
  <c r="I582" i="25"/>
  <c r="G582" i="25"/>
  <c r="H582" i="25"/>
  <c r="I581" i="25"/>
  <c r="F581" i="25"/>
  <c r="G581" i="25"/>
  <c r="H581" i="25"/>
  <c r="G580" i="25"/>
  <c r="G579" i="25"/>
  <c r="G578" i="25"/>
  <c r="G577" i="25"/>
  <c r="F576" i="25"/>
  <c r="G576" i="25"/>
  <c r="H576" i="25"/>
  <c r="F575" i="25"/>
  <c r="G575" i="25"/>
  <c r="H575" i="25"/>
  <c r="F574" i="25"/>
  <c r="G574" i="25"/>
  <c r="H574" i="25"/>
  <c r="I573" i="25"/>
  <c r="F573" i="25"/>
  <c r="G573" i="25"/>
  <c r="H573" i="25"/>
  <c r="I572" i="25"/>
  <c r="F572" i="25"/>
  <c r="G572" i="25"/>
  <c r="H572" i="25"/>
  <c r="I571" i="25"/>
  <c r="G571" i="25"/>
  <c r="H571" i="25"/>
  <c r="I570" i="25"/>
  <c r="F570" i="25"/>
  <c r="G570" i="25"/>
  <c r="H570" i="25"/>
  <c r="I569" i="25"/>
  <c r="F569" i="25"/>
  <c r="G569" i="25"/>
  <c r="H569" i="25"/>
  <c r="I568" i="25"/>
  <c r="G568" i="25"/>
  <c r="H568" i="25"/>
  <c r="I567" i="25"/>
  <c r="G567" i="25"/>
  <c r="H567" i="25"/>
  <c r="F566" i="25"/>
  <c r="G566" i="25"/>
  <c r="H566" i="25"/>
  <c r="F565" i="25"/>
  <c r="G565" i="25"/>
  <c r="H565" i="25"/>
  <c r="F564" i="25"/>
  <c r="G564" i="25"/>
  <c r="H564" i="25"/>
  <c r="I563" i="25"/>
  <c r="F563" i="25"/>
  <c r="G563" i="25"/>
  <c r="H563" i="25"/>
  <c r="I562" i="25"/>
  <c r="G562" i="25"/>
  <c r="H562" i="25"/>
  <c r="I561" i="25"/>
  <c r="G561" i="25"/>
  <c r="H561" i="25"/>
  <c r="I560" i="25"/>
  <c r="F560" i="25"/>
  <c r="G560" i="25"/>
  <c r="H560" i="25"/>
  <c r="G559" i="25"/>
  <c r="G558" i="25"/>
  <c r="G557" i="25"/>
  <c r="G540" i="25"/>
  <c r="G539" i="25"/>
  <c r="G514" i="25"/>
  <c r="G513" i="25"/>
  <c r="G512" i="25"/>
  <c r="F511" i="25"/>
  <c r="G511" i="25"/>
  <c r="H511" i="25"/>
  <c r="F510" i="25"/>
  <c r="G510" i="25"/>
  <c r="H510" i="25"/>
  <c r="F509" i="25"/>
  <c r="G509" i="25"/>
  <c r="H509" i="25"/>
  <c r="F508" i="25"/>
  <c r="G508" i="25"/>
  <c r="H508" i="25"/>
  <c r="F507" i="25"/>
  <c r="G507" i="25"/>
  <c r="H507" i="25"/>
  <c r="I506" i="25"/>
  <c r="F506" i="25"/>
  <c r="G506" i="25"/>
  <c r="H506" i="25"/>
  <c r="F505" i="25"/>
  <c r="G505" i="25"/>
  <c r="H505" i="25"/>
  <c r="I504" i="25"/>
  <c r="F504" i="25"/>
  <c r="G504" i="25"/>
  <c r="H504" i="25"/>
  <c r="F503" i="25"/>
  <c r="G503" i="25"/>
  <c r="H503" i="25"/>
  <c r="F502" i="25"/>
  <c r="G502" i="25"/>
  <c r="H502" i="25"/>
  <c r="F501" i="25"/>
  <c r="G501" i="25"/>
  <c r="H501" i="25"/>
  <c r="I500" i="25"/>
  <c r="F500" i="25"/>
  <c r="G500" i="25"/>
  <c r="H500" i="25"/>
  <c r="I499" i="25"/>
  <c r="F499" i="25"/>
  <c r="G499" i="25"/>
  <c r="H499" i="25"/>
  <c r="I498" i="25"/>
  <c r="G498" i="25"/>
  <c r="H498" i="25"/>
  <c r="I497" i="25"/>
  <c r="F497" i="25"/>
  <c r="G497" i="25"/>
  <c r="H497" i="25"/>
  <c r="F496" i="25"/>
  <c r="G496" i="25"/>
  <c r="H496" i="25"/>
  <c r="I495" i="25"/>
  <c r="F495" i="25"/>
  <c r="G495" i="25"/>
  <c r="H495" i="25"/>
  <c r="I494" i="25"/>
  <c r="F494" i="25"/>
  <c r="G494" i="25"/>
  <c r="H494" i="25"/>
  <c r="F493" i="25"/>
  <c r="G493" i="25"/>
  <c r="H493" i="25"/>
  <c r="I492" i="25"/>
  <c r="F492" i="25"/>
  <c r="G492" i="25"/>
  <c r="H492" i="25"/>
  <c r="I491" i="25"/>
  <c r="G491" i="25"/>
  <c r="H491" i="25"/>
  <c r="I490" i="25"/>
  <c r="F490" i="25"/>
  <c r="G490" i="25"/>
  <c r="H490" i="25"/>
  <c r="I489" i="25"/>
  <c r="F489" i="25"/>
  <c r="G489" i="25"/>
  <c r="H489" i="25"/>
  <c r="G488" i="25"/>
  <c r="G487" i="25"/>
  <c r="G486" i="25"/>
  <c r="F485" i="25"/>
  <c r="G485" i="25"/>
  <c r="H485" i="25"/>
  <c r="F484" i="25"/>
  <c r="G484" i="25"/>
  <c r="H484" i="25"/>
  <c r="F483" i="25"/>
  <c r="G483" i="25"/>
  <c r="H483" i="25"/>
  <c r="I482" i="25"/>
  <c r="F482" i="25"/>
  <c r="G482" i="25"/>
  <c r="H482" i="25"/>
  <c r="I481" i="25"/>
  <c r="F481" i="25"/>
  <c r="G481" i="25"/>
  <c r="H481" i="25"/>
  <c r="I480" i="25"/>
  <c r="G480" i="25"/>
  <c r="H480" i="25"/>
  <c r="I479" i="25"/>
  <c r="F479" i="25"/>
  <c r="G479" i="25"/>
  <c r="H479" i="25"/>
  <c r="F478" i="25"/>
  <c r="G478" i="25"/>
  <c r="H478" i="25"/>
  <c r="I477" i="25"/>
  <c r="F477" i="25"/>
  <c r="G477" i="25"/>
  <c r="H477" i="25"/>
  <c r="I476" i="25"/>
  <c r="F476" i="25"/>
  <c r="G476" i="25"/>
  <c r="H476" i="25"/>
  <c r="F475" i="25"/>
  <c r="G475" i="25"/>
  <c r="H475" i="25"/>
  <c r="I474" i="25"/>
  <c r="F474" i="25"/>
  <c r="G474" i="25"/>
  <c r="H474" i="25"/>
  <c r="I473" i="25"/>
  <c r="G473" i="25"/>
  <c r="H473" i="25"/>
  <c r="I472" i="25"/>
  <c r="F472" i="25"/>
  <c r="G472" i="25"/>
  <c r="H472" i="25"/>
  <c r="I471" i="25"/>
  <c r="F471" i="25"/>
  <c r="G471" i="25"/>
  <c r="H471" i="25"/>
  <c r="G470" i="25"/>
  <c r="G469" i="25"/>
  <c r="G468" i="25"/>
  <c r="F467" i="25"/>
  <c r="G467" i="25"/>
  <c r="H467" i="25"/>
  <c r="F466" i="25"/>
  <c r="G466" i="25"/>
  <c r="H466" i="25"/>
  <c r="F465" i="25"/>
  <c r="G465" i="25"/>
  <c r="H465" i="25"/>
  <c r="F464" i="25"/>
  <c r="G464" i="25"/>
  <c r="H464" i="25"/>
  <c r="F463" i="25"/>
  <c r="G463" i="25"/>
  <c r="H463" i="25"/>
  <c r="I462" i="25"/>
  <c r="F462" i="25"/>
  <c r="G462" i="25"/>
  <c r="H462" i="25"/>
  <c r="F461" i="25"/>
  <c r="G461" i="25"/>
  <c r="H461" i="25"/>
  <c r="I460" i="25"/>
  <c r="F460" i="25"/>
  <c r="G460" i="25"/>
  <c r="H460" i="25"/>
  <c r="F459" i="25"/>
  <c r="G459" i="25"/>
  <c r="H459" i="25"/>
  <c r="I458" i="25"/>
  <c r="I528" i="25" s="1"/>
  <c r="F458" i="25"/>
  <c r="G458" i="25"/>
  <c r="H458" i="25"/>
  <c r="F457" i="25"/>
  <c r="G457" i="25"/>
  <c r="H457" i="25"/>
  <c r="I456" i="25"/>
  <c r="F456" i="25"/>
  <c r="G456" i="25"/>
  <c r="H456" i="25"/>
  <c r="I455" i="25"/>
  <c r="F455" i="25"/>
  <c r="G455" i="25"/>
  <c r="H455" i="25"/>
  <c r="I454" i="25"/>
  <c r="G454" i="25"/>
  <c r="H454" i="25"/>
  <c r="I453" i="25"/>
  <c r="F453" i="25"/>
  <c r="G453" i="25"/>
  <c r="H453" i="25"/>
  <c r="F452" i="25"/>
  <c r="G452" i="25"/>
  <c r="H452" i="25"/>
  <c r="I451" i="25"/>
  <c r="F451" i="25"/>
  <c r="G451" i="25"/>
  <c r="H451" i="25"/>
  <c r="I450" i="25"/>
  <c r="F450" i="25"/>
  <c r="G450" i="25"/>
  <c r="H450" i="25"/>
  <c r="F449" i="25"/>
  <c r="G449" i="25"/>
  <c r="H449" i="25"/>
  <c r="I448" i="25"/>
  <c r="F448" i="25"/>
  <c r="G448" i="25"/>
  <c r="H448" i="25"/>
  <c r="I447" i="25"/>
  <c r="G447" i="25"/>
  <c r="H447" i="25"/>
  <c r="I446" i="25"/>
  <c r="F446" i="25"/>
  <c r="G446" i="25"/>
  <c r="H446" i="25"/>
  <c r="I445" i="25"/>
  <c r="F445" i="25"/>
  <c r="G445" i="25"/>
  <c r="H445" i="25"/>
  <c r="G444" i="25"/>
  <c r="G443" i="25"/>
  <c r="G442" i="25"/>
  <c r="F441" i="25"/>
  <c r="G441" i="25"/>
  <c r="H441" i="25"/>
  <c r="F440" i="25"/>
  <c r="G440" i="25"/>
  <c r="H440" i="25"/>
  <c r="F439" i="25"/>
  <c r="G439" i="25"/>
  <c r="H439" i="25"/>
  <c r="I438" i="25"/>
  <c r="F438" i="25"/>
  <c r="G438" i="25"/>
  <c r="H438" i="25"/>
  <c r="I437" i="25"/>
  <c r="F437" i="25"/>
  <c r="G437" i="25"/>
  <c r="H437" i="25"/>
  <c r="I436" i="25"/>
  <c r="G436" i="25"/>
  <c r="H436" i="25"/>
  <c r="I435" i="25"/>
  <c r="F435" i="25"/>
  <c r="G435" i="25"/>
  <c r="H435" i="25"/>
  <c r="F434" i="25"/>
  <c r="G434" i="25"/>
  <c r="H434" i="25"/>
  <c r="I433" i="25"/>
  <c r="F433" i="25"/>
  <c r="G433" i="25"/>
  <c r="H433" i="25"/>
  <c r="I432" i="25"/>
  <c r="F432" i="25"/>
  <c r="G432" i="25"/>
  <c r="H432" i="25"/>
  <c r="F431" i="25"/>
  <c r="G431" i="25"/>
  <c r="H431" i="25"/>
  <c r="I430" i="25"/>
  <c r="F430" i="25"/>
  <c r="G430" i="25"/>
  <c r="H430" i="25"/>
  <c r="I429" i="25"/>
  <c r="G429" i="25"/>
  <c r="H429" i="25"/>
  <c r="I428" i="25"/>
  <c r="F428" i="25"/>
  <c r="G428" i="25"/>
  <c r="H428" i="25"/>
  <c r="I427" i="25"/>
  <c r="F427" i="25"/>
  <c r="G427" i="25"/>
  <c r="H427" i="25"/>
  <c r="G426" i="25"/>
  <c r="G425" i="25"/>
  <c r="G380" i="25"/>
  <c r="G379" i="25"/>
  <c r="G378" i="25"/>
  <c r="F377" i="25"/>
  <c r="G377" i="25"/>
  <c r="H377" i="25"/>
  <c r="F376" i="25"/>
  <c r="G376" i="25"/>
  <c r="H376" i="25"/>
  <c r="I375" i="25"/>
  <c r="I401" i="25" s="1"/>
  <c r="F375" i="25"/>
  <c r="G375" i="25"/>
  <c r="H375" i="25"/>
  <c r="I374" i="25"/>
  <c r="F374" i="25"/>
  <c r="G374" i="25"/>
  <c r="H374" i="25"/>
  <c r="I373" i="25"/>
  <c r="F373" i="25"/>
  <c r="G373" i="25"/>
  <c r="H373" i="25"/>
  <c r="I372" i="25"/>
  <c r="F372" i="25"/>
  <c r="G372" i="25"/>
  <c r="H372" i="25"/>
  <c r="F371" i="25"/>
  <c r="G371" i="25"/>
  <c r="H371" i="25"/>
  <c r="I370" i="25"/>
  <c r="F370" i="25"/>
  <c r="G370" i="25"/>
  <c r="H370" i="25"/>
  <c r="I369" i="25"/>
  <c r="F369" i="25"/>
  <c r="G369" i="25"/>
  <c r="H369" i="25"/>
  <c r="I368" i="25"/>
  <c r="G368" i="25"/>
  <c r="H368" i="25"/>
  <c r="I367" i="25"/>
  <c r="F367" i="25"/>
  <c r="G367" i="25"/>
  <c r="H367" i="25"/>
  <c r="I366" i="25"/>
  <c r="F366" i="25"/>
  <c r="G366" i="25"/>
  <c r="H366" i="25"/>
  <c r="I365" i="25"/>
  <c r="G365" i="25"/>
  <c r="H365" i="25"/>
  <c r="I364" i="25"/>
  <c r="G364" i="25"/>
  <c r="H364" i="25"/>
  <c r="F363" i="25"/>
  <c r="G363" i="25"/>
  <c r="H363" i="25"/>
  <c r="I362" i="25"/>
  <c r="F362" i="25"/>
  <c r="G362" i="25"/>
  <c r="H362" i="25"/>
  <c r="I361" i="25"/>
  <c r="F361" i="25"/>
  <c r="G361" i="25"/>
  <c r="H361" i="25"/>
  <c r="I360" i="25"/>
  <c r="F360" i="25"/>
  <c r="G360" i="25"/>
  <c r="H360" i="25"/>
  <c r="I359" i="25"/>
  <c r="F359" i="25"/>
  <c r="G359" i="25"/>
  <c r="H359" i="25"/>
  <c r="I358" i="25"/>
  <c r="F358" i="25"/>
  <c r="G358" i="25"/>
  <c r="H358" i="25"/>
  <c r="I357" i="25"/>
  <c r="G357" i="25"/>
  <c r="H357" i="25"/>
  <c r="I356" i="25"/>
  <c r="G356" i="25"/>
  <c r="H356" i="25"/>
  <c r="I355" i="25"/>
  <c r="F355" i="25"/>
  <c r="G355" i="25"/>
  <c r="H355" i="25"/>
  <c r="G354" i="25"/>
  <c r="G353" i="25"/>
  <c r="G352" i="25"/>
  <c r="F351" i="25"/>
  <c r="G351" i="25"/>
  <c r="H351" i="25"/>
  <c r="I350" i="25"/>
  <c r="F350" i="25"/>
  <c r="G350" i="25"/>
  <c r="H350" i="25"/>
  <c r="I349" i="25"/>
  <c r="F349" i="25"/>
  <c r="G349" i="25"/>
  <c r="H349" i="25"/>
  <c r="I348" i="25"/>
  <c r="G348" i="25"/>
  <c r="H348" i="25"/>
  <c r="I347" i="25"/>
  <c r="F347" i="25"/>
  <c r="G347" i="25"/>
  <c r="H347" i="25"/>
  <c r="I346" i="25"/>
  <c r="F346" i="25"/>
  <c r="G346" i="25"/>
  <c r="H346" i="25"/>
  <c r="I345" i="25"/>
  <c r="G345" i="25"/>
  <c r="H345" i="25"/>
  <c r="I344" i="25"/>
  <c r="G344" i="25"/>
  <c r="H344" i="25"/>
  <c r="F343" i="25"/>
  <c r="G343" i="25"/>
  <c r="H343" i="25"/>
  <c r="I342" i="25"/>
  <c r="F342" i="25"/>
  <c r="G342" i="25"/>
  <c r="H342" i="25"/>
  <c r="I341" i="25"/>
  <c r="F341" i="25"/>
  <c r="G341" i="25"/>
  <c r="H341" i="25"/>
  <c r="I340" i="25"/>
  <c r="F340" i="25"/>
  <c r="G340" i="25"/>
  <c r="H340" i="25"/>
  <c r="I339" i="25"/>
  <c r="F339" i="25"/>
  <c r="G339" i="25"/>
  <c r="H339" i="25"/>
  <c r="I338" i="25"/>
  <c r="F338" i="25"/>
  <c r="G338" i="25"/>
  <c r="H338" i="25"/>
  <c r="I337" i="25"/>
  <c r="G337" i="25"/>
  <c r="H337" i="25"/>
  <c r="I336" i="25"/>
  <c r="G336" i="25"/>
  <c r="H336" i="25"/>
  <c r="I335" i="25"/>
  <c r="F335" i="25"/>
  <c r="G335" i="25"/>
  <c r="H335" i="25"/>
  <c r="G334" i="25"/>
  <c r="G333" i="25"/>
  <c r="G332" i="25"/>
  <c r="F331" i="25"/>
  <c r="G331" i="25"/>
  <c r="H331" i="25"/>
  <c r="F330" i="25"/>
  <c r="G330" i="25"/>
  <c r="H330" i="25"/>
  <c r="F329" i="25"/>
  <c r="G329" i="25"/>
  <c r="H329" i="25"/>
  <c r="I328" i="25"/>
  <c r="F328" i="25"/>
  <c r="G328" i="25"/>
  <c r="H328" i="25"/>
  <c r="I327" i="25"/>
  <c r="F327" i="25"/>
  <c r="G327" i="25"/>
  <c r="H327" i="25"/>
  <c r="I326" i="25"/>
  <c r="F326" i="25"/>
  <c r="G326" i="25"/>
  <c r="H326" i="25"/>
  <c r="F325" i="25"/>
  <c r="G325" i="25"/>
  <c r="H325" i="25"/>
  <c r="I324" i="25"/>
  <c r="F324" i="25"/>
  <c r="G324" i="25"/>
  <c r="H324" i="25"/>
  <c r="I323" i="25"/>
  <c r="F323" i="25"/>
  <c r="G323" i="25"/>
  <c r="H323" i="25"/>
  <c r="I322" i="25"/>
  <c r="G322" i="25"/>
  <c r="H322" i="25"/>
  <c r="I321" i="25"/>
  <c r="F321" i="25"/>
  <c r="G321" i="25"/>
  <c r="H321" i="25"/>
  <c r="I320" i="25"/>
  <c r="F320" i="25"/>
  <c r="G320" i="25"/>
  <c r="H320" i="25"/>
  <c r="I319" i="25"/>
  <c r="G319" i="25"/>
  <c r="H319" i="25"/>
  <c r="I318" i="25"/>
  <c r="G318" i="25"/>
  <c r="H318" i="25"/>
  <c r="F317" i="25"/>
  <c r="G317" i="25"/>
  <c r="H317" i="25"/>
  <c r="I316" i="25"/>
  <c r="F316" i="25"/>
  <c r="G316" i="25"/>
  <c r="H316" i="25"/>
  <c r="I315" i="25"/>
  <c r="F315" i="25"/>
  <c r="G315" i="25"/>
  <c r="H315" i="25"/>
  <c r="I314" i="25"/>
  <c r="F314" i="25"/>
  <c r="G314" i="25"/>
  <c r="H314" i="25"/>
  <c r="I313" i="25"/>
  <c r="F313" i="25"/>
  <c r="G313" i="25"/>
  <c r="H313" i="25"/>
  <c r="I312" i="25"/>
  <c r="F312" i="25"/>
  <c r="G312" i="25"/>
  <c r="H312" i="25"/>
  <c r="I311" i="25"/>
  <c r="G311" i="25"/>
  <c r="H311" i="25"/>
  <c r="I310" i="25"/>
  <c r="G310" i="25"/>
  <c r="H310" i="25"/>
  <c r="I309" i="25"/>
  <c r="F309" i="25"/>
  <c r="G309" i="25"/>
  <c r="H309" i="25"/>
  <c r="G308" i="25"/>
  <c r="G307" i="25"/>
  <c r="G306" i="25"/>
  <c r="F305" i="25"/>
  <c r="G305" i="25"/>
  <c r="H305" i="25"/>
  <c r="I304" i="25"/>
  <c r="F304" i="25"/>
  <c r="G304" i="25"/>
  <c r="H304" i="25"/>
  <c r="I303" i="25"/>
  <c r="F303" i="25"/>
  <c r="G303" i="25"/>
  <c r="H303" i="25"/>
  <c r="I302" i="25"/>
  <c r="G302" i="25"/>
  <c r="H302" i="25"/>
  <c r="I301" i="25"/>
  <c r="F301" i="25"/>
  <c r="G301" i="25"/>
  <c r="H301" i="25"/>
  <c r="I300" i="25"/>
  <c r="F300" i="25"/>
  <c r="G300" i="25"/>
  <c r="H300" i="25"/>
  <c r="I299" i="25"/>
  <c r="G299" i="25"/>
  <c r="H299" i="25"/>
  <c r="I298" i="25"/>
  <c r="G298" i="25"/>
  <c r="H298" i="25"/>
  <c r="F297" i="25"/>
  <c r="G297" i="25"/>
  <c r="H297" i="25"/>
  <c r="I296" i="25"/>
  <c r="F296" i="25"/>
  <c r="G296" i="25"/>
  <c r="H296" i="25"/>
  <c r="I295" i="25"/>
  <c r="F295" i="25"/>
  <c r="G295" i="25"/>
  <c r="H295" i="25"/>
  <c r="I294" i="25"/>
  <c r="F294" i="25"/>
  <c r="G294" i="25"/>
  <c r="H294" i="25"/>
  <c r="I293" i="25"/>
  <c r="F293" i="25"/>
  <c r="G293" i="25"/>
  <c r="H293" i="25"/>
  <c r="I292" i="25"/>
  <c r="F292" i="25"/>
  <c r="G292" i="25"/>
  <c r="H292" i="25"/>
  <c r="I291" i="25"/>
  <c r="G291" i="25"/>
  <c r="H291" i="25"/>
  <c r="I290" i="25"/>
  <c r="G290" i="25"/>
  <c r="H290" i="25"/>
  <c r="I289" i="25"/>
  <c r="F289" i="25"/>
  <c r="G289" i="25"/>
  <c r="H289" i="25"/>
  <c r="G288" i="25"/>
  <c r="G287" i="25"/>
  <c r="G286" i="25"/>
  <c r="I285" i="25"/>
  <c r="F285" i="25"/>
  <c r="G285" i="25"/>
  <c r="H285" i="25"/>
  <c r="I284" i="25"/>
  <c r="F284" i="25"/>
  <c r="G284" i="25"/>
  <c r="H284" i="25"/>
  <c r="I283" i="25"/>
  <c r="F283" i="25"/>
  <c r="G283" i="25"/>
  <c r="H283" i="25"/>
  <c r="F282" i="25"/>
  <c r="G282" i="25"/>
  <c r="H282" i="25"/>
  <c r="I281" i="25"/>
  <c r="F281" i="25"/>
  <c r="G281" i="25"/>
  <c r="H281" i="25"/>
  <c r="I280" i="25"/>
  <c r="F280" i="25"/>
  <c r="G280" i="25"/>
  <c r="H280" i="25"/>
  <c r="F279" i="25"/>
  <c r="G279" i="25"/>
  <c r="H279" i="25"/>
  <c r="I278" i="25"/>
  <c r="F278" i="25"/>
  <c r="G278" i="25"/>
  <c r="H278" i="25"/>
  <c r="I277" i="25"/>
  <c r="F277" i="25"/>
  <c r="G277" i="25"/>
  <c r="H277" i="25"/>
  <c r="F276" i="25"/>
  <c r="G276" i="25"/>
  <c r="H276" i="25"/>
  <c r="I275" i="25"/>
  <c r="F275" i="25"/>
  <c r="G275" i="25"/>
  <c r="H275" i="25"/>
  <c r="I274" i="25"/>
  <c r="F274" i="25"/>
  <c r="G274" i="25"/>
  <c r="H274" i="25"/>
  <c r="F273" i="25"/>
  <c r="G273" i="25"/>
  <c r="H273" i="25"/>
  <c r="I272" i="25"/>
  <c r="F272" i="25"/>
  <c r="G272" i="25"/>
  <c r="H272" i="25"/>
  <c r="I271" i="25"/>
  <c r="F271" i="25"/>
  <c r="G271" i="25"/>
  <c r="H271" i="25"/>
  <c r="F270" i="25"/>
  <c r="G270" i="25"/>
  <c r="H270" i="25"/>
  <c r="F269" i="25"/>
  <c r="G269" i="25"/>
  <c r="H269" i="25"/>
  <c r="F268" i="25"/>
  <c r="G268" i="25"/>
  <c r="H268" i="25"/>
  <c r="I267" i="25"/>
  <c r="G267" i="25"/>
  <c r="H267" i="25"/>
  <c r="I266" i="25"/>
  <c r="F266" i="25"/>
  <c r="G266" i="25"/>
  <c r="H266" i="25"/>
  <c r="F265" i="25"/>
  <c r="G265" i="25"/>
  <c r="H265" i="25"/>
  <c r="I264" i="25"/>
  <c r="G264" i="25"/>
  <c r="H264" i="25"/>
  <c r="I263" i="25"/>
  <c r="G263" i="25"/>
  <c r="H263" i="25"/>
  <c r="F262" i="25"/>
  <c r="G262" i="25"/>
  <c r="H262" i="25"/>
  <c r="F261" i="25"/>
  <c r="G261" i="25"/>
  <c r="H261" i="25"/>
  <c r="F260" i="25"/>
  <c r="G260" i="25"/>
  <c r="H260" i="25"/>
  <c r="I259" i="25"/>
  <c r="G259" i="25"/>
  <c r="H259" i="25"/>
  <c r="I258" i="25"/>
  <c r="G258" i="25"/>
  <c r="H258" i="25"/>
  <c r="F257" i="25"/>
  <c r="G257" i="25"/>
  <c r="H257" i="25"/>
  <c r="F256" i="25"/>
  <c r="G256" i="25"/>
  <c r="H256" i="25"/>
  <c r="I255" i="25"/>
  <c r="F255" i="25"/>
  <c r="G255" i="25"/>
  <c r="H255" i="25"/>
  <c r="F254" i="25"/>
  <c r="G254" i="25"/>
  <c r="H254" i="25"/>
  <c r="F253" i="25"/>
  <c r="G253" i="25"/>
  <c r="H253" i="25"/>
  <c r="I252" i="25"/>
  <c r="G252" i="25"/>
  <c r="H252" i="25"/>
  <c r="I251" i="25"/>
  <c r="G251" i="25"/>
  <c r="H251" i="25"/>
  <c r="G250" i="25"/>
  <c r="G249" i="25"/>
  <c r="G248" i="25"/>
  <c r="I247" i="25"/>
  <c r="F247" i="25"/>
  <c r="G247" i="25"/>
  <c r="H247" i="25"/>
  <c r="I246" i="25"/>
  <c r="F246" i="25"/>
  <c r="G246" i="25"/>
  <c r="H246" i="25"/>
  <c r="I245" i="25"/>
  <c r="F245" i="25"/>
  <c r="G245" i="25"/>
  <c r="H245" i="25"/>
  <c r="F244" i="25"/>
  <c r="G244" i="25"/>
  <c r="H244" i="25"/>
  <c r="F243" i="25"/>
  <c r="G243" i="25"/>
  <c r="H243" i="25"/>
  <c r="F242" i="25"/>
  <c r="G242" i="25"/>
  <c r="H242" i="25"/>
  <c r="I241" i="25"/>
  <c r="G241" i="25"/>
  <c r="H241" i="25"/>
  <c r="I240" i="25"/>
  <c r="F240" i="25"/>
  <c r="G240" i="25"/>
  <c r="H240" i="25"/>
  <c r="F239" i="25"/>
  <c r="G239" i="25"/>
  <c r="H239" i="25"/>
  <c r="I238" i="25"/>
  <c r="G238" i="25"/>
  <c r="H238" i="25"/>
  <c r="I237" i="25"/>
  <c r="G237" i="25"/>
  <c r="H237" i="25"/>
  <c r="F236" i="25"/>
  <c r="G236" i="25"/>
  <c r="H236" i="25"/>
  <c r="F235" i="25"/>
  <c r="G235" i="25"/>
  <c r="H235" i="25"/>
  <c r="F234" i="25"/>
  <c r="G234" i="25"/>
  <c r="H234" i="25"/>
  <c r="I233" i="25"/>
  <c r="G233" i="25"/>
  <c r="H233" i="25"/>
  <c r="I232" i="25"/>
  <c r="G232" i="25"/>
  <c r="H232" i="25"/>
  <c r="F231" i="25"/>
  <c r="G231" i="25"/>
  <c r="H231" i="25"/>
  <c r="F230" i="25"/>
  <c r="G230" i="25"/>
  <c r="H230" i="25"/>
  <c r="I229" i="25"/>
  <c r="F229" i="25"/>
  <c r="G229" i="25"/>
  <c r="H229" i="25"/>
  <c r="F228" i="25"/>
  <c r="G228" i="25"/>
  <c r="H228" i="25"/>
  <c r="F227" i="25"/>
  <c r="G227" i="25"/>
  <c r="H227" i="25"/>
  <c r="I226" i="25"/>
  <c r="G226" i="25"/>
  <c r="H226" i="25"/>
  <c r="I225" i="25"/>
  <c r="G225" i="25"/>
  <c r="H225" i="25"/>
  <c r="G224" i="25"/>
  <c r="G223" i="25"/>
  <c r="G222" i="25"/>
  <c r="I221" i="25"/>
  <c r="F221" i="25"/>
  <c r="G221" i="25"/>
  <c r="H221" i="25"/>
  <c r="I220" i="25"/>
  <c r="F220" i="25"/>
  <c r="G220" i="25"/>
  <c r="H220" i="25"/>
  <c r="I219" i="25"/>
  <c r="F219" i="25"/>
  <c r="G219" i="25"/>
  <c r="H219" i="25"/>
  <c r="I218" i="25"/>
  <c r="F218" i="25"/>
  <c r="G218" i="25"/>
  <c r="H218" i="25"/>
  <c r="I217" i="25"/>
  <c r="F217" i="25"/>
  <c r="G217" i="25"/>
  <c r="H217" i="25"/>
  <c r="I216" i="25"/>
  <c r="F216" i="25"/>
  <c r="G216" i="25"/>
  <c r="H216" i="25"/>
  <c r="I215" i="25"/>
  <c r="F215" i="25"/>
  <c r="G215" i="25"/>
  <c r="H215" i="25"/>
  <c r="I214" i="25"/>
  <c r="F214" i="25"/>
  <c r="G214" i="25"/>
  <c r="H214" i="25"/>
  <c r="I213" i="25"/>
  <c r="F213" i="25"/>
  <c r="G213" i="25"/>
  <c r="H213" i="25"/>
  <c r="I212" i="25"/>
  <c r="F212" i="25"/>
  <c r="G212" i="25"/>
  <c r="H212" i="25"/>
  <c r="I211" i="25"/>
  <c r="F211" i="25"/>
  <c r="G211" i="25"/>
  <c r="H211" i="25"/>
  <c r="F210" i="25"/>
  <c r="G210" i="25"/>
  <c r="H210" i="25"/>
  <c r="I209" i="25"/>
  <c r="F209" i="25"/>
  <c r="G209" i="25"/>
  <c r="H209" i="25"/>
  <c r="I208" i="25"/>
  <c r="F208" i="25"/>
  <c r="G208" i="25"/>
  <c r="H208" i="25"/>
  <c r="I207" i="25"/>
  <c r="G207" i="25"/>
  <c r="H207" i="25"/>
  <c r="I206" i="25"/>
  <c r="F206" i="25"/>
  <c r="G206" i="25"/>
  <c r="H206" i="25"/>
  <c r="F205" i="25"/>
  <c r="G205" i="25"/>
  <c r="H205" i="25"/>
  <c r="I204" i="25"/>
  <c r="G204" i="25"/>
  <c r="H204" i="25"/>
  <c r="I203" i="25"/>
  <c r="G203" i="25"/>
  <c r="H203" i="25"/>
  <c r="F202" i="25"/>
  <c r="G202" i="25"/>
  <c r="H202" i="25"/>
  <c r="F201" i="25"/>
  <c r="G201" i="25"/>
  <c r="H201" i="25"/>
  <c r="F200" i="25"/>
  <c r="G200" i="25"/>
  <c r="H200" i="25"/>
  <c r="I199" i="25"/>
  <c r="G199" i="25"/>
  <c r="H199" i="25"/>
  <c r="I198" i="25"/>
  <c r="G198" i="25"/>
  <c r="H198" i="25"/>
  <c r="F197" i="25"/>
  <c r="G197" i="25"/>
  <c r="H197" i="25"/>
  <c r="F196" i="25"/>
  <c r="G196" i="25"/>
  <c r="H196" i="25"/>
  <c r="I195" i="25"/>
  <c r="F195" i="25"/>
  <c r="G195" i="25"/>
  <c r="H195" i="25"/>
  <c r="F194" i="25"/>
  <c r="G194" i="25"/>
  <c r="H194" i="25"/>
  <c r="F193" i="25"/>
  <c r="G193" i="25"/>
  <c r="H193" i="25"/>
  <c r="I192" i="25"/>
  <c r="G192" i="25"/>
  <c r="H192" i="25"/>
  <c r="I191" i="25"/>
  <c r="G191" i="25"/>
  <c r="H191" i="25"/>
  <c r="G190" i="25"/>
  <c r="G189" i="25"/>
  <c r="G188" i="25"/>
  <c r="I187" i="25"/>
  <c r="F187" i="25"/>
  <c r="G187" i="25"/>
  <c r="H187" i="25"/>
  <c r="I186" i="25"/>
  <c r="F186" i="25"/>
  <c r="G186" i="25"/>
  <c r="H186" i="25"/>
  <c r="I185" i="25"/>
  <c r="F185" i="25"/>
  <c r="G185" i="25"/>
  <c r="H185" i="25"/>
  <c r="F184" i="25"/>
  <c r="G184" i="25"/>
  <c r="H184" i="25"/>
  <c r="I183" i="25"/>
  <c r="F183" i="25"/>
  <c r="G183" i="25"/>
  <c r="H183" i="25"/>
  <c r="I182" i="25"/>
  <c r="F182" i="25"/>
  <c r="G182" i="25"/>
  <c r="H182" i="25"/>
  <c r="I181" i="25"/>
  <c r="G181" i="25"/>
  <c r="H181" i="25"/>
  <c r="I180" i="25"/>
  <c r="F180" i="25"/>
  <c r="G180" i="25"/>
  <c r="H180" i="25"/>
  <c r="F179" i="25"/>
  <c r="G179" i="25"/>
  <c r="H179" i="25"/>
  <c r="I178" i="25"/>
  <c r="G178" i="25"/>
  <c r="H178" i="25"/>
  <c r="I177" i="25"/>
  <c r="G177" i="25"/>
  <c r="H177" i="25"/>
  <c r="I176" i="25"/>
  <c r="G176" i="25"/>
  <c r="H176" i="25"/>
  <c r="F175" i="25"/>
  <c r="G175" i="25"/>
  <c r="H175" i="25"/>
  <c r="F174" i="25"/>
  <c r="G174" i="25"/>
  <c r="H174" i="25"/>
  <c r="F173" i="25"/>
  <c r="G173" i="25"/>
  <c r="H173" i="25"/>
  <c r="F172" i="25"/>
  <c r="G172" i="25"/>
  <c r="H172" i="25"/>
  <c r="F171" i="25"/>
  <c r="G171" i="25"/>
  <c r="H171" i="25"/>
  <c r="I170" i="25"/>
  <c r="F170" i="25"/>
  <c r="G170" i="25"/>
  <c r="H170" i="25"/>
  <c r="I169" i="25"/>
  <c r="G169" i="25"/>
  <c r="H169" i="25"/>
  <c r="I168" i="25"/>
  <c r="G168" i="25"/>
  <c r="H168" i="25"/>
  <c r="F167" i="25"/>
  <c r="G167" i="25"/>
  <c r="H167" i="25"/>
  <c r="F166" i="25"/>
  <c r="G166" i="25"/>
  <c r="H166" i="25"/>
  <c r="I165" i="25"/>
  <c r="G165" i="25"/>
  <c r="H165" i="25"/>
  <c r="I164" i="25"/>
  <c r="G164" i="25"/>
  <c r="H164" i="25"/>
  <c r="G163" i="25"/>
  <c r="G162" i="25"/>
  <c r="G161" i="25"/>
  <c r="I160" i="25"/>
  <c r="F160" i="25"/>
  <c r="G160" i="25"/>
  <c r="H160" i="25"/>
  <c r="I159" i="25"/>
  <c r="F159" i="25"/>
  <c r="G159" i="25"/>
  <c r="H159" i="25"/>
  <c r="I158" i="25"/>
  <c r="F158" i="25"/>
  <c r="G158" i="25"/>
  <c r="H158" i="25"/>
  <c r="I157" i="25"/>
  <c r="F157" i="25"/>
  <c r="G157" i="25"/>
  <c r="H157" i="25"/>
  <c r="I156" i="25"/>
  <c r="F156" i="25"/>
  <c r="G156" i="25"/>
  <c r="H156" i="25"/>
  <c r="I155" i="25"/>
  <c r="F155" i="25"/>
  <c r="G155" i="25"/>
  <c r="H155" i="25"/>
  <c r="I154" i="25"/>
  <c r="F154" i="25"/>
  <c r="G154" i="25"/>
  <c r="H154" i="25"/>
  <c r="I153" i="25"/>
  <c r="F153" i="25"/>
  <c r="G153" i="25"/>
  <c r="H153" i="25"/>
  <c r="I152" i="25"/>
  <c r="F152" i="25"/>
  <c r="G152" i="25"/>
  <c r="H152" i="25"/>
  <c r="I151" i="25"/>
  <c r="F151" i="25"/>
  <c r="G151" i="25"/>
  <c r="H151" i="25"/>
  <c r="I150" i="25"/>
  <c r="F150" i="25"/>
  <c r="G150" i="25"/>
  <c r="H150" i="25"/>
  <c r="F149" i="25"/>
  <c r="G149" i="25"/>
  <c r="H149" i="25"/>
  <c r="I148" i="25"/>
  <c r="F148" i="25"/>
  <c r="G148" i="25"/>
  <c r="H148" i="25"/>
  <c r="I147" i="25"/>
  <c r="F147" i="25"/>
  <c r="G147" i="25"/>
  <c r="H147" i="25"/>
  <c r="I146" i="25"/>
  <c r="G146" i="25"/>
  <c r="H146" i="25"/>
  <c r="I145" i="25"/>
  <c r="F145" i="25"/>
  <c r="G145" i="25"/>
  <c r="H145" i="25"/>
  <c r="F144" i="25"/>
  <c r="G144" i="25"/>
  <c r="H144" i="25"/>
  <c r="I143" i="25"/>
  <c r="G143" i="25"/>
  <c r="H143" i="25"/>
  <c r="I142" i="25"/>
  <c r="G142" i="25"/>
  <c r="H142" i="25"/>
  <c r="F141" i="25"/>
  <c r="G141" i="25"/>
  <c r="H141" i="25"/>
  <c r="F140" i="25"/>
  <c r="G140" i="25"/>
  <c r="H140" i="25"/>
  <c r="F139" i="25"/>
  <c r="G139" i="25"/>
  <c r="H139" i="25"/>
  <c r="I138" i="25"/>
  <c r="G138" i="25"/>
  <c r="H138" i="25"/>
  <c r="I137" i="25"/>
  <c r="G137" i="25"/>
  <c r="H137" i="25"/>
  <c r="F136" i="25"/>
  <c r="G136" i="25"/>
  <c r="H136" i="25"/>
  <c r="F135" i="25"/>
  <c r="G135" i="25"/>
  <c r="H135" i="25"/>
  <c r="I134" i="25"/>
  <c r="F134" i="25"/>
  <c r="G134" i="25"/>
  <c r="H134" i="25"/>
  <c r="F133" i="25"/>
  <c r="G133" i="25"/>
  <c r="H133" i="25"/>
  <c r="F132" i="25"/>
  <c r="G132" i="25"/>
  <c r="H132" i="25"/>
  <c r="I131" i="25"/>
  <c r="G131" i="25"/>
  <c r="H131" i="25"/>
  <c r="I130" i="25"/>
  <c r="G130" i="25"/>
  <c r="H130" i="25"/>
  <c r="G129" i="25"/>
  <c r="G128" i="25"/>
  <c r="G127" i="25"/>
  <c r="I126" i="25"/>
  <c r="F126" i="25"/>
  <c r="G126" i="25"/>
  <c r="H126" i="25"/>
  <c r="I125" i="25"/>
  <c r="F125" i="25"/>
  <c r="G125" i="25"/>
  <c r="H125" i="25"/>
  <c r="I124" i="25"/>
  <c r="F124" i="25"/>
  <c r="G124" i="25"/>
  <c r="H124" i="25"/>
  <c r="F123" i="25"/>
  <c r="G123" i="25"/>
  <c r="H123" i="25"/>
  <c r="I122" i="25"/>
  <c r="F122" i="25"/>
  <c r="G122" i="25"/>
  <c r="H122" i="25"/>
  <c r="I121" i="25"/>
  <c r="F121" i="25"/>
  <c r="G121" i="25"/>
  <c r="H121" i="25"/>
  <c r="I120" i="25"/>
  <c r="G120" i="25"/>
  <c r="H120" i="25"/>
  <c r="I119" i="25"/>
  <c r="F119" i="25"/>
  <c r="G119" i="25"/>
  <c r="H119" i="25"/>
  <c r="F118" i="25"/>
  <c r="G118" i="25"/>
  <c r="H118" i="25"/>
  <c r="I117" i="25"/>
  <c r="G117" i="25"/>
  <c r="H117" i="25"/>
  <c r="I116" i="25"/>
  <c r="G116" i="25"/>
  <c r="H116" i="25"/>
  <c r="F115" i="25"/>
  <c r="G115" i="25"/>
  <c r="H115" i="25"/>
  <c r="F114" i="25"/>
  <c r="G114" i="25"/>
  <c r="H114" i="25"/>
  <c r="F113" i="25"/>
  <c r="G113" i="25"/>
  <c r="H113" i="25"/>
  <c r="I112" i="25"/>
  <c r="G112" i="25"/>
  <c r="H112" i="25"/>
  <c r="I111" i="25"/>
  <c r="G111" i="25"/>
  <c r="H111" i="25"/>
  <c r="F110" i="25"/>
  <c r="G110" i="25"/>
  <c r="H110" i="25"/>
  <c r="F109" i="25"/>
  <c r="G109" i="25"/>
  <c r="H109" i="25"/>
  <c r="I108" i="25"/>
  <c r="F108" i="25"/>
  <c r="G108" i="25"/>
  <c r="H108" i="25"/>
  <c r="F107" i="25"/>
  <c r="G107" i="25"/>
  <c r="H107" i="25"/>
  <c r="F106" i="25"/>
  <c r="G106" i="25"/>
  <c r="H106" i="25"/>
  <c r="I105" i="25"/>
  <c r="G105" i="25"/>
  <c r="H105" i="25"/>
  <c r="I104" i="25"/>
  <c r="G104" i="25"/>
  <c r="H104" i="25"/>
  <c r="G103" i="25"/>
  <c r="G102" i="25"/>
  <c r="H102" i="25"/>
  <c r="G101" i="25"/>
  <c r="H101" i="25"/>
  <c r="F100" i="25"/>
  <c r="G100" i="25"/>
  <c r="H100" i="25"/>
  <c r="F99" i="25"/>
  <c r="G99" i="25"/>
  <c r="H99" i="25"/>
  <c r="G98" i="25"/>
  <c r="H98" i="25"/>
  <c r="G97" i="25"/>
  <c r="H97" i="25"/>
  <c r="G96" i="25"/>
  <c r="H96" i="25"/>
  <c r="F95" i="25"/>
  <c r="G95" i="25"/>
  <c r="H95" i="25"/>
  <c r="G94" i="25"/>
  <c r="H94" i="25"/>
  <c r="G93" i="25"/>
  <c r="H93" i="25"/>
  <c r="G92" i="25"/>
  <c r="H92" i="25"/>
  <c r="F91" i="25"/>
  <c r="G91" i="25"/>
  <c r="H91" i="25"/>
  <c r="G90" i="25"/>
  <c r="H90" i="25"/>
  <c r="G89" i="25"/>
  <c r="H89" i="25"/>
  <c r="F88" i="25"/>
  <c r="G88" i="25"/>
  <c r="H88" i="25"/>
  <c r="F87" i="25"/>
  <c r="G87" i="25"/>
  <c r="H87" i="25"/>
  <c r="G86" i="25"/>
  <c r="H86" i="25"/>
  <c r="F85" i="25"/>
  <c r="G85" i="25"/>
  <c r="H85" i="25"/>
  <c r="F84" i="25"/>
  <c r="G84" i="25"/>
  <c r="H84" i="25"/>
  <c r="F83" i="25"/>
  <c r="G83" i="25"/>
  <c r="H83" i="25"/>
  <c r="G82" i="25"/>
  <c r="H82" i="25"/>
  <c r="G81" i="25"/>
  <c r="H81" i="25"/>
  <c r="F80" i="25"/>
  <c r="G80" i="25"/>
  <c r="H80" i="25"/>
  <c r="G79" i="25"/>
  <c r="H79" i="25"/>
  <c r="F78" i="25"/>
  <c r="G78" i="25"/>
  <c r="H78" i="25"/>
  <c r="G77" i="25"/>
  <c r="H77" i="25"/>
  <c r="F76" i="25"/>
  <c r="G76" i="25"/>
  <c r="H76" i="25"/>
  <c r="F75" i="25"/>
  <c r="G75" i="25"/>
  <c r="H75" i="25"/>
  <c r="F74" i="25"/>
  <c r="G74" i="25"/>
  <c r="H74" i="25"/>
  <c r="G73" i="25"/>
  <c r="H73" i="25"/>
  <c r="G72" i="25"/>
  <c r="H72" i="25"/>
  <c r="G71" i="25"/>
  <c r="H71" i="25"/>
  <c r="G70" i="25"/>
  <c r="H70" i="25"/>
  <c r="G69" i="25"/>
  <c r="H69" i="25"/>
  <c r="F68" i="25"/>
  <c r="G68" i="25"/>
  <c r="H68" i="25"/>
  <c r="I67" i="25"/>
  <c r="G67" i="25"/>
  <c r="H67" i="25"/>
  <c r="G66" i="25"/>
  <c r="H66" i="25"/>
  <c r="F65" i="25"/>
  <c r="G65" i="25"/>
  <c r="H65" i="25"/>
  <c r="G64" i="25"/>
  <c r="H64" i="25"/>
  <c r="I63" i="25"/>
  <c r="G63" i="25"/>
  <c r="H63" i="25"/>
  <c r="F62" i="25"/>
  <c r="G62" i="25"/>
  <c r="H62" i="25"/>
  <c r="F61" i="25"/>
  <c r="G61" i="25"/>
  <c r="H61" i="25"/>
  <c r="F60" i="25"/>
  <c r="G60" i="25"/>
  <c r="H60" i="25"/>
  <c r="G59" i="25"/>
  <c r="H59" i="25"/>
  <c r="G58" i="25"/>
  <c r="H58" i="25"/>
  <c r="F57" i="25"/>
  <c r="G57" i="25"/>
  <c r="H57" i="25"/>
  <c r="F56" i="25"/>
  <c r="G56" i="25"/>
  <c r="H56" i="25"/>
  <c r="G55" i="25"/>
  <c r="H55" i="25"/>
  <c r="F54" i="25"/>
  <c r="G54" i="25"/>
  <c r="H54" i="25"/>
  <c r="F53" i="25"/>
  <c r="G53" i="25"/>
  <c r="H53" i="25"/>
  <c r="F52" i="25"/>
  <c r="G52" i="25"/>
  <c r="H52" i="25"/>
  <c r="F51" i="25"/>
  <c r="G51" i="25"/>
  <c r="H51" i="25"/>
  <c r="G43" i="25"/>
  <c r="H43" i="25"/>
  <c r="G42" i="25"/>
  <c r="H42" i="25"/>
  <c r="G41" i="25"/>
  <c r="H41" i="25"/>
  <c r="I40" i="25"/>
  <c r="G40" i="25"/>
  <c r="H40" i="25"/>
  <c r="F39" i="25"/>
  <c r="G39" i="25"/>
  <c r="H39" i="25"/>
  <c r="F38" i="25"/>
  <c r="G38" i="25"/>
  <c r="H38" i="25"/>
  <c r="F37" i="25"/>
  <c r="G37" i="25"/>
  <c r="H37" i="25"/>
  <c r="G36" i="25"/>
  <c r="H36" i="25"/>
  <c r="G35" i="25"/>
  <c r="H35" i="25"/>
  <c r="G34" i="25"/>
  <c r="H34" i="25"/>
  <c r="I33" i="25"/>
  <c r="G33" i="25"/>
  <c r="H33" i="25"/>
  <c r="F32" i="25"/>
  <c r="G32" i="25"/>
  <c r="H32" i="25"/>
  <c r="F31" i="25"/>
  <c r="G31" i="25"/>
  <c r="H31" i="25"/>
  <c r="F30" i="25"/>
  <c r="G30" i="25"/>
  <c r="H30" i="25"/>
  <c r="G29" i="25"/>
  <c r="H29" i="25"/>
  <c r="G27" i="25"/>
  <c r="H27" i="25"/>
  <c r="G21" i="25"/>
  <c r="H21" i="25"/>
  <c r="G18" i="25"/>
  <c r="H18" i="25"/>
  <c r="G17" i="25"/>
  <c r="H17" i="25"/>
  <c r="G16" i="25"/>
  <c r="H16" i="25"/>
  <c r="G15" i="25"/>
  <c r="H15" i="25"/>
  <c r="G14" i="25"/>
  <c r="H14" i="25"/>
  <c r="G13" i="25"/>
  <c r="H13" i="25"/>
  <c r="F12" i="25"/>
  <c r="G12" i="25"/>
  <c r="H12" i="25"/>
  <c r="F11" i="25"/>
  <c r="G11" i="25"/>
  <c r="H11" i="25"/>
  <c r="F10" i="25"/>
  <c r="G10" i="25"/>
  <c r="H10" i="25"/>
  <c r="F9" i="25"/>
  <c r="G9" i="25"/>
  <c r="H9" i="25"/>
  <c r="G8" i="25"/>
  <c r="H8" i="25"/>
  <c r="G7" i="25"/>
  <c r="H7" i="25"/>
  <c r="G6" i="25"/>
  <c r="H6" i="25"/>
  <c r="F5" i="25"/>
  <c r="G5" i="25"/>
  <c r="H5" i="25"/>
  <c r="F4" i="25"/>
  <c r="G4" i="25"/>
  <c r="H4" i="25"/>
  <c r="F3" i="25"/>
  <c r="G3" i="25"/>
  <c r="H3" i="25"/>
  <c r="F2" i="25"/>
  <c r="G2" i="25"/>
  <c r="H2" i="25"/>
  <c r="F16" i="25"/>
  <c r="F1473" i="25"/>
  <c r="F1057" i="25"/>
  <c r="F1685" i="25"/>
  <c r="F1876" i="25"/>
  <c r="F1875" i="25"/>
  <c r="F1874" i="25"/>
  <c r="F1834" i="25"/>
  <c r="F1812" i="25"/>
  <c r="F1832" i="25"/>
  <c r="F1770" i="25"/>
  <c r="F1771" i="25"/>
  <c r="F1769" i="25"/>
  <c r="F1750" i="25"/>
  <c r="F1749" i="25"/>
  <c r="F1710" i="25"/>
  <c r="F1709" i="25"/>
  <c r="F1708" i="25"/>
  <c r="F1689" i="25"/>
  <c r="F1643" i="25"/>
  <c r="F1613" i="25"/>
  <c r="C119" i="24"/>
  <c r="F1013" i="25"/>
  <c r="F1007" i="25"/>
  <c r="F96" i="25"/>
  <c r="F1745" i="25"/>
  <c r="F263" i="25"/>
  <c r="C104" i="24"/>
  <c r="F199" i="25"/>
  <c r="F232" i="25"/>
  <c r="C102" i="24"/>
  <c r="F131" i="25"/>
  <c r="C101" i="24"/>
  <c r="F130" i="25"/>
  <c r="C100" i="24"/>
  <c r="C99" i="24"/>
  <c r="C98" i="24"/>
  <c r="C97" i="24"/>
  <c r="C96" i="24"/>
  <c r="F59" i="25"/>
  <c r="C93" i="24"/>
  <c r="F69" i="25"/>
  <c r="C91" i="24"/>
  <c r="C90" i="24"/>
  <c r="C89" i="24"/>
  <c r="C88" i="24"/>
  <c r="C74" i="24"/>
  <c r="F1539" i="25"/>
  <c r="F97" i="25"/>
  <c r="F98" i="25"/>
  <c r="F365" i="25"/>
  <c r="F567" i="25"/>
  <c r="F357" i="25"/>
  <c r="F582" i="25"/>
  <c r="F473" i="25"/>
  <c r="F1684" i="25"/>
  <c r="F93" i="25"/>
  <c r="C23" i="24"/>
  <c r="F58" i="25"/>
  <c r="C22" i="24"/>
  <c r="C20" i="24"/>
  <c r="F92" i="25"/>
  <c r="F1614" i="25"/>
  <c r="C10" i="24"/>
  <c r="F90" i="25"/>
  <c r="I90" i="24" l="1"/>
  <c r="I541" i="25"/>
  <c r="I526" i="25"/>
  <c r="I88" i="24"/>
  <c r="I89" i="24"/>
  <c r="I14" i="10"/>
  <c r="G63" i="5" s="1" a="1"/>
  <c r="G63" i="5" s="1"/>
  <c r="I2034" i="25"/>
  <c r="I2063" i="25"/>
  <c r="I1749" i="25"/>
  <c r="I1729" i="25"/>
  <c r="I15" i="10"/>
  <c r="G60" i="5" s="1" a="1"/>
  <c r="G60" i="5" s="1"/>
  <c r="I2004" i="25"/>
  <c r="I1708" i="25"/>
  <c r="I2124" i="25"/>
  <c r="I2094" i="25"/>
  <c r="I1792" i="25"/>
  <c r="I1771" i="25"/>
  <c r="I520" i="25"/>
  <c r="I2005" i="25"/>
  <c r="I1709" i="25"/>
  <c r="I2244" i="25"/>
  <c r="I2214" i="25"/>
  <c r="I1855" i="25"/>
  <c r="I1876" i="25"/>
  <c r="I70" i="24"/>
  <c r="E2353" i="25" s="1"/>
  <c r="K2353" i="25" s="1"/>
  <c r="H11" i="29"/>
  <c r="I2035" i="25"/>
  <c r="I2064" i="25"/>
  <c r="I1750" i="25"/>
  <c r="I1730" i="25"/>
  <c r="I2243" i="25"/>
  <c r="I2213" i="25"/>
  <c r="I1854" i="25"/>
  <c r="I1875" i="25"/>
  <c r="I551" i="25"/>
  <c r="I516" i="25"/>
  <c r="I2153" i="25"/>
  <c r="I2183" i="25"/>
  <c r="I1812" i="25"/>
  <c r="I1833" i="25"/>
  <c r="I2212" i="25"/>
  <c r="I2242" i="25"/>
  <c r="I1853" i="25"/>
  <c r="I1874" i="25"/>
  <c r="I11" i="10"/>
  <c r="G59" i="5" s="1" a="1"/>
  <c r="G59" i="5" s="1"/>
  <c r="I2006" i="25"/>
  <c r="I1710" i="25"/>
  <c r="I2182" i="25"/>
  <c r="I2152" i="25"/>
  <c r="I1811" i="25"/>
  <c r="I1832" i="25"/>
  <c r="I17" i="10"/>
  <c r="G68" i="5" s="1" a="1"/>
  <c r="G68" i="5" s="1"/>
  <c r="H68" i="5" s="1"/>
  <c r="I202" i="24"/>
  <c r="E2369" i="25" s="1"/>
  <c r="I203" i="24"/>
  <c r="E2370" i="25" s="1"/>
  <c r="I30" i="24"/>
  <c r="E2355" i="25" s="1"/>
  <c r="K2355" i="25" s="1"/>
  <c r="I31" i="24"/>
  <c r="E2356" i="25" s="1"/>
  <c r="K2356" i="25" s="1"/>
  <c r="I73" i="24"/>
  <c r="E2358" i="25" s="1"/>
  <c r="K2358" i="25" s="1"/>
  <c r="S92" i="5" s="1"/>
  <c r="I32" i="24"/>
  <c r="E2357" i="25" s="1"/>
  <c r="K2357" i="25" s="1"/>
  <c r="I110" i="24"/>
  <c r="E2359" i="25" s="1"/>
  <c r="K2359" i="25" s="1"/>
  <c r="I111" i="24"/>
  <c r="E2360" i="25" s="1"/>
  <c r="K2360" i="25" s="1"/>
  <c r="I182" i="24"/>
  <c r="I168" i="24"/>
  <c r="I152" i="24"/>
  <c r="I136" i="24"/>
  <c r="I128" i="24"/>
  <c r="I113" i="24"/>
  <c r="E96" i="25" s="1"/>
  <c r="I72" i="24"/>
  <c r="I21" i="24"/>
  <c r="I11" i="24"/>
  <c r="I19" i="24"/>
  <c r="I199" i="24"/>
  <c r="I161" i="24"/>
  <c r="I132" i="24"/>
  <c r="I191" i="24"/>
  <c r="E1981" i="25" s="1"/>
  <c r="K1981" i="25" s="1"/>
  <c r="I160" i="24"/>
  <c r="I15" i="24"/>
  <c r="I157" i="24"/>
  <c r="I94" i="24"/>
  <c r="I5" i="24"/>
  <c r="I92" i="24"/>
  <c r="I179" i="24"/>
  <c r="I165" i="24"/>
  <c r="I149" i="24"/>
  <c r="I135" i="24"/>
  <c r="I127" i="24"/>
  <c r="I9" i="24"/>
  <c r="I17" i="24"/>
  <c r="I177" i="24"/>
  <c r="I145" i="24"/>
  <c r="I7" i="24"/>
  <c r="I176" i="24"/>
  <c r="I198" i="24"/>
  <c r="I6" i="24"/>
  <c r="E2" i="25" s="1"/>
  <c r="I141" i="24"/>
  <c r="I188" i="24"/>
  <c r="I140" i="24"/>
  <c r="I4" i="24"/>
  <c r="I207" i="24"/>
  <c r="I178" i="24"/>
  <c r="I162" i="24"/>
  <c r="I146" i="24"/>
  <c r="I134" i="24"/>
  <c r="I125" i="24"/>
  <c r="I8" i="24"/>
  <c r="I144" i="24"/>
  <c r="I27" i="24"/>
  <c r="I173" i="24"/>
  <c r="I122" i="24"/>
  <c r="I14" i="24"/>
  <c r="I154" i="24"/>
  <c r="I115" i="24"/>
  <c r="I13" i="24"/>
  <c r="I185" i="24"/>
  <c r="I169" i="24"/>
  <c r="I153" i="24"/>
  <c r="I139" i="24"/>
  <c r="I129" i="24"/>
  <c r="E26" i="25" s="1"/>
  <c r="K26" i="25" s="1"/>
  <c r="I24" i="24"/>
  <c r="I12" i="24"/>
  <c r="I3" i="24"/>
  <c r="E61" i="25" s="1"/>
  <c r="I124" i="24"/>
  <c r="I16" i="24"/>
  <c r="I123" i="24"/>
  <c r="I189" i="24"/>
  <c r="I197" i="24"/>
  <c r="I26" i="24"/>
  <c r="I170" i="24"/>
  <c r="I196" i="24"/>
  <c r="I25" i="24"/>
  <c r="I107" i="24"/>
  <c r="I75" i="24"/>
  <c r="I28" i="24"/>
  <c r="E2341" i="25" s="1"/>
  <c r="K2341" i="25" s="1"/>
  <c r="I62" i="24"/>
  <c r="I116" i="24"/>
  <c r="I95" i="24"/>
  <c r="E95" i="25" s="1"/>
  <c r="I117" i="24"/>
  <c r="I200" i="24"/>
  <c r="I61" i="24"/>
  <c r="I67" i="24"/>
  <c r="E2280" i="25" s="1"/>
  <c r="K2280" i="25" s="1"/>
  <c r="I206" i="24"/>
  <c r="I18" i="24"/>
  <c r="I87" i="24"/>
  <c r="I201" i="24"/>
  <c r="I16" i="10"/>
  <c r="G67" i="5" s="1" a="1"/>
  <c r="G67" i="5" s="1"/>
  <c r="I64" i="24"/>
  <c r="I12" i="10"/>
  <c r="G61" i="5" s="1" a="1"/>
  <c r="G61" i="5" s="1"/>
  <c r="I2092" i="25"/>
  <c r="I2122" i="25"/>
  <c r="I1790" i="25"/>
  <c r="I1769" i="25"/>
  <c r="I13" i="10"/>
  <c r="G62" i="5" s="1" a="1"/>
  <c r="G62" i="5" s="1"/>
  <c r="H13" i="29"/>
  <c r="I2123" i="25"/>
  <c r="I2093" i="25"/>
  <c r="I1791" i="25"/>
  <c r="I1770" i="25"/>
  <c r="I2154" i="25"/>
  <c r="I2184" i="25"/>
  <c r="I1813" i="25"/>
  <c r="I1834" i="25"/>
  <c r="I530" i="25"/>
  <c r="I547" i="25"/>
  <c r="I544" i="25"/>
  <c r="I517" i="25"/>
  <c r="I419" i="25"/>
  <c r="I382" i="25"/>
  <c r="I542" i="25"/>
  <c r="I552" i="25"/>
  <c r="I524" i="25"/>
  <c r="I549" i="25"/>
  <c r="I546" i="25"/>
  <c r="I521" i="25"/>
  <c r="I543" i="25"/>
  <c r="I518" i="25"/>
  <c r="I550" i="25"/>
  <c r="I515" i="25"/>
  <c r="I525" i="25"/>
  <c r="I532" i="25"/>
  <c r="I523" i="25"/>
  <c r="I409" i="25"/>
  <c r="I412" i="25"/>
  <c r="I422" i="25"/>
  <c r="I392" i="25"/>
  <c r="I416" i="25"/>
  <c r="I399" i="25"/>
  <c r="I410" i="25"/>
  <c r="I413" i="25"/>
  <c r="I420" i="25"/>
  <c r="I408" i="25"/>
  <c r="I418" i="25"/>
  <c r="I417" i="25"/>
  <c r="I407" i="25"/>
  <c r="I411" i="25"/>
  <c r="I414" i="25"/>
  <c r="I421" i="25"/>
  <c r="I383" i="25"/>
  <c r="I386" i="25"/>
  <c r="I396" i="25"/>
  <c r="I381" i="25"/>
  <c r="I385" i="25"/>
  <c r="I388" i="25"/>
  <c r="I395" i="25"/>
  <c r="I393" i="25"/>
  <c r="I390" i="25"/>
  <c r="I400" i="25"/>
  <c r="I384" i="25"/>
  <c r="I387" i="25"/>
  <c r="I394" i="25"/>
  <c r="I391" i="25"/>
  <c r="I398" i="25"/>
  <c r="I30" i="5" a="1"/>
  <c r="I30" i="5" s="1"/>
  <c r="I32" i="5" a="1"/>
  <c r="I32" i="5" s="1"/>
  <c r="I43" i="5" a="1"/>
  <c r="I43" i="5" s="1"/>
  <c r="I33" i="5" a="1"/>
  <c r="I33" i="5" s="1"/>
  <c r="I31" i="5" a="1"/>
  <c r="I31" i="5" s="1"/>
  <c r="I82" i="14"/>
  <c r="L82" i="14"/>
  <c r="L83" i="14"/>
  <c r="I83" i="14"/>
  <c r="I81" i="14"/>
  <c r="L81" i="14"/>
  <c r="G101" i="14"/>
  <c r="H101" i="14" s="1"/>
  <c r="M101" i="14" s="1"/>
  <c r="N101" i="14" s="1"/>
  <c r="B47" i="14" s="1"/>
  <c r="G88" i="14"/>
  <c r="H88" i="14" s="1"/>
  <c r="M88" i="14" s="1"/>
  <c r="N88" i="14" s="1"/>
  <c r="B44" i="14" s="1"/>
  <c r="L89" i="14"/>
  <c r="I89" i="14"/>
  <c r="L91" i="14"/>
  <c r="I91" i="14"/>
  <c r="L92" i="14"/>
  <c r="I92" i="14"/>
  <c r="L80" i="14"/>
  <c r="I80" i="14"/>
  <c r="L94" i="14"/>
  <c r="I94" i="14"/>
  <c r="D17" i="23"/>
  <c r="D16" i="23" s="1"/>
  <c r="D15" i="23" s="1"/>
  <c r="D14" i="23" s="1"/>
  <c r="D13" i="23" s="1"/>
  <c r="D12" i="23" s="1"/>
  <c r="D11" i="23" s="1"/>
  <c r="D10" i="23" s="1"/>
  <c r="D9" i="23" s="1"/>
  <c r="D8" i="23" s="1"/>
  <c r="D7" i="23" s="1"/>
  <c r="D6" i="23" s="1"/>
  <c r="D5" i="23" s="1"/>
  <c r="E2275" i="25"/>
  <c r="K2275" i="25" s="1"/>
  <c r="E2340" i="25"/>
  <c r="K2340" i="25" s="1"/>
  <c r="E12" i="25"/>
  <c r="E68" i="25"/>
  <c r="K68" i="25" s="1"/>
  <c r="E16" i="25"/>
  <c r="E83" i="25"/>
  <c r="K83" i="25" s="1"/>
  <c r="E2277" i="25"/>
  <c r="K2277" i="25" s="1"/>
  <c r="E5" i="25"/>
  <c r="E11" i="25"/>
  <c r="E98" i="25"/>
  <c r="E97" i="25"/>
  <c r="G96" i="14"/>
  <c r="H96" i="14" s="1"/>
  <c r="M96" i="14" s="1"/>
  <c r="E4" i="25"/>
  <c r="F571" i="25"/>
  <c r="F47" i="25"/>
  <c r="H12" i="29"/>
  <c r="H16" i="29"/>
  <c r="H14" i="29"/>
  <c r="C106" i="24"/>
  <c r="I106" i="24" s="1"/>
  <c r="F55" i="25"/>
  <c r="F79" i="25"/>
  <c r="F1800" i="25"/>
  <c r="F1738" i="25"/>
  <c r="F1779" i="25"/>
  <c r="F1884" i="25"/>
  <c r="F1718" i="25"/>
  <c r="F1697" i="25"/>
  <c r="F1863" i="25"/>
  <c r="F1655" i="25"/>
  <c r="F1758" i="25"/>
  <c r="F1821" i="25"/>
  <c r="F1842" i="25"/>
  <c r="F1676" i="25"/>
  <c r="F1634" i="25"/>
  <c r="E15" i="14"/>
  <c r="C17" i="14"/>
  <c r="E17" i="14" s="1"/>
  <c r="C18" i="14"/>
  <c r="M95" i="14"/>
  <c r="M84" i="14"/>
  <c r="N84" i="14" s="1"/>
  <c r="M90" i="14"/>
  <c r="B24" i="14" s="1"/>
  <c r="L58" i="14"/>
  <c r="M58" i="14" s="1"/>
  <c r="M57" i="14"/>
  <c r="I1248" i="25"/>
  <c r="I1243" i="25"/>
  <c r="I1456" i="25"/>
  <c r="I1459" i="25"/>
  <c r="I1454" i="25"/>
  <c r="L59" i="14"/>
  <c r="M59" i="14" s="1"/>
  <c r="I1039" i="25"/>
  <c r="I1037" i="25"/>
  <c r="I1042" i="25"/>
  <c r="I936" i="25"/>
  <c r="I943" i="25"/>
  <c r="I938" i="25"/>
  <c r="H15" i="29"/>
  <c r="I841" i="25"/>
  <c r="I837" i="25"/>
  <c r="I842" i="25"/>
  <c r="I1355" i="25"/>
  <c r="I1350" i="25"/>
  <c r="C16" i="14"/>
  <c r="I2354" i="25" s="1"/>
  <c r="F1296" i="25"/>
  <c r="F1538" i="25"/>
  <c r="F142" i="25"/>
  <c r="F259" i="25"/>
  <c r="F1109" i="25"/>
  <c r="F1211" i="25"/>
  <c r="F1330" i="25"/>
  <c r="F203" i="25"/>
  <c r="F784" i="25"/>
  <c r="F1401" i="25"/>
  <c r="F1704" i="25"/>
  <c r="F169" i="25"/>
  <c r="F298" i="25"/>
  <c r="F808" i="25"/>
  <c r="F1854" i="25"/>
  <c r="F290" i="25"/>
  <c r="F752" i="25"/>
  <c r="F951" i="25"/>
  <c r="F1189" i="25"/>
  <c r="F1318" i="25"/>
  <c r="F1434" i="25"/>
  <c r="F66" i="25"/>
  <c r="F86" i="25"/>
  <c r="F818" i="25"/>
  <c r="F886" i="25"/>
  <c r="F911" i="25"/>
  <c r="F1505" i="25"/>
  <c r="F1683" i="25"/>
  <c r="F1011" i="25"/>
  <c r="F1223" i="25"/>
  <c r="N97" i="14"/>
  <c r="B37" i="14" s="1"/>
  <c r="C44" i="24" s="1"/>
  <c r="I75" i="14"/>
  <c r="L75" i="14"/>
  <c r="I74" i="14"/>
  <c r="L74" i="14"/>
  <c r="I73" i="14"/>
  <c r="L73" i="14"/>
  <c r="I72" i="14"/>
  <c r="L72" i="14"/>
  <c r="L71" i="14"/>
  <c r="I71" i="14"/>
  <c r="I70" i="14"/>
  <c r="L70" i="14"/>
  <c r="L69" i="14"/>
  <c r="I69" i="14"/>
  <c r="I65" i="14"/>
  <c r="L65" i="14"/>
  <c r="L64" i="14"/>
  <c r="I64" i="14"/>
  <c r="L63" i="14"/>
  <c r="I63" i="14"/>
  <c r="F677" i="25"/>
  <c r="F703" i="25"/>
  <c r="F63" i="25"/>
  <c r="F81" i="25"/>
  <c r="F111" i="25"/>
  <c r="F177" i="25"/>
  <c r="F207" i="25"/>
  <c r="F267" i="25"/>
  <c r="F310" i="25"/>
  <c r="F318" i="25"/>
  <c r="F322" i="25"/>
  <c r="F337" i="25"/>
  <c r="F345" i="25"/>
  <c r="F498" i="25"/>
  <c r="F561" i="25"/>
  <c r="F583" i="25"/>
  <c r="F749" i="25"/>
  <c r="F790" i="25"/>
  <c r="F795" i="25"/>
  <c r="F811" i="25"/>
  <c r="F836" i="25"/>
  <c r="F904" i="25"/>
  <c r="F914" i="25"/>
  <c r="F942" i="25"/>
  <c r="F1014" i="25"/>
  <c r="F1036" i="25"/>
  <c r="F1112" i="25"/>
  <c r="F1149" i="25"/>
  <c r="F1163" i="25"/>
  <c r="F1256" i="25"/>
  <c r="F1270" i="25"/>
  <c r="F1363" i="25"/>
  <c r="F1376" i="25"/>
  <c r="F1467" i="25"/>
  <c r="F1480" i="25"/>
  <c r="F1663" i="25"/>
  <c r="F1729" i="25"/>
  <c r="F1765" i="25"/>
  <c r="F1790" i="25"/>
  <c r="F1792" i="25"/>
  <c r="F1833" i="25"/>
  <c r="F665" i="25"/>
  <c r="F691" i="25"/>
  <c r="F672" i="25"/>
  <c r="F698" i="25"/>
  <c r="F137" i="25"/>
  <c r="F241" i="25"/>
  <c r="F116" i="25"/>
  <c r="F146" i="25"/>
  <c r="F192" i="25"/>
  <c r="F237" i="25"/>
  <c r="F252" i="25"/>
  <c r="F436" i="25"/>
  <c r="F568" i="25"/>
  <c r="F588" i="25"/>
  <c r="F592" i="25"/>
  <c r="F757" i="25"/>
  <c r="F816" i="25"/>
  <c r="F859" i="25"/>
  <c r="F908" i="25"/>
  <c r="F1008" i="25"/>
  <c r="F1018" i="25"/>
  <c r="F1058" i="25"/>
  <c r="F1106" i="25"/>
  <c r="F1157" i="25"/>
  <c r="F1185" i="25"/>
  <c r="F1264" i="25"/>
  <c r="F1292" i="25"/>
  <c r="F1370" i="25"/>
  <c r="F1474" i="25"/>
  <c r="F1807" i="25"/>
  <c r="F1813" i="25"/>
  <c r="F302" i="25"/>
  <c r="F1046" i="25"/>
  <c r="F1602" i="25"/>
  <c r="F1572" i="25"/>
  <c r="F678" i="25"/>
  <c r="F704" i="25"/>
  <c r="F82" i="25"/>
  <c r="F94" i="25"/>
  <c r="F105" i="25"/>
  <c r="F226" i="25"/>
  <c r="F356" i="25"/>
  <c r="F364" i="25"/>
  <c r="F368" i="25"/>
  <c r="F447" i="25"/>
  <c r="F480" i="25"/>
  <c r="F803" i="25"/>
  <c r="F813" i="25"/>
  <c r="F918" i="25"/>
  <c r="F958" i="25"/>
  <c r="F1016" i="25"/>
  <c r="F1116" i="25"/>
  <c r="F1180" i="25"/>
  <c r="F1242" i="25"/>
  <c r="F1287" i="25"/>
  <c r="F1349" i="25"/>
  <c r="F1393" i="25"/>
  <c r="F1453" i="25"/>
  <c r="F1497" i="25"/>
  <c r="F1642" i="25"/>
  <c r="F1828" i="25"/>
  <c r="F673" i="25"/>
  <c r="F699" i="25"/>
  <c r="F64" i="25"/>
  <c r="F112" i="25"/>
  <c r="F176" i="25"/>
  <c r="F178" i="25"/>
  <c r="F233" i="25"/>
  <c r="F311" i="25"/>
  <c r="F319" i="25"/>
  <c r="F336" i="25"/>
  <c r="F344" i="25"/>
  <c r="F348" i="25"/>
  <c r="F491" i="25"/>
  <c r="F562" i="25"/>
  <c r="F745" i="25"/>
  <c r="F785" i="25"/>
  <c r="F810" i="25"/>
  <c r="F841" i="25"/>
  <c r="F901" i="25"/>
  <c r="F915" i="25"/>
  <c r="F937" i="25"/>
  <c r="F1041" i="25"/>
  <c r="F1113" i="25"/>
  <c r="F1145" i="25"/>
  <c r="F1170" i="25"/>
  <c r="F1175" i="25"/>
  <c r="F1224" i="25"/>
  <c r="F1252" i="25"/>
  <c r="F1277" i="25"/>
  <c r="F1282" i="25"/>
  <c r="F1331" i="25"/>
  <c r="F1359" i="25"/>
  <c r="F1383" i="25"/>
  <c r="F1388" i="25"/>
  <c r="F1435" i="25"/>
  <c r="F1463" i="25"/>
  <c r="F1487" i="25"/>
  <c r="F1492" i="25"/>
  <c r="F1662" i="25"/>
  <c r="F1664" i="25"/>
  <c r="F1730" i="25"/>
  <c r="F1791" i="25"/>
  <c r="F1811" i="25"/>
  <c r="F1849" i="25"/>
  <c r="F1855" i="25"/>
  <c r="F89" i="25"/>
  <c r="F846" i="25"/>
  <c r="F1609" i="25"/>
  <c r="F1615" i="25"/>
  <c r="F692" i="25"/>
  <c r="F666" i="25"/>
  <c r="F138" i="25"/>
  <c r="F165" i="25"/>
  <c r="F204" i="25"/>
  <c r="F264" i="25"/>
  <c r="F291" i="25"/>
  <c r="F299" i="25"/>
  <c r="F735" i="25"/>
  <c r="F740" i="25"/>
  <c r="F758" i="25"/>
  <c r="F807" i="25"/>
  <c r="F850" i="25"/>
  <c r="F891" i="25"/>
  <c r="F896" i="25"/>
  <c r="F912" i="25"/>
  <c r="F947" i="25"/>
  <c r="F1010" i="25"/>
  <c r="F1050" i="25"/>
  <c r="F1110" i="25"/>
  <c r="F1135" i="25"/>
  <c r="F1140" i="25"/>
  <c r="F1162" i="25"/>
  <c r="F1188" i="25"/>
  <c r="F1198" i="25"/>
  <c r="F1203" i="25"/>
  <c r="F1208" i="25"/>
  <c r="F1214" i="25"/>
  <c r="F1218" i="25"/>
  <c r="F1222" i="25"/>
  <c r="F1269" i="25"/>
  <c r="F1295" i="25"/>
  <c r="F1305" i="25"/>
  <c r="F1310" i="25"/>
  <c r="F1315" i="25"/>
  <c r="F1321" i="25"/>
  <c r="F1325" i="25"/>
  <c r="F1329" i="25"/>
  <c r="F1375" i="25"/>
  <c r="F1400" i="25"/>
  <c r="F1410" i="25"/>
  <c r="F1415" i="25"/>
  <c r="F1420" i="25"/>
  <c r="F1425" i="25"/>
  <c r="F1429" i="25"/>
  <c r="F1433" i="25"/>
  <c r="F1479" i="25"/>
  <c r="F1504" i="25"/>
  <c r="F1514" i="25"/>
  <c r="F1519" i="25"/>
  <c r="F1524" i="25"/>
  <c r="F1529" i="25"/>
  <c r="F1533" i="25"/>
  <c r="F1537" i="25"/>
  <c r="F1725" i="25"/>
  <c r="F1786" i="25"/>
  <c r="F1870" i="25"/>
  <c r="F33" i="25"/>
  <c r="F120" i="25"/>
  <c r="F164" i="25"/>
  <c r="F67" i="25"/>
  <c r="F117" i="25"/>
  <c r="F191" i="25"/>
  <c r="F238" i="25"/>
  <c r="F251" i="25"/>
  <c r="F429" i="25"/>
  <c r="F589" i="25"/>
  <c r="F817" i="25"/>
  <c r="F853" i="25"/>
  <c r="F885" i="25"/>
  <c r="F909" i="25"/>
  <c r="F919" i="25"/>
  <c r="F959" i="25"/>
  <c r="F1107" i="25"/>
  <c r="F1117" i="25"/>
  <c r="F1151" i="25"/>
  <c r="F1258" i="25"/>
  <c r="F1853" i="25"/>
  <c r="F1891" i="25"/>
  <c r="F1562" i="25"/>
  <c r="F1567" i="25"/>
  <c r="F1557" i="25"/>
  <c r="F1599" i="25"/>
  <c r="F1594" i="25"/>
  <c r="F1589" i="25"/>
  <c r="F681" i="25"/>
  <c r="F710" i="25"/>
  <c r="F1582" i="25"/>
  <c r="F1571" i="25"/>
  <c r="F1578" i="25"/>
  <c r="F1605" i="25"/>
  <c r="F40" i="25"/>
  <c r="F104" i="25"/>
  <c r="F143" i="25"/>
  <c r="F168" i="25"/>
  <c r="F181" i="25"/>
  <c r="F198" i="25"/>
  <c r="F225" i="25"/>
  <c r="F258" i="25"/>
  <c r="F454" i="25"/>
  <c r="F800" i="25"/>
  <c r="F814" i="25"/>
  <c r="F858" i="25"/>
  <c r="F917" i="25"/>
  <c r="F1017" i="25"/>
  <c r="F1115" i="25"/>
  <c r="F1156" i="25"/>
  <c r="F1247" i="25"/>
  <c r="F1263" i="25"/>
  <c r="F1354" i="25"/>
  <c r="F1369" i="25"/>
  <c r="F1458" i="25"/>
  <c r="F1641" i="25"/>
  <c r="I942" i="25"/>
  <c r="I1041" i="25"/>
  <c r="I1453" i="25"/>
  <c r="I937" i="25"/>
  <c r="I1036" i="25"/>
  <c r="I1451" i="25"/>
  <c r="I935" i="25"/>
  <c r="I1034" i="25"/>
  <c r="I1040" i="25"/>
  <c r="I834" i="25"/>
  <c r="I1352" i="25"/>
  <c r="I1349" i="25"/>
  <c r="I1457" i="25"/>
  <c r="I1035" i="25"/>
  <c r="I1241" i="25"/>
  <c r="I1347" i="25"/>
  <c r="I1452" i="25"/>
  <c r="I1353" i="25"/>
  <c r="I1245" i="25"/>
  <c r="I1458" i="25"/>
  <c r="I840" i="25"/>
  <c r="I941" i="25"/>
  <c r="I1247" i="25"/>
  <c r="I836" i="25"/>
  <c r="I1240" i="25"/>
  <c r="I1348" i="25"/>
  <c r="I839" i="25"/>
  <c r="I940" i="25"/>
  <c r="I1246" i="25"/>
  <c r="I1354" i="25"/>
  <c r="I835" i="25"/>
  <c r="I1242" i="25"/>
  <c r="U92" i="5" l="1"/>
  <c r="I23" i="24"/>
  <c r="I108" i="24"/>
  <c r="I78" i="24"/>
  <c r="I81" i="24"/>
  <c r="I83" i="24"/>
  <c r="I109" i="24"/>
  <c r="I101" i="24"/>
  <c r="I9" i="10"/>
  <c r="I4" i="10"/>
  <c r="G87" i="5" s="1" a="1"/>
  <c r="G87" i="5" s="1"/>
  <c r="I84" i="24"/>
  <c r="I100" i="24"/>
  <c r="E605" i="25" s="1"/>
  <c r="K605" i="25" s="1"/>
  <c r="I91" i="24"/>
  <c r="I84" i="5" a="1"/>
  <c r="I84" i="5" s="1"/>
  <c r="I82" i="5" a="1"/>
  <c r="I82" i="5" s="1"/>
  <c r="I96" i="24"/>
  <c r="I71" i="5" a="1"/>
  <c r="I71" i="5" s="1"/>
  <c r="I74" i="24"/>
  <c r="I119" i="24"/>
  <c r="E2038" i="25"/>
  <c r="K2038" i="25" s="1"/>
  <c r="E2009" i="25"/>
  <c r="K2009" i="25" s="1"/>
  <c r="E2067" i="25"/>
  <c r="K2067" i="25" s="1"/>
  <c r="E2127" i="25"/>
  <c r="K2127" i="25" s="1"/>
  <c r="E2187" i="25"/>
  <c r="K2187" i="25" s="1"/>
  <c r="E2097" i="25"/>
  <c r="K2097" i="25" s="1"/>
  <c r="E2157" i="25"/>
  <c r="K2157" i="25" s="1"/>
  <c r="E1897" i="25"/>
  <c r="K1897" i="25" s="1"/>
  <c r="E1957" i="25"/>
  <c r="K1957" i="25" s="1"/>
  <c r="E1927" i="25"/>
  <c r="K1927" i="25" s="1"/>
  <c r="E2247" i="25"/>
  <c r="K2247" i="25" s="1"/>
  <c r="E2217" i="25"/>
  <c r="K2217" i="25" s="1"/>
  <c r="E985" i="25"/>
  <c r="K985" i="25" s="1"/>
  <c r="E981" i="25"/>
  <c r="K981" i="25" s="1"/>
  <c r="E881" i="25"/>
  <c r="K881" i="25" s="1"/>
  <c r="E1084" i="25"/>
  <c r="K1084" i="25" s="1"/>
  <c r="E780" i="25"/>
  <c r="K780" i="25" s="1"/>
  <c r="E1080" i="25"/>
  <c r="K1080" i="25" s="1"/>
  <c r="I81" i="5" a="1"/>
  <c r="I81" i="5" s="1"/>
  <c r="I97" i="24"/>
  <c r="E631" i="25"/>
  <c r="K631" i="25" s="1"/>
  <c r="I79" i="24"/>
  <c r="E1986" i="25" s="1"/>
  <c r="K1986" i="25" s="1"/>
  <c r="E2365" i="25"/>
  <c r="E636" i="25"/>
  <c r="K636" i="25" s="1"/>
  <c r="E610" i="25"/>
  <c r="K610" i="25" s="1"/>
  <c r="E616" i="25"/>
  <c r="K616" i="25" s="1"/>
  <c r="E642" i="25"/>
  <c r="K642" i="25" s="1"/>
  <c r="E519" i="25"/>
  <c r="K519" i="25" s="1"/>
  <c r="E545" i="25"/>
  <c r="K545" i="25" s="1"/>
  <c r="E522" i="25"/>
  <c r="K522" i="25" s="1"/>
  <c r="E548" i="25"/>
  <c r="K548" i="25" s="1"/>
  <c r="E415" i="25"/>
  <c r="K415" i="25" s="1"/>
  <c r="E389" i="25"/>
  <c r="K389" i="25" s="1"/>
  <c r="I68" i="24"/>
  <c r="I98" i="24"/>
  <c r="I104" i="24"/>
  <c r="E2342" i="25"/>
  <c r="K2342" i="25" s="1"/>
  <c r="E649" i="25"/>
  <c r="K649" i="25" s="1"/>
  <c r="E623" i="25"/>
  <c r="K623" i="25" s="1"/>
  <c r="E526" i="25"/>
  <c r="K526" i="25" s="1"/>
  <c r="E552" i="25"/>
  <c r="E396" i="25"/>
  <c r="K396" i="25" s="1"/>
  <c r="E422" i="25"/>
  <c r="K422" i="25" s="1"/>
  <c r="I103" i="24"/>
  <c r="E609" i="25"/>
  <c r="K609" i="25" s="1"/>
  <c r="E635" i="25"/>
  <c r="K635" i="25" s="1"/>
  <c r="Q92" i="5"/>
  <c r="I20" i="24"/>
  <c r="I99" i="24"/>
  <c r="I83" i="5" a="1"/>
  <c r="I83" i="5" s="1"/>
  <c r="I85" i="5" a="1"/>
  <c r="I85" i="5" s="1"/>
  <c r="I79" i="5" a="1"/>
  <c r="I79" i="5" s="1"/>
  <c r="E2037" i="25"/>
  <c r="K2037" i="25" s="1"/>
  <c r="E2096" i="25"/>
  <c r="K2096" i="25" s="1"/>
  <c r="E2126" i="25"/>
  <c r="K2126" i="25" s="1"/>
  <c r="E2216" i="25"/>
  <c r="K2216" i="25" s="1"/>
  <c r="E2186" i="25"/>
  <c r="K2186" i="25" s="1"/>
  <c r="E1926" i="25"/>
  <c r="K1926" i="25" s="1"/>
  <c r="E2008" i="25"/>
  <c r="K2008" i="25" s="1"/>
  <c r="E1896" i="25"/>
  <c r="K1896" i="25" s="1"/>
  <c r="E2156" i="25"/>
  <c r="K2156" i="25" s="1"/>
  <c r="E1956" i="25"/>
  <c r="K1956" i="25" s="1"/>
  <c r="E2066" i="25"/>
  <c r="K2066" i="25" s="1"/>
  <c r="E2246" i="25"/>
  <c r="K2246" i="25" s="1"/>
  <c r="I76" i="24"/>
  <c r="E656" i="25"/>
  <c r="K656" i="25" s="1"/>
  <c r="E652" i="25"/>
  <c r="K652" i="25" s="1"/>
  <c r="E532" i="25"/>
  <c r="K532" i="25" s="1"/>
  <c r="E528" i="25"/>
  <c r="K528" i="25" s="1"/>
  <c r="E400" i="25"/>
  <c r="K400" i="25" s="1"/>
  <c r="E398" i="25"/>
  <c r="K398" i="25" s="1"/>
  <c r="I105" i="24"/>
  <c r="E620" i="25"/>
  <c r="K620" i="25" s="1"/>
  <c r="E646" i="25"/>
  <c r="K646" i="25" s="1"/>
  <c r="E549" i="25"/>
  <c r="K549" i="25" s="1"/>
  <c r="E523" i="25"/>
  <c r="K523" i="25" s="1"/>
  <c r="E419" i="25"/>
  <c r="E393" i="25"/>
  <c r="K393" i="25" s="1"/>
  <c r="E978" i="25"/>
  <c r="K978" i="25" s="1"/>
  <c r="E777" i="25"/>
  <c r="K777" i="25" s="1"/>
  <c r="E1101" i="25"/>
  <c r="K1101" i="25" s="1"/>
  <c r="E878" i="25"/>
  <c r="K878" i="25" s="1"/>
  <c r="E1077" i="25"/>
  <c r="K1077" i="25" s="1"/>
  <c r="E1002" i="25"/>
  <c r="K1002" i="25" s="1"/>
  <c r="K2370" i="25"/>
  <c r="H2370" i="25"/>
  <c r="I93" i="24"/>
  <c r="I22" i="24"/>
  <c r="E648" i="25"/>
  <c r="K648" i="25" s="1"/>
  <c r="E622" i="25"/>
  <c r="K622" i="25" s="1"/>
  <c r="E654" i="25"/>
  <c r="K654" i="25" s="1"/>
  <c r="E525" i="25"/>
  <c r="K525" i="25" s="1"/>
  <c r="E551" i="25"/>
  <c r="K551" i="25" s="1"/>
  <c r="E530" i="25"/>
  <c r="K530" i="25" s="1"/>
  <c r="E421" i="25"/>
  <c r="K421" i="25" s="1"/>
  <c r="E399" i="25"/>
  <c r="K399" i="25" s="1"/>
  <c r="E395" i="25"/>
  <c r="K395" i="25" s="1"/>
  <c r="E865" i="25"/>
  <c r="K865" i="25" s="1"/>
  <c r="E994" i="25"/>
  <c r="K994" i="25" s="1"/>
  <c r="E1069" i="25"/>
  <c r="K1069" i="25" s="1"/>
  <c r="E769" i="25"/>
  <c r="K769" i="25" s="1"/>
  <c r="E1064" i="25"/>
  <c r="K1064" i="25" s="1"/>
  <c r="E764" i="25"/>
  <c r="K764" i="25" s="1"/>
  <c r="E870" i="25"/>
  <c r="K870" i="25" s="1"/>
  <c r="E1088" i="25"/>
  <c r="K1088" i="25" s="1"/>
  <c r="E989" i="25"/>
  <c r="K989" i="25" s="1"/>
  <c r="E1093" i="25"/>
  <c r="K1093" i="25" s="1"/>
  <c r="E970" i="25"/>
  <c r="K970" i="25" s="1"/>
  <c r="E965" i="25"/>
  <c r="K965" i="25" s="1"/>
  <c r="E2251" i="25"/>
  <c r="K2251" i="25" s="1"/>
  <c r="E1961" i="25"/>
  <c r="K1961" i="25" s="1"/>
  <c r="E2161" i="25"/>
  <c r="K2161" i="25" s="1"/>
  <c r="E2013" i="25"/>
  <c r="K2013" i="25" s="1"/>
  <c r="E1901" i="25"/>
  <c r="K1901" i="25" s="1"/>
  <c r="E2071" i="25"/>
  <c r="K2071" i="25" s="1"/>
  <c r="E2131" i="25"/>
  <c r="K2131" i="25" s="1"/>
  <c r="E1931" i="25"/>
  <c r="K1931" i="25" s="1"/>
  <c r="E2191" i="25"/>
  <c r="K2191" i="25" s="1"/>
  <c r="E2221" i="25"/>
  <c r="K2221" i="25" s="1"/>
  <c r="E2101" i="25"/>
  <c r="K2101" i="25" s="1"/>
  <c r="E2042" i="25"/>
  <c r="K2042" i="25" s="1"/>
  <c r="E658" i="25"/>
  <c r="K658" i="25" s="1"/>
  <c r="T54" i="5" s="1"/>
  <c r="E534" i="25"/>
  <c r="K534" i="25" s="1"/>
  <c r="E401" i="25"/>
  <c r="K401" i="25" s="1"/>
  <c r="E1098" i="25"/>
  <c r="K1098" i="25" s="1"/>
  <c r="E774" i="25"/>
  <c r="K774" i="25" s="1"/>
  <c r="E875" i="25"/>
  <c r="K875" i="25" s="1"/>
  <c r="E975" i="25"/>
  <c r="K975" i="25" s="1"/>
  <c r="E1074" i="25"/>
  <c r="K1074" i="25" s="1"/>
  <c r="E999" i="25"/>
  <c r="K999" i="25" s="1"/>
  <c r="E2075" i="25"/>
  <c r="K2075" i="25" s="1"/>
  <c r="T23" i="5" s="1"/>
  <c r="E2195" i="25"/>
  <c r="K2195" i="25" s="1"/>
  <c r="T27" i="5" s="1"/>
  <c r="E2105" i="25"/>
  <c r="K2105" i="25" s="1"/>
  <c r="T24" i="5" s="1"/>
  <c r="E2017" i="25"/>
  <c r="K2017" i="25" s="1"/>
  <c r="T21" i="5" s="1"/>
  <c r="E1905" i="25"/>
  <c r="K1905" i="25" s="1"/>
  <c r="E2225" i="25"/>
  <c r="K2225" i="25" s="1"/>
  <c r="T28" i="5" s="1"/>
  <c r="E1987" i="25"/>
  <c r="K1987" i="25" s="1"/>
  <c r="E2046" i="25"/>
  <c r="K2046" i="25" s="1"/>
  <c r="T22" i="5" s="1"/>
  <c r="E2165" i="25"/>
  <c r="K2165" i="25" s="1"/>
  <c r="T26" i="5" s="1"/>
  <c r="E1935" i="25"/>
  <c r="K1935" i="25" s="1"/>
  <c r="E1965" i="25"/>
  <c r="K1965" i="25" s="1"/>
  <c r="E2135" i="25"/>
  <c r="K2135" i="25" s="1"/>
  <c r="T25" i="5" s="1"/>
  <c r="E2255" i="25"/>
  <c r="K2255" i="25" s="1"/>
  <c r="T29" i="5" s="1"/>
  <c r="E2212" i="25"/>
  <c r="K2212" i="25" s="1"/>
  <c r="E1921" i="25"/>
  <c r="K1921" i="25" s="1"/>
  <c r="E2242" i="25"/>
  <c r="K2242" i="25" s="1"/>
  <c r="E1951" i="25"/>
  <c r="K1951" i="25" s="1"/>
  <c r="K552" i="25"/>
  <c r="I5" i="10"/>
  <c r="G88" i="5" s="1" a="1"/>
  <c r="G88" i="5" s="1"/>
  <c r="I2" i="10"/>
  <c r="G69" i="5" s="1" a="1"/>
  <c r="G69" i="5" s="1"/>
  <c r="I85" i="24"/>
  <c r="E2329" i="25"/>
  <c r="K2329" i="25" s="1"/>
  <c r="L2333" i="25" s="1"/>
  <c r="G79" i="5" s="1" a="1"/>
  <c r="G79" i="5" s="1"/>
  <c r="H79" i="5" s="1"/>
  <c r="E2315" i="25"/>
  <c r="K2315" i="25" s="1"/>
  <c r="E2327" i="25"/>
  <c r="K2327" i="25" s="1"/>
  <c r="E2316" i="25"/>
  <c r="K2316" i="25" s="1"/>
  <c r="L2320" i="25" s="1"/>
  <c r="G83" i="5" s="1" a="1"/>
  <c r="G83" i="5" s="1"/>
  <c r="H83" i="5" s="1"/>
  <c r="E2330" i="25"/>
  <c r="K2330" i="25" s="1"/>
  <c r="E2328" i="25"/>
  <c r="K2328" i="25" s="1"/>
  <c r="E2317" i="25"/>
  <c r="K2317" i="25" s="1"/>
  <c r="E2314" i="25"/>
  <c r="K2314" i="25" s="1"/>
  <c r="C8" i="35"/>
  <c r="D8" i="35" s="1"/>
  <c r="C6" i="35"/>
  <c r="D6" i="35" s="1"/>
  <c r="C2" i="35"/>
  <c r="D2" i="35" s="1"/>
  <c r="C5" i="35"/>
  <c r="D5" i="35" s="1"/>
  <c r="C9" i="35"/>
  <c r="D9" i="35" s="1"/>
  <c r="C4" i="35"/>
  <c r="D4" i="35" s="1"/>
  <c r="C3" i="35"/>
  <c r="D3" i="35" s="1"/>
  <c r="C7" i="35"/>
  <c r="D7" i="35" s="1"/>
  <c r="I80" i="24"/>
  <c r="E621" i="25"/>
  <c r="K621" i="25" s="1"/>
  <c r="E647" i="25"/>
  <c r="K647" i="25" s="1"/>
  <c r="E524" i="25"/>
  <c r="K524" i="25" s="1"/>
  <c r="E550" i="25"/>
  <c r="E394" i="25"/>
  <c r="K394" i="25" s="1"/>
  <c r="E420" i="25"/>
  <c r="K420" i="25" s="1"/>
  <c r="E991" i="25"/>
  <c r="K991" i="25" s="1"/>
  <c r="E872" i="25"/>
  <c r="K872" i="25" s="1"/>
  <c r="E867" i="25"/>
  <c r="K867" i="25" s="1"/>
  <c r="E877" i="25"/>
  <c r="K877" i="25" s="1"/>
  <c r="E771" i="25"/>
  <c r="K771" i="25" s="1"/>
  <c r="E1071" i="25"/>
  <c r="K1071" i="25" s="1"/>
  <c r="E1076" i="25"/>
  <c r="K1076" i="25" s="1"/>
  <c r="E1090" i="25"/>
  <c r="K1090" i="25" s="1"/>
  <c r="E766" i="25"/>
  <c r="K766" i="25" s="1"/>
  <c r="E776" i="25"/>
  <c r="K776" i="25" s="1"/>
  <c r="E967" i="25"/>
  <c r="K967" i="25" s="1"/>
  <c r="E1100" i="25"/>
  <c r="K1100" i="25" s="1"/>
  <c r="E977" i="25"/>
  <c r="K977" i="25" s="1"/>
  <c r="E996" i="25"/>
  <c r="K996" i="25" s="1"/>
  <c r="E1066" i="25"/>
  <c r="K1066" i="25" s="1"/>
  <c r="E1001" i="25"/>
  <c r="K1001" i="25" s="1"/>
  <c r="E972" i="25"/>
  <c r="K972" i="25" s="1"/>
  <c r="E1095" i="25"/>
  <c r="K1095" i="25" s="1"/>
  <c r="K2369" i="25"/>
  <c r="R91" i="5" s="1"/>
  <c r="H2369" i="25"/>
  <c r="I10" i="10"/>
  <c r="I78" i="5" a="1"/>
  <c r="I78" i="5" s="1"/>
  <c r="I10" i="24"/>
  <c r="I7" i="10"/>
  <c r="K419" i="25"/>
  <c r="E606" i="25"/>
  <c r="K606" i="25" s="1"/>
  <c r="E632" i="25"/>
  <c r="K632" i="25" s="1"/>
  <c r="E1920" i="25"/>
  <c r="K1920" i="25" s="1"/>
  <c r="E1980" i="25"/>
  <c r="K1980" i="25" s="1"/>
  <c r="R20" i="5" s="1"/>
  <c r="E1950" i="25"/>
  <c r="K1950" i="25" s="1"/>
  <c r="E661" i="25"/>
  <c r="K661" i="25" s="1"/>
  <c r="E627" i="25"/>
  <c r="K627" i="25" s="1"/>
  <c r="E555" i="25"/>
  <c r="K555" i="25" s="1"/>
  <c r="E536" i="25"/>
  <c r="K536" i="25" s="1"/>
  <c r="E402" i="25"/>
  <c r="K402" i="25" s="1"/>
  <c r="E1103" i="25"/>
  <c r="K1103" i="25" s="1"/>
  <c r="E1004" i="25"/>
  <c r="K1004" i="25" s="1"/>
  <c r="E2072" i="25"/>
  <c r="K2072" i="25" s="1"/>
  <c r="E1962" i="25"/>
  <c r="K1962" i="25" s="1"/>
  <c r="E2014" i="25"/>
  <c r="K2014" i="25" s="1"/>
  <c r="E2132" i="25"/>
  <c r="K2132" i="25" s="1"/>
  <c r="E2102" i="25"/>
  <c r="K2102" i="25" s="1"/>
  <c r="E2192" i="25"/>
  <c r="K2192" i="25" s="1"/>
  <c r="E2222" i="25"/>
  <c r="K2222" i="25" s="1"/>
  <c r="E1902" i="25"/>
  <c r="K1902" i="25" s="1"/>
  <c r="E2252" i="25"/>
  <c r="K2252" i="25" s="1"/>
  <c r="E2162" i="25"/>
  <c r="K2162" i="25" s="1"/>
  <c r="E2043" i="25"/>
  <c r="K2043" i="25" s="1"/>
  <c r="E1932" i="25"/>
  <c r="K1932" i="25" s="1"/>
  <c r="C48" i="14"/>
  <c r="I2201" i="25"/>
  <c r="I2198" i="25"/>
  <c r="I2171" i="25"/>
  <c r="I2168" i="25"/>
  <c r="I2140" i="25"/>
  <c r="I2137" i="25"/>
  <c r="I2113" i="25"/>
  <c r="I2083" i="25"/>
  <c r="I2056" i="25"/>
  <c r="I2029" i="25"/>
  <c r="I2018" i="25"/>
  <c r="I1999" i="25"/>
  <c r="I1988" i="25"/>
  <c r="I2020" i="25"/>
  <c r="I1993" i="25"/>
  <c r="I1990" i="25"/>
  <c r="I2147" i="25"/>
  <c r="I2136" i="25"/>
  <c r="I2087" i="25"/>
  <c r="I2025" i="25"/>
  <c r="I1997" i="25"/>
  <c r="I2116" i="25"/>
  <c r="I2206" i="25"/>
  <c r="I2176" i="25"/>
  <c r="I2145" i="25"/>
  <c r="I2110" i="25"/>
  <c r="I2107" i="25"/>
  <c r="I2080" i="25"/>
  <c r="I2077" i="25"/>
  <c r="I2053" i="25"/>
  <c r="I2170" i="25"/>
  <c r="I2028" i="25"/>
  <c r="I1998" i="25"/>
  <c r="I2024" i="25"/>
  <c r="I2203" i="25"/>
  <c r="I2173" i="25"/>
  <c r="I2142" i="25"/>
  <c r="I2115" i="25"/>
  <c r="I2085" i="25"/>
  <c r="I2058" i="25"/>
  <c r="I2047" i="25"/>
  <c r="I2023" i="25"/>
  <c r="I2167" i="25"/>
  <c r="I2112" i="25"/>
  <c r="I2117" i="25"/>
  <c r="I2052" i="25"/>
  <c r="I1995" i="25"/>
  <c r="I2108" i="25"/>
  <c r="I2054" i="25"/>
  <c r="I2027" i="25"/>
  <c r="I2086" i="25"/>
  <c r="I2051" i="25"/>
  <c r="I2200" i="25"/>
  <c r="I2197" i="25"/>
  <c r="I2082" i="25"/>
  <c r="I2205" i="25"/>
  <c r="I2175" i="25"/>
  <c r="I2106" i="25"/>
  <c r="I2076" i="25"/>
  <c r="I2049" i="25"/>
  <c r="I2081" i="25"/>
  <c r="I2202" i="25"/>
  <c r="I2172" i="25"/>
  <c r="I2141" i="25"/>
  <c r="I2138" i="25"/>
  <c r="I2057" i="25"/>
  <c r="I2022" i="25"/>
  <c r="I2019" i="25"/>
  <c r="I1992" i="25"/>
  <c r="I1989" i="25"/>
  <c r="I2111" i="25"/>
  <c r="I2078" i="25"/>
  <c r="I2207" i="25"/>
  <c r="I2196" i="25"/>
  <c r="I2177" i="25"/>
  <c r="I2166" i="25"/>
  <c r="I2146" i="25"/>
  <c r="I2143" i="25"/>
  <c r="I2048" i="25"/>
  <c r="I1994" i="25"/>
  <c r="I2260" i="25"/>
  <c r="I2257" i="25"/>
  <c r="I2230" i="25"/>
  <c r="I2227" i="25"/>
  <c r="I1973" i="25"/>
  <c r="I1948" i="25"/>
  <c r="I1937" i="25"/>
  <c r="I1944" i="25"/>
  <c r="I1911" i="25"/>
  <c r="I1908" i="25"/>
  <c r="I1918" i="25"/>
  <c r="I2265" i="25"/>
  <c r="I2235" i="25"/>
  <c r="I1978" i="25"/>
  <c r="I1967" i="25"/>
  <c r="I1912" i="25"/>
  <c r="I1909" i="25"/>
  <c r="I2261" i="25"/>
  <c r="I2258" i="25"/>
  <c r="I1941" i="25"/>
  <c r="I1938" i="25"/>
  <c r="I1907" i="25"/>
  <c r="I2262" i="25"/>
  <c r="I2232" i="25"/>
  <c r="I1942" i="25"/>
  <c r="I1939" i="25"/>
  <c r="I1917" i="25"/>
  <c r="I1977" i="25"/>
  <c r="I1971" i="25"/>
  <c r="I1946" i="25"/>
  <c r="I2267" i="25"/>
  <c r="I2256" i="25"/>
  <c r="I2237" i="25"/>
  <c r="I2226" i="25"/>
  <c r="I1972" i="25"/>
  <c r="I1969" i="25"/>
  <c r="I1947" i="25"/>
  <c r="I1914" i="25"/>
  <c r="I2231" i="25"/>
  <c r="I2228" i="25"/>
  <c r="I1974" i="25"/>
  <c r="I1916" i="25"/>
  <c r="I1913" i="25"/>
  <c r="I2233" i="25"/>
  <c r="I1943" i="25"/>
  <c r="I2266" i="25"/>
  <c r="I2236" i="25"/>
  <c r="I1968" i="25"/>
  <c r="I2263" i="25"/>
  <c r="I1976" i="25"/>
  <c r="C49" i="14"/>
  <c r="I54" i="25"/>
  <c r="K550" i="25"/>
  <c r="E2185" i="25"/>
  <c r="K2185" i="25" s="1"/>
  <c r="E1955" i="25"/>
  <c r="K1955" i="25" s="1"/>
  <c r="E2125" i="25"/>
  <c r="K2125" i="25" s="1"/>
  <c r="E1895" i="25"/>
  <c r="K1895" i="25" s="1"/>
  <c r="E1925" i="25"/>
  <c r="K1925" i="25" s="1"/>
  <c r="E2245" i="25"/>
  <c r="K2245" i="25" s="1"/>
  <c r="E2065" i="25"/>
  <c r="K2065" i="25" s="1"/>
  <c r="E2215" i="25"/>
  <c r="K2215" i="25" s="1"/>
  <c r="E2095" i="25"/>
  <c r="K2095" i="25" s="1"/>
  <c r="E2007" i="25"/>
  <c r="K2007" i="25" s="1"/>
  <c r="E2155" i="25"/>
  <c r="K2155" i="25" s="1"/>
  <c r="E2036" i="25"/>
  <c r="K2036" i="25" s="1"/>
  <c r="I114" i="24"/>
  <c r="I82" i="24"/>
  <c r="E624" i="25"/>
  <c r="K624" i="25" s="1"/>
  <c r="E650" i="25"/>
  <c r="K650" i="25" s="1"/>
  <c r="E535" i="25"/>
  <c r="K535" i="25" s="1"/>
  <c r="E533" i="25"/>
  <c r="K533" i="25" s="1"/>
  <c r="E531" i="25"/>
  <c r="K531" i="25" s="1"/>
  <c r="E529" i="25"/>
  <c r="K529" i="25" s="1"/>
  <c r="E527" i="25"/>
  <c r="K527" i="25" s="1"/>
  <c r="E553" i="25"/>
  <c r="K553" i="25" s="1"/>
  <c r="E423" i="25"/>
  <c r="K423" i="25" s="1"/>
  <c r="E397" i="25"/>
  <c r="K397" i="25" s="1"/>
  <c r="E873" i="25"/>
  <c r="K873" i="25" s="1"/>
  <c r="E879" i="25"/>
  <c r="K879" i="25" s="1"/>
  <c r="E778" i="25"/>
  <c r="K778" i="25" s="1"/>
  <c r="E1096" i="25"/>
  <c r="K1096" i="25" s="1"/>
  <c r="E979" i="25"/>
  <c r="K979" i="25" s="1"/>
  <c r="E968" i="25"/>
  <c r="K968" i="25" s="1"/>
  <c r="E1003" i="25"/>
  <c r="K1003" i="25" s="1"/>
  <c r="E973" i="25"/>
  <c r="K973" i="25" s="1"/>
  <c r="E767" i="25"/>
  <c r="K767" i="25" s="1"/>
  <c r="E1091" i="25"/>
  <c r="K1091" i="25" s="1"/>
  <c r="E1067" i="25"/>
  <c r="K1067" i="25" s="1"/>
  <c r="E992" i="25"/>
  <c r="K992" i="25" s="1"/>
  <c r="E1102" i="25"/>
  <c r="K1102" i="25" s="1"/>
  <c r="E1078" i="25"/>
  <c r="K1078" i="25" s="1"/>
  <c r="E772" i="25"/>
  <c r="K772" i="25" s="1"/>
  <c r="E1072" i="25"/>
  <c r="K1072" i="25" s="1"/>
  <c r="E868" i="25"/>
  <c r="K868" i="25" s="1"/>
  <c r="E997" i="25"/>
  <c r="K997" i="25" s="1"/>
  <c r="I69" i="24"/>
  <c r="I29" i="24"/>
  <c r="I3" i="10"/>
  <c r="G86" i="5" s="1" a="1"/>
  <c r="G86" i="5" s="1"/>
  <c r="I8" i="10"/>
  <c r="I80" i="5" a="1"/>
  <c r="I80" i="5" s="1"/>
  <c r="I102" i="24"/>
  <c r="I6" i="10"/>
  <c r="E2148" i="25"/>
  <c r="K2148" i="25" s="1"/>
  <c r="U25" i="5" s="1"/>
  <c r="E2178" i="25"/>
  <c r="K2178" i="25" s="1"/>
  <c r="E2059" i="25"/>
  <c r="K2059" i="25" s="1"/>
  <c r="E2208" i="25"/>
  <c r="K2208" i="25" s="1"/>
  <c r="E2000" i="25"/>
  <c r="K2000" i="25" s="1"/>
  <c r="E2118" i="25"/>
  <c r="K2118" i="25" s="1"/>
  <c r="E2088" i="25"/>
  <c r="K2088" i="25" s="1"/>
  <c r="E2030" i="25"/>
  <c r="K2030" i="25" s="1"/>
  <c r="E1949" i="25"/>
  <c r="K1949" i="25" s="1"/>
  <c r="U19" i="5" s="1"/>
  <c r="E2238" i="25"/>
  <c r="K2238" i="25" s="1"/>
  <c r="E1919" i="25"/>
  <c r="K1919" i="25" s="1"/>
  <c r="E1979" i="25"/>
  <c r="K1979" i="25" s="1"/>
  <c r="E2268" i="25"/>
  <c r="K2268" i="25" s="1"/>
  <c r="I11" i="5" a="1"/>
  <c r="I11" i="5" s="1"/>
  <c r="I47" i="5" a="1"/>
  <c r="I47" i="5" s="1"/>
  <c r="I7" i="5" a="1"/>
  <c r="I7" i="5" s="1"/>
  <c r="I2" i="5" a="1"/>
  <c r="I2" i="5" s="1"/>
  <c r="I3" i="5" a="1"/>
  <c r="I3" i="5" s="1"/>
  <c r="I34" i="5" a="1"/>
  <c r="I34" i="5" s="1"/>
  <c r="I41" i="5" a="1"/>
  <c r="I41" i="5" s="1"/>
  <c r="I57" i="5" a="1"/>
  <c r="I57" i="5" s="1"/>
  <c r="I35" i="5" a="1"/>
  <c r="I35" i="5" s="1"/>
  <c r="I48" i="5" a="1"/>
  <c r="I48" i="5" s="1"/>
  <c r="I49" i="5" a="1"/>
  <c r="I49" i="5" s="1"/>
  <c r="I55" i="5" a="1"/>
  <c r="I55" i="5" s="1"/>
  <c r="I46" i="5" a="1"/>
  <c r="I46" i="5" s="1"/>
  <c r="I39" i="5" a="1"/>
  <c r="I39" i="5" s="1"/>
  <c r="I66" i="5" a="1"/>
  <c r="I66" i="5" s="1"/>
  <c r="I50" i="5" a="1"/>
  <c r="I50" i="5" s="1"/>
  <c r="I38" i="5" a="1"/>
  <c r="I38" i="5" s="1"/>
  <c r="I37" i="5" a="1"/>
  <c r="I37" i="5" s="1"/>
  <c r="I42" i="5" a="1"/>
  <c r="I42" i="5" s="1"/>
  <c r="I12" i="5" a="1"/>
  <c r="I12" i="5" s="1"/>
  <c r="I58" i="5" a="1"/>
  <c r="I58" i="5" s="1"/>
  <c r="I51" i="5" a="1"/>
  <c r="I51" i="5" s="1"/>
  <c r="I13" i="5" a="1"/>
  <c r="I13" i="5" s="1"/>
  <c r="I6" i="5" a="1"/>
  <c r="I6" i="5" s="1"/>
  <c r="I8" i="5" a="1"/>
  <c r="I8" i="5" s="1"/>
  <c r="I4" i="5" a="1"/>
  <c r="I4" i="5" s="1"/>
  <c r="I65" i="5" a="1"/>
  <c r="I65" i="5" s="1"/>
  <c r="I9" i="5" a="1"/>
  <c r="I9" i="5" s="1"/>
  <c r="I45" i="5" a="1"/>
  <c r="I45" i="5" s="1"/>
  <c r="I54" i="5" a="1"/>
  <c r="I54" i="5" s="1"/>
  <c r="I44" i="5" a="1"/>
  <c r="I44" i="5" s="1"/>
  <c r="I36" i="5" a="1"/>
  <c r="I36" i="5" s="1"/>
  <c r="I53" i="5" a="1"/>
  <c r="I53" i="5" s="1"/>
  <c r="I10" i="5" a="1"/>
  <c r="I10" i="5" s="1"/>
  <c r="I52" i="5" a="1"/>
  <c r="I52" i="5" s="1"/>
  <c r="I64" i="5" a="1"/>
  <c r="I64" i="5" s="1"/>
  <c r="I40" i="5" a="1"/>
  <c r="I40" i="5" s="1"/>
  <c r="I56" i="5" a="1"/>
  <c r="I56" i="5" s="1"/>
  <c r="I92" i="5" a="1"/>
  <c r="I92" i="5" s="1"/>
  <c r="I72" i="5" a="1"/>
  <c r="I72" i="5" s="1"/>
  <c r="I91" i="5" a="1"/>
  <c r="I91" i="5" s="1"/>
  <c r="I90" i="5" a="1"/>
  <c r="I90" i="5" s="1"/>
  <c r="I70" i="5" a="1"/>
  <c r="I70" i="5" s="1"/>
  <c r="I17" i="5" a="1"/>
  <c r="I17" i="5" s="1"/>
  <c r="I77" i="5" a="1"/>
  <c r="I77" i="5" s="1"/>
  <c r="I76" i="5" a="1"/>
  <c r="I76" i="5" s="1"/>
  <c r="I15" i="5" a="1"/>
  <c r="I15" i="5" s="1"/>
  <c r="I75" i="5" a="1"/>
  <c r="I75" i="5" s="1"/>
  <c r="I14" i="5" a="1"/>
  <c r="I14" i="5" s="1"/>
  <c r="I74" i="5" a="1"/>
  <c r="I74" i="5" s="1"/>
  <c r="I73" i="5" a="1"/>
  <c r="I73" i="5" s="1"/>
  <c r="C47" i="14"/>
  <c r="C36" i="24"/>
  <c r="I36" i="24" s="1"/>
  <c r="E1700" i="25" s="1"/>
  <c r="K1700" i="25" s="1"/>
  <c r="B23" i="14"/>
  <c r="C23" i="14" s="1"/>
  <c r="C38" i="24"/>
  <c r="C44" i="14"/>
  <c r="E266" i="25"/>
  <c r="E240" i="25"/>
  <c r="E10" i="25"/>
  <c r="K10" i="25" s="1"/>
  <c r="E85" i="25"/>
  <c r="K85" i="25" s="1"/>
  <c r="K2" i="25"/>
  <c r="E435" i="25"/>
  <c r="E119" i="25"/>
  <c r="E570" i="25"/>
  <c r="E145" i="25"/>
  <c r="E301" i="25"/>
  <c r="E479" i="25"/>
  <c r="E180" i="25"/>
  <c r="E206" i="25"/>
  <c r="E321" i="25"/>
  <c r="E347" i="25"/>
  <c r="E453" i="25"/>
  <c r="E591" i="25"/>
  <c r="E680" i="25"/>
  <c r="E367" i="25"/>
  <c r="E709" i="25"/>
  <c r="E497" i="25"/>
  <c r="E210" i="25"/>
  <c r="K210" i="25" s="1"/>
  <c r="E1520" i="25"/>
  <c r="K1520" i="25" s="1"/>
  <c r="E65" i="25"/>
  <c r="K65" i="25" s="1"/>
  <c r="E848" i="25"/>
  <c r="K848" i="25" s="1"/>
  <c r="E1422" i="25"/>
  <c r="K1422" i="25" s="1"/>
  <c r="E1493" i="25"/>
  <c r="K1493" i="25" s="1"/>
  <c r="E1199" i="25"/>
  <c r="K1199" i="25" s="1"/>
  <c r="E1283" i="25"/>
  <c r="K1283" i="25" s="1"/>
  <c r="E1210" i="25"/>
  <c r="K1210" i="25" s="1"/>
  <c r="E465" i="25"/>
  <c r="K465" i="25" s="1"/>
  <c r="E837" i="25"/>
  <c r="K837" i="25" s="1"/>
  <c r="E1595" i="25"/>
  <c r="K1595" i="25" s="1"/>
  <c r="E273" i="25"/>
  <c r="K273" i="25" s="1"/>
  <c r="E938" i="25"/>
  <c r="K938" i="25" s="1"/>
  <c r="E1289" i="25"/>
  <c r="K1289" i="25" s="1"/>
  <c r="E1526" i="25"/>
  <c r="K1526" i="25" s="1"/>
  <c r="E503" i="25"/>
  <c r="K503" i="25" s="1"/>
  <c r="E1395" i="25"/>
  <c r="K1395" i="25" s="1"/>
  <c r="E684" i="25"/>
  <c r="K684" i="25" s="1"/>
  <c r="E949" i="25"/>
  <c r="K949" i="25" s="1"/>
  <c r="E1459" i="25"/>
  <c r="K1459" i="25" s="1"/>
  <c r="E1042" i="25"/>
  <c r="K1042" i="25" s="1"/>
  <c r="E463" i="25"/>
  <c r="K463" i="25" s="1"/>
  <c r="E1355" i="25"/>
  <c r="K1355" i="25" s="1"/>
  <c r="E1476" i="25"/>
  <c r="K1476" i="25" s="1"/>
  <c r="E1192" i="25"/>
  <c r="K1192" i="25" s="1"/>
  <c r="E1141" i="25"/>
  <c r="K1141" i="25" s="1"/>
  <c r="E1299" i="25"/>
  <c r="K1299" i="25" s="1"/>
  <c r="E505" i="25"/>
  <c r="K505" i="25" s="1"/>
  <c r="E1465" i="25"/>
  <c r="K1465" i="25" s="1"/>
  <c r="E1454" i="25"/>
  <c r="K1454" i="25" s="1"/>
  <c r="E1166" i="25"/>
  <c r="K1166" i="25" s="1"/>
  <c r="E1350" i="25"/>
  <c r="K1350" i="25" s="1"/>
  <c r="E501" i="25"/>
  <c r="K501" i="25" s="1"/>
  <c r="E507" i="25"/>
  <c r="K507" i="25" s="1"/>
  <c r="E351" i="25"/>
  <c r="K351" i="25" s="1"/>
  <c r="E439" i="25"/>
  <c r="K439" i="25" s="1"/>
  <c r="E802" i="25"/>
  <c r="K802" i="25" s="1"/>
  <c r="E1311" i="25"/>
  <c r="K1311" i="25" s="1"/>
  <c r="E459" i="25"/>
  <c r="K459" i="25" s="1"/>
  <c r="E1558" i="25"/>
  <c r="K1558" i="25" s="1"/>
  <c r="E903" i="25"/>
  <c r="K903" i="25" s="1"/>
  <c r="E1384" i="25"/>
  <c r="K1384" i="25" s="1"/>
  <c r="E123" i="25"/>
  <c r="K123" i="25" s="1"/>
  <c r="E708" i="25"/>
  <c r="K708" i="25" s="1"/>
  <c r="E282" i="25"/>
  <c r="K282" i="25" s="1"/>
  <c r="E276" i="25"/>
  <c r="K276" i="25" s="1"/>
  <c r="E1416" i="25"/>
  <c r="K1416" i="25" s="1"/>
  <c r="E1590" i="25"/>
  <c r="K1590" i="25" s="1"/>
  <c r="E461" i="25"/>
  <c r="K461" i="25" s="1"/>
  <c r="E736" i="25"/>
  <c r="K736" i="25" s="1"/>
  <c r="E796" i="25"/>
  <c r="K796" i="25" s="1"/>
  <c r="E1563" i="25"/>
  <c r="K1563" i="25" s="1"/>
  <c r="E1176" i="25"/>
  <c r="K1176" i="25" s="1"/>
  <c r="E1499" i="25"/>
  <c r="K1499" i="25" s="1"/>
  <c r="E149" i="25"/>
  <c r="K149" i="25" s="1"/>
  <c r="E1243" i="25"/>
  <c r="K1243" i="25" s="1"/>
  <c r="E1404" i="25"/>
  <c r="K1404" i="25" s="1"/>
  <c r="E1515" i="25"/>
  <c r="K1515" i="25" s="1"/>
  <c r="E574" i="25"/>
  <c r="K574" i="25" s="1"/>
  <c r="E509" i="25"/>
  <c r="K509" i="25" s="1"/>
  <c r="E1317" i="25"/>
  <c r="K1317" i="25" s="1"/>
  <c r="E184" i="25"/>
  <c r="K184" i="25" s="1"/>
  <c r="E1483" i="25"/>
  <c r="K1483" i="25" s="1"/>
  <c r="E741" i="25"/>
  <c r="K741" i="25" s="1"/>
  <c r="E842" i="25"/>
  <c r="K842" i="25" s="1"/>
  <c r="E897" i="25"/>
  <c r="K897" i="25" s="1"/>
  <c r="E1411" i="25"/>
  <c r="K1411" i="25" s="1"/>
  <c r="E1278" i="25"/>
  <c r="K1278" i="25" s="1"/>
  <c r="E1488" i="25"/>
  <c r="K1488" i="25" s="1"/>
  <c r="E1248" i="25"/>
  <c r="K1248" i="25" s="1"/>
  <c r="E1048" i="25"/>
  <c r="K1048" i="25" s="1"/>
  <c r="E1136" i="25"/>
  <c r="K1136" i="25" s="1"/>
  <c r="E1389" i="25"/>
  <c r="K1389" i="25" s="1"/>
  <c r="E1147" i="25"/>
  <c r="K1147" i="25" s="1"/>
  <c r="E1601" i="25"/>
  <c r="K1601" i="25" s="1"/>
  <c r="E943" i="25"/>
  <c r="K943" i="25" s="1"/>
  <c r="E1204" i="25"/>
  <c r="K1204" i="25" s="1"/>
  <c r="E1508" i="25"/>
  <c r="K1508" i="25" s="1"/>
  <c r="E1266" i="25"/>
  <c r="K1266" i="25" s="1"/>
  <c r="E1273" i="25"/>
  <c r="K1273" i="25" s="1"/>
  <c r="E1171" i="25"/>
  <c r="K1171" i="25" s="1"/>
  <c r="E244" i="25"/>
  <c r="K244" i="25" s="1"/>
  <c r="E457" i="25"/>
  <c r="K457" i="25" s="1"/>
  <c r="E1037" i="25"/>
  <c r="K1037" i="25" s="1"/>
  <c r="E1306" i="25"/>
  <c r="K1306" i="25" s="1"/>
  <c r="E1254" i="25"/>
  <c r="K1254" i="25" s="1"/>
  <c r="E1372" i="25"/>
  <c r="K1372" i="25" s="1"/>
  <c r="E91" i="25"/>
  <c r="K91" i="25" s="1"/>
  <c r="E371" i="25"/>
  <c r="K371" i="25" s="1"/>
  <c r="E279" i="25"/>
  <c r="K279" i="25" s="1"/>
  <c r="E595" i="25"/>
  <c r="K595" i="25" s="1"/>
  <c r="E892" i="25"/>
  <c r="K892" i="25" s="1"/>
  <c r="E1182" i="25"/>
  <c r="K1182" i="25" s="1"/>
  <c r="E270" i="25"/>
  <c r="K270" i="25" s="1"/>
  <c r="E791" i="25"/>
  <c r="K791" i="25" s="1"/>
  <c r="E305" i="25"/>
  <c r="K305" i="25" s="1"/>
  <c r="E747" i="25"/>
  <c r="K747" i="25" s="1"/>
  <c r="E1361" i="25"/>
  <c r="K1361" i="25" s="1"/>
  <c r="E1159" i="25"/>
  <c r="K1159" i="25" s="1"/>
  <c r="E325" i="25"/>
  <c r="K325" i="25" s="1"/>
  <c r="E1569" i="25"/>
  <c r="K1569" i="25" s="1"/>
  <c r="E483" i="25"/>
  <c r="K483" i="25" s="1"/>
  <c r="E1379" i="25"/>
  <c r="K1379" i="25" s="1"/>
  <c r="E1334" i="25"/>
  <c r="K1334" i="25" s="1"/>
  <c r="E922" i="25"/>
  <c r="K922" i="25" s="1"/>
  <c r="E821" i="25"/>
  <c r="K821" i="25" s="1"/>
  <c r="E1542" i="25"/>
  <c r="K1542" i="25" s="1"/>
  <c r="E1227" i="25"/>
  <c r="K1227" i="25" s="1"/>
  <c r="E1021" i="25"/>
  <c r="K1021" i="25" s="1"/>
  <c r="E1438" i="25"/>
  <c r="K1438" i="25" s="1"/>
  <c r="E1618" i="25"/>
  <c r="K1618" i="25" s="1"/>
  <c r="E1120" i="25"/>
  <c r="K1120" i="25" s="1"/>
  <c r="E682" i="25"/>
  <c r="K682" i="25" s="1"/>
  <c r="E706" i="25"/>
  <c r="K706" i="25" s="1"/>
  <c r="E1663" i="25"/>
  <c r="E1642" i="25"/>
  <c r="E1684" i="25"/>
  <c r="E64" i="25"/>
  <c r="E90" i="25"/>
  <c r="E183" i="25"/>
  <c r="E304" i="25"/>
  <c r="E350" i="25"/>
  <c r="E148" i="25"/>
  <c r="E500" i="25"/>
  <c r="E707" i="25"/>
  <c r="E243" i="25"/>
  <c r="E209" i="25"/>
  <c r="E482" i="25"/>
  <c r="E683" i="25"/>
  <c r="E269" i="25"/>
  <c r="E573" i="25"/>
  <c r="E594" i="25"/>
  <c r="E122" i="25"/>
  <c r="E438" i="25"/>
  <c r="E456" i="25"/>
  <c r="E324" i="25"/>
  <c r="E370" i="25"/>
  <c r="E94" i="25"/>
  <c r="E69" i="25"/>
  <c r="E1360" i="25"/>
  <c r="K1360" i="25" s="1"/>
  <c r="E1475" i="25"/>
  <c r="K1475" i="25" s="1"/>
  <c r="E1191" i="25"/>
  <c r="K1191" i="25" s="1"/>
  <c r="E1371" i="25"/>
  <c r="K1371" i="25" s="1"/>
  <c r="E1568" i="25"/>
  <c r="K1568" i="25" s="1"/>
  <c r="E1146" i="25"/>
  <c r="K1146" i="25" s="1"/>
  <c r="E1316" i="25"/>
  <c r="K1316" i="25" s="1"/>
  <c r="E801" i="25"/>
  <c r="K801" i="25" s="1"/>
  <c r="E1482" i="25"/>
  <c r="K1482" i="25" s="1"/>
  <c r="E1209" i="25"/>
  <c r="K1209" i="25" s="1"/>
  <c r="E1265" i="25"/>
  <c r="K1265" i="25" s="1"/>
  <c r="E902" i="25"/>
  <c r="K902" i="25" s="1"/>
  <c r="E1394" i="25"/>
  <c r="K1394" i="25" s="1"/>
  <c r="E1507" i="25"/>
  <c r="K1507" i="25" s="1"/>
  <c r="E847" i="25"/>
  <c r="K847" i="25" s="1"/>
  <c r="E1498" i="25"/>
  <c r="K1498" i="25" s="1"/>
  <c r="E1288" i="25"/>
  <c r="K1288" i="25" s="1"/>
  <c r="E1403" i="25"/>
  <c r="K1403" i="25" s="1"/>
  <c r="E88" i="25"/>
  <c r="K88" i="25" s="1"/>
  <c r="E1272" i="25"/>
  <c r="K1272" i="25" s="1"/>
  <c r="E1378" i="25"/>
  <c r="K1378" i="25" s="1"/>
  <c r="E1525" i="25"/>
  <c r="K1525" i="25" s="1"/>
  <c r="E62" i="25"/>
  <c r="K62" i="25" s="1"/>
  <c r="E746" i="25"/>
  <c r="K746" i="25" s="1"/>
  <c r="E1253" i="25"/>
  <c r="K1253" i="25" s="1"/>
  <c r="E1047" i="25"/>
  <c r="K1047" i="25" s="1"/>
  <c r="E948" i="25"/>
  <c r="K948" i="25" s="1"/>
  <c r="E1421" i="25"/>
  <c r="K1421" i="25" s="1"/>
  <c r="E1165" i="25"/>
  <c r="K1165" i="25" s="1"/>
  <c r="E1158" i="25"/>
  <c r="K1158" i="25" s="1"/>
  <c r="E1464" i="25"/>
  <c r="K1464" i="25" s="1"/>
  <c r="E1181" i="25"/>
  <c r="K1181" i="25" s="1"/>
  <c r="E1600" i="25"/>
  <c r="K1600" i="25" s="1"/>
  <c r="E1298" i="25"/>
  <c r="K1298" i="25" s="1"/>
  <c r="E1479" i="25"/>
  <c r="E1295" i="25"/>
  <c r="E1369" i="25"/>
  <c r="E1263" i="25"/>
  <c r="E1473" i="25"/>
  <c r="E1269" i="25"/>
  <c r="E1156" i="25"/>
  <c r="E1504" i="25"/>
  <c r="E1162" i="25"/>
  <c r="E1400" i="25"/>
  <c r="E1375" i="25"/>
  <c r="E1188" i="25"/>
  <c r="E87" i="25"/>
  <c r="E1275" i="25"/>
  <c r="E1168" i="25"/>
  <c r="E1555" i="25"/>
  <c r="E460" i="25"/>
  <c r="E182" i="25"/>
  <c r="E1490" i="25"/>
  <c r="E793" i="25"/>
  <c r="E1133" i="25"/>
  <c r="E1485" i="25"/>
  <c r="E373" i="25"/>
  <c r="E1517" i="25"/>
  <c r="E1173" i="25"/>
  <c r="E208" i="25"/>
  <c r="E597" i="25"/>
  <c r="E349" i="25"/>
  <c r="E788" i="25"/>
  <c r="E839" i="25"/>
  <c r="E1308" i="25"/>
  <c r="E303" i="25"/>
  <c r="E1039" i="25"/>
  <c r="E242" i="25"/>
  <c r="E1587" i="25"/>
  <c r="E1408" i="25"/>
  <c r="E481" i="25"/>
  <c r="E437" i="25"/>
  <c r="E738" i="25"/>
  <c r="E1138" i="25"/>
  <c r="E935" i="25"/>
  <c r="E275" i="25"/>
  <c r="E327" i="25"/>
  <c r="E1386" i="25"/>
  <c r="E1245" i="25"/>
  <c r="E1196" i="25"/>
  <c r="E369" i="25"/>
  <c r="E147" i="25"/>
  <c r="E714" i="25"/>
  <c r="E940" i="25"/>
  <c r="E1352" i="25"/>
  <c r="E593" i="25"/>
  <c r="E499" i="25"/>
  <c r="E1347" i="25"/>
  <c r="E1240" i="25"/>
  <c r="E1201" i="25"/>
  <c r="E1560" i="25"/>
  <c r="E889" i="25"/>
  <c r="E121" i="25"/>
  <c r="E60" i="25"/>
  <c r="E1280" i="25"/>
  <c r="E455" i="25"/>
  <c r="E894" i="25"/>
  <c r="E1456" i="25"/>
  <c r="E323" i="25"/>
  <c r="E268" i="25"/>
  <c r="E153" i="25"/>
  <c r="E1381" i="25"/>
  <c r="E572" i="25"/>
  <c r="E1451" i="25"/>
  <c r="E214" i="25"/>
  <c r="E1512" i="25"/>
  <c r="E504" i="25"/>
  <c r="E1303" i="25"/>
  <c r="E733" i="25"/>
  <c r="E834" i="25"/>
  <c r="E1034" i="25"/>
  <c r="E1413" i="25"/>
  <c r="E1592" i="25"/>
  <c r="E961" i="25"/>
  <c r="K961" i="25" s="1"/>
  <c r="E376" i="25"/>
  <c r="K376" i="25" s="1"/>
  <c r="E687" i="25"/>
  <c r="K687" i="25" s="1"/>
  <c r="E760" i="25"/>
  <c r="K760" i="25" s="1"/>
  <c r="E466" i="25"/>
  <c r="K466" i="25" s="1"/>
  <c r="E485" i="25"/>
  <c r="K485" i="25" s="1"/>
  <c r="E221" i="25"/>
  <c r="K221" i="25" s="1"/>
  <c r="E721" i="25"/>
  <c r="K721" i="25" s="1"/>
  <c r="E247" i="25"/>
  <c r="K247" i="25" s="1"/>
  <c r="E330" i="25"/>
  <c r="K330" i="25" s="1"/>
  <c r="E510" i="25"/>
  <c r="K510" i="25" s="1"/>
  <c r="E1060" i="25"/>
  <c r="K1060" i="25" s="1"/>
  <c r="E441" i="25"/>
  <c r="K441" i="25" s="1"/>
  <c r="E905" i="25"/>
  <c r="K905" i="25" s="1"/>
  <c r="E804" i="25"/>
  <c r="K804" i="25" s="1"/>
  <c r="E126" i="25"/>
  <c r="K126" i="25" s="1"/>
  <c r="E285" i="25"/>
  <c r="K285" i="25" s="1"/>
  <c r="E84" i="25"/>
  <c r="K84" i="25" s="1"/>
  <c r="E187" i="25"/>
  <c r="K187" i="25" s="1"/>
  <c r="E3" i="25"/>
  <c r="K3" i="25" s="1"/>
  <c r="E600" i="25"/>
  <c r="K600" i="25" s="1"/>
  <c r="E575" i="25"/>
  <c r="K575" i="25" s="1"/>
  <c r="E9" i="25"/>
  <c r="K9" i="25" s="1"/>
  <c r="E861" i="25"/>
  <c r="K861" i="25" s="1"/>
  <c r="E160" i="25"/>
  <c r="K160" i="25" s="1"/>
  <c r="E267" i="25"/>
  <c r="K267" i="25" s="1"/>
  <c r="E1349" i="25"/>
  <c r="K1349" i="25" s="1"/>
  <c r="E1497" i="25"/>
  <c r="K1497" i="25" s="1"/>
  <c r="E1519" i="25"/>
  <c r="K1519" i="25" s="1"/>
  <c r="E1203" i="25"/>
  <c r="K1203" i="25" s="1"/>
  <c r="E63" i="25"/>
  <c r="K63" i="25" s="1"/>
  <c r="E1354" i="25"/>
  <c r="K1354" i="25" s="1"/>
  <c r="E896" i="25"/>
  <c r="K896" i="25" s="1"/>
  <c r="E498" i="25"/>
  <c r="K498" i="25" s="1"/>
  <c r="E846" i="25"/>
  <c r="K846" i="25" s="1"/>
  <c r="E1589" i="25"/>
  <c r="K1589" i="25" s="1"/>
  <c r="E1415" i="25"/>
  <c r="K1415" i="25" s="1"/>
  <c r="E1562" i="25"/>
  <c r="K1562" i="25" s="1"/>
  <c r="E207" i="25"/>
  <c r="K207" i="25" s="1"/>
  <c r="E681" i="25"/>
  <c r="K681" i="25" s="1"/>
  <c r="E1180" i="25"/>
  <c r="K1180" i="25" s="1"/>
  <c r="E592" i="25"/>
  <c r="K592" i="25" s="1"/>
  <c r="E1145" i="25"/>
  <c r="K1145" i="25" s="1"/>
  <c r="E1383" i="25"/>
  <c r="K1383" i="25" s="1"/>
  <c r="E436" i="25"/>
  <c r="K436" i="25" s="1"/>
  <c r="E1594" i="25"/>
  <c r="K1594" i="25" s="1"/>
  <c r="E745" i="25"/>
  <c r="K745" i="25" s="1"/>
  <c r="E1135" i="25"/>
  <c r="K1135" i="25" s="1"/>
  <c r="E241" i="25"/>
  <c r="K241" i="25" s="1"/>
  <c r="E1410" i="25"/>
  <c r="K1410" i="25" s="1"/>
  <c r="E891" i="25"/>
  <c r="K891" i="25" s="1"/>
  <c r="E937" i="25"/>
  <c r="K937" i="25" s="1"/>
  <c r="E1252" i="25"/>
  <c r="K1252" i="25" s="1"/>
  <c r="E1359" i="25"/>
  <c r="K1359" i="25" s="1"/>
  <c r="E1453" i="25"/>
  <c r="K1453" i="25" s="1"/>
  <c r="E368" i="25"/>
  <c r="K368" i="25" s="1"/>
  <c r="E1420" i="25"/>
  <c r="K1420" i="25" s="1"/>
  <c r="E735" i="25"/>
  <c r="K735" i="25" s="1"/>
  <c r="E322" i="25"/>
  <c r="K322" i="25" s="1"/>
  <c r="E1315" i="25"/>
  <c r="K1315" i="25" s="1"/>
  <c r="E1175" i="25"/>
  <c r="K1175" i="25" s="1"/>
  <c r="E302" i="25"/>
  <c r="K302" i="25" s="1"/>
  <c r="E1567" i="25"/>
  <c r="K1567" i="25" s="1"/>
  <c r="E1492" i="25"/>
  <c r="K1492" i="25" s="1"/>
  <c r="E1277" i="25"/>
  <c r="K1277" i="25" s="1"/>
  <c r="E1305" i="25"/>
  <c r="K1305" i="25" s="1"/>
  <c r="E454" i="25"/>
  <c r="K454" i="25" s="1"/>
  <c r="E710" i="25"/>
  <c r="K710" i="25" s="1"/>
  <c r="E1599" i="25"/>
  <c r="K1599" i="25" s="1"/>
  <c r="E1170" i="25"/>
  <c r="K1170" i="25" s="1"/>
  <c r="E1463" i="25"/>
  <c r="K1463" i="25" s="1"/>
  <c r="E800" i="25"/>
  <c r="K800" i="25" s="1"/>
  <c r="E795" i="25"/>
  <c r="K795" i="25" s="1"/>
  <c r="E1524" i="25"/>
  <c r="K1524" i="25" s="1"/>
  <c r="E1282" i="25"/>
  <c r="K1282" i="25" s="1"/>
  <c r="E1393" i="25"/>
  <c r="K1393" i="25" s="1"/>
  <c r="E1287" i="25"/>
  <c r="K1287" i="25" s="1"/>
  <c r="E1514" i="25"/>
  <c r="K1514" i="25" s="1"/>
  <c r="E1310" i="25"/>
  <c r="K1310" i="25" s="1"/>
  <c r="E1242" i="25"/>
  <c r="K1242" i="25" s="1"/>
  <c r="E1208" i="25"/>
  <c r="K1208" i="25" s="1"/>
  <c r="E480" i="25"/>
  <c r="K480" i="25" s="1"/>
  <c r="E146" i="25"/>
  <c r="K146" i="25" s="1"/>
  <c r="E1041" i="25"/>
  <c r="K1041" i="25" s="1"/>
  <c r="E790" i="25"/>
  <c r="K790" i="25" s="1"/>
  <c r="E1198" i="25"/>
  <c r="K1198" i="25" s="1"/>
  <c r="E1388" i="25"/>
  <c r="K1388" i="25" s="1"/>
  <c r="E901" i="25"/>
  <c r="K901" i="25" s="1"/>
  <c r="E836" i="25"/>
  <c r="K836" i="25" s="1"/>
  <c r="E181" i="25"/>
  <c r="K181" i="25" s="1"/>
  <c r="E40" i="25"/>
  <c r="K40" i="25" s="1"/>
  <c r="Q45" i="5" s="1"/>
  <c r="E348" i="25"/>
  <c r="K348" i="25" s="1"/>
  <c r="E1046" i="25"/>
  <c r="K1046" i="25" s="1"/>
  <c r="E89" i="25"/>
  <c r="K89" i="25" s="1"/>
  <c r="E1557" i="25"/>
  <c r="K1557" i="25" s="1"/>
  <c r="E47" i="25"/>
  <c r="K47" i="25" s="1"/>
  <c r="Q46" i="5" s="1"/>
  <c r="E1036" i="25"/>
  <c r="K1036" i="25" s="1"/>
  <c r="E947" i="25"/>
  <c r="K947" i="25" s="1"/>
  <c r="E942" i="25"/>
  <c r="K942" i="25" s="1"/>
  <c r="E571" i="25"/>
  <c r="K571" i="25" s="1"/>
  <c r="E740" i="25"/>
  <c r="K740" i="25" s="1"/>
  <c r="E1458" i="25"/>
  <c r="K1458" i="25" s="1"/>
  <c r="E1247" i="25"/>
  <c r="K1247" i="25" s="1"/>
  <c r="E120" i="25"/>
  <c r="K120" i="25" s="1"/>
  <c r="E841" i="25"/>
  <c r="K841" i="25" s="1"/>
  <c r="E33" i="25"/>
  <c r="K33" i="25" s="1"/>
  <c r="Q44" i="5" s="1"/>
  <c r="E1140" i="25"/>
  <c r="K1140" i="25" s="1"/>
  <c r="E1487" i="25"/>
  <c r="K1487" i="25" s="1"/>
  <c r="E2274" i="25"/>
  <c r="K2274" i="25" s="1"/>
  <c r="E2284" i="25"/>
  <c r="K2284" i="25" s="1"/>
  <c r="E1020" i="25"/>
  <c r="K1020" i="25" s="1"/>
  <c r="E478" i="25"/>
  <c r="K478" i="25" s="1"/>
  <c r="E493" i="25"/>
  <c r="K493" i="25" s="1"/>
  <c r="E175" i="25"/>
  <c r="K175" i="25" s="1"/>
  <c r="E670" i="25"/>
  <c r="K670" i="25" s="1"/>
  <c r="E449" i="25"/>
  <c r="K449" i="25" s="1"/>
  <c r="E1541" i="25"/>
  <c r="K1541" i="25" s="1"/>
  <c r="E933" i="25"/>
  <c r="K933" i="25" s="1"/>
  <c r="E343" i="25"/>
  <c r="K343" i="25" s="1"/>
  <c r="E431" i="25"/>
  <c r="K431" i="25" s="1"/>
  <c r="E1437" i="25"/>
  <c r="K1437" i="25" s="1"/>
  <c r="E1345" i="25"/>
  <c r="K1345" i="25" s="1"/>
  <c r="E297" i="25"/>
  <c r="K297" i="25" s="1"/>
  <c r="E1333" i="25"/>
  <c r="K1333" i="25" s="1"/>
  <c r="E256" i="25"/>
  <c r="K256" i="25" s="1"/>
  <c r="E566" i="25"/>
  <c r="K566" i="25" s="1"/>
  <c r="E196" i="25"/>
  <c r="K196" i="25" s="1"/>
  <c r="E1238" i="25"/>
  <c r="K1238" i="25" s="1"/>
  <c r="E317" i="25"/>
  <c r="K317" i="25" s="1"/>
  <c r="E434" i="25"/>
  <c r="K434" i="25" s="1"/>
  <c r="E109" i="25"/>
  <c r="K109" i="25" s="1"/>
  <c r="E1449" i="25"/>
  <c r="K1449" i="25" s="1"/>
  <c r="E141" i="25"/>
  <c r="K141" i="25" s="1"/>
  <c r="E262" i="25"/>
  <c r="K262" i="25" s="1"/>
  <c r="E921" i="25"/>
  <c r="K921" i="25" s="1"/>
  <c r="E702" i="25"/>
  <c r="K702" i="25" s="1"/>
  <c r="E1553" i="25"/>
  <c r="K1553" i="25" s="1"/>
  <c r="E696" i="25"/>
  <c r="K696" i="25" s="1"/>
  <c r="E452" i="25"/>
  <c r="K452" i="25" s="1"/>
  <c r="E496" i="25"/>
  <c r="K496" i="25" s="1"/>
  <c r="E1131" i="25"/>
  <c r="K1131" i="25" s="1"/>
  <c r="E475" i="25"/>
  <c r="K475" i="25" s="1"/>
  <c r="E676" i="25"/>
  <c r="K676" i="25" s="1"/>
  <c r="E1032" i="25"/>
  <c r="K1032" i="25" s="1"/>
  <c r="E236" i="25"/>
  <c r="K236" i="25" s="1"/>
  <c r="E230" i="25"/>
  <c r="K230" i="25" s="1"/>
  <c r="E1119" i="25"/>
  <c r="K1119" i="25" s="1"/>
  <c r="E171" i="25"/>
  <c r="K171" i="25" s="1"/>
  <c r="E1617" i="25"/>
  <c r="K1617" i="25" s="1"/>
  <c r="E731" i="25"/>
  <c r="K731" i="25" s="1"/>
  <c r="E587" i="25"/>
  <c r="K587" i="25" s="1"/>
  <c r="E363" i="25"/>
  <c r="K363" i="25" s="1"/>
  <c r="E115" i="25"/>
  <c r="K115" i="25" s="1"/>
  <c r="E135" i="25"/>
  <c r="K135" i="25" s="1"/>
  <c r="E1226" i="25"/>
  <c r="K1226" i="25" s="1"/>
  <c r="E832" i="25"/>
  <c r="K832" i="25" s="1"/>
  <c r="E820" i="25"/>
  <c r="K820" i="25" s="1"/>
  <c r="E202" i="25"/>
  <c r="K202" i="25" s="1"/>
  <c r="E669" i="25"/>
  <c r="K669" i="25" s="1"/>
  <c r="E229" i="25"/>
  <c r="K229" i="25" s="1"/>
  <c r="E134" i="25"/>
  <c r="K134" i="25" s="1"/>
  <c r="E170" i="25"/>
  <c r="K170" i="25" s="1"/>
  <c r="E195" i="25"/>
  <c r="K195" i="25" s="1"/>
  <c r="E255" i="25"/>
  <c r="K255" i="25" s="1"/>
  <c r="E695" i="25"/>
  <c r="K695" i="25" s="1"/>
  <c r="E108" i="25"/>
  <c r="K108" i="25" s="1"/>
  <c r="E92" i="25"/>
  <c r="K92" i="25" s="1"/>
  <c r="E66" i="25"/>
  <c r="K66" i="25" s="1"/>
  <c r="E716" i="25"/>
  <c r="K716" i="25" s="1"/>
  <c r="E278" i="25"/>
  <c r="K278" i="25" s="1"/>
  <c r="E328" i="25"/>
  <c r="K328" i="25" s="1"/>
  <c r="E458" i="25"/>
  <c r="K458" i="25" s="1"/>
  <c r="E374" i="25"/>
  <c r="K374" i="25" s="1"/>
  <c r="E326" i="25"/>
  <c r="K326" i="25" s="1"/>
  <c r="E506" i="25"/>
  <c r="K506" i="25" s="1"/>
  <c r="E151" i="25"/>
  <c r="K151" i="25" s="1"/>
  <c r="E462" i="25"/>
  <c r="K462" i="25" s="1"/>
  <c r="E502" i="25"/>
  <c r="K502" i="25" s="1"/>
  <c r="E596" i="25"/>
  <c r="K596" i="25" s="1"/>
  <c r="E216" i="25"/>
  <c r="K216" i="25" s="1"/>
  <c r="E212" i="25"/>
  <c r="K212" i="25" s="1"/>
  <c r="E372" i="25"/>
  <c r="K372" i="25" s="1"/>
  <c r="E155" i="25"/>
  <c r="K155" i="25" s="1"/>
  <c r="E712" i="25"/>
  <c r="K712" i="25" s="1"/>
  <c r="E272" i="25"/>
  <c r="K272" i="25" s="1"/>
  <c r="E598" i="25"/>
  <c r="K598" i="25" s="1"/>
  <c r="E1261" i="25"/>
  <c r="E1055" i="25"/>
  <c r="E856" i="25"/>
  <c r="E1471" i="25"/>
  <c r="E67" i="25"/>
  <c r="E93" i="25"/>
  <c r="E1577" i="25"/>
  <c r="K1577" i="25" s="1"/>
  <c r="E1581" i="25"/>
  <c r="K1581" i="25" s="1"/>
  <c r="E2290" i="25"/>
  <c r="K2290" i="25" s="1"/>
  <c r="L2294" i="25" s="1"/>
  <c r="G75" i="5" s="1" a="1"/>
  <c r="G75" i="5" s="1"/>
  <c r="E2304" i="25"/>
  <c r="K2304" i="25" s="1"/>
  <c r="L2311" i="25" s="1"/>
  <c r="G73" i="5" s="1" a="1"/>
  <c r="G73" i="5" s="1"/>
  <c r="E2303" i="25"/>
  <c r="K2303" i="25" s="1"/>
  <c r="L2307" i="25" s="1"/>
  <c r="G71" i="5" s="1" a="1"/>
  <c r="G71" i="5" s="1"/>
  <c r="E2289" i="25"/>
  <c r="K2289" i="25" s="1"/>
  <c r="E2288" i="25"/>
  <c r="K2288" i="25" s="1"/>
  <c r="E2301" i="25"/>
  <c r="K2301" i="25" s="1"/>
  <c r="E2302" i="25"/>
  <c r="K2302" i="25" s="1"/>
  <c r="E2291" i="25"/>
  <c r="K2291" i="25" s="1"/>
  <c r="E813" i="25"/>
  <c r="E1013" i="25"/>
  <c r="E914" i="25"/>
  <c r="E1112" i="25"/>
  <c r="C46" i="14"/>
  <c r="I1880" i="25"/>
  <c r="I1848" i="25"/>
  <c r="I1825" i="25"/>
  <c r="I1801" i="25"/>
  <c r="I1778" i="25"/>
  <c r="I1760" i="25"/>
  <c r="I1743" i="25"/>
  <c r="I1693" i="25"/>
  <c r="I1672" i="25"/>
  <c r="I1879" i="25"/>
  <c r="I1847" i="25"/>
  <c r="I1823" i="25"/>
  <c r="I1800" i="25"/>
  <c r="I1776" i="25"/>
  <c r="I1759" i="25"/>
  <c r="I1742" i="25"/>
  <c r="I1724" i="25"/>
  <c r="I1692" i="25"/>
  <c r="I1671" i="25"/>
  <c r="I1869" i="25"/>
  <c r="I1846" i="25"/>
  <c r="I1822" i="25"/>
  <c r="I1799" i="25"/>
  <c r="I1775" i="25"/>
  <c r="I1758" i="25"/>
  <c r="I1740" i="25"/>
  <c r="I1723" i="25"/>
  <c r="I1780" i="25"/>
  <c r="I1696" i="25"/>
  <c r="I1858" i="25"/>
  <c r="I1762" i="25"/>
  <c r="I1868" i="25"/>
  <c r="I1844" i="25"/>
  <c r="I1820" i="25"/>
  <c r="I1797" i="25"/>
  <c r="I1774" i="25"/>
  <c r="I1757" i="25"/>
  <c r="I1739" i="25"/>
  <c r="I1722" i="25"/>
  <c r="I1890" i="25"/>
  <c r="I1867" i="25"/>
  <c r="I1843" i="25"/>
  <c r="I1821" i="25"/>
  <c r="I1796" i="25"/>
  <c r="I1755" i="25"/>
  <c r="I1738" i="25"/>
  <c r="I1720" i="25"/>
  <c r="I1703" i="25"/>
  <c r="I1682" i="25"/>
  <c r="I1889" i="25"/>
  <c r="I1865" i="25"/>
  <c r="I1842" i="25"/>
  <c r="I1818" i="25"/>
  <c r="I1795" i="25"/>
  <c r="I1754" i="25"/>
  <c r="I1737" i="25"/>
  <c r="I1719" i="25"/>
  <c r="I1702" i="25"/>
  <c r="I1681" i="25"/>
  <c r="I1888" i="25"/>
  <c r="I1864" i="25"/>
  <c r="I1841" i="25"/>
  <c r="I1817" i="25"/>
  <c r="I1785" i="25"/>
  <c r="I1753" i="25"/>
  <c r="I1735" i="25"/>
  <c r="I1718" i="25"/>
  <c r="I1701" i="25"/>
  <c r="I1680" i="25"/>
  <c r="I1714" i="25"/>
  <c r="I1676" i="25"/>
  <c r="I1883" i="25"/>
  <c r="I1859" i="25"/>
  <c r="I1804" i="25"/>
  <c r="I1763" i="25"/>
  <c r="I1713" i="25"/>
  <c r="I1675" i="25"/>
  <c r="I1881" i="25"/>
  <c r="I1826" i="25"/>
  <c r="I1779" i="25"/>
  <c r="I1694" i="25"/>
  <c r="I1886" i="25"/>
  <c r="I1863" i="25"/>
  <c r="I1839" i="25"/>
  <c r="I1816" i="25"/>
  <c r="I1784" i="25"/>
  <c r="I1734" i="25"/>
  <c r="I1717" i="25"/>
  <c r="I1699" i="25"/>
  <c r="I1678" i="25"/>
  <c r="I1885" i="25"/>
  <c r="I1862" i="25"/>
  <c r="I1838" i="25"/>
  <c r="I1806" i="25"/>
  <c r="I1783" i="25"/>
  <c r="I1733" i="25"/>
  <c r="I1715" i="25"/>
  <c r="I1698" i="25"/>
  <c r="I1677" i="25"/>
  <c r="I1884" i="25"/>
  <c r="I1860" i="25"/>
  <c r="I1837" i="25"/>
  <c r="I1805" i="25"/>
  <c r="I1781" i="25"/>
  <c r="I1764" i="25"/>
  <c r="I1697" i="25"/>
  <c r="I1827" i="25"/>
  <c r="I1802" i="25"/>
  <c r="I1744" i="25"/>
  <c r="I1673" i="25"/>
  <c r="I1661" i="25"/>
  <c r="I1640" i="25"/>
  <c r="I1660" i="25"/>
  <c r="I1639" i="25"/>
  <c r="I1659" i="25"/>
  <c r="I1638" i="25"/>
  <c r="I1657" i="25"/>
  <c r="I1636" i="25"/>
  <c r="I1656" i="25"/>
  <c r="I1635" i="25"/>
  <c r="I1655" i="25"/>
  <c r="I1634" i="25"/>
  <c r="I1654" i="25"/>
  <c r="I1633" i="25"/>
  <c r="I80" i="25"/>
  <c r="I1652" i="25"/>
  <c r="I1631" i="25"/>
  <c r="I1651" i="25"/>
  <c r="I1630" i="25"/>
  <c r="I78" i="25"/>
  <c r="I1650" i="25"/>
  <c r="I1629" i="25"/>
  <c r="I77" i="25"/>
  <c r="I76" i="25"/>
  <c r="I75" i="25"/>
  <c r="I74" i="25"/>
  <c r="I57" i="25"/>
  <c r="I56" i="25"/>
  <c r="I53" i="25"/>
  <c r="H44" i="24"/>
  <c r="I44" i="24" s="1"/>
  <c r="H43" i="24"/>
  <c r="I43" i="24" s="1"/>
  <c r="H42" i="24"/>
  <c r="I42" i="24" s="1"/>
  <c r="H41" i="24"/>
  <c r="I41" i="24" s="1"/>
  <c r="H34" i="24"/>
  <c r="I1609" i="25"/>
  <c r="I1218" i="25"/>
  <c r="I1533" i="25"/>
  <c r="I1429" i="25"/>
  <c r="I1325" i="25"/>
  <c r="N95" i="14"/>
  <c r="B41" i="14" s="1"/>
  <c r="N96" i="14"/>
  <c r="E24" i="25"/>
  <c r="K24" i="25" s="1"/>
  <c r="E25" i="25"/>
  <c r="K25" i="25" s="1"/>
  <c r="M92" i="14"/>
  <c r="N92" i="14" s="1"/>
  <c r="B39" i="14" s="1"/>
  <c r="C55" i="24" s="1"/>
  <c r="I55" i="24" s="1"/>
  <c r="M81" i="14"/>
  <c r="C43" i="14"/>
  <c r="C45" i="14"/>
  <c r="C42" i="14"/>
  <c r="C56" i="24" s="1"/>
  <c r="I56" i="24" s="1"/>
  <c r="C24" i="14"/>
  <c r="C27" i="14"/>
  <c r="C52" i="24" s="1"/>
  <c r="I52" i="24" s="1"/>
  <c r="C28" i="14"/>
  <c r="C53" i="24" s="1"/>
  <c r="I53" i="24" s="1"/>
  <c r="M91" i="14"/>
  <c r="N91" i="14" s="1"/>
  <c r="B38" i="14" s="1"/>
  <c r="C38" i="14" s="1"/>
  <c r="M75" i="14"/>
  <c r="N75" i="14" s="1"/>
  <c r="B29" i="14" s="1"/>
  <c r="C29" i="14" s="1"/>
  <c r="M71" i="14"/>
  <c r="N90" i="14"/>
  <c r="M74" i="14"/>
  <c r="M89" i="14"/>
  <c r="N89" i="14" s="1"/>
  <c r="M82" i="14"/>
  <c r="M65" i="14"/>
  <c r="M83" i="14"/>
  <c r="C34" i="14"/>
  <c r="C47" i="24" s="1"/>
  <c r="I47" i="24" s="1"/>
  <c r="E18" i="14"/>
  <c r="M69" i="14"/>
  <c r="N69" i="14" s="1"/>
  <c r="B35" i="14" s="1"/>
  <c r="C48" i="24" s="1"/>
  <c r="I48" i="24" s="1"/>
  <c r="M73" i="14"/>
  <c r="C37" i="14"/>
  <c r="I1615" i="25"/>
  <c r="E16" i="14"/>
  <c r="I1435" i="25"/>
  <c r="I1224" i="25"/>
  <c r="I1117" i="25"/>
  <c r="I818" i="25"/>
  <c r="I1539" i="25"/>
  <c r="I1331" i="25"/>
  <c r="I919" i="25"/>
  <c r="I1018" i="25"/>
  <c r="B26" i="14"/>
  <c r="C26" i="14" s="1"/>
  <c r="C51" i="24" s="1"/>
  <c r="I51" i="24" s="1"/>
  <c r="N57" i="14"/>
  <c r="M94" i="14"/>
  <c r="N94" i="14" s="1"/>
  <c r="B40" i="14" s="1"/>
  <c r="C40" i="14" s="1"/>
  <c r="M80" i="14"/>
  <c r="M63" i="14"/>
  <c r="K16" i="25"/>
  <c r="L17" i="25" s="1"/>
  <c r="G30" i="5" s="1" a="1"/>
  <c r="G30" i="5" s="1"/>
  <c r="H30" i="5" s="1"/>
  <c r="I175" i="24"/>
  <c r="M72" i="14"/>
  <c r="M70" i="14"/>
  <c r="M64" i="14"/>
  <c r="H67" i="5"/>
  <c r="U21" i="5" l="1"/>
  <c r="Q55" i="5"/>
  <c r="R18" i="5"/>
  <c r="U18" i="5"/>
  <c r="U22" i="5"/>
  <c r="U28" i="5"/>
  <c r="U29" i="5"/>
  <c r="E518" i="25"/>
  <c r="K518" i="25" s="1"/>
  <c r="E544" i="25"/>
  <c r="K544" i="25" s="1"/>
  <c r="E410" i="25"/>
  <c r="K410" i="25" s="1"/>
  <c r="E384" i="25"/>
  <c r="K384" i="25" s="1"/>
  <c r="U20" i="5"/>
  <c r="U27" i="5"/>
  <c r="L2318" i="25"/>
  <c r="G82" i="5" s="1" a="1"/>
  <c r="G82" i="5" s="1"/>
  <c r="H82" i="5" s="1"/>
  <c r="E1906" i="25"/>
  <c r="K1906" i="25" s="1"/>
  <c r="T18" i="5" s="1"/>
  <c r="E1936" i="25"/>
  <c r="K1936" i="25" s="1"/>
  <c r="E1966" i="25"/>
  <c r="K1966" i="25" s="1"/>
  <c r="E1628" i="25"/>
  <c r="K1628" i="25" s="1"/>
  <c r="E1670" i="25"/>
  <c r="K1670" i="25" s="1"/>
  <c r="E1649" i="25"/>
  <c r="K1649" i="25" s="1"/>
  <c r="E644" i="25"/>
  <c r="K644" i="25" s="1"/>
  <c r="E618" i="25"/>
  <c r="K618" i="25" s="1"/>
  <c r="E617" i="25"/>
  <c r="K617" i="25" s="1"/>
  <c r="U53" i="5" s="1"/>
  <c r="E643" i="25"/>
  <c r="K643" i="25" s="1"/>
  <c r="E412" i="25"/>
  <c r="K412" i="25" s="1"/>
  <c r="E386" i="25"/>
  <c r="K386" i="25" s="1"/>
  <c r="E515" i="25"/>
  <c r="K515" i="25" s="1"/>
  <c r="E541" i="25"/>
  <c r="K541" i="25" s="1"/>
  <c r="E407" i="25"/>
  <c r="K407" i="25" s="1"/>
  <c r="S55" i="5" s="1"/>
  <c r="E381" i="25"/>
  <c r="K381" i="25" s="1"/>
  <c r="E520" i="25"/>
  <c r="K520" i="25" s="1"/>
  <c r="U58" i="5" s="1"/>
  <c r="E546" i="25"/>
  <c r="K546" i="25" s="1"/>
  <c r="U57" i="5" s="1"/>
  <c r="U26" i="5"/>
  <c r="E638" i="25"/>
  <c r="K638" i="25" s="1"/>
  <c r="E612" i="25"/>
  <c r="K612" i="25" s="1"/>
  <c r="E613" i="25"/>
  <c r="K613" i="25" s="1"/>
  <c r="E639" i="25"/>
  <c r="K639" i="25" s="1"/>
  <c r="S54" i="5" s="1"/>
  <c r="E2068" i="25"/>
  <c r="K2068" i="25" s="1"/>
  <c r="E1898" i="25"/>
  <c r="K1898" i="25" s="1"/>
  <c r="E2098" i="25"/>
  <c r="K2098" i="25" s="1"/>
  <c r="E2039" i="25"/>
  <c r="K2039" i="25" s="1"/>
  <c r="E2158" i="25"/>
  <c r="K2158" i="25" s="1"/>
  <c r="E2188" i="25"/>
  <c r="K2188" i="25" s="1"/>
  <c r="E1928" i="25"/>
  <c r="K1928" i="25" s="1"/>
  <c r="E2248" i="25"/>
  <c r="K2248" i="25" s="1"/>
  <c r="E2010" i="25"/>
  <c r="K2010" i="25" s="1"/>
  <c r="E2218" i="25"/>
  <c r="K2218" i="25" s="1"/>
  <c r="E2128" i="25"/>
  <c r="K2128" i="25" s="1"/>
  <c r="E1958" i="25"/>
  <c r="K1958" i="25" s="1"/>
  <c r="L2337" i="25"/>
  <c r="G81" i="5" s="1" a="1"/>
  <c r="G81" i="5" s="1"/>
  <c r="H81" i="5" s="1"/>
  <c r="L2335" i="25"/>
  <c r="G80" i="5" s="1" a="1"/>
  <c r="G80" i="5" s="1"/>
  <c r="H80" i="5" s="1"/>
  <c r="E411" i="25"/>
  <c r="K411" i="25" s="1"/>
  <c r="U55" i="5" s="1"/>
  <c r="E385" i="25"/>
  <c r="K385" i="25" s="1"/>
  <c r="U56" i="5" s="1"/>
  <c r="S53" i="5"/>
  <c r="L2324" i="25"/>
  <c r="G85" i="5" s="1" a="1"/>
  <c r="G85" i="5" s="1"/>
  <c r="H85" i="5" s="1"/>
  <c r="L2322" i="25"/>
  <c r="G84" i="5" s="1" a="1"/>
  <c r="G84" i="5" s="1"/>
  <c r="H84" i="5" s="1"/>
  <c r="T20" i="5"/>
  <c r="E409" i="25"/>
  <c r="K409" i="25" s="1"/>
  <c r="E383" i="25"/>
  <c r="K383" i="25" s="1"/>
  <c r="U23" i="5"/>
  <c r="S19" i="5"/>
  <c r="R19" i="5"/>
  <c r="L2331" i="25"/>
  <c r="G78" i="5" s="1" a="1"/>
  <c r="G78" i="5" s="1"/>
  <c r="H78" i="5" s="1"/>
  <c r="T19" i="5"/>
  <c r="E521" i="25"/>
  <c r="K521" i="25" s="1"/>
  <c r="E547" i="25"/>
  <c r="K547" i="25" s="1"/>
  <c r="K2365" i="25"/>
  <c r="Q91" i="5" s="1"/>
  <c r="H2365" i="25"/>
  <c r="U24" i="5"/>
  <c r="E2163" i="25"/>
  <c r="K2163" i="25" s="1"/>
  <c r="Q26" i="5" s="1"/>
  <c r="E2044" i="25"/>
  <c r="K2044" i="25" s="1"/>
  <c r="Q22" i="5" s="1"/>
  <c r="E2103" i="25"/>
  <c r="K2103" i="25" s="1"/>
  <c r="Q24" i="5" s="1"/>
  <c r="E1903" i="25"/>
  <c r="K1903" i="25" s="1"/>
  <c r="Q18" i="5" s="1"/>
  <c r="E2133" i="25"/>
  <c r="K2133" i="25" s="1"/>
  <c r="Q25" i="5" s="1"/>
  <c r="E2253" i="25"/>
  <c r="K2253" i="25" s="1"/>
  <c r="Q29" i="5" s="1"/>
  <c r="E2073" i="25"/>
  <c r="K2073" i="25" s="1"/>
  <c r="Q23" i="5" s="1"/>
  <c r="E1933" i="25"/>
  <c r="K1933" i="25" s="1"/>
  <c r="Q19" i="5" s="1"/>
  <c r="E2193" i="25"/>
  <c r="K2193" i="25" s="1"/>
  <c r="Q27" i="5" s="1"/>
  <c r="E1963" i="25"/>
  <c r="K1963" i="25" s="1"/>
  <c r="Q20" i="5" s="1"/>
  <c r="E2015" i="25"/>
  <c r="K2015" i="25" s="1"/>
  <c r="Q21" i="5" s="1"/>
  <c r="E2223" i="25"/>
  <c r="K2223" i="25" s="1"/>
  <c r="Q28" i="5" s="1"/>
  <c r="E626" i="25"/>
  <c r="K626" i="25" s="1"/>
  <c r="E660" i="25"/>
  <c r="K660" i="25" s="1"/>
  <c r="E537" i="25"/>
  <c r="K537" i="25" s="1"/>
  <c r="Q58" i="5" s="1"/>
  <c r="E554" i="25"/>
  <c r="K554" i="25" s="1"/>
  <c r="Q57" i="5" s="1"/>
  <c r="E403" i="25"/>
  <c r="K403" i="25" s="1"/>
  <c r="Q56" i="5" s="1"/>
  <c r="E2189" i="25"/>
  <c r="K2189" i="25" s="1"/>
  <c r="E1929" i="25"/>
  <c r="K1929" i="25" s="1"/>
  <c r="E2129" i="25"/>
  <c r="K2129" i="25" s="1"/>
  <c r="E1959" i="25"/>
  <c r="K1959" i="25" s="1"/>
  <c r="E2219" i="25"/>
  <c r="K2219" i="25" s="1"/>
  <c r="E2040" i="25"/>
  <c r="K2040" i="25" s="1"/>
  <c r="E2011" i="25"/>
  <c r="K2011" i="25" s="1"/>
  <c r="E2099" i="25"/>
  <c r="K2099" i="25" s="1"/>
  <c r="E2249" i="25"/>
  <c r="K2249" i="25" s="1"/>
  <c r="E2159" i="25"/>
  <c r="K2159" i="25" s="1"/>
  <c r="E2069" i="25"/>
  <c r="K2069" i="25" s="1"/>
  <c r="E1899" i="25"/>
  <c r="K1899" i="25" s="1"/>
  <c r="E2041" i="25"/>
  <c r="K2041" i="25" s="1"/>
  <c r="S22" i="5" s="1"/>
  <c r="E2100" i="25"/>
  <c r="K2100" i="25" s="1"/>
  <c r="S24" i="5" s="1"/>
  <c r="E2160" i="25"/>
  <c r="K2160" i="25" s="1"/>
  <c r="S26" i="5" s="1"/>
  <c r="E2220" i="25"/>
  <c r="K2220" i="25" s="1"/>
  <c r="S28" i="5" s="1"/>
  <c r="E1900" i="25"/>
  <c r="K1900" i="25" s="1"/>
  <c r="S18" i="5" s="1"/>
  <c r="E1930" i="25"/>
  <c r="K1930" i="25" s="1"/>
  <c r="E2130" i="25"/>
  <c r="K2130" i="25" s="1"/>
  <c r="S25" i="5" s="1"/>
  <c r="E1960" i="25"/>
  <c r="K1960" i="25" s="1"/>
  <c r="S20" i="5" s="1"/>
  <c r="E2190" i="25"/>
  <c r="K2190" i="25" s="1"/>
  <c r="S27" i="5" s="1"/>
  <c r="E2070" i="25"/>
  <c r="K2070" i="25" s="1"/>
  <c r="S23" i="5" s="1"/>
  <c r="E2012" i="25"/>
  <c r="K2012" i="25" s="1"/>
  <c r="S21" i="5" s="1"/>
  <c r="E2250" i="25"/>
  <c r="K2250" i="25" s="1"/>
  <c r="S29" i="5" s="1"/>
  <c r="E633" i="25"/>
  <c r="K633" i="25" s="1"/>
  <c r="E607" i="25"/>
  <c r="K607" i="25" s="1"/>
  <c r="E1803" i="25"/>
  <c r="K1803" i="25" s="1"/>
  <c r="E2183" i="25"/>
  <c r="K2183" i="25" s="1"/>
  <c r="E2153" i="25"/>
  <c r="K2153" i="25" s="1"/>
  <c r="E2198" i="25"/>
  <c r="K2198" i="25" s="1"/>
  <c r="E2168" i="25"/>
  <c r="K2168" i="25" s="1"/>
  <c r="E2049" i="25"/>
  <c r="K2049" i="25" s="1"/>
  <c r="E2138" i="25"/>
  <c r="K2138" i="25" s="1"/>
  <c r="E2108" i="25"/>
  <c r="K2108" i="25" s="1"/>
  <c r="E2078" i="25"/>
  <c r="K2078" i="25" s="1"/>
  <c r="E2020" i="25"/>
  <c r="K2020" i="25" s="1"/>
  <c r="E1990" i="25"/>
  <c r="K1990" i="25" s="1"/>
  <c r="E1969" i="25"/>
  <c r="K1969" i="25" s="1"/>
  <c r="E1939" i="25"/>
  <c r="K1939" i="25" s="1"/>
  <c r="E2258" i="25"/>
  <c r="K2258" i="25" s="1"/>
  <c r="E2228" i="25"/>
  <c r="K2228" i="25" s="1"/>
  <c r="E1909" i="25"/>
  <c r="K1909" i="25" s="1"/>
  <c r="E2116" i="25"/>
  <c r="K2116" i="25" s="1"/>
  <c r="E2086" i="25"/>
  <c r="K2086" i="25" s="1"/>
  <c r="E2028" i="25"/>
  <c r="K2028" i="25" s="1"/>
  <c r="E1998" i="25"/>
  <c r="K1998" i="25" s="1"/>
  <c r="E2146" i="25"/>
  <c r="K2146" i="25" s="1"/>
  <c r="E2206" i="25"/>
  <c r="K2206" i="25" s="1"/>
  <c r="E2176" i="25"/>
  <c r="K2176" i="25" s="1"/>
  <c r="E2057" i="25"/>
  <c r="K2057" i="25" s="1"/>
  <c r="E2266" i="25"/>
  <c r="K2266" i="25" s="1"/>
  <c r="E2236" i="25"/>
  <c r="K2236" i="25" s="1"/>
  <c r="E1917" i="25"/>
  <c r="K1917" i="25" s="1"/>
  <c r="E1947" i="25"/>
  <c r="K1947" i="25" s="1"/>
  <c r="E1977" i="25"/>
  <c r="K1977" i="25" s="1"/>
  <c r="E2203" i="25"/>
  <c r="K2203" i="25" s="1"/>
  <c r="E2173" i="25"/>
  <c r="K2173" i="25" s="1"/>
  <c r="E2054" i="25"/>
  <c r="K2054" i="25" s="1"/>
  <c r="E2143" i="25"/>
  <c r="K2143" i="25" s="1"/>
  <c r="E2113" i="25"/>
  <c r="K2113" i="25" s="1"/>
  <c r="E2083" i="25"/>
  <c r="K2083" i="25" s="1"/>
  <c r="E2025" i="25"/>
  <c r="K2025" i="25" s="1"/>
  <c r="E1995" i="25"/>
  <c r="K1995" i="25" s="1"/>
  <c r="E1974" i="25"/>
  <c r="K1974" i="25" s="1"/>
  <c r="E1944" i="25"/>
  <c r="K1944" i="25" s="1"/>
  <c r="E2263" i="25"/>
  <c r="K2263" i="25" s="1"/>
  <c r="E2233" i="25"/>
  <c r="K2233" i="25" s="1"/>
  <c r="E1914" i="25"/>
  <c r="K1914" i="25" s="1"/>
  <c r="E2205" i="25"/>
  <c r="K2205" i="25" s="1"/>
  <c r="E2175" i="25"/>
  <c r="K2175" i="25" s="1"/>
  <c r="E2056" i="25"/>
  <c r="K2056" i="25" s="1"/>
  <c r="E2085" i="25"/>
  <c r="K2085" i="25" s="1"/>
  <c r="E2145" i="25"/>
  <c r="K2145" i="25" s="1"/>
  <c r="E2027" i="25"/>
  <c r="K2027" i="25" s="1"/>
  <c r="E2115" i="25"/>
  <c r="K2115" i="25" s="1"/>
  <c r="E1997" i="25"/>
  <c r="K1997" i="25" s="1"/>
  <c r="E2265" i="25"/>
  <c r="K2265" i="25" s="1"/>
  <c r="E2235" i="25"/>
  <c r="K2235" i="25" s="1"/>
  <c r="E1916" i="25"/>
  <c r="K1916" i="25" s="1"/>
  <c r="E1946" i="25"/>
  <c r="K1946" i="25" s="1"/>
  <c r="E1976" i="25"/>
  <c r="K1976" i="25" s="1"/>
  <c r="E2207" i="25"/>
  <c r="K2207" i="25" s="1"/>
  <c r="E2147" i="25"/>
  <c r="K2147" i="25" s="1"/>
  <c r="E2117" i="25"/>
  <c r="K2117" i="25" s="1"/>
  <c r="E2087" i="25"/>
  <c r="K2087" i="25" s="1"/>
  <c r="E2029" i="25"/>
  <c r="K2029" i="25" s="1"/>
  <c r="E1999" i="25"/>
  <c r="K1999" i="25" s="1"/>
  <c r="E2177" i="25"/>
  <c r="K2177" i="25" s="1"/>
  <c r="E2058" i="25"/>
  <c r="K2058" i="25" s="1"/>
  <c r="E2267" i="25"/>
  <c r="K2267" i="25" s="1"/>
  <c r="E2237" i="25"/>
  <c r="K2237" i="25" s="1"/>
  <c r="E1918" i="25"/>
  <c r="K1918" i="25" s="1"/>
  <c r="E1948" i="25"/>
  <c r="K1948" i="25" s="1"/>
  <c r="E1978" i="25"/>
  <c r="K1978" i="25" s="1"/>
  <c r="E1866" i="25"/>
  <c r="K1866" i="25" s="1"/>
  <c r="E1824" i="25"/>
  <c r="K1824" i="25" s="1"/>
  <c r="E1721" i="25"/>
  <c r="K1721" i="25" s="1"/>
  <c r="E1658" i="25"/>
  <c r="K1658" i="25" s="1"/>
  <c r="E1679" i="25"/>
  <c r="K1679" i="25" s="1"/>
  <c r="E2026" i="25"/>
  <c r="K2026" i="25" s="1"/>
  <c r="E2204" i="25"/>
  <c r="K2204" i="25" s="1"/>
  <c r="E2114" i="25"/>
  <c r="K2114" i="25" s="1"/>
  <c r="E2055" i="25"/>
  <c r="K2055" i="25" s="1"/>
  <c r="E2084" i="25"/>
  <c r="K2084" i="25" s="1"/>
  <c r="E2144" i="25"/>
  <c r="K2144" i="25" s="1"/>
  <c r="E1996" i="25"/>
  <c r="K1996" i="25" s="1"/>
  <c r="E2174" i="25"/>
  <c r="K2174" i="25" s="1"/>
  <c r="E2264" i="25"/>
  <c r="K2264" i="25" s="1"/>
  <c r="E1975" i="25"/>
  <c r="K1975" i="25" s="1"/>
  <c r="E1945" i="25"/>
  <c r="K1945" i="25" s="1"/>
  <c r="E2234" i="25"/>
  <c r="K2234" i="25" s="1"/>
  <c r="E1915" i="25"/>
  <c r="K1915" i="25" s="1"/>
  <c r="E1741" i="25"/>
  <c r="K1741" i="25" s="1"/>
  <c r="E1761" i="25"/>
  <c r="K1761" i="25" s="1"/>
  <c r="Q33" i="5"/>
  <c r="E1637" i="25"/>
  <c r="K1637" i="25" s="1"/>
  <c r="E1845" i="25"/>
  <c r="K1845" i="25" s="1"/>
  <c r="E1782" i="25"/>
  <c r="K1782" i="25" s="1"/>
  <c r="R42" i="5"/>
  <c r="Q32" i="5"/>
  <c r="E1887" i="25"/>
  <c r="K1887" i="25" s="1"/>
  <c r="I38" i="24"/>
  <c r="C65" i="24"/>
  <c r="I65" i="24" s="1"/>
  <c r="E2278" i="25" s="1"/>
  <c r="K2278" i="25" s="1"/>
  <c r="C40" i="24"/>
  <c r="I40" i="24" s="1"/>
  <c r="C39" i="24"/>
  <c r="I39" i="24" s="1"/>
  <c r="C59" i="24"/>
  <c r="I59" i="24" s="1"/>
  <c r="C60" i="24"/>
  <c r="I60" i="24" s="1"/>
  <c r="E2273" i="25" s="1"/>
  <c r="K2273" i="25" s="1"/>
  <c r="C66" i="24"/>
  <c r="I66" i="24" s="1"/>
  <c r="E2279" i="25" s="1"/>
  <c r="K2279" i="25" s="1"/>
  <c r="B36" i="14"/>
  <c r="C36" i="14" s="1"/>
  <c r="C35" i="24"/>
  <c r="I35" i="24" s="1"/>
  <c r="N63" i="14"/>
  <c r="I34" i="24"/>
  <c r="E75" i="25" s="1"/>
  <c r="E56" i="25"/>
  <c r="E76" i="25"/>
  <c r="L2305" i="25"/>
  <c r="G70" i="5" s="1" a="1"/>
  <c r="G70" i="5" s="1"/>
  <c r="L2292" i="25"/>
  <c r="G74" i="5" s="1" a="1"/>
  <c r="G74" i="5" s="1"/>
  <c r="E852" i="25"/>
  <c r="K852" i="25" s="1"/>
  <c r="E953" i="25"/>
  <c r="K953" i="25" s="1"/>
  <c r="E1257" i="25"/>
  <c r="K1257" i="25" s="1"/>
  <c r="E1150" i="25"/>
  <c r="K1150" i="25" s="1"/>
  <c r="E1364" i="25"/>
  <c r="K1364" i="25" s="1"/>
  <c r="E1468" i="25"/>
  <c r="K1468" i="25" s="1"/>
  <c r="E751" i="25"/>
  <c r="K751" i="25" s="1"/>
  <c r="E1052" i="25"/>
  <c r="K1052" i="25" s="1"/>
  <c r="E2343" i="25"/>
  <c r="K2343" i="25" s="1"/>
  <c r="E2345" i="25"/>
  <c r="K2345" i="25" s="1"/>
  <c r="S17" i="5" s="1"/>
  <c r="E2344" i="25"/>
  <c r="K2344" i="25" s="1"/>
  <c r="E2348" i="25"/>
  <c r="K2348" i="25" s="1"/>
  <c r="Q17" i="5" s="1"/>
  <c r="E2347" i="25"/>
  <c r="K2347" i="25" s="1"/>
  <c r="E2346" i="25"/>
  <c r="K2346" i="25" s="1"/>
  <c r="E1712" i="25"/>
  <c r="K1712" i="25" s="1"/>
  <c r="E1857" i="25"/>
  <c r="K1857" i="25" s="1"/>
  <c r="E1627" i="25"/>
  <c r="K1627" i="25" s="1"/>
  <c r="E1878" i="25"/>
  <c r="K1878" i="25" s="1"/>
  <c r="E1669" i="25"/>
  <c r="K1669" i="25" s="1"/>
  <c r="E1836" i="25"/>
  <c r="K1836" i="25" s="1"/>
  <c r="E1815" i="25"/>
  <c r="K1815" i="25" s="1"/>
  <c r="E1648" i="25"/>
  <c r="K1648" i="25" s="1"/>
  <c r="E1794" i="25"/>
  <c r="K1794" i="25" s="1"/>
  <c r="E1752" i="25"/>
  <c r="K1752" i="25" s="1"/>
  <c r="E1773" i="25"/>
  <c r="K1773" i="25" s="1"/>
  <c r="E1691" i="25"/>
  <c r="K1691" i="25" s="1"/>
  <c r="E1732" i="25"/>
  <c r="K1732" i="25" s="1"/>
  <c r="E1690" i="25"/>
  <c r="K1690" i="25" s="1"/>
  <c r="E39" i="25"/>
  <c r="K39" i="25" s="1"/>
  <c r="T45" i="5" s="1"/>
  <c r="E32" i="25"/>
  <c r="K32" i="25" s="1"/>
  <c r="T44" i="5" s="1"/>
  <c r="E46" i="25"/>
  <c r="K46" i="25" s="1"/>
  <c r="T46" i="5" s="1"/>
  <c r="E1154" i="25"/>
  <c r="E956" i="25"/>
  <c r="E1575" i="25"/>
  <c r="E755" i="25"/>
  <c r="E1367" i="25"/>
  <c r="E862" i="25"/>
  <c r="K862" i="25" s="1"/>
  <c r="E1061" i="25"/>
  <c r="K1061" i="25" s="1"/>
  <c r="E962" i="25"/>
  <c r="K962" i="25" s="1"/>
  <c r="E761" i="25"/>
  <c r="K761" i="25" s="1"/>
  <c r="E1731" i="25"/>
  <c r="K1731" i="25" s="1"/>
  <c r="E1793" i="25"/>
  <c r="K1793" i="25" s="1"/>
  <c r="E1751" i="25"/>
  <c r="K1751" i="25" s="1"/>
  <c r="E1647" i="25"/>
  <c r="K1647" i="25" s="1"/>
  <c r="E1668" i="25"/>
  <c r="K1668" i="25" s="1"/>
  <c r="E1877" i="25"/>
  <c r="K1877" i="25" s="1"/>
  <c r="E1856" i="25"/>
  <c r="K1856" i="25" s="1"/>
  <c r="E1814" i="25"/>
  <c r="K1814" i="25" s="1"/>
  <c r="E1772" i="25"/>
  <c r="K1772" i="25" s="1"/>
  <c r="T10" i="5" s="1"/>
  <c r="E1626" i="25"/>
  <c r="K1626" i="25" s="1"/>
  <c r="E1711" i="25"/>
  <c r="K1711" i="25" s="1"/>
  <c r="E1835" i="25"/>
  <c r="K1835" i="25" s="1"/>
  <c r="E750" i="25"/>
  <c r="K750" i="25" s="1"/>
  <c r="E851" i="25"/>
  <c r="K851" i="25" s="1"/>
  <c r="E952" i="25"/>
  <c r="K952" i="25" s="1"/>
  <c r="E1051" i="25"/>
  <c r="K1051" i="25" s="1"/>
  <c r="E1565" i="25"/>
  <c r="K1565" i="25" s="1"/>
  <c r="E1597" i="25"/>
  <c r="K1597" i="25" s="1"/>
  <c r="E718" i="25"/>
  <c r="K718" i="25" s="1"/>
  <c r="E844" i="25"/>
  <c r="K844" i="25" s="1"/>
  <c r="E218" i="25"/>
  <c r="K218" i="25" s="1"/>
  <c r="T50" i="5" s="1"/>
  <c r="E464" i="25"/>
  <c r="K464" i="25" s="1"/>
  <c r="E1143" i="25"/>
  <c r="K1143" i="25" s="1"/>
  <c r="E329" i="25"/>
  <c r="K329" i="25" s="1"/>
  <c r="E1495" i="25"/>
  <c r="K1495" i="25" s="1"/>
  <c r="E281" i="25"/>
  <c r="K281" i="25" s="1"/>
  <c r="T52" i="5" s="1"/>
  <c r="E1357" i="25"/>
  <c r="K1357" i="25" s="1"/>
  <c r="E1178" i="25"/>
  <c r="K1178" i="25" s="1"/>
  <c r="E157" i="25"/>
  <c r="K157" i="25" s="1"/>
  <c r="T48" i="5" s="1"/>
  <c r="E375" i="25"/>
  <c r="K375" i="25" s="1"/>
  <c r="E1522" i="25"/>
  <c r="K1522" i="25" s="1"/>
  <c r="E1285" i="25"/>
  <c r="K1285" i="25" s="1"/>
  <c r="E899" i="25"/>
  <c r="K899" i="25" s="1"/>
  <c r="E599" i="25"/>
  <c r="K599" i="25" s="1"/>
  <c r="E1206" i="25"/>
  <c r="K1206" i="25" s="1"/>
  <c r="E798" i="25"/>
  <c r="K798" i="25" s="1"/>
  <c r="E945" i="25"/>
  <c r="K945" i="25" s="1"/>
  <c r="E1250" i="25"/>
  <c r="K1250" i="25" s="1"/>
  <c r="E1391" i="25"/>
  <c r="K1391" i="25" s="1"/>
  <c r="E1044" i="25"/>
  <c r="K1044" i="25" s="1"/>
  <c r="E1461" i="25"/>
  <c r="K1461" i="25" s="1"/>
  <c r="E1313" i="25"/>
  <c r="K1313" i="25" s="1"/>
  <c r="E1418" i="25"/>
  <c r="K1418" i="25" s="1"/>
  <c r="E508" i="25"/>
  <c r="K508" i="25" s="1"/>
  <c r="E743" i="25"/>
  <c r="K743" i="25" s="1"/>
  <c r="E132" i="25"/>
  <c r="E667" i="25"/>
  <c r="C58" i="24"/>
  <c r="I58" i="24" s="1"/>
  <c r="C41" i="14"/>
  <c r="E193" i="25"/>
  <c r="E74" i="25"/>
  <c r="E57" i="25"/>
  <c r="E253" i="25"/>
  <c r="C54" i="24"/>
  <c r="E166" i="25"/>
  <c r="E693" i="25"/>
  <c r="C39" i="14"/>
  <c r="E227" i="25"/>
  <c r="E106" i="25"/>
  <c r="E1685" i="25"/>
  <c r="K1685" i="25" s="1"/>
  <c r="E23" i="25"/>
  <c r="K23" i="25" s="1"/>
  <c r="E22" i="25"/>
  <c r="K22" i="25" s="1"/>
  <c r="E958" i="25"/>
  <c r="E784" i="25"/>
  <c r="E1057" i="25"/>
  <c r="E858" i="25"/>
  <c r="E885" i="25"/>
  <c r="E757" i="25"/>
  <c r="E1860" i="25"/>
  <c r="K1860" i="25" s="1"/>
  <c r="E1818" i="25"/>
  <c r="K1818" i="25" s="1"/>
  <c r="E1776" i="25"/>
  <c r="K1776" i="25" s="1"/>
  <c r="E1631" i="25"/>
  <c r="K1631" i="25" s="1"/>
  <c r="E1715" i="25"/>
  <c r="K1715" i="25" s="1"/>
  <c r="E1673" i="25"/>
  <c r="K1673" i="25" s="1"/>
  <c r="E1652" i="25"/>
  <c r="K1652" i="25" s="1"/>
  <c r="E1881" i="25"/>
  <c r="K1881" i="25" s="1"/>
  <c r="E1839" i="25"/>
  <c r="K1839" i="25" s="1"/>
  <c r="E1797" i="25"/>
  <c r="K1797" i="25" s="1"/>
  <c r="E1755" i="25"/>
  <c r="K1755" i="25" s="1"/>
  <c r="E1694" i="25"/>
  <c r="K1694" i="25" s="1"/>
  <c r="E1735" i="25"/>
  <c r="K1735" i="25" s="1"/>
  <c r="E1659" i="25"/>
  <c r="K1659" i="25" s="1"/>
  <c r="E1742" i="25"/>
  <c r="K1742" i="25" s="1"/>
  <c r="E1846" i="25"/>
  <c r="K1846" i="25" s="1"/>
  <c r="E1888" i="25"/>
  <c r="K1888" i="25" s="1"/>
  <c r="E1701" i="25"/>
  <c r="K1701" i="25" s="1"/>
  <c r="E1804" i="25"/>
  <c r="K1804" i="25" s="1"/>
  <c r="E1867" i="25"/>
  <c r="K1867" i="25" s="1"/>
  <c r="E1825" i="25"/>
  <c r="K1825" i="25" s="1"/>
  <c r="E1638" i="25"/>
  <c r="K1638" i="25" s="1"/>
  <c r="E1762" i="25"/>
  <c r="K1762" i="25" s="1"/>
  <c r="E1722" i="25"/>
  <c r="K1722" i="25" s="1"/>
  <c r="E1680" i="25"/>
  <c r="K1680" i="25" s="1"/>
  <c r="E1783" i="25"/>
  <c r="K1783" i="25" s="1"/>
  <c r="E1661" i="25"/>
  <c r="K1661" i="25" s="1"/>
  <c r="E1703" i="25"/>
  <c r="K1703" i="25" s="1"/>
  <c r="E1744" i="25"/>
  <c r="K1744" i="25" s="1"/>
  <c r="E1640" i="25"/>
  <c r="K1640" i="25" s="1"/>
  <c r="E1806" i="25"/>
  <c r="K1806" i="25" s="1"/>
  <c r="E1848" i="25"/>
  <c r="K1848" i="25" s="1"/>
  <c r="E1869" i="25"/>
  <c r="K1869" i="25" s="1"/>
  <c r="E1764" i="25"/>
  <c r="K1764" i="25" s="1"/>
  <c r="E1724" i="25"/>
  <c r="K1724" i="25" s="1"/>
  <c r="E1785" i="25"/>
  <c r="K1785" i="25" s="1"/>
  <c r="E1827" i="25"/>
  <c r="K1827" i="25" s="1"/>
  <c r="E1682" i="25"/>
  <c r="K1682" i="25" s="1"/>
  <c r="E1890" i="25"/>
  <c r="K1890" i="25" s="1"/>
  <c r="E563" i="25"/>
  <c r="K563" i="25" s="1"/>
  <c r="E312" i="25"/>
  <c r="E292" i="25"/>
  <c r="K292" i="25" s="1"/>
  <c r="E584" i="25"/>
  <c r="E492" i="25"/>
  <c r="E448" i="25"/>
  <c r="E338" i="25"/>
  <c r="E474" i="25"/>
  <c r="K474" i="25" s="1"/>
  <c r="E358" i="25"/>
  <c r="E430" i="25"/>
  <c r="E1886" i="25"/>
  <c r="K1886" i="25" s="1"/>
  <c r="E1844" i="25"/>
  <c r="K1844" i="25" s="1"/>
  <c r="E1802" i="25"/>
  <c r="K1802" i="25" s="1"/>
  <c r="E1760" i="25"/>
  <c r="K1760" i="25" s="1"/>
  <c r="E1657" i="25"/>
  <c r="K1657" i="25" s="1"/>
  <c r="E1781" i="25"/>
  <c r="K1781" i="25" s="1"/>
  <c r="E1699" i="25"/>
  <c r="K1699" i="25" s="1"/>
  <c r="E1740" i="25"/>
  <c r="K1740" i="25" s="1"/>
  <c r="E1720" i="25"/>
  <c r="K1720" i="25" s="1"/>
  <c r="E1865" i="25"/>
  <c r="K1865" i="25" s="1"/>
  <c r="E1678" i="25"/>
  <c r="K1678" i="25" s="1"/>
  <c r="E1823" i="25"/>
  <c r="K1823" i="25" s="1"/>
  <c r="E1636" i="25"/>
  <c r="K1636" i="25" s="1"/>
  <c r="E1660" i="25"/>
  <c r="K1660" i="25" s="1"/>
  <c r="E1702" i="25"/>
  <c r="K1702" i="25" s="1"/>
  <c r="E1868" i="25"/>
  <c r="K1868" i="25" s="1"/>
  <c r="E1826" i="25"/>
  <c r="K1826" i="25" s="1"/>
  <c r="E1784" i="25"/>
  <c r="K1784" i="25" s="1"/>
  <c r="E1639" i="25"/>
  <c r="K1639" i="25" s="1"/>
  <c r="E1889" i="25"/>
  <c r="K1889" i="25" s="1"/>
  <c r="E1847" i="25"/>
  <c r="K1847" i="25" s="1"/>
  <c r="E1763" i="25"/>
  <c r="K1763" i="25" s="1"/>
  <c r="E1723" i="25"/>
  <c r="K1723" i="25" s="1"/>
  <c r="E1681" i="25"/>
  <c r="K1681" i="25" s="1"/>
  <c r="E1743" i="25"/>
  <c r="K1743" i="25" s="1"/>
  <c r="E1805" i="25"/>
  <c r="K1805" i="25" s="1"/>
  <c r="E583" i="25"/>
  <c r="E562" i="25"/>
  <c r="E291" i="25"/>
  <c r="E337" i="25"/>
  <c r="E311" i="25"/>
  <c r="E357" i="25"/>
  <c r="E1833" i="25"/>
  <c r="K1833" i="25" s="1"/>
  <c r="E1812" i="25"/>
  <c r="K1812" i="25" s="1"/>
  <c r="C195" i="24"/>
  <c r="I195" i="24" s="1"/>
  <c r="C172" i="24"/>
  <c r="I172" i="24" s="1"/>
  <c r="C187" i="24"/>
  <c r="I187" i="24" s="1"/>
  <c r="L2298" i="25"/>
  <c r="G77" i="5" s="1" a="1"/>
  <c r="G77" i="5" s="1"/>
  <c r="L2296" i="25"/>
  <c r="G76" i="5" s="1" a="1"/>
  <c r="G76" i="5" s="1"/>
  <c r="L2309" i="25"/>
  <c r="G72" i="5" s="1" a="1"/>
  <c r="G72" i="5" s="1"/>
  <c r="N73" i="14"/>
  <c r="B31" i="14" s="1"/>
  <c r="C49" i="24" s="1"/>
  <c r="I49" i="24" s="1"/>
  <c r="B25" i="14"/>
  <c r="C25" i="14" s="1"/>
  <c r="B22" i="14"/>
  <c r="C22" i="14" s="1"/>
  <c r="B33" i="14"/>
  <c r="C33" i="14" s="1"/>
  <c r="C46" i="24" s="1"/>
  <c r="I46" i="24" s="1"/>
  <c r="B32" i="14"/>
  <c r="N80" i="14"/>
  <c r="C35" i="14"/>
  <c r="C57" i="24"/>
  <c r="I57" i="24" s="1"/>
  <c r="N70" i="14"/>
  <c r="B30" i="14" s="1"/>
  <c r="C30" i="14" s="1"/>
  <c r="C50" i="24" s="1"/>
  <c r="I50" i="24" s="1"/>
  <c r="L19" i="25"/>
  <c r="C181" i="24"/>
  <c r="I181" i="24" s="1"/>
  <c r="H60" i="5"/>
  <c r="H63" i="5"/>
  <c r="H61" i="5"/>
  <c r="H59" i="5"/>
  <c r="H62" i="5"/>
  <c r="S57" i="5" l="1"/>
  <c r="U54" i="5"/>
  <c r="S56" i="5"/>
  <c r="S58" i="5"/>
  <c r="E543" i="25"/>
  <c r="K543" i="25" s="1"/>
  <c r="E517" i="25"/>
  <c r="K517" i="25" s="1"/>
  <c r="E390" i="25"/>
  <c r="K390" i="25" s="1"/>
  <c r="E416" i="25"/>
  <c r="K416" i="25" s="1"/>
  <c r="E615" i="25"/>
  <c r="K615" i="25" s="1"/>
  <c r="E653" i="25"/>
  <c r="K653" i="25" s="1"/>
  <c r="E625" i="25"/>
  <c r="K625" i="25" s="1"/>
  <c r="E659" i="25"/>
  <c r="K659" i="25" s="1"/>
  <c r="E651" i="25"/>
  <c r="K651" i="25" s="1"/>
  <c r="E641" i="25"/>
  <c r="K641" i="25" s="1"/>
  <c r="E657" i="25"/>
  <c r="K657" i="25" s="1"/>
  <c r="E614" i="25"/>
  <c r="K614" i="25" s="1"/>
  <c r="E655" i="25"/>
  <c r="K655" i="25" s="1"/>
  <c r="E640" i="25"/>
  <c r="K640" i="25" s="1"/>
  <c r="E619" i="25"/>
  <c r="K619" i="25" s="1"/>
  <c r="Q53" i="5" s="1"/>
  <c r="E645" i="25"/>
  <c r="K645" i="25" s="1"/>
  <c r="Q54" i="5" s="1"/>
  <c r="E417" i="25"/>
  <c r="K417" i="25" s="1"/>
  <c r="E391" i="25"/>
  <c r="K391" i="25" s="1"/>
  <c r="E542" i="25"/>
  <c r="K542" i="25" s="1"/>
  <c r="E516" i="25"/>
  <c r="K516" i="25" s="1"/>
  <c r="E413" i="25"/>
  <c r="K413" i="25" s="1"/>
  <c r="E414" i="25"/>
  <c r="K414" i="25" s="1"/>
  <c r="E387" i="25"/>
  <c r="K387" i="25" s="1"/>
  <c r="E388" i="25"/>
  <c r="K388" i="25" s="1"/>
  <c r="E392" i="25"/>
  <c r="K392" i="25" s="1"/>
  <c r="E418" i="25"/>
  <c r="K418" i="25" s="1"/>
  <c r="T2" i="5"/>
  <c r="E2154" i="25"/>
  <c r="K2154" i="25" s="1"/>
  <c r="E2184" i="25"/>
  <c r="K2184" i="25" s="1"/>
  <c r="E2244" i="25"/>
  <c r="K2244" i="25" s="1"/>
  <c r="E2214" i="25"/>
  <c r="K2214" i="25" s="1"/>
  <c r="E2074" i="25"/>
  <c r="K2074" i="25" s="1"/>
  <c r="E2134" i="25"/>
  <c r="K2134" i="25" s="1"/>
  <c r="E2194" i="25"/>
  <c r="K2194" i="25" s="1"/>
  <c r="E2016" i="25"/>
  <c r="K2016" i="25" s="1"/>
  <c r="E2104" i="25"/>
  <c r="K2104" i="25" s="1"/>
  <c r="E2142" i="25"/>
  <c r="K2142" i="25" s="1"/>
  <c r="E2112" i="25"/>
  <c r="K2112" i="25" s="1"/>
  <c r="E2082" i="25"/>
  <c r="K2082" i="25" s="1"/>
  <c r="E2024" i="25"/>
  <c r="K2024" i="25" s="1"/>
  <c r="E1994" i="25"/>
  <c r="K1994" i="25" s="1"/>
  <c r="E2053" i="25"/>
  <c r="K2053" i="25" s="1"/>
  <c r="E2202" i="25"/>
  <c r="K2202" i="25" s="1"/>
  <c r="E2045" i="25"/>
  <c r="K2045" i="25" s="1"/>
  <c r="E2164" i="25"/>
  <c r="K2164" i="25" s="1"/>
  <c r="E2172" i="25"/>
  <c r="K2172" i="25" s="1"/>
  <c r="E2254" i="25"/>
  <c r="K2254" i="25" s="1"/>
  <c r="E1964" i="25"/>
  <c r="K1964" i="25" s="1"/>
  <c r="E2224" i="25"/>
  <c r="K2224" i="25" s="1"/>
  <c r="E1934" i="25"/>
  <c r="K1934" i="25" s="1"/>
  <c r="E1904" i="25"/>
  <c r="K1904" i="25" s="1"/>
  <c r="E2349" i="25"/>
  <c r="K2349" i="25" s="1"/>
  <c r="L2350" i="25" s="1"/>
  <c r="E1913" i="25"/>
  <c r="K1913" i="25" s="1"/>
  <c r="E2262" i="25"/>
  <c r="K2262" i="25" s="1"/>
  <c r="E2232" i="25"/>
  <c r="K2232" i="25" s="1"/>
  <c r="E1943" i="25"/>
  <c r="K1943" i="25" s="1"/>
  <c r="E1973" i="25"/>
  <c r="K1973" i="25" s="1"/>
  <c r="E2152" i="25"/>
  <c r="K2152" i="25" s="1"/>
  <c r="E2182" i="25"/>
  <c r="K2182" i="25" s="1"/>
  <c r="R27" i="5" s="1"/>
  <c r="E1081" i="25"/>
  <c r="K1081" i="25" s="1"/>
  <c r="E986" i="25"/>
  <c r="K986" i="25" s="1"/>
  <c r="E781" i="25"/>
  <c r="K781" i="25" s="1"/>
  <c r="E982" i="25"/>
  <c r="K982" i="25" s="1"/>
  <c r="E882" i="25"/>
  <c r="K882" i="25" s="1"/>
  <c r="E1085" i="25"/>
  <c r="K1085" i="25" s="1"/>
  <c r="E2111" i="25"/>
  <c r="K2111" i="25" s="1"/>
  <c r="E2081" i="25"/>
  <c r="K2081" i="25" s="1"/>
  <c r="E2023" i="25"/>
  <c r="K2023" i="25" s="1"/>
  <c r="E1993" i="25"/>
  <c r="K1993" i="25" s="1"/>
  <c r="E2201" i="25"/>
  <c r="K2201" i="25" s="1"/>
  <c r="E2171" i="25"/>
  <c r="K2171" i="25" s="1"/>
  <c r="E2052" i="25"/>
  <c r="K2052" i="25" s="1"/>
  <c r="E2141" i="25"/>
  <c r="K2141" i="25" s="1"/>
  <c r="E2261" i="25"/>
  <c r="K2261" i="25" s="1"/>
  <c r="E2231" i="25"/>
  <c r="K2231" i="25" s="1"/>
  <c r="E1912" i="25"/>
  <c r="K1912" i="25" s="1"/>
  <c r="E1942" i="25"/>
  <c r="K1942" i="25" s="1"/>
  <c r="E1972" i="25"/>
  <c r="K1972" i="25" s="1"/>
  <c r="E2367" i="25"/>
  <c r="E1075" i="25"/>
  <c r="K1075" i="25" s="1"/>
  <c r="E871" i="25"/>
  <c r="K871" i="25" s="1"/>
  <c r="E765" i="25"/>
  <c r="K765" i="25" s="1"/>
  <c r="E976" i="25"/>
  <c r="K976" i="25" s="1"/>
  <c r="E866" i="25"/>
  <c r="K866" i="25" s="1"/>
  <c r="E770" i="25"/>
  <c r="K770" i="25" s="1"/>
  <c r="E966" i="25"/>
  <c r="K966" i="25" s="1"/>
  <c r="E876" i="25"/>
  <c r="K876" i="25" s="1"/>
  <c r="E775" i="25"/>
  <c r="K775" i="25" s="1"/>
  <c r="E1099" i="25"/>
  <c r="K1099" i="25" s="1"/>
  <c r="E1094" i="25"/>
  <c r="K1094" i="25" s="1"/>
  <c r="E1089" i="25"/>
  <c r="K1089" i="25" s="1"/>
  <c r="E1086" i="25"/>
  <c r="K1086" i="25" s="1"/>
  <c r="E1070" i="25"/>
  <c r="K1070" i="25" s="1"/>
  <c r="E1065" i="25"/>
  <c r="K1065" i="25" s="1"/>
  <c r="E1000" i="25"/>
  <c r="K1000" i="25" s="1"/>
  <c r="E995" i="25"/>
  <c r="K995" i="25" s="1"/>
  <c r="E990" i="25"/>
  <c r="K990" i="25" s="1"/>
  <c r="E987" i="25"/>
  <c r="K987" i="25" s="1"/>
  <c r="E971" i="25"/>
  <c r="K971" i="25" s="1"/>
  <c r="E2200" i="25"/>
  <c r="K2200" i="25" s="1"/>
  <c r="E2170" i="25"/>
  <c r="K2170" i="25" s="1"/>
  <c r="E2051" i="25"/>
  <c r="K2051" i="25" s="1"/>
  <c r="E2080" i="25"/>
  <c r="K2080" i="25" s="1"/>
  <c r="E2022" i="25"/>
  <c r="K2022" i="25" s="1"/>
  <c r="E2140" i="25"/>
  <c r="K2140" i="25" s="1"/>
  <c r="E1992" i="25"/>
  <c r="K1992" i="25" s="1"/>
  <c r="E2110" i="25"/>
  <c r="K2110" i="25" s="1"/>
  <c r="E1971" i="25"/>
  <c r="K1971" i="25" s="1"/>
  <c r="E2260" i="25"/>
  <c r="K2260" i="25" s="1"/>
  <c r="E2230" i="25"/>
  <c r="K2230" i="25" s="1"/>
  <c r="E1911" i="25"/>
  <c r="K1911" i="25" s="1"/>
  <c r="E1941" i="25"/>
  <c r="K1941" i="25" s="1"/>
  <c r="E2366" i="25"/>
  <c r="E2137" i="25"/>
  <c r="K2137" i="25" s="1"/>
  <c r="E2048" i="25"/>
  <c r="K2048" i="25" s="1"/>
  <c r="E2107" i="25"/>
  <c r="K2107" i="25" s="1"/>
  <c r="E2077" i="25"/>
  <c r="K2077" i="25" s="1"/>
  <c r="E2019" i="25"/>
  <c r="K2019" i="25" s="1"/>
  <c r="E1989" i="25"/>
  <c r="K1989" i="25" s="1"/>
  <c r="E2197" i="25"/>
  <c r="K2197" i="25" s="1"/>
  <c r="E2167" i="25"/>
  <c r="K2167" i="25" s="1"/>
  <c r="E1908" i="25"/>
  <c r="K1908" i="25" s="1"/>
  <c r="E2257" i="25"/>
  <c r="K2257" i="25" s="1"/>
  <c r="E2227" i="25"/>
  <c r="K2227" i="25" s="1"/>
  <c r="E1938" i="25"/>
  <c r="K1938" i="25" s="1"/>
  <c r="E1968" i="25"/>
  <c r="K1968" i="25" s="1"/>
  <c r="E2109" i="25"/>
  <c r="K2109" i="25" s="1"/>
  <c r="E2169" i="25"/>
  <c r="K2169" i="25" s="1"/>
  <c r="E2021" i="25"/>
  <c r="K2021" i="25" s="1"/>
  <c r="E2050" i="25"/>
  <c r="K2050" i="25" s="1"/>
  <c r="E2199" i="25"/>
  <c r="K2199" i="25" s="1"/>
  <c r="E2079" i="25"/>
  <c r="K2079" i="25" s="1"/>
  <c r="E2139" i="25"/>
  <c r="K2139" i="25" s="1"/>
  <c r="E1991" i="25"/>
  <c r="K1991" i="25" s="1"/>
  <c r="E2259" i="25"/>
  <c r="K2259" i="25" s="1"/>
  <c r="E1970" i="25"/>
  <c r="K1970" i="25" s="1"/>
  <c r="E1940" i="25"/>
  <c r="K1940" i="25" s="1"/>
  <c r="E2229" i="25"/>
  <c r="K2229" i="25" s="1"/>
  <c r="E1910" i="25"/>
  <c r="K1910" i="25" s="1"/>
  <c r="T7" i="5"/>
  <c r="T12" i="5"/>
  <c r="T8" i="5"/>
  <c r="U91" i="5"/>
  <c r="T3" i="5"/>
  <c r="T9" i="5"/>
  <c r="T11" i="5"/>
  <c r="T6" i="5"/>
  <c r="T4" i="5"/>
  <c r="T13" i="5"/>
  <c r="U17" i="5"/>
  <c r="T14" i="5"/>
  <c r="R43" i="5"/>
  <c r="T15" i="5"/>
  <c r="E2354" i="25"/>
  <c r="K2354" i="25" s="1"/>
  <c r="E1632" i="25"/>
  <c r="K1632" i="25" s="1"/>
  <c r="C32" i="14"/>
  <c r="C45" i="24" s="1"/>
  <c r="I45" i="24" s="1"/>
  <c r="E53" i="25" s="1"/>
  <c r="K53" i="25" s="1"/>
  <c r="C63" i="24"/>
  <c r="I63" i="24" s="1"/>
  <c r="E2276" i="25" s="1"/>
  <c r="K2276" i="25" s="1"/>
  <c r="E675" i="25"/>
  <c r="K675" i="25" s="1"/>
  <c r="E1207" i="25"/>
  <c r="K1207" i="25" s="1"/>
  <c r="E946" i="25"/>
  <c r="K946" i="25" s="1"/>
  <c r="E719" i="25"/>
  <c r="K719" i="25" s="1"/>
  <c r="E1778" i="25"/>
  <c r="K1778" i="25" s="1"/>
  <c r="E277" i="25"/>
  <c r="K277" i="25" s="1"/>
  <c r="E152" i="25"/>
  <c r="K152" i="25" s="1"/>
  <c r="E1496" i="25"/>
  <c r="K1496" i="25" s="1"/>
  <c r="E201" i="25"/>
  <c r="K201" i="25" s="1"/>
  <c r="E144" i="25"/>
  <c r="K144" i="25" s="1"/>
  <c r="E701" i="25"/>
  <c r="K701" i="25" s="1"/>
  <c r="E717" i="25"/>
  <c r="K717" i="25" s="1"/>
  <c r="E45" i="25"/>
  <c r="K45" i="25" s="1"/>
  <c r="E895" i="25"/>
  <c r="K895" i="25" s="1"/>
  <c r="E54" i="25"/>
  <c r="K54" i="25" s="1"/>
  <c r="E1448" i="25"/>
  <c r="K1448" i="25" s="1"/>
  <c r="E1144" i="25"/>
  <c r="K1144" i="25" s="1"/>
  <c r="E831" i="25"/>
  <c r="K831" i="25" s="1"/>
  <c r="E705" i="25"/>
  <c r="K705" i="25" s="1"/>
  <c r="E1518" i="25"/>
  <c r="K1518" i="25" s="1"/>
  <c r="E265" i="25"/>
  <c r="K265" i="25" s="1"/>
  <c r="E1501" i="25"/>
  <c r="K1501" i="25" s="1"/>
  <c r="E1457" i="25"/>
  <c r="K1457" i="25" s="1"/>
  <c r="E150" i="25"/>
  <c r="K150" i="25" s="1"/>
  <c r="E114" i="25"/>
  <c r="K114" i="25" s="1"/>
  <c r="E260" i="25"/>
  <c r="K260" i="25" s="1"/>
  <c r="E1382" i="25"/>
  <c r="K1382" i="25" s="1"/>
  <c r="E1402" i="25"/>
  <c r="K1402" i="25" s="1"/>
  <c r="E1506" i="25"/>
  <c r="K1506" i="25" s="1"/>
  <c r="E1237" i="25"/>
  <c r="K1237" i="25" s="1"/>
  <c r="E1130" i="25"/>
  <c r="K1130" i="25" s="1"/>
  <c r="E711" i="25"/>
  <c r="K711" i="25" s="1"/>
  <c r="E174" i="25"/>
  <c r="K174" i="25" s="1"/>
  <c r="E1452" i="25"/>
  <c r="K1452" i="25" s="1"/>
  <c r="E855" i="25"/>
  <c r="K855" i="25" s="1"/>
  <c r="E1054" i="25"/>
  <c r="K1054" i="25" s="1"/>
  <c r="E1397" i="25"/>
  <c r="K1397" i="25" s="1"/>
  <c r="E1202" i="25"/>
  <c r="K1202" i="25" s="1"/>
  <c r="E674" i="25"/>
  <c r="K674" i="25" s="1"/>
  <c r="E274" i="25"/>
  <c r="K274" i="25" s="1"/>
  <c r="E1696" i="25"/>
  <c r="K1696" i="25" s="1"/>
  <c r="E1513" i="25"/>
  <c r="K1513" i="25" s="1"/>
  <c r="E271" i="25"/>
  <c r="K271" i="25" s="1"/>
  <c r="E1169" i="25"/>
  <c r="K1169" i="25" s="1"/>
  <c r="E941" i="25"/>
  <c r="K941" i="25" s="1"/>
  <c r="E200" i="25"/>
  <c r="K200" i="25" s="1"/>
  <c r="E1633" i="25"/>
  <c r="K1633" i="25" s="1"/>
  <c r="E1841" i="25"/>
  <c r="K1841" i="25" s="1"/>
  <c r="E1377" i="25"/>
  <c r="K1377" i="25" s="1"/>
  <c r="E1353" i="25"/>
  <c r="K1353" i="25" s="1"/>
  <c r="E1406" i="25"/>
  <c r="K1406" i="25" s="1"/>
  <c r="E840" i="25"/>
  <c r="K840" i="25" s="1"/>
  <c r="E179" i="25"/>
  <c r="K179" i="25" s="1"/>
  <c r="E1134" i="25"/>
  <c r="K1134" i="25" s="1"/>
  <c r="E154" i="25"/>
  <c r="K154" i="25" s="1"/>
  <c r="E1184" i="25"/>
  <c r="K1184" i="25" s="1"/>
  <c r="E113" i="25"/>
  <c r="K113" i="25" s="1"/>
  <c r="E1883" i="25"/>
  <c r="K1883" i="25" s="1"/>
  <c r="E1419" i="25"/>
  <c r="K1419" i="25" s="1"/>
  <c r="E1358" i="25"/>
  <c r="K1358" i="25" s="1"/>
  <c r="E140" i="25"/>
  <c r="K140" i="25" s="1"/>
  <c r="E1675" i="25"/>
  <c r="K1675" i="25" s="1"/>
  <c r="E118" i="25"/>
  <c r="K118" i="25" s="1"/>
  <c r="E1414" i="25"/>
  <c r="K1414" i="25" s="1"/>
  <c r="E185" i="25"/>
  <c r="K185" i="25" s="1"/>
  <c r="E932" i="25"/>
  <c r="K932" i="25" s="1"/>
  <c r="E1045" i="25"/>
  <c r="K1045" i="25" s="1"/>
  <c r="E730" i="25"/>
  <c r="K730" i="25" s="1"/>
  <c r="E1387" i="25"/>
  <c r="K1387" i="25" s="1"/>
  <c r="E156" i="25"/>
  <c r="K156" i="25" s="1"/>
  <c r="E1271" i="25"/>
  <c r="K1271" i="25" s="1"/>
  <c r="E1297" i="25"/>
  <c r="K1297" i="25" s="1"/>
  <c r="E1059" i="25"/>
  <c r="K1059" i="25" s="1"/>
  <c r="E1366" i="25"/>
  <c r="K1366" i="25" s="1"/>
  <c r="E744" i="25"/>
  <c r="K744" i="25" s="1"/>
  <c r="E679" i="25"/>
  <c r="K679" i="25" s="1"/>
  <c r="E234" i="25"/>
  <c r="K234" i="25" s="1"/>
  <c r="E31" i="25"/>
  <c r="K31" i="25" s="1"/>
  <c r="E283" i="25"/>
  <c r="K283" i="25" s="1"/>
  <c r="E215" i="25"/>
  <c r="K215" i="25" s="1"/>
  <c r="E1031" i="25"/>
  <c r="K1031" i="25" s="1"/>
  <c r="E1566" i="25"/>
  <c r="K1566" i="25" s="1"/>
  <c r="E1470" i="25"/>
  <c r="K1470" i="25" s="1"/>
  <c r="E1035" i="25"/>
  <c r="K1035" i="25" s="1"/>
  <c r="E1717" i="25"/>
  <c r="K1717" i="25" s="1"/>
  <c r="E158" i="25"/>
  <c r="K158" i="25" s="1"/>
  <c r="E1588" i="25"/>
  <c r="K1588" i="25" s="1"/>
  <c r="E1481" i="25"/>
  <c r="K1481" i="25" s="1"/>
  <c r="E1409" i="25"/>
  <c r="K1409" i="25" s="1"/>
  <c r="E955" i="25"/>
  <c r="K955" i="25" s="1"/>
  <c r="E1153" i="25"/>
  <c r="K1153" i="25" s="1"/>
  <c r="E1392" i="25"/>
  <c r="K1392" i="25" s="1"/>
  <c r="E1281" i="25"/>
  <c r="K1281" i="25" s="1"/>
  <c r="E1164" i="25"/>
  <c r="K1164" i="25" s="1"/>
  <c r="E887" i="25"/>
  <c r="K887" i="25" s="1"/>
  <c r="E1309" i="25"/>
  <c r="K1309" i="25" s="1"/>
  <c r="E1862" i="25"/>
  <c r="K1862" i="25" s="1"/>
  <c r="E794" i="25"/>
  <c r="K794" i="25" s="1"/>
  <c r="E754" i="25"/>
  <c r="K754" i="25" s="1"/>
  <c r="E1486" i="25"/>
  <c r="K1486" i="25" s="1"/>
  <c r="E900" i="25"/>
  <c r="K900" i="25" s="1"/>
  <c r="E759" i="25"/>
  <c r="K759" i="25" s="1"/>
  <c r="E211" i="25"/>
  <c r="K211" i="25" s="1"/>
  <c r="E1286" i="25"/>
  <c r="K1286" i="25" s="1"/>
  <c r="E700" i="25"/>
  <c r="K700" i="25" s="1"/>
  <c r="E835" i="25"/>
  <c r="K835" i="25" s="1"/>
  <c r="E1510" i="25"/>
  <c r="K1510" i="25" s="1"/>
  <c r="E1561" i="25"/>
  <c r="K1561" i="25" s="1"/>
  <c r="E1799" i="25"/>
  <c r="K1799" i="25" s="1"/>
  <c r="E1301" i="25"/>
  <c r="K1301" i="25" s="1"/>
  <c r="E78" i="25"/>
  <c r="K78" i="25" s="1"/>
  <c r="E1251" i="25"/>
  <c r="K1251" i="25" s="1"/>
  <c r="E1314" i="25"/>
  <c r="K1314" i="25" s="1"/>
  <c r="E139" i="25"/>
  <c r="K139" i="25" s="1"/>
  <c r="E235" i="25"/>
  <c r="K235" i="25" s="1"/>
  <c r="E786" i="25"/>
  <c r="K786" i="25" s="1"/>
  <c r="E1598" i="25"/>
  <c r="K1598" i="25" s="1"/>
  <c r="E1304" i="25"/>
  <c r="K1304" i="25" s="1"/>
  <c r="E205" i="25"/>
  <c r="K205" i="25" s="1"/>
  <c r="E239" i="25"/>
  <c r="K239" i="25" s="1"/>
  <c r="E1427" i="25"/>
  <c r="K1427" i="25" s="1"/>
  <c r="E1523" i="25"/>
  <c r="K1523" i="25" s="1"/>
  <c r="E1757" i="25"/>
  <c r="K1757" i="25" s="1"/>
  <c r="E1276" i="25"/>
  <c r="K1276" i="25" s="1"/>
  <c r="E1737" i="25"/>
  <c r="K1737" i="25" s="1"/>
  <c r="E1197" i="25"/>
  <c r="K1197" i="25" s="1"/>
  <c r="E1241" i="25"/>
  <c r="K1241" i="25" s="1"/>
  <c r="E1583" i="25"/>
  <c r="K1583" i="25" s="1"/>
  <c r="E217" i="25"/>
  <c r="K217" i="25" s="1"/>
  <c r="E739" i="25"/>
  <c r="K739" i="25" s="1"/>
  <c r="E1654" i="25"/>
  <c r="K1654" i="25" s="1"/>
  <c r="E1260" i="25"/>
  <c r="K1260" i="25" s="1"/>
  <c r="E124" i="25"/>
  <c r="K124" i="25" s="1"/>
  <c r="E845" i="25"/>
  <c r="K845" i="25" s="1"/>
  <c r="E1291" i="25"/>
  <c r="K1291" i="25" s="1"/>
  <c r="E1194" i="25"/>
  <c r="K1194" i="25" s="1"/>
  <c r="E1462" i="25"/>
  <c r="K1462" i="25" s="1"/>
  <c r="E1574" i="25"/>
  <c r="K1574" i="25" s="1"/>
  <c r="E1174" i="25"/>
  <c r="K1174" i="25" s="1"/>
  <c r="E1552" i="25"/>
  <c r="K1552" i="25" s="1"/>
  <c r="E1139" i="25"/>
  <c r="K1139" i="25" s="1"/>
  <c r="E1531" i="25"/>
  <c r="K1531" i="25" s="1"/>
  <c r="E1491" i="25"/>
  <c r="K1491" i="25" s="1"/>
  <c r="E245" i="25"/>
  <c r="K245" i="25" s="1"/>
  <c r="E1607" i="25"/>
  <c r="K1607" i="25" s="1"/>
  <c r="E1216" i="25"/>
  <c r="K1216" i="25" s="1"/>
  <c r="E1593" i="25"/>
  <c r="K1593" i="25" s="1"/>
  <c r="E789" i="25"/>
  <c r="K789" i="25" s="1"/>
  <c r="E860" i="25"/>
  <c r="K860" i="25" s="1"/>
  <c r="E213" i="25"/>
  <c r="K213" i="25" s="1"/>
  <c r="E936" i="25"/>
  <c r="K936" i="25" s="1"/>
  <c r="E1348" i="25"/>
  <c r="K1348" i="25" s="1"/>
  <c r="E1323" i="25"/>
  <c r="K1323" i="25" s="1"/>
  <c r="E1040" i="25"/>
  <c r="K1040" i="25" s="1"/>
  <c r="E685" i="25"/>
  <c r="K685" i="25" s="1"/>
  <c r="E1344" i="25"/>
  <c r="K1344" i="25" s="1"/>
  <c r="E890" i="25"/>
  <c r="K890" i="25" s="1"/>
  <c r="E38" i="25"/>
  <c r="K38" i="25" s="1"/>
  <c r="E1190" i="25"/>
  <c r="K1190" i="25" s="1"/>
  <c r="E1179" i="25"/>
  <c r="K1179" i="25" s="1"/>
  <c r="E734" i="25"/>
  <c r="K734" i="25" s="1"/>
  <c r="E1556" i="25"/>
  <c r="K1556" i="25" s="1"/>
  <c r="E219" i="25"/>
  <c r="K219" i="25" s="1"/>
  <c r="E715" i="25"/>
  <c r="K715" i="25" s="1"/>
  <c r="E1246" i="25"/>
  <c r="K1246" i="25" s="1"/>
  <c r="E960" i="25"/>
  <c r="K960" i="25" s="1"/>
  <c r="E1820" i="25"/>
  <c r="K1820" i="25" s="1"/>
  <c r="E713" i="25"/>
  <c r="K713" i="25" s="1"/>
  <c r="E1585" i="25"/>
  <c r="K1585" i="25" s="1"/>
  <c r="E261" i="25"/>
  <c r="K261" i="25" s="1"/>
  <c r="E799" i="25"/>
  <c r="K799" i="25" s="1"/>
  <c r="E173" i="25"/>
  <c r="K173" i="25" s="1"/>
  <c r="E1630" i="25"/>
  <c r="K1630" i="25" s="1"/>
  <c r="E1754" i="25"/>
  <c r="K1754" i="25" s="1"/>
  <c r="E1714" i="25"/>
  <c r="K1714" i="25" s="1"/>
  <c r="E1796" i="25"/>
  <c r="K1796" i="25" s="1"/>
  <c r="E1734" i="25"/>
  <c r="K1734" i="25" s="1"/>
  <c r="E1022" i="25"/>
  <c r="K1022" i="25" s="1"/>
  <c r="E1543" i="25"/>
  <c r="K1543" i="25" s="1"/>
  <c r="E1220" i="25"/>
  <c r="K1220" i="25" s="1"/>
  <c r="E822" i="25"/>
  <c r="K822" i="25" s="1"/>
  <c r="E1327" i="25"/>
  <c r="K1327" i="25" s="1"/>
  <c r="E1611" i="25"/>
  <c r="K1611" i="25" s="1"/>
  <c r="E1431" i="25"/>
  <c r="K1431" i="25" s="1"/>
  <c r="E1335" i="25"/>
  <c r="K1335" i="25" s="1"/>
  <c r="E1880" i="25"/>
  <c r="K1880" i="25" s="1"/>
  <c r="E1672" i="25"/>
  <c r="K1672" i="25" s="1"/>
  <c r="E1651" i="25"/>
  <c r="K1651" i="25" s="1"/>
  <c r="E1775" i="25"/>
  <c r="K1775" i="25" s="1"/>
  <c r="E1439" i="25"/>
  <c r="K1439" i="25" s="1"/>
  <c r="E1693" i="25"/>
  <c r="K1693" i="25" s="1"/>
  <c r="E1121" i="25"/>
  <c r="K1121" i="25" s="1"/>
  <c r="E1228" i="25"/>
  <c r="K1228" i="25" s="1"/>
  <c r="E1619" i="25"/>
  <c r="K1619" i="25" s="1"/>
  <c r="E1838" i="25"/>
  <c r="K1838" i="25" s="1"/>
  <c r="E1859" i="25"/>
  <c r="K1859" i="25" s="1"/>
  <c r="E1535" i="25"/>
  <c r="K1535" i="25" s="1"/>
  <c r="E1817" i="25"/>
  <c r="K1817" i="25" s="1"/>
  <c r="E923" i="25"/>
  <c r="K923" i="25" s="1"/>
  <c r="E1224" i="25"/>
  <c r="E1533" i="25"/>
  <c r="E1615" i="25"/>
  <c r="E1539" i="25"/>
  <c r="E1435" i="25"/>
  <c r="E1609" i="25"/>
  <c r="E1218" i="25"/>
  <c r="E1325" i="25"/>
  <c r="E1117" i="25"/>
  <c r="E919" i="25"/>
  <c r="E818" i="25"/>
  <c r="E1331" i="25"/>
  <c r="E1018" i="25"/>
  <c r="E1429" i="25"/>
  <c r="E565" i="25"/>
  <c r="K565" i="25" s="1"/>
  <c r="E296" i="25"/>
  <c r="K296" i="25" s="1"/>
  <c r="E316" i="25"/>
  <c r="K316" i="25" s="1"/>
  <c r="E564" i="25"/>
  <c r="K564" i="25" s="1"/>
  <c r="E342" i="25"/>
  <c r="K342" i="25" s="1"/>
  <c r="E585" i="25"/>
  <c r="K585" i="25" s="1"/>
  <c r="E428" i="25"/>
  <c r="K428" i="25" s="1"/>
  <c r="E2272" i="25"/>
  <c r="K2272" i="25" s="1"/>
  <c r="E295" i="25"/>
  <c r="K295" i="25" s="1"/>
  <c r="E315" i="25"/>
  <c r="K315" i="25" s="1"/>
  <c r="E362" i="25"/>
  <c r="K362" i="25" s="1"/>
  <c r="E490" i="25"/>
  <c r="K490" i="25" s="1"/>
  <c r="E361" i="25"/>
  <c r="K361" i="25" s="1"/>
  <c r="E472" i="25"/>
  <c r="K472" i="25" s="1"/>
  <c r="E341" i="25"/>
  <c r="K341" i="25" s="1"/>
  <c r="E586" i="25"/>
  <c r="K586" i="25" s="1"/>
  <c r="E446" i="25"/>
  <c r="K446" i="25" s="1"/>
  <c r="C37" i="24"/>
  <c r="I37" i="24" s="1"/>
  <c r="I54" i="24"/>
  <c r="E678" i="25"/>
  <c r="K678" i="25" s="1"/>
  <c r="E238" i="25"/>
  <c r="K238" i="25" s="1"/>
  <c r="E143" i="25"/>
  <c r="K143" i="25" s="1"/>
  <c r="E178" i="25"/>
  <c r="K178" i="25" s="1"/>
  <c r="E704" i="25"/>
  <c r="K704" i="25" s="1"/>
  <c r="E264" i="25"/>
  <c r="K264" i="25" s="1"/>
  <c r="E117" i="25"/>
  <c r="K117" i="25" s="1"/>
  <c r="E204" i="25"/>
  <c r="K204" i="25" s="1"/>
  <c r="E699" i="25"/>
  <c r="K699" i="25" s="1"/>
  <c r="E169" i="25"/>
  <c r="K169" i="25" s="1"/>
  <c r="E259" i="25"/>
  <c r="K259" i="25" s="1"/>
  <c r="E673" i="25"/>
  <c r="K673" i="25" s="1"/>
  <c r="E233" i="25"/>
  <c r="K233" i="25" s="1"/>
  <c r="E112" i="25"/>
  <c r="K112" i="25" s="1"/>
  <c r="E138" i="25"/>
  <c r="K138" i="25" s="1"/>
  <c r="E199" i="25"/>
  <c r="K199" i="25" s="1"/>
  <c r="E1745" i="25"/>
  <c r="K1745" i="25" s="1"/>
  <c r="U8" i="5" s="1"/>
  <c r="E1704" i="25"/>
  <c r="K1704" i="25" s="1"/>
  <c r="U6" i="5" s="1"/>
  <c r="E1870" i="25"/>
  <c r="K1870" i="25" s="1"/>
  <c r="U14" i="5" s="1"/>
  <c r="E1828" i="25"/>
  <c r="K1828" i="25" s="1"/>
  <c r="U12" i="5" s="1"/>
  <c r="E1786" i="25"/>
  <c r="K1786" i="25" s="1"/>
  <c r="U10" i="5" s="1"/>
  <c r="E1641" i="25"/>
  <c r="K1641" i="25" s="1"/>
  <c r="U2" i="5" s="1"/>
  <c r="E1725" i="25"/>
  <c r="K1725" i="25" s="1"/>
  <c r="U7" i="5" s="1"/>
  <c r="E1683" i="25"/>
  <c r="K1683" i="25" s="1"/>
  <c r="U4" i="5" s="1"/>
  <c r="E1849" i="25"/>
  <c r="K1849" i="25" s="1"/>
  <c r="U13" i="5" s="1"/>
  <c r="E1807" i="25"/>
  <c r="K1807" i="25" s="1"/>
  <c r="U11" i="5" s="1"/>
  <c r="E1662" i="25"/>
  <c r="K1662" i="25" s="1"/>
  <c r="U3" i="5" s="1"/>
  <c r="E1891" i="25"/>
  <c r="K1891" i="25" s="1"/>
  <c r="U15" i="5" s="1"/>
  <c r="E1765" i="25"/>
  <c r="K1765" i="25" s="1"/>
  <c r="U9" i="5" s="1"/>
  <c r="E1318" i="25"/>
  <c r="K1318" i="25" s="1"/>
  <c r="E752" i="25"/>
  <c r="K752" i="25" s="1"/>
  <c r="E1211" i="25"/>
  <c r="K1211" i="25" s="1"/>
  <c r="E904" i="25"/>
  <c r="K904" i="25" s="1"/>
  <c r="E1185" i="25"/>
  <c r="K1185" i="25" s="1"/>
  <c r="E853" i="25"/>
  <c r="K853" i="25" s="1"/>
  <c r="E1292" i="25"/>
  <c r="K1292" i="25" s="1"/>
  <c r="E1151" i="25"/>
  <c r="K1151" i="25" s="1"/>
  <c r="E1258" i="25"/>
  <c r="K1258" i="25" s="1"/>
  <c r="E1602" i="25"/>
  <c r="K1602" i="25" s="1"/>
  <c r="E1572" i="25"/>
  <c r="K1572" i="25" s="1"/>
  <c r="E803" i="25"/>
  <c r="K803" i="25" s="1"/>
  <c r="E345" i="25"/>
  <c r="K345" i="25" s="1"/>
  <c r="E79" i="25"/>
  <c r="K79" i="25" s="1"/>
  <c r="E299" i="25"/>
  <c r="K299" i="25" s="1"/>
  <c r="E568" i="25"/>
  <c r="K568" i="25" s="1"/>
  <c r="E55" i="25"/>
  <c r="K55" i="25" s="1"/>
  <c r="E589" i="25"/>
  <c r="K589" i="25" s="1"/>
  <c r="E365" i="25"/>
  <c r="K365" i="25" s="1"/>
  <c r="E319" i="25"/>
  <c r="K319" i="25" s="1"/>
  <c r="E1716" i="25"/>
  <c r="K1716" i="25" s="1"/>
  <c r="E569" i="25"/>
  <c r="K569" i="25" s="1"/>
  <c r="E1674" i="25"/>
  <c r="K1674" i="25" s="1"/>
  <c r="E590" i="25"/>
  <c r="K590" i="25" s="1"/>
  <c r="E1653" i="25"/>
  <c r="K1653" i="25" s="1"/>
  <c r="E1861" i="25"/>
  <c r="K1861" i="25" s="1"/>
  <c r="E366" i="25"/>
  <c r="K366" i="25" s="1"/>
  <c r="E300" i="25"/>
  <c r="K300" i="25" s="1"/>
  <c r="E1882" i="25"/>
  <c r="K1882" i="25" s="1"/>
  <c r="E320" i="25"/>
  <c r="K320" i="25" s="1"/>
  <c r="E1840" i="25"/>
  <c r="K1840" i="25" s="1"/>
  <c r="E1819" i="25"/>
  <c r="K1819" i="25" s="1"/>
  <c r="E1798" i="25"/>
  <c r="K1798" i="25" s="1"/>
  <c r="E1756" i="25"/>
  <c r="K1756" i="25" s="1"/>
  <c r="E1695" i="25"/>
  <c r="K1695" i="25" s="1"/>
  <c r="E1736" i="25"/>
  <c r="K1736" i="25" s="1"/>
  <c r="E346" i="25"/>
  <c r="K346" i="25" s="1"/>
  <c r="E1777" i="25"/>
  <c r="K1777" i="25" s="1"/>
  <c r="G31" i="5" a="1"/>
  <c r="G31" i="5" s="1"/>
  <c r="H31" i="5" s="1"/>
  <c r="E473" i="25"/>
  <c r="E429" i="25"/>
  <c r="E491" i="25"/>
  <c r="E447" i="25"/>
  <c r="E1719" i="25"/>
  <c r="K1719" i="25" s="1"/>
  <c r="E1677" i="25"/>
  <c r="K1677" i="25" s="1"/>
  <c r="E1885" i="25"/>
  <c r="K1885" i="25" s="1"/>
  <c r="E1843" i="25"/>
  <c r="K1843" i="25" s="1"/>
  <c r="E1801" i="25"/>
  <c r="K1801" i="25" s="1"/>
  <c r="E1759" i="25"/>
  <c r="K1759" i="25" s="1"/>
  <c r="E1864" i="25"/>
  <c r="K1864" i="25" s="1"/>
  <c r="E1822" i="25"/>
  <c r="K1822" i="25" s="1"/>
  <c r="E1780" i="25"/>
  <c r="K1780" i="25" s="1"/>
  <c r="E1635" i="25"/>
  <c r="K1635" i="25" s="1"/>
  <c r="E1739" i="25"/>
  <c r="K1739" i="25" s="1"/>
  <c r="E1698" i="25"/>
  <c r="K1698" i="25" s="1"/>
  <c r="E280" i="25"/>
  <c r="E30" i="25"/>
  <c r="K30" i="25" s="1"/>
  <c r="E37" i="25"/>
  <c r="E1656" i="25"/>
  <c r="K1656" i="25" s="1"/>
  <c r="E44" i="25"/>
  <c r="E1855" i="25"/>
  <c r="K1855" i="25" s="1"/>
  <c r="E1876" i="25"/>
  <c r="K1876" i="25" s="1"/>
  <c r="E1480" i="25"/>
  <c r="E1296" i="25"/>
  <c r="E1264" i="25"/>
  <c r="E1163" i="25"/>
  <c r="E951" i="25"/>
  <c r="E1718" i="25"/>
  <c r="K1718" i="25" s="1"/>
  <c r="E1676" i="25"/>
  <c r="K1676" i="25" s="1"/>
  <c r="E1578" i="25"/>
  <c r="E1425" i="25"/>
  <c r="E1363" i="25"/>
  <c r="E1505" i="25"/>
  <c r="E1474" i="25"/>
  <c r="E1376" i="25"/>
  <c r="E1189" i="25"/>
  <c r="E1157" i="25"/>
  <c r="E1058" i="25"/>
  <c r="E1884" i="25"/>
  <c r="K1884" i="25" s="1"/>
  <c r="E1842" i="25"/>
  <c r="K1842" i="25" s="1"/>
  <c r="E1800" i="25"/>
  <c r="K1800" i="25" s="1"/>
  <c r="E1758" i="25"/>
  <c r="K1758" i="25" s="1"/>
  <c r="E1738" i="25"/>
  <c r="K1738" i="25" s="1"/>
  <c r="E1401" i="25"/>
  <c r="E859" i="25"/>
  <c r="E1863" i="25"/>
  <c r="K1863" i="25" s="1"/>
  <c r="E1821" i="25"/>
  <c r="K1821" i="25" s="1"/>
  <c r="E1779" i="25"/>
  <c r="K1779" i="25" s="1"/>
  <c r="E1321" i="25"/>
  <c r="E1571" i="25"/>
  <c r="E1149" i="25"/>
  <c r="E1214" i="25"/>
  <c r="E1467" i="25"/>
  <c r="E850" i="25"/>
  <c r="E749" i="25"/>
  <c r="E1634" i="25"/>
  <c r="K1634" i="25" s="1"/>
  <c r="E1370" i="25"/>
  <c r="E77" i="25"/>
  <c r="E1582" i="25"/>
  <c r="E1529" i="25"/>
  <c r="E1655" i="25"/>
  <c r="K1655" i="25" s="1"/>
  <c r="E1270" i="25"/>
  <c r="E886" i="25"/>
  <c r="E785" i="25"/>
  <c r="E758" i="25"/>
  <c r="E1605" i="25"/>
  <c r="E1256" i="25"/>
  <c r="E1697" i="25"/>
  <c r="K1697" i="25" s="1"/>
  <c r="E1050" i="25"/>
  <c r="E959" i="25"/>
  <c r="E567" i="25"/>
  <c r="E588" i="25"/>
  <c r="E318" i="25"/>
  <c r="E298" i="25"/>
  <c r="E364" i="25"/>
  <c r="E344" i="25"/>
  <c r="E1832" i="25"/>
  <c r="K1832" i="25" s="1"/>
  <c r="E1811" i="25"/>
  <c r="K1811" i="25" s="1"/>
  <c r="E1813" i="25"/>
  <c r="K1813" i="25" s="1"/>
  <c r="E1834" i="25"/>
  <c r="K1834" i="25" s="1"/>
  <c r="E1874" i="25"/>
  <c r="K1874" i="25" s="1"/>
  <c r="E1853" i="25"/>
  <c r="K1853" i="25" s="1"/>
  <c r="E1643" i="25"/>
  <c r="E1664" i="25"/>
  <c r="K1664" i="25" s="1"/>
  <c r="K312" i="25"/>
  <c r="K492" i="25"/>
  <c r="K358" i="25"/>
  <c r="K584" i="25"/>
  <c r="L27" i="25"/>
  <c r="G43" i="5" s="1" a="1"/>
  <c r="G43" i="5" s="1"/>
  <c r="K337" i="25"/>
  <c r="K357" i="25"/>
  <c r="K338" i="25"/>
  <c r="K291" i="25"/>
  <c r="K430" i="25"/>
  <c r="K562" i="25"/>
  <c r="K311" i="25"/>
  <c r="K583" i="25"/>
  <c r="K448" i="25"/>
  <c r="C184" i="24"/>
  <c r="I184" i="24" s="1"/>
  <c r="C31" i="14"/>
  <c r="K437" i="25"/>
  <c r="K593" i="25"/>
  <c r="K481" i="25"/>
  <c r="K572" i="25"/>
  <c r="K714" i="25"/>
  <c r="K460" i="25"/>
  <c r="K153" i="25"/>
  <c r="K214" i="25"/>
  <c r="K499" i="25"/>
  <c r="K182" i="25"/>
  <c r="K275" i="25"/>
  <c r="K597" i="25"/>
  <c r="K147" i="25"/>
  <c r="K327" i="25"/>
  <c r="K242" i="25"/>
  <c r="K121" i="25"/>
  <c r="K268" i="25"/>
  <c r="K455" i="25"/>
  <c r="K373" i="25"/>
  <c r="K369" i="25"/>
  <c r="K349" i="25"/>
  <c r="K323" i="25"/>
  <c r="K504" i="25"/>
  <c r="K303" i="25"/>
  <c r="K208" i="25"/>
  <c r="I130" i="24"/>
  <c r="C138" i="24"/>
  <c r="I138" i="24" s="1"/>
  <c r="E2004" i="25" s="1"/>
  <c r="K2004" i="25" s="1"/>
  <c r="C159" i="24"/>
  <c r="I159" i="24" s="1"/>
  <c r="I133" i="24"/>
  <c r="E1985" i="25" s="1"/>
  <c r="K1985" i="25" s="1"/>
  <c r="C167" i="24"/>
  <c r="I167" i="24" s="1"/>
  <c r="C143" i="24"/>
  <c r="C151" i="24"/>
  <c r="I151" i="24" s="1"/>
  <c r="K757" i="25"/>
  <c r="K858" i="25"/>
  <c r="K958" i="25"/>
  <c r="K784" i="25"/>
  <c r="K885" i="25"/>
  <c r="K1057" i="25"/>
  <c r="K1375" i="25"/>
  <c r="K1400" i="25"/>
  <c r="K1473" i="25"/>
  <c r="K1369" i="25"/>
  <c r="K1295" i="25"/>
  <c r="K1188" i="25"/>
  <c r="K1156" i="25"/>
  <c r="K1479" i="25"/>
  <c r="K1504" i="25"/>
  <c r="K1162" i="25"/>
  <c r="K1263" i="25"/>
  <c r="K1269" i="25"/>
  <c r="K166" i="25"/>
  <c r="K253" i="25"/>
  <c r="K227" i="25"/>
  <c r="K193" i="25"/>
  <c r="K106" i="25"/>
  <c r="K132" i="25"/>
  <c r="K693" i="25"/>
  <c r="K667" i="25"/>
  <c r="K90" i="25"/>
  <c r="K64" i="25"/>
  <c r="K1471" i="25"/>
  <c r="T41" i="5" s="1"/>
  <c r="K1055" i="25"/>
  <c r="T37" i="5" s="1"/>
  <c r="K1261" i="25"/>
  <c r="T39" i="5" s="1"/>
  <c r="K856" i="25"/>
  <c r="T35" i="5" s="1"/>
  <c r="K1592" i="25"/>
  <c r="K1490" i="25"/>
  <c r="K733" i="25"/>
  <c r="K1308" i="25"/>
  <c r="K935" i="25"/>
  <c r="K1451" i="25"/>
  <c r="K1517" i="25"/>
  <c r="K1587" i="25"/>
  <c r="K1456" i="25"/>
  <c r="K1386" i="25"/>
  <c r="K1275" i="25"/>
  <c r="K889" i="25"/>
  <c r="K839" i="25"/>
  <c r="K1280" i="25"/>
  <c r="K1352" i="25"/>
  <c r="K1303" i="25"/>
  <c r="K1413" i="25"/>
  <c r="K1512" i="25"/>
  <c r="K793" i="25"/>
  <c r="K940" i="25"/>
  <c r="K738" i="25"/>
  <c r="K1555" i="25"/>
  <c r="K1201" i="25"/>
  <c r="K1196" i="25"/>
  <c r="K894" i="25"/>
  <c r="K1240" i="25"/>
  <c r="K1560" i="25"/>
  <c r="K1408" i="25"/>
  <c r="K1168" i="25"/>
  <c r="K1034" i="25"/>
  <c r="K1381" i="25"/>
  <c r="K1133" i="25"/>
  <c r="K1173" i="25"/>
  <c r="K1245" i="25"/>
  <c r="K1138" i="25"/>
  <c r="K1347" i="25"/>
  <c r="K60" i="25"/>
  <c r="K788" i="25"/>
  <c r="K87" i="25"/>
  <c r="K834" i="25"/>
  <c r="K1039" i="25"/>
  <c r="K1485" i="25"/>
  <c r="K1642" i="25"/>
  <c r="K1663" i="25"/>
  <c r="K1684" i="25"/>
  <c r="R4" i="5" s="1"/>
  <c r="K266" i="25"/>
  <c r="K240" i="25"/>
  <c r="K367" i="25"/>
  <c r="K119" i="25"/>
  <c r="K301" i="25"/>
  <c r="K180" i="25"/>
  <c r="K479" i="25"/>
  <c r="K709" i="25"/>
  <c r="K321" i="25"/>
  <c r="K497" i="25"/>
  <c r="K347" i="25"/>
  <c r="K680" i="25"/>
  <c r="K435" i="25"/>
  <c r="K453" i="25"/>
  <c r="K145" i="25"/>
  <c r="K570" i="25"/>
  <c r="K591" i="25"/>
  <c r="K206" i="25"/>
  <c r="K94" i="25"/>
  <c r="K69" i="25"/>
  <c r="K5" i="25"/>
  <c r="K12" i="25"/>
  <c r="K75" i="25"/>
  <c r="K4" i="25"/>
  <c r="K95" i="25"/>
  <c r="K11" i="25"/>
  <c r="K96" i="25"/>
  <c r="E582" i="25" l="1"/>
  <c r="K582" i="25" s="1"/>
  <c r="E408" i="25"/>
  <c r="K408" i="25" s="1"/>
  <c r="E382" i="25"/>
  <c r="K382" i="25" s="1"/>
  <c r="L404" i="25" s="1"/>
  <c r="E608" i="25"/>
  <c r="K608" i="25" s="1"/>
  <c r="E634" i="25"/>
  <c r="K634" i="25" s="1"/>
  <c r="E637" i="25"/>
  <c r="K637" i="25" s="1"/>
  <c r="E611" i="25"/>
  <c r="K611" i="25" s="1"/>
  <c r="T16" i="5"/>
  <c r="V56" i="5"/>
  <c r="V55" i="5"/>
  <c r="L424" i="25"/>
  <c r="U16" i="5"/>
  <c r="V58" i="5"/>
  <c r="L538" i="25"/>
  <c r="V57" i="5"/>
  <c r="L556" i="25"/>
  <c r="U5" i="5"/>
  <c r="T5" i="5"/>
  <c r="R26" i="5"/>
  <c r="E2034" i="25"/>
  <c r="K2034" i="25" s="1"/>
  <c r="E2063" i="25"/>
  <c r="K2063" i="25" s="1"/>
  <c r="K2366" i="25"/>
  <c r="H2366" i="25"/>
  <c r="E2243" i="25"/>
  <c r="K2243" i="25" s="1"/>
  <c r="R29" i="5" s="1"/>
  <c r="E2213" i="25"/>
  <c r="K2213" i="25" s="1"/>
  <c r="R28" i="5" s="1"/>
  <c r="E2123" i="25"/>
  <c r="K2123" i="25" s="1"/>
  <c r="E2093" i="25"/>
  <c r="K2093" i="25" s="1"/>
  <c r="E2106" i="25"/>
  <c r="K2106" i="25" s="1"/>
  <c r="V24" i="5" s="1"/>
  <c r="E2076" i="25"/>
  <c r="K2076" i="25" s="1"/>
  <c r="E2018" i="25"/>
  <c r="K2018" i="25" s="1"/>
  <c r="V21" i="5" s="1"/>
  <c r="E1988" i="25"/>
  <c r="K1988" i="25" s="1"/>
  <c r="L2001" i="25" s="1"/>
  <c r="E2196" i="25"/>
  <c r="K2196" i="25" s="1"/>
  <c r="L2209" i="25" s="1"/>
  <c r="G27" i="5" s="1" a="1"/>
  <c r="G27" i="5" s="1"/>
  <c r="E2166" i="25"/>
  <c r="K2166" i="25" s="1"/>
  <c r="L2179" i="25" s="1"/>
  <c r="G26" i="5" s="1" a="1"/>
  <c r="G26" i="5" s="1"/>
  <c r="E2047" i="25"/>
  <c r="K2047" i="25" s="1"/>
  <c r="V22" i="5" s="1"/>
  <c r="E2136" i="25"/>
  <c r="K2136" i="25" s="1"/>
  <c r="V25" i="5" s="1"/>
  <c r="E2256" i="25"/>
  <c r="K2256" i="25" s="1"/>
  <c r="V29" i="5" s="1"/>
  <c r="E2226" i="25"/>
  <c r="K2226" i="25" s="1"/>
  <c r="V28" i="5" s="1"/>
  <c r="E1907" i="25"/>
  <c r="K1907" i="25" s="1"/>
  <c r="V18" i="5" s="1"/>
  <c r="E1937" i="25"/>
  <c r="K1937" i="25" s="1"/>
  <c r="L1952" i="25" s="1"/>
  <c r="G19" i="5" s="1" a="1"/>
  <c r="G19" i="5" s="1"/>
  <c r="E1967" i="25"/>
  <c r="K1967" i="25" s="1"/>
  <c r="V20" i="5" s="1"/>
  <c r="H2367" i="25"/>
  <c r="K2367" i="25"/>
  <c r="E2122" i="25"/>
  <c r="K2122" i="25" s="1"/>
  <c r="E2092" i="25"/>
  <c r="K2092" i="25" s="1"/>
  <c r="V23" i="5"/>
  <c r="U33" i="5"/>
  <c r="R40" i="5"/>
  <c r="V44" i="5"/>
  <c r="V90" i="5"/>
  <c r="R13" i="5"/>
  <c r="R41" i="5"/>
  <c r="R34" i="5"/>
  <c r="U32" i="5"/>
  <c r="R37" i="5"/>
  <c r="R38" i="5"/>
  <c r="R12" i="5"/>
  <c r="L2361" i="25"/>
  <c r="G92" i="5" s="1" a="1"/>
  <c r="G92" i="5" s="1"/>
  <c r="K92" i="5" s="1"/>
  <c r="V92" i="5"/>
  <c r="R36" i="5"/>
  <c r="R35" i="5"/>
  <c r="R39" i="5"/>
  <c r="R3" i="5"/>
  <c r="I143" i="24"/>
  <c r="E2005" i="25" s="1"/>
  <c r="K2005" i="25" s="1"/>
  <c r="C148" i="24"/>
  <c r="I148" i="24" s="1"/>
  <c r="E2006" i="25" s="1"/>
  <c r="K2006" i="25" s="1"/>
  <c r="E356" i="25"/>
  <c r="K356" i="25" s="1"/>
  <c r="E561" i="25"/>
  <c r="K561" i="25" s="1"/>
  <c r="E1692" i="25"/>
  <c r="K1692" i="25" s="1"/>
  <c r="V6" i="5" s="1"/>
  <c r="E1546" i="25"/>
  <c r="K1546" i="25" s="1"/>
  <c r="E133" i="25"/>
  <c r="K133" i="25" s="1"/>
  <c r="E136" i="25"/>
  <c r="K136" i="25" s="1"/>
  <c r="E1733" i="25"/>
  <c r="K1733" i="25" s="1"/>
  <c r="V8" i="5" s="1"/>
  <c r="E1338" i="25"/>
  <c r="K1338" i="25" s="1"/>
  <c r="E197" i="25"/>
  <c r="K197" i="25" s="1"/>
  <c r="E825" i="25"/>
  <c r="K825" i="25" s="1"/>
  <c r="E926" i="25"/>
  <c r="K926" i="25" s="1"/>
  <c r="E172" i="25"/>
  <c r="K172" i="25" s="1"/>
  <c r="E1858" i="25"/>
  <c r="K1858" i="25" s="1"/>
  <c r="V14" i="5" s="1"/>
  <c r="E1025" i="25"/>
  <c r="K1025" i="25" s="1"/>
  <c r="E194" i="25"/>
  <c r="K194" i="25" s="1"/>
  <c r="E167" i="25"/>
  <c r="K167" i="25" s="1"/>
  <c r="E231" i="25"/>
  <c r="K231" i="25" s="1"/>
  <c r="E1816" i="25"/>
  <c r="K1816" i="25" s="1"/>
  <c r="V12" i="5" s="1"/>
  <c r="E697" i="25"/>
  <c r="K697" i="25" s="1"/>
  <c r="E1753" i="25"/>
  <c r="K1753" i="25" s="1"/>
  <c r="V9" i="5" s="1"/>
  <c r="E1774" i="25"/>
  <c r="K1774" i="25" s="1"/>
  <c r="V10" i="5" s="1"/>
  <c r="E694" i="25"/>
  <c r="K694" i="25" s="1"/>
  <c r="E1795" i="25"/>
  <c r="K1795" i="25" s="1"/>
  <c r="V11" i="5" s="1"/>
  <c r="E1442" i="25"/>
  <c r="K1442" i="25" s="1"/>
  <c r="E668" i="25"/>
  <c r="K668" i="25" s="1"/>
  <c r="E1650" i="25"/>
  <c r="K1650" i="25" s="1"/>
  <c r="V3" i="5" s="1"/>
  <c r="E1879" i="25"/>
  <c r="K1879" i="25" s="1"/>
  <c r="V15" i="5" s="1"/>
  <c r="E110" i="25"/>
  <c r="K110" i="25" s="1"/>
  <c r="E1124" i="25"/>
  <c r="K1124" i="25" s="1"/>
  <c r="E1622" i="25"/>
  <c r="K1622" i="25" s="1"/>
  <c r="E228" i="25"/>
  <c r="K228" i="25" s="1"/>
  <c r="E1629" i="25"/>
  <c r="K1629" i="25" s="1"/>
  <c r="V2" i="5" s="1"/>
  <c r="E107" i="25"/>
  <c r="K107" i="25" s="1"/>
  <c r="E257" i="25"/>
  <c r="K257" i="25" s="1"/>
  <c r="E671" i="25"/>
  <c r="K671" i="25" s="1"/>
  <c r="E254" i="25"/>
  <c r="K254" i="25" s="1"/>
  <c r="E80" i="25"/>
  <c r="K80" i="25" s="1"/>
  <c r="E1713" i="25"/>
  <c r="K1713" i="25" s="1"/>
  <c r="V7" i="5" s="1"/>
  <c r="E1837" i="25"/>
  <c r="K1837" i="25" s="1"/>
  <c r="V13" i="5" s="1"/>
  <c r="E1231" i="25"/>
  <c r="K1231" i="25" s="1"/>
  <c r="E1671" i="25"/>
  <c r="K1671" i="25" s="1"/>
  <c r="V4" i="5" s="1"/>
  <c r="E336" i="25"/>
  <c r="K336" i="25" s="1"/>
  <c r="E310" i="25"/>
  <c r="K310" i="25" s="1"/>
  <c r="E290" i="25"/>
  <c r="K290" i="25" s="1"/>
  <c r="E917" i="25"/>
  <c r="K917" i="25" s="1"/>
  <c r="E81" i="25"/>
  <c r="K81" i="25" s="1"/>
  <c r="E1613" i="25"/>
  <c r="K1613" i="25" s="1"/>
  <c r="E816" i="25"/>
  <c r="K816" i="25" s="1"/>
  <c r="E1537" i="25"/>
  <c r="K1537" i="25" s="1"/>
  <c r="E1329" i="25"/>
  <c r="K1329" i="25" s="1"/>
  <c r="E1016" i="25"/>
  <c r="K1016" i="25" s="1"/>
  <c r="E1222" i="25"/>
  <c r="K1222" i="25" s="1"/>
  <c r="E1115" i="25"/>
  <c r="K1115" i="25" s="1"/>
  <c r="E1433" i="25"/>
  <c r="K1433" i="25" s="1"/>
  <c r="E99" i="25"/>
  <c r="K99" i="25" s="1"/>
  <c r="E51" i="25"/>
  <c r="K51" i="25" s="1"/>
  <c r="E1708" i="25"/>
  <c r="K1708" i="25" s="1"/>
  <c r="E70" i="25"/>
  <c r="K70" i="25" s="1"/>
  <c r="R65" i="5" s="1"/>
  <c r="E1689" i="25"/>
  <c r="K1689" i="25" s="1"/>
  <c r="R6" i="5" s="1"/>
  <c r="E1790" i="25"/>
  <c r="K1790" i="25" s="1"/>
  <c r="E1769" i="25"/>
  <c r="K1769" i="25" s="1"/>
  <c r="E1749" i="25"/>
  <c r="K1749" i="25" s="1"/>
  <c r="E1729" i="25"/>
  <c r="K1729" i="25" s="1"/>
  <c r="E1875" i="25"/>
  <c r="K1875" i="25" s="1"/>
  <c r="R15" i="5" s="1"/>
  <c r="E1854" i="25"/>
  <c r="K1854" i="25" s="1"/>
  <c r="R14" i="5" s="1"/>
  <c r="E1791" i="25"/>
  <c r="K1791" i="25" s="1"/>
  <c r="E1770" i="25"/>
  <c r="K1770" i="25" s="1"/>
  <c r="K56" i="25"/>
  <c r="K318" i="25"/>
  <c r="K567" i="25"/>
  <c r="K588" i="25"/>
  <c r="K344" i="25"/>
  <c r="K364" i="25"/>
  <c r="K298" i="25"/>
  <c r="K447" i="25"/>
  <c r="K429" i="25"/>
  <c r="K491" i="25"/>
  <c r="K473" i="25"/>
  <c r="K1578" i="25"/>
  <c r="K749" i="25"/>
  <c r="K1189" i="25"/>
  <c r="K1363" i="25"/>
  <c r="K1505" i="25"/>
  <c r="K1401" i="25"/>
  <c r="K1571" i="25"/>
  <c r="K77" i="25"/>
  <c r="K1474" i="25"/>
  <c r="K1264" i="25"/>
  <c r="K859" i="25"/>
  <c r="K1157" i="25"/>
  <c r="K959" i="25"/>
  <c r="K1270" i="25"/>
  <c r="K758" i="25"/>
  <c r="K1296" i="25"/>
  <c r="K1425" i="25"/>
  <c r="K1050" i="25"/>
  <c r="K1321" i="25"/>
  <c r="K785" i="25"/>
  <c r="K1582" i="25"/>
  <c r="K1467" i="25"/>
  <c r="K1058" i="25"/>
  <c r="K1529" i="25"/>
  <c r="K1480" i="25"/>
  <c r="K951" i="25"/>
  <c r="K1256" i="25"/>
  <c r="K1214" i="25"/>
  <c r="K886" i="25"/>
  <c r="K850" i="25"/>
  <c r="K1605" i="25"/>
  <c r="K1376" i="25"/>
  <c r="K1370" i="25"/>
  <c r="K1163" i="25"/>
  <c r="K1149" i="25"/>
  <c r="K37" i="25"/>
  <c r="V45" i="5" s="1"/>
  <c r="K44" i="25"/>
  <c r="V46" i="5" s="1"/>
  <c r="K280" i="25"/>
  <c r="V17" i="5"/>
  <c r="K1643" i="25"/>
  <c r="R2" i="5" s="1"/>
  <c r="C156" i="24"/>
  <c r="I156" i="24" s="1"/>
  <c r="C164" i="24"/>
  <c r="I164" i="24" s="1"/>
  <c r="L13" i="25"/>
  <c r="G33" i="5" s="1" a="1"/>
  <c r="G33" i="5" s="1"/>
  <c r="K61" i="25"/>
  <c r="Q65" i="5" s="1"/>
  <c r="L6" i="25"/>
  <c r="G32" i="5" s="1" a="1"/>
  <c r="G32" i="5" s="1"/>
  <c r="R5" i="5" l="1"/>
  <c r="V48" i="5"/>
  <c r="V54" i="5"/>
  <c r="L662" i="25"/>
  <c r="V53" i="5"/>
  <c r="L628" i="25"/>
  <c r="V52" i="5"/>
  <c r="V5" i="5"/>
  <c r="V51" i="5"/>
  <c r="V49" i="5"/>
  <c r="V50" i="5"/>
  <c r="V16" i="5"/>
  <c r="L1922" i="25"/>
  <c r="G18" i="5" s="1" a="1"/>
  <c r="G18" i="5" s="1"/>
  <c r="J18" i="5" s="1"/>
  <c r="V19" i="5"/>
  <c r="J19" i="5" s="1"/>
  <c r="V27" i="5"/>
  <c r="P27" i="5" s="1"/>
  <c r="L2239" i="25"/>
  <c r="G28" i="5" s="1" a="1"/>
  <c r="G28" i="5" s="1"/>
  <c r="M28" i="5" s="1"/>
  <c r="V26" i="5"/>
  <c r="J26" i="5" s="1"/>
  <c r="E1709" i="25"/>
  <c r="K1709" i="25" s="1"/>
  <c r="L1982" i="25"/>
  <c r="G20" i="5" s="1" a="1"/>
  <c r="G20" i="5" s="1"/>
  <c r="M20" i="5" s="1"/>
  <c r="R21" i="5"/>
  <c r="L2269" i="25"/>
  <c r="G29" i="5" s="1" a="1"/>
  <c r="G29" i="5" s="1"/>
  <c r="K29" i="5" s="1"/>
  <c r="E2064" i="25"/>
  <c r="K2064" i="25" s="1"/>
  <c r="L2089" i="25" s="1"/>
  <c r="G23" i="5" s="1" a="1"/>
  <c r="G23" i="5" s="1"/>
  <c r="O23" i="5" s="1"/>
  <c r="E2035" i="25"/>
  <c r="K2035" i="25" s="1"/>
  <c r="L2060" i="25" s="1"/>
  <c r="G22" i="5" s="1" a="1"/>
  <c r="G22" i="5" s="1"/>
  <c r="H22" i="5" s="1"/>
  <c r="E2124" i="25"/>
  <c r="K2124" i="25" s="1"/>
  <c r="L2149" i="25" s="1"/>
  <c r="G25" i="5" s="1" a="1"/>
  <c r="G25" i="5" s="1"/>
  <c r="K25" i="5" s="1"/>
  <c r="E2094" i="25"/>
  <c r="K2094" i="25" s="1"/>
  <c r="L2119" i="25" s="1"/>
  <c r="G24" i="5" s="1" a="1"/>
  <c r="G24" i="5" s="1"/>
  <c r="L2031" i="25"/>
  <c r="G21" i="5" s="1" a="1"/>
  <c r="G21" i="5" s="1"/>
  <c r="K21" i="5" s="1"/>
  <c r="L2372" i="25"/>
  <c r="N27" i="5"/>
  <c r="L27" i="5"/>
  <c r="K27" i="5"/>
  <c r="O27" i="5"/>
  <c r="M27" i="5"/>
  <c r="H27" i="5"/>
  <c r="L19" i="5"/>
  <c r="N19" i="5"/>
  <c r="M19" i="5"/>
  <c r="K19" i="5"/>
  <c r="O19" i="5"/>
  <c r="H19" i="5"/>
  <c r="N26" i="5"/>
  <c r="M26" i="5"/>
  <c r="O26" i="5"/>
  <c r="L26" i="5"/>
  <c r="K26" i="5"/>
  <c r="H26" i="5"/>
  <c r="V47" i="5"/>
  <c r="P92" i="5"/>
  <c r="N92" i="5"/>
  <c r="H92" i="5"/>
  <c r="O92" i="5"/>
  <c r="J92" i="5"/>
  <c r="L92" i="5"/>
  <c r="M92" i="5"/>
  <c r="L1892" i="25"/>
  <c r="G15" i="5" s="1" a="1"/>
  <c r="G15" i="5" s="1"/>
  <c r="E1710" i="25"/>
  <c r="K1710" i="25" s="1"/>
  <c r="R7" i="5" s="1"/>
  <c r="L41" i="25"/>
  <c r="G45" i="5" s="1" a="1"/>
  <c r="G45" i="5" s="1"/>
  <c r="E1771" i="25"/>
  <c r="K1771" i="25" s="1"/>
  <c r="R10" i="5" s="1"/>
  <c r="E1792" i="25"/>
  <c r="K1792" i="25" s="1"/>
  <c r="R11" i="5" s="1"/>
  <c r="E1730" i="25"/>
  <c r="K1730" i="25" s="1"/>
  <c r="R8" i="5" s="1"/>
  <c r="E1750" i="25"/>
  <c r="K1750" i="25" s="1"/>
  <c r="R9" i="5" s="1"/>
  <c r="L1665" i="25"/>
  <c r="L1686" i="25"/>
  <c r="L2285" i="25"/>
  <c r="L2281" i="25"/>
  <c r="G90" i="5" s="1" a="1"/>
  <c r="G90" i="5" s="1"/>
  <c r="L34" i="25"/>
  <c r="G44" i="5" s="1" a="1"/>
  <c r="G44" i="5" s="1"/>
  <c r="G17" i="5" a="1"/>
  <c r="G17" i="5" s="1"/>
  <c r="L1829" i="25"/>
  <c r="G12" i="5" s="1" a="1"/>
  <c r="G12" i="5" s="1"/>
  <c r="L1705" i="25"/>
  <c r="L1850" i="25"/>
  <c r="G13" i="5" s="1" a="1"/>
  <c r="G13" i="5" s="1"/>
  <c r="L48" i="25"/>
  <c r="G46" i="5" s="1" a="1"/>
  <c r="G46" i="5" s="1"/>
  <c r="L1644" i="25"/>
  <c r="M43" i="5"/>
  <c r="K1367" i="25"/>
  <c r="T40" i="5" s="1"/>
  <c r="K956" i="25"/>
  <c r="T36" i="5" s="1"/>
  <c r="K755" i="25"/>
  <c r="T34" i="5" s="1"/>
  <c r="K1575" i="25"/>
  <c r="T42" i="5" s="1"/>
  <c r="K1154" i="25"/>
  <c r="T38" i="5" s="1"/>
  <c r="O33" i="5"/>
  <c r="K818" i="25"/>
  <c r="V34" i="5" s="1"/>
  <c r="K919" i="25"/>
  <c r="V35" i="5" s="1"/>
  <c r="K1615" i="25"/>
  <c r="V42" i="5" s="1"/>
  <c r="K1533" i="25"/>
  <c r="K1018" i="25"/>
  <c r="V36" i="5" s="1"/>
  <c r="K1325" i="25"/>
  <c r="K1224" i="25"/>
  <c r="V38" i="5" s="1"/>
  <c r="K1218" i="25"/>
  <c r="K1117" i="25"/>
  <c r="V37" i="5" s="1"/>
  <c r="K1539" i="25"/>
  <c r="V41" i="5" s="1"/>
  <c r="K1331" i="25"/>
  <c r="V39" i="5" s="1"/>
  <c r="K1435" i="25"/>
  <c r="V40" i="5" s="1"/>
  <c r="K1609" i="25"/>
  <c r="K1429" i="25"/>
  <c r="R16" i="5" l="1"/>
  <c r="H18" i="5"/>
  <c r="P18" i="5"/>
  <c r="L18" i="5"/>
  <c r="O18" i="5"/>
  <c r="K18" i="5"/>
  <c r="N18" i="5"/>
  <c r="R23" i="5"/>
  <c r="L23" i="5" s="1"/>
  <c r="M18" i="5"/>
  <c r="P19" i="5"/>
  <c r="J27" i="5"/>
  <c r="P26" i="5"/>
  <c r="R24" i="5"/>
  <c r="L24" i="5" s="1"/>
  <c r="L28" i="5"/>
  <c r="J28" i="5"/>
  <c r="O28" i="5"/>
  <c r="P28" i="5"/>
  <c r="H28" i="5"/>
  <c r="K28" i="5"/>
  <c r="N28" i="5"/>
  <c r="R22" i="5"/>
  <c r="L22" i="5" s="1"/>
  <c r="H20" i="5"/>
  <c r="N20" i="5"/>
  <c r="H29" i="5"/>
  <c r="L29" i="5"/>
  <c r="K20" i="5"/>
  <c r="N25" i="5"/>
  <c r="R25" i="5"/>
  <c r="J25" i="5" s="1"/>
  <c r="P25" i="5"/>
  <c r="J20" i="5"/>
  <c r="O20" i="5"/>
  <c r="P20" i="5"/>
  <c r="L20" i="5"/>
  <c r="P29" i="5"/>
  <c r="J29" i="5"/>
  <c r="H23" i="5"/>
  <c r="J21" i="5"/>
  <c r="N23" i="5"/>
  <c r="O25" i="5"/>
  <c r="O29" i="5"/>
  <c r="M25" i="5"/>
  <c r="M29" i="5"/>
  <c r="H25" i="5"/>
  <c r="N29" i="5"/>
  <c r="O21" i="5"/>
  <c r="M21" i="5"/>
  <c r="P23" i="5"/>
  <c r="M23" i="5"/>
  <c r="L21" i="5"/>
  <c r="O24" i="5"/>
  <c r="M24" i="5"/>
  <c r="P24" i="5"/>
  <c r="N24" i="5"/>
  <c r="H24" i="5"/>
  <c r="K24" i="5"/>
  <c r="K22" i="5"/>
  <c r="K23" i="5"/>
  <c r="N22" i="5"/>
  <c r="N21" i="5"/>
  <c r="M22" i="5"/>
  <c r="P21" i="5"/>
  <c r="O22" i="5"/>
  <c r="H21" i="5"/>
  <c r="P22" i="5"/>
  <c r="G6" i="5" a="1"/>
  <c r="G6" i="5" s="1"/>
  <c r="H6" i="5" s="1"/>
  <c r="V91" i="5"/>
  <c r="G91" i="5" a="1"/>
  <c r="G91" i="5" s="1"/>
  <c r="E186" i="25"/>
  <c r="K186" i="25" s="1"/>
  <c r="E246" i="25"/>
  <c r="K246" i="25" s="1"/>
  <c r="E331" i="25"/>
  <c r="K331" i="25" s="1"/>
  <c r="E601" i="25"/>
  <c r="K601" i="25" s="1"/>
  <c r="E220" i="25"/>
  <c r="K220" i="25" s="1"/>
  <c r="E467" i="25"/>
  <c r="K467" i="25" s="1"/>
  <c r="E377" i="25"/>
  <c r="K377" i="25" s="1"/>
  <c r="E720" i="25"/>
  <c r="K720" i="25" s="1"/>
  <c r="E284" i="25"/>
  <c r="K284" i="25" s="1"/>
  <c r="E511" i="25"/>
  <c r="K511" i="25" s="1"/>
  <c r="E125" i="25"/>
  <c r="K125" i="25" s="1"/>
  <c r="E159" i="25"/>
  <c r="K159" i="25" s="1"/>
  <c r="E686" i="25"/>
  <c r="K686" i="25" s="1"/>
  <c r="E440" i="25"/>
  <c r="K440" i="25" s="1"/>
  <c r="E576" i="25"/>
  <c r="K576" i="25" s="1"/>
  <c r="E484" i="25"/>
  <c r="K484" i="25" s="1"/>
  <c r="E489" i="25"/>
  <c r="K489" i="25" s="1"/>
  <c r="E560" i="25"/>
  <c r="K560" i="25" s="1"/>
  <c r="E309" i="25"/>
  <c r="K309" i="25" s="1"/>
  <c r="E335" i="25"/>
  <c r="K335" i="25" s="1"/>
  <c r="E289" i="25"/>
  <c r="K289" i="25" s="1"/>
  <c r="E427" i="25"/>
  <c r="K427" i="25" s="1"/>
  <c r="E355" i="25"/>
  <c r="K355" i="25" s="1"/>
  <c r="E581" i="25"/>
  <c r="K581" i="25" s="1"/>
  <c r="E471" i="25"/>
  <c r="K471" i="25" s="1"/>
  <c r="E445" i="25"/>
  <c r="K445" i="25" s="1"/>
  <c r="E1614" i="25"/>
  <c r="K1614" i="25" s="1"/>
  <c r="Q42" i="5" s="1"/>
  <c r="E811" i="25"/>
  <c r="K811" i="25" s="1"/>
  <c r="E1107" i="25"/>
  <c r="K1107" i="25" s="1"/>
  <c r="E1434" i="25"/>
  <c r="K1434" i="25" s="1"/>
  <c r="Q40" i="5" s="1"/>
  <c r="E1538" i="25"/>
  <c r="K1538" i="25" s="1"/>
  <c r="Q41" i="5" s="1"/>
  <c r="E918" i="25"/>
  <c r="K918" i="25" s="1"/>
  <c r="E1223" i="25"/>
  <c r="K1223" i="25" s="1"/>
  <c r="Q38" i="5" s="1"/>
  <c r="E1011" i="25"/>
  <c r="K1011" i="25" s="1"/>
  <c r="E909" i="25"/>
  <c r="K909" i="25" s="1"/>
  <c r="E1008" i="25"/>
  <c r="K1008" i="25" s="1"/>
  <c r="E1330" i="25"/>
  <c r="K1330" i="25" s="1"/>
  <c r="Q39" i="5" s="1"/>
  <c r="E808" i="25"/>
  <c r="K808" i="25" s="1"/>
  <c r="E1017" i="25"/>
  <c r="K1017" i="25" s="1"/>
  <c r="E814" i="25"/>
  <c r="K814" i="25" s="1"/>
  <c r="E912" i="25"/>
  <c r="K912" i="25" s="1"/>
  <c r="E82" i="25"/>
  <c r="K82" i="25" s="1"/>
  <c r="Q66" i="5" s="1"/>
  <c r="E1014" i="25"/>
  <c r="K1014" i="25" s="1"/>
  <c r="E817" i="25"/>
  <c r="K817" i="25" s="1"/>
  <c r="E1110" i="25"/>
  <c r="K1110" i="25" s="1"/>
  <c r="E1113" i="25"/>
  <c r="K1113" i="25" s="1"/>
  <c r="E915" i="25"/>
  <c r="K915" i="25" s="1"/>
  <c r="E1116" i="25"/>
  <c r="K1116" i="25" s="1"/>
  <c r="E226" i="25"/>
  <c r="K226" i="25" s="1"/>
  <c r="S51" i="5" s="1"/>
  <c r="E131" i="25"/>
  <c r="K131" i="25" s="1"/>
  <c r="S48" i="5" s="1"/>
  <c r="E192" i="25"/>
  <c r="K192" i="25" s="1"/>
  <c r="S50" i="5" s="1"/>
  <c r="E165" i="25"/>
  <c r="K165" i="25" s="1"/>
  <c r="S49" i="5" s="1"/>
  <c r="E105" i="25"/>
  <c r="K105" i="25" s="1"/>
  <c r="S47" i="5" s="1"/>
  <c r="E252" i="25"/>
  <c r="K252" i="25" s="1"/>
  <c r="S52" i="5" s="1"/>
  <c r="E692" i="25"/>
  <c r="K692" i="25" s="1"/>
  <c r="E666" i="25"/>
  <c r="K666" i="25" s="1"/>
  <c r="E703" i="25"/>
  <c r="K703" i="25" s="1"/>
  <c r="E237" i="25"/>
  <c r="K237" i="25" s="1"/>
  <c r="E203" i="25"/>
  <c r="K203" i="25" s="1"/>
  <c r="E263" i="25"/>
  <c r="K263" i="25" s="1"/>
  <c r="E116" i="25"/>
  <c r="K116" i="25" s="1"/>
  <c r="E142" i="25"/>
  <c r="K142" i="25" s="1"/>
  <c r="E177" i="25"/>
  <c r="K177" i="25" s="1"/>
  <c r="E677" i="25"/>
  <c r="K677" i="25" s="1"/>
  <c r="E176" i="25"/>
  <c r="K176" i="25" s="1"/>
  <c r="E1106" i="25"/>
  <c r="E908" i="25"/>
  <c r="E810" i="25"/>
  <c r="E911" i="25"/>
  <c r="E1109" i="25"/>
  <c r="E1007" i="25"/>
  <c r="E1010" i="25"/>
  <c r="E807" i="25"/>
  <c r="E450" i="25"/>
  <c r="K450" i="25" s="1"/>
  <c r="E476" i="25"/>
  <c r="K476" i="25" s="1"/>
  <c r="E494" i="25"/>
  <c r="K494" i="25" s="1"/>
  <c r="E432" i="25"/>
  <c r="K432" i="25" s="1"/>
  <c r="E672" i="25"/>
  <c r="K672" i="25" s="1"/>
  <c r="E198" i="25"/>
  <c r="K198" i="25" s="1"/>
  <c r="E258" i="25"/>
  <c r="K258" i="25" s="1"/>
  <c r="E698" i="25"/>
  <c r="K698" i="25" s="1"/>
  <c r="E137" i="25"/>
  <c r="K137" i="25" s="1"/>
  <c r="E168" i="25"/>
  <c r="K168" i="25" s="1"/>
  <c r="E232" i="25"/>
  <c r="K232" i="25" s="1"/>
  <c r="E111" i="25"/>
  <c r="K111" i="25" s="1"/>
  <c r="E52" i="25"/>
  <c r="K52" i="25" s="1"/>
  <c r="E100" i="25"/>
  <c r="K100" i="25" s="1"/>
  <c r="E665" i="25"/>
  <c r="K665" i="25" s="1"/>
  <c r="E251" i="25"/>
  <c r="K251" i="25" s="1"/>
  <c r="E691" i="25"/>
  <c r="K691" i="25" s="1"/>
  <c r="E164" i="25"/>
  <c r="K164" i="25" s="1"/>
  <c r="E130" i="25"/>
  <c r="K130" i="25" s="1"/>
  <c r="E191" i="25"/>
  <c r="K191" i="25" s="1"/>
  <c r="E225" i="25"/>
  <c r="K225" i="25" s="1"/>
  <c r="E104" i="25"/>
  <c r="K104" i="25" s="1"/>
  <c r="E360" i="25"/>
  <c r="K360" i="25" s="1"/>
  <c r="E314" i="25"/>
  <c r="K314" i="25" s="1"/>
  <c r="E340" i="25"/>
  <c r="K340" i="25" s="1"/>
  <c r="E294" i="25"/>
  <c r="K294" i="25" s="1"/>
  <c r="E339" i="25"/>
  <c r="K339" i="25" s="1"/>
  <c r="E359" i="25"/>
  <c r="K359" i="25" s="1"/>
  <c r="E293" i="25"/>
  <c r="K293" i="25" s="1"/>
  <c r="E313" i="25"/>
  <c r="K313" i="25" s="1"/>
  <c r="E451" i="25"/>
  <c r="K451" i="25" s="1"/>
  <c r="E495" i="25"/>
  <c r="K495" i="25" s="1"/>
  <c r="E477" i="25"/>
  <c r="K477" i="25" s="1"/>
  <c r="E433" i="25"/>
  <c r="K433" i="25" s="1"/>
  <c r="K12" i="5"/>
  <c r="G3" i="5" a="1"/>
  <c r="G3" i="5" s="1"/>
  <c r="L90" i="5"/>
  <c r="N17" i="5"/>
  <c r="G4" i="5" a="1"/>
  <c r="G4" i="5" s="1"/>
  <c r="G2" i="5" a="1"/>
  <c r="G2" i="5" s="1"/>
  <c r="P46" i="5"/>
  <c r="H45" i="5"/>
  <c r="H44" i="5"/>
  <c r="P13" i="5"/>
  <c r="L13" i="5"/>
  <c r="H13" i="5"/>
  <c r="N13" i="5"/>
  <c r="N15" i="5"/>
  <c r="J13" i="5"/>
  <c r="M13" i="5"/>
  <c r="O13" i="5"/>
  <c r="K13" i="5"/>
  <c r="L1787" i="25"/>
  <c r="G10" i="5" s="1" a="1"/>
  <c r="G10" i="5" s="1"/>
  <c r="L1808" i="25"/>
  <c r="G11" i="5" s="1" a="1"/>
  <c r="G11" i="5" s="1"/>
  <c r="L1726" i="25"/>
  <c r="G7" i="5" s="1" a="1"/>
  <c r="G7" i="5" s="1"/>
  <c r="L1871" i="25"/>
  <c r="G14" i="5" s="1" a="1"/>
  <c r="G14" i="5" s="1"/>
  <c r="G89" i="5"/>
  <c r="K43" i="5"/>
  <c r="N43" i="5"/>
  <c r="P43" i="5"/>
  <c r="H43" i="5"/>
  <c r="L43" i="5"/>
  <c r="O43" i="5"/>
  <c r="K304" i="25"/>
  <c r="K209" i="25"/>
  <c r="Q50" i="5" s="1"/>
  <c r="K370" i="25"/>
  <c r="K438" i="25"/>
  <c r="K350" i="25"/>
  <c r="K148" i="25"/>
  <c r="Q48" i="5" s="1"/>
  <c r="K324" i="25"/>
  <c r="K183" i="25"/>
  <c r="K482" i="25"/>
  <c r="K683" i="25"/>
  <c r="K456" i="25"/>
  <c r="K122" i="25"/>
  <c r="K269" i="25"/>
  <c r="K707" i="25"/>
  <c r="K594" i="25"/>
  <c r="K500" i="25"/>
  <c r="K573" i="25"/>
  <c r="K243" i="25"/>
  <c r="N32" i="5"/>
  <c r="K32" i="5"/>
  <c r="J32" i="5"/>
  <c r="M32" i="5"/>
  <c r="P32" i="5"/>
  <c r="L32" i="5"/>
  <c r="H32" i="5"/>
  <c r="K57" i="25"/>
  <c r="V65" i="5" s="1"/>
  <c r="K74" i="25"/>
  <c r="J43" i="5"/>
  <c r="E58" i="25"/>
  <c r="O32" i="5"/>
  <c r="N33" i="5"/>
  <c r="H33" i="5"/>
  <c r="P33" i="5"/>
  <c r="K33" i="5"/>
  <c r="J33" i="5"/>
  <c r="M33" i="5"/>
  <c r="L33" i="5"/>
  <c r="Q52" i="5" l="1"/>
  <c r="U50" i="5"/>
  <c r="U52" i="5"/>
  <c r="U51" i="5"/>
  <c r="Q49" i="5"/>
  <c r="Q51" i="5"/>
  <c r="G5" i="5"/>
  <c r="J5" i="5" s="1"/>
  <c r="U48" i="5"/>
  <c r="U49" i="5"/>
  <c r="J23" i="5"/>
  <c r="J24" i="5"/>
  <c r="K1230" i="25"/>
  <c r="U38" i="5" s="1"/>
  <c r="J22" i="5"/>
  <c r="L25" i="5"/>
  <c r="Q47" i="5"/>
  <c r="O6" i="5"/>
  <c r="J6" i="5"/>
  <c r="P6" i="5"/>
  <c r="K6" i="5"/>
  <c r="M6" i="5"/>
  <c r="L6" i="5"/>
  <c r="N6" i="5"/>
  <c r="J2" i="5"/>
  <c r="N3" i="5"/>
  <c r="Q34" i="5"/>
  <c r="Q37" i="5"/>
  <c r="H91" i="5"/>
  <c r="M91" i="5"/>
  <c r="J91" i="5"/>
  <c r="L91" i="5"/>
  <c r="N91" i="5"/>
  <c r="K91" i="5"/>
  <c r="O91" i="5"/>
  <c r="U47" i="5"/>
  <c r="Q35" i="5"/>
  <c r="Q36" i="5"/>
  <c r="P91" i="5"/>
  <c r="K4" i="5"/>
  <c r="H4" i="5"/>
  <c r="K1441" i="25"/>
  <c r="U40" i="5" s="1"/>
  <c r="K1545" i="25"/>
  <c r="U41" i="5" s="1"/>
  <c r="K1337" i="25"/>
  <c r="U39" i="5" s="1"/>
  <c r="P90" i="5"/>
  <c r="O90" i="5"/>
  <c r="M46" i="5"/>
  <c r="K90" i="5"/>
  <c r="O2" i="5"/>
  <c r="K3" i="5"/>
  <c r="M2" i="5"/>
  <c r="K2" i="5"/>
  <c r="J90" i="5"/>
  <c r="O12" i="5"/>
  <c r="N90" i="5"/>
  <c r="M3" i="5"/>
  <c r="L12" i="5"/>
  <c r="H12" i="5"/>
  <c r="P4" i="5"/>
  <c r="P2" i="5"/>
  <c r="M12" i="5"/>
  <c r="P12" i="5"/>
  <c r="L2" i="5"/>
  <c r="N12" i="5"/>
  <c r="M17" i="5"/>
  <c r="J46" i="5"/>
  <c r="P45" i="5"/>
  <c r="N46" i="5"/>
  <c r="N4" i="5"/>
  <c r="M90" i="5"/>
  <c r="O45" i="5"/>
  <c r="L45" i="5"/>
  <c r="N45" i="5"/>
  <c r="N2" i="5"/>
  <c r="O17" i="5"/>
  <c r="L46" i="5"/>
  <c r="H46" i="5"/>
  <c r="J4" i="5"/>
  <c r="H3" i="5"/>
  <c r="K45" i="5"/>
  <c r="L17" i="5"/>
  <c r="O46" i="5"/>
  <c r="M4" i="5"/>
  <c r="J3" i="5"/>
  <c r="H2" i="5"/>
  <c r="M11" i="5"/>
  <c r="K17" i="5"/>
  <c r="J44" i="5"/>
  <c r="O4" i="5"/>
  <c r="O3" i="5"/>
  <c r="M44" i="5"/>
  <c r="H90" i="5"/>
  <c r="N44" i="5"/>
  <c r="H17" i="5"/>
  <c r="P17" i="5"/>
  <c r="P44" i="5"/>
  <c r="K44" i="5"/>
  <c r="L4" i="5"/>
  <c r="P3" i="5"/>
  <c r="J45" i="5"/>
  <c r="L3" i="5"/>
  <c r="L44" i="5"/>
  <c r="J12" i="5"/>
  <c r="O44" i="5"/>
  <c r="M45" i="5"/>
  <c r="K46" i="5"/>
  <c r="K1621" i="25"/>
  <c r="L14" i="5"/>
  <c r="L7" i="5"/>
  <c r="M15" i="5"/>
  <c r="H15" i="5"/>
  <c r="J15" i="5"/>
  <c r="L15" i="5"/>
  <c r="O15" i="5"/>
  <c r="P15" i="5"/>
  <c r="J7" i="5"/>
  <c r="K15" i="5"/>
  <c r="L10" i="5"/>
  <c r="M10" i="5"/>
  <c r="P10" i="5"/>
  <c r="N10" i="5"/>
  <c r="L1766" i="25"/>
  <c r="G9" i="5" s="1" a="1"/>
  <c r="G9" i="5" s="1"/>
  <c r="N7" i="5"/>
  <c r="H7" i="5"/>
  <c r="M7" i="5"/>
  <c r="K7" i="5"/>
  <c r="H10" i="5"/>
  <c r="P7" i="5"/>
  <c r="L1746" i="25"/>
  <c r="G8" i="5" s="1" a="1"/>
  <c r="G8" i="5" s="1"/>
  <c r="K10" i="5"/>
  <c r="O10" i="5"/>
  <c r="O7" i="5"/>
  <c r="O14" i="5"/>
  <c r="J14" i="5"/>
  <c r="K14" i="5"/>
  <c r="N14" i="5"/>
  <c r="M14" i="5"/>
  <c r="P14" i="5"/>
  <c r="H14" i="5"/>
  <c r="H88" i="5"/>
  <c r="H86" i="5"/>
  <c r="H87" i="5"/>
  <c r="H89" i="5"/>
  <c r="L688" i="25"/>
  <c r="L577" i="25"/>
  <c r="L127" i="25"/>
  <c r="G47" i="5" s="1" a="1"/>
  <c r="G47" i="5" s="1"/>
  <c r="L512" i="25"/>
  <c r="K911" i="25"/>
  <c r="K1007" i="25"/>
  <c r="K1106" i="25"/>
  <c r="K908" i="25"/>
  <c r="K1010" i="25"/>
  <c r="K807" i="25"/>
  <c r="K1109" i="25"/>
  <c r="K810" i="25"/>
  <c r="L486" i="25"/>
  <c r="L378" i="25"/>
  <c r="L306" i="25"/>
  <c r="L188" i="25"/>
  <c r="G49" i="5" s="1" a="1"/>
  <c r="G49" i="5" s="1"/>
  <c r="L602" i="25"/>
  <c r="L442" i="25"/>
  <c r="L222" i="25"/>
  <c r="G50" i="5" s="1" a="1"/>
  <c r="G50" i="5" s="1"/>
  <c r="L161" i="25"/>
  <c r="G48" i="5" s="1" a="1"/>
  <c r="G48" i="5" s="1"/>
  <c r="L286" i="25"/>
  <c r="G52" i="5" s="1" a="1"/>
  <c r="G52" i="5" s="1"/>
  <c r="L332" i="25"/>
  <c r="L468" i="25"/>
  <c r="L248" i="25"/>
  <c r="G51" i="5" s="1" a="1"/>
  <c r="G51" i="5" s="1"/>
  <c r="K58" i="25"/>
  <c r="L352" i="25"/>
  <c r="L722" i="25"/>
  <c r="O5" i="5" l="1"/>
  <c r="N5" i="5"/>
  <c r="P5" i="5"/>
  <c r="L5" i="5"/>
  <c r="K5" i="5"/>
  <c r="M5" i="5"/>
  <c r="H5" i="5"/>
  <c r="G16" i="5"/>
  <c r="H16" i="5" s="1"/>
  <c r="G55" i="5" a="1"/>
  <c r="G55" i="5" s="1"/>
  <c r="L1623" i="25"/>
  <c r="G42" i="5" s="1" a="1"/>
  <c r="G42" i="5" s="1"/>
  <c r="U42" i="5"/>
  <c r="E86" i="25"/>
  <c r="E59" i="25"/>
  <c r="G56" i="5" a="1"/>
  <c r="G56" i="5" s="1"/>
  <c r="G58" i="5" a="1"/>
  <c r="G58" i="5" s="1"/>
  <c r="G57" i="5" a="1"/>
  <c r="G57" i="5" s="1"/>
  <c r="P11" i="5"/>
  <c r="O11" i="5"/>
  <c r="K11" i="5"/>
  <c r="H11" i="5"/>
  <c r="N49" i="5"/>
  <c r="O50" i="5"/>
  <c r="N11" i="5"/>
  <c r="K9" i="5"/>
  <c r="L11" i="5"/>
  <c r="K76" i="25"/>
  <c r="V66" i="5" s="1"/>
  <c r="J10" i="5"/>
  <c r="J11" i="5"/>
  <c r="L8" i="5"/>
  <c r="P8" i="5"/>
  <c r="J8" i="5"/>
  <c r="K8" i="5"/>
  <c r="H8" i="5"/>
  <c r="N8" i="5"/>
  <c r="O8" i="5"/>
  <c r="M8" i="5"/>
  <c r="L725" i="25"/>
  <c r="G64" i="5" s="1" a="1"/>
  <c r="G64" i="5" s="1"/>
  <c r="K51" i="5"/>
  <c r="L1547" i="25"/>
  <c r="O52" i="5"/>
  <c r="N52" i="5"/>
  <c r="L52" i="5"/>
  <c r="H52" i="5"/>
  <c r="J52" i="5"/>
  <c r="P52" i="5"/>
  <c r="L1232" i="25"/>
  <c r="G38" i="5" s="1" a="1"/>
  <c r="G38" i="5" s="1"/>
  <c r="M51" i="5"/>
  <c r="G53" i="5" a="1"/>
  <c r="G53" i="5" s="1"/>
  <c r="K47" i="5"/>
  <c r="H73" i="5"/>
  <c r="H70" i="5"/>
  <c r="H77" i="5"/>
  <c r="K97" i="25"/>
  <c r="H76" i="5"/>
  <c r="H75" i="5"/>
  <c r="H72" i="5"/>
  <c r="K98" i="25"/>
  <c r="H74" i="5"/>
  <c r="H71" i="5"/>
  <c r="M52" i="5"/>
  <c r="G54" i="5" a="1"/>
  <c r="G54" i="5" s="1"/>
  <c r="K48" i="5"/>
  <c r="O51" i="5"/>
  <c r="L1339" i="25"/>
  <c r="G39" i="5" s="1" a="1"/>
  <c r="G39" i="5" s="1"/>
  <c r="H51" i="5"/>
  <c r="J51" i="5"/>
  <c r="L51" i="5"/>
  <c r="N51" i="5"/>
  <c r="P51" i="5"/>
  <c r="L1443" i="25"/>
  <c r="G40" i="5" s="1" a="1"/>
  <c r="G40" i="5" s="1"/>
  <c r="K52" i="5"/>
  <c r="L16" i="5" l="1"/>
  <c r="P16" i="5"/>
  <c r="O16" i="5"/>
  <c r="N16" i="5"/>
  <c r="J16" i="5"/>
  <c r="M16" i="5"/>
  <c r="K16" i="5"/>
  <c r="K53" i="5"/>
  <c r="L53" i="5"/>
  <c r="M53" i="5"/>
  <c r="P53" i="5"/>
  <c r="O53" i="5"/>
  <c r="N53" i="5"/>
  <c r="O54" i="5"/>
  <c r="N54" i="5"/>
  <c r="M54" i="5"/>
  <c r="L54" i="5"/>
  <c r="K54" i="5"/>
  <c r="P54" i="5"/>
  <c r="J50" i="5"/>
  <c r="K49" i="5"/>
  <c r="H50" i="5"/>
  <c r="N50" i="5"/>
  <c r="L50" i="5"/>
  <c r="H49" i="5"/>
  <c r="J49" i="5"/>
  <c r="L49" i="5"/>
  <c r="P50" i="5"/>
  <c r="G41" i="5" a="1"/>
  <c r="G41" i="5" s="1"/>
  <c r="K41" i="5" s="1"/>
  <c r="P9" i="5"/>
  <c r="H55" i="5"/>
  <c r="L9" i="5"/>
  <c r="N9" i="5"/>
  <c r="M9" i="5"/>
  <c r="K50" i="5"/>
  <c r="M50" i="5"/>
  <c r="P49" i="5"/>
  <c r="J9" i="5"/>
  <c r="M49" i="5"/>
  <c r="O49" i="5"/>
  <c r="H64" i="5"/>
  <c r="O9" i="5"/>
  <c r="H9" i="5"/>
  <c r="H56" i="5"/>
  <c r="M56" i="5"/>
  <c r="N56" i="5"/>
  <c r="L56" i="5"/>
  <c r="K56" i="5"/>
  <c r="P56" i="5"/>
  <c r="J56" i="5"/>
  <c r="O56" i="5"/>
  <c r="K58" i="5"/>
  <c r="N58" i="5"/>
  <c r="M58" i="5"/>
  <c r="L58" i="5"/>
  <c r="O58" i="5"/>
  <c r="P58" i="5"/>
  <c r="H58" i="5"/>
  <c r="J58" i="5"/>
  <c r="M57" i="5"/>
  <c r="J57" i="5"/>
  <c r="N57" i="5"/>
  <c r="H57" i="5"/>
  <c r="O57" i="5"/>
  <c r="K57" i="5"/>
  <c r="P57" i="5"/>
  <c r="L57" i="5"/>
  <c r="O47" i="5"/>
  <c r="O42" i="5"/>
  <c r="H42" i="5"/>
  <c r="J42" i="5"/>
  <c r="L42" i="5"/>
  <c r="M42" i="5"/>
  <c r="P42" i="5"/>
  <c r="K42" i="5"/>
  <c r="N42" i="5"/>
  <c r="M39" i="5"/>
  <c r="L39" i="5"/>
  <c r="H39" i="5"/>
  <c r="J39" i="5"/>
  <c r="N39" i="5"/>
  <c r="P39" i="5"/>
  <c r="K39" i="5"/>
  <c r="K59" i="25"/>
  <c r="K86" i="25"/>
  <c r="U66" i="5" s="1"/>
  <c r="O48" i="5"/>
  <c r="O40" i="5"/>
  <c r="O39" i="5"/>
  <c r="M40" i="5"/>
  <c r="L40" i="5"/>
  <c r="H40" i="5"/>
  <c r="J40" i="5"/>
  <c r="P40" i="5"/>
  <c r="K40" i="5"/>
  <c r="N40" i="5"/>
  <c r="N47" i="5"/>
  <c r="H47" i="5"/>
  <c r="L47" i="5"/>
  <c r="P47" i="5"/>
  <c r="J47" i="5"/>
  <c r="M47" i="5"/>
  <c r="J53" i="5"/>
  <c r="H53" i="5"/>
  <c r="J54" i="5"/>
  <c r="H54" i="5"/>
  <c r="H69" i="5"/>
  <c r="K93" i="25"/>
  <c r="S66" i="5" s="1"/>
  <c r="K67" i="25"/>
  <c r="S65" i="5" s="1"/>
  <c r="P38" i="5"/>
  <c r="J38" i="5"/>
  <c r="M38" i="5"/>
  <c r="H38" i="5"/>
  <c r="L38" i="5"/>
  <c r="K38" i="5"/>
  <c r="N38" i="5"/>
  <c r="L48" i="5"/>
  <c r="P48" i="5"/>
  <c r="J48" i="5"/>
  <c r="H48" i="5"/>
  <c r="N48" i="5"/>
  <c r="M48" i="5"/>
  <c r="K1112" i="25"/>
  <c r="K813" i="25"/>
  <c r="K824" i="25" s="1"/>
  <c r="L826" i="25" s="1"/>
  <c r="K914" i="25"/>
  <c r="K1013" i="25"/>
  <c r="O38" i="5"/>
  <c r="K1024" i="25" l="1"/>
  <c r="U36" i="5" s="1"/>
  <c r="K925" i="25"/>
  <c r="U35" i="5" s="1"/>
  <c r="G34" i="5" a="1"/>
  <c r="G34" i="5" s="1"/>
  <c r="K1123" i="25"/>
  <c r="U65" i="5" s="1"/>
  <c r="N55" i="5"/>
  <c r="K55" i="5"/>
  <c r="O41" i="5"/>
  <c r="M55" i="5"/>
  <c r="L41" i="5"/>
  <c r="M41" i="5"/>
  <c r="O55" i="5"/>
  <c r="N41" i="5"/>
  <c r="P41" i="5"/>
  <c r="J55" i="5"/>
  <c r="J41" i="5"/>
  <c r="P55" i="5"/>
  <c r="H41" i="5"/>
  <c r="L55" i="5"/>
  <c r="L71" i="25"/>
  <c r="G65" i="5" s="1" a="1"/>
  <c r="G65" i="5" s="1"/>
  <c r="L101" i="25"/>
  <c r="G66" i="5" s="1" a="1"/>
  <c r="G66" i="5" s="1"/>
  <c r="J65" i="5" l="1"/>
  <c r="K66" i="5"/>
  <c r="J66" i="5"/>
  <c r="U34" i="5"/>
  <c r="O34" i="5" s="1"/>
  <c r="U37" i="5"/>
  <c r="L1026" i="25"/>
  <c r="O65" i="5"/>
  <c r="M65" i="5"/>
  <c r="L65" i="5"/>
  <c r="N65" i="5"/>
  <c r="K65" i="5"/>
  <c r="P65" i="5"/>
  <c r="H65" i="5"/>
  <c r="M66" i="5"/>
  <c r="H66" i="5"/>
  <c r="L66" i="5"/>
  <c r="N66" i="5"/>
  <c r="P66" i="5"/>
  <c r="L927" i="25"/>
  <c r="G35" i="5" s="1" a="1"/>
  <c r="G35" i="5" s="1"/>
  <c r="H34" i="5"/>
  <c r="K34" i="5"/>
  <c r="N34" i="5"/>
  <c r="L34" i="5"/>
  <c r="P34" i="5"/>
  <c r="M34" i="5"/>
  <c r="O66" i="5"/>
  <c r="L1125" i="25"/>
  <c r="G37" i="5" s="1" a="1"/>
  <c r="G37" i="5" s="1"/>
  <c r="G36" i="5" l="1" a="1"/>
  <c r="G36" i="5" s="1"/>
  <c r="N36" i="5" s="1"/>
  <c r="J34" i="5"/>
  <c r="O35" i="5"/>
  <c r="N35" i="5"/>
  <c r="L35" i="5"/>
  <c r="K35" i="5"/>
  <c r="M35" i="5"/>
  <c r="J35" i="5"/>
  <c r="P35" i="5"/>
  <c r="H35" i="5"/>
  <c r="J37" i="5"/>
  <c r="M37" i="5"/>
  <c r="P37" i="5"/>
  <c r="L37" i="5"/>
  <c r="H37" i="5"/>
  <c r="N37" i="5"/>
  <c r="K37" i="5"/>
  <c r="O37" i="5"/>
  <c r="M36" i="5" l="1"/>
  <c r="J36" i="5"/>
  <c r="L36" i="5"/>
  <c r="H36" i="5"/>
  <c r="P36" i="5"/>
  <c r="O36" i="5"/>
  <c r="K36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Lise Jamieson</author>
  </authors>
  <commentList>
    <comment ref="I1" authorId="0" shapeId="0" xr:uid="{936B53ED-0476-43D0-857C-F2D715C022E1}">
      <text>
        <r>
          <rPr>
            <b/>
            <sz val="9"/>
            <color indexed="81"/>
            <rFont val="Tahoma"/>
            <family val="2"/>
          </rPr>
          <t>Lise Jamieson:</t>
        </r>
        <r>
          <rPr>
            <sz val="9"/>
            <color indexed="81"/>
            <rFont val="Tahoma"/>
            <family val="2"/>
          </rPr>
          <t xml:space="preserve">
Adjusted for inflation if cost year &lt; current year. 
Cost also incorporates equipment life years and scaling to a monthly cost (all optional)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Lise Jamieson</author>
  </authors>
  <commentList>
    <comment ref="F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Lise Jamieson:</t>
        </r>
        <r>
          <rPr>
            <sz val="9"/>
            <color indexed="81"/>
            <rFont val="Tahoma"/>
            <family val="2"/>
          </rPr>
          <t xml:space="preserve">
 Implies concurrent TB treatment – usually first line</t>
        </r>
      </text>
    </comment>
    <comment ref="E6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Lise Jamieson:</t>
        </r>
        <r>
          <rPr>
            <sz val="9"/>
            <color indexed="81"/>
            <rFont val="Tahoma"/>
            <family val="2"/>
          </rPr>
          <t xml:space="preserve">
Not per guidelines, TDF not prescribed &lt;10yrs, so assuming this is an outlier due to the small numbers, and removed</t>
        </r>
      </text>
    </comment>
    <comment ref="G7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Lise Jamieson:</t>
        </r>
        <r>
          <rPr>
            <sz val="9"/>
            <color indexed="81"/>
            <rFont val="Tahoma"/>
            <family val="2"/>
          </rPr>
          <t xml:space="preserve">
Not per guidelines, TDF not prescribed &lt;10yrs, so assuming this is an outlier due to the small numbers, and removed</t>
        </r>
      </text>
    </comment>
    <comment ref="F10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Lise Jamieson:</t>
        </r>
        <r>
          <rPr>
            <sz val="9"/>
            <color indexed="81"/>
            <rFont val="Tahoma"/>
            <family val="2"/>
          </rPr>
          <t xml:space="preserve">
 Implies concurrent TB treatment – usually first line</t>
        </r>
      </text>
    </comment>
  </commentList>
</comments>
</file>

<file path=xl/sharedStrings.xml><?xml version="1.0" encoding="utf-8"?>
<sst xmlns="http://schemas.openxmlformats.org/spreadsheetml/2006/main" count="47763" uniqueCount="8221">
  <si>
    <t>Intervention</t>
  </si>
  <si>
    <t>Early infant male circumcision</t>
  </si>
  <si>
    <t>Condom distribution in non-traditional outlets (hotels; shops; malls)</t>
  </si>
  <si>
    <t>Post-Exposure Prophylaxis (PEP)</t>
  </si>
  <si>
    <t>Palliative care</t>
  </si>
  <si>
    <t>Inpatient care (pre-ART; &lt;200 cells/microl)</t>
  </si>
  <si>
    <t>Inpatient care (pre-ART; 200-349 cells/microl)</t>
  </si>
  <si>
    <t>Inpatient care (pre-ART; 350-500 cells/microl)</t>
  </si>
  <si>
    <t>Inpatient care (pre-ART; &gt;500 cells/microl)</t>
  </si>
  <si>
    <t>Inpatient care (ART; &lt;200 cells/microl)</t>
  </si>
  <si>
    <t>Inpatient care (ART; 200-349 cells/microl)</t>
  </si>
  <si>
    <t>Inpatient care (ART; 350-500 cells/microl)</t>
  </si>
  <si>
    <t>Inpatient care (ART; &gt;500 cells/microl)</t>
  </si>
  <si>
    <t>Number of adults on ART at CD4&lt;200</t>
  </si>
  <si>
    <t>Number of adults on ART at CD4 200-349</t>
  </si>
  <si>
    <t>Number of adults on ART at CD4 350-499</t>
  </si>
  <si>
    <t>Number of adults on ART at CD4&gt;=500</t>
  </si>
  <si>
    <t>Supply chain management reform 1: Stock Visibility Solution</t>
  </si>
  <si>
    <t>Supply chain management reform 2: Command Centre</t>
  </si>
  <si>
    <t>Supply chain management reform 3: Prov'l Control Tower</t>
  </si>
  <si>
    <t>Pharmacovigilance</t>
  </si>
  <si>
    <t>Consumables</t>
  </si>
  <si>
    <t>Description</t>
  </si>
  <si>
    <t>Cost Unit</t>
  </si>
  <si>
    <t>Cost Year</t>
  </si>
  <si>
    <t>Source</t>
  </si>
  <si>
    <t>Unit Cost</t>
  </si>
  <si>
    <t>Notes</t>
  </si>
  <si>
    <t>per pack</t>
  </si>
  <si>
    <t>Comfort packs</t>
  </si>
  <si>
    <t>RSA GF proposal</t>
  </si>
  <si>
    <t>Cotton wool swabs</t>
  </si>
  <si>
    <t>Disinfectant</t>
  </si>
  <si>
    <t>per 500ml</t>
  </si>
  <si>
    <t>Female condom</t>
  </si>
  <si>
    <t>per condom</t>
  </si>
  <si>
    <t>per pack 100</t>
  </si>
  <si>
    <t>per material</t>
  </si>
  <si>
    <t>per month</t>
  </si>
  <si>
    <t>IEC flyer</t>
  </si>
  <si>
    <t>Patient information</t>
  </si>
  <si>
    <t>IEC material (design, print, distribute)</t>
  </si>
  <si>
    <t>per sachet</t>
  </si>
  <si>
    <t>Male condom</t>
  </si>
  <si>
    <t>per bag</t>
  </si>
  <si>
    <t>Needle</t>
  </si>
  <si>
    <t>Rapid HIV test disposal</t>
  </si>
  <si>
    <t>per 5l container</t>
  </si>
  <si>
    <t>Staff</t>
  </si>
  <si>
    <t>per minute of staff time</t>
  </si>
  <si>
    <t>Area co-ordinator - BCC &amp; outreach</t>
  </si>
  <si>
    <t>Cleaner</t>
  </si>
  <si>
    <t>Clerk</t>
  </si>
  <si>
    <t>Community health worker</t>
  </si>
  <si>
    <t>Counsellor</t>
  </si>
  <si>
    <t>Data capturer</t>
  </si>
  <si>
    <t>Driver</t>
  </si>
  <si>
    <t>Monitoring &amp; Evaluation officer NGO</t>
  </si>
  <si>
    <t>Nurse midwife</t>
  </si>
  <si>
    <t>Peer motivator stipend</t>
  </si>
  <si>
    <t>Pharmacist</t>
  </si>
  <si>
    <t>PHC Nurse</t>
  </si>
  <si>
    <t>Professional Nurse</t>
  </si>
  <si>
    <t>Security Guard</t>
  </si>
  <si>
    <t>Social Worker</t>
  </si>
  <si>
    <t>Staff Nurse</t>
  </si>
  <si>
    <t>None</t>
  </si>
  <si>
    <t>Equipment</t>
  </si>
  <si>
    <t>Phone</t>
  </si>
  <si>
    <t>per phone</t>
  </si>
  <si>
    <t>Drugs</t>
  </si>
  <si>
    <t>per drug per month</t>
  </si>
  <si>
    <t>per child</t>
  </si>
  <si>
    <t>per mother</t>
  </si>
  <si>
    <t>Triple ART during pregnancy and breastfeeding</t>
  </si>
  <si>
    <t>Lab Tests</t>
  </si>
  <si>
    <t>per test</t>
  </si>
  <si>
    <t>ELISA</t>
  </si>
  <si>
    <t>HIV PCR</t>
  </si>
  <si>
    <t>HIV rapid test</t>
  </si>
  <si>
    <t>Average of supplier prices</t>
  </si>
  <si>
    <t>Overheads</t>
  </si>
  <si>
    <t>Distribution costs for non-traditional outlets (Female Condom)</t>
  </si>
  <si>
    <t>40% Markup</t>
  </si>
  <si>
    <t>per condom distributed</t>
  </si>
  <si>
    <t>Distribution costs for non-traditional outlets (Male Condom)</t>
  </si>
  <si>
    <t>Distribution Costs (Female Condom)</t>
  </si>
  <si>
    <t>20% Markup</t>
  </si>
  <si>
    <t>Distribution Costs (Male Condom)</t>
  </si>
  <si>
    <t>Electricity</t>
  </si>
  <si>
    <t>per square meter</t>
  </si>
  <si>
    <t>Estimate - HERO's Bills</t>
  </si>
  <si>
    <t>per km</t>
  </si>
  <si>
    <t>Ground travel</t>
  </si>
  <si>
    <t>Motor vehicle</t>
  </si>
  <si>
    <t>Patient forms - printing</t>
  </si>
  <si>
    <t>Data collection</t>
  </si>
  <si>
    <t>per form</t>
  </si>
  <si>
    <t>Space</t>
  </si>
  <si>
    <t>Rental Cost</t>
  </si>
  <si>
    <t>Transportation allowance - per month</t>
  </si>
  <si>
    <t>for peer educators/ peer motivators, CHWs</t>
  </si>
  <si>
    <t>per minute</t>
  </si>
  <si>
    <t>Training</t>
  </si>
  <si>
    <t>Area co-ordinator training</t>
  </si>
  <si>
    <t>CSW programme - 3 day</t>
  </si>
  <si>
    <t>pp trained</t>
  </si>
  <si>
    <t>2-day course CSW programme</t>
  </si>
  <si>
    <t>Peer motivator training</t>
  </si>
  <si>
    <t>CSW programme - 5-day</t>
  </si>
  <si>
    <t>Outreach</t>
  </si>
  <si>
    <t>Outreach workshop</t>
  </si>
  <si>
    <t>MMC</t>
  </si>
  <si>
    <t>Ingredient</t>
  </si>
  <si>
    <t>Cost Category</t>
  </si>
  <si>
    <t>Quantity</t>
  </si>
  <si>
    <t>Total Cost</t>
  </si>
  <si>
    <t>Unit</t>
  </si>
  <si>
    <t>per mother-baby pair</t>
  </si>
  <si>
    <t>ZoeLife</t>
  </si>
  <si>
    <t>RSA GF Proposal</t>
  </si>
  <si>
    <t>1% wastage + 30% confirmatory test</t>
  </si>
  <si>
    <t>2008 SAHIVSOC guidelines</t>
  </si>
  <si>
    <t>eg: Risk reduction workshops</t>
  </si>
  <si>
    <t>10 per month</t>
  </si>
  <si>
    <t>30 per month</t>
  </si>
  <si>
    <t>80% of CSWs get tested</t>
  </si>
  <si>
    <t>20 contacts pm per PM</t>
  </si>
  <si>
    <t>Training every 2 years</t>
  </si>
  <si>
    <t>Programme Area</t>
  </si>
  <si>
    <t>ART</t>
  </si>
  <si>
    <t>Ingredients</t>
  </si>
  <si>
    <t>Literature</t>
  </si>
  <si>
    <t>PREV</t>
  </si>
  <si>
    <t>PMTCT</t>
  </si>
  <si>
    <t>KP</t>
  </si>
  <si>
    <t>OTH</t>
  </si>
  <si>
    <t>ENB</t>
  </si>
  <si>
    <t>Costing method</t>
  </si>
  <si>
    <t>Note</t>
  </si>
  <si>
    <t>Final Unit Cost</t>
  </si>
  <si>
    <t>per patient</t>
  </si>
  <si>
    <t>ZAR</t>
  </si>
  <si>
    <t>per programme</t>
  </si>
  <si>
    <t>Pharmaceutical Services Unit</t>
  </si>
  <si>
    <t>NDoH 5-year pharmacovigilance plan (costing by Enoch Preprah)</t>
  </si>
  <si>
    <t>Year</t>
  </si>
  <si>
    <t>2015/16</t>
  </si>
  <si>
    <t>2016/17</t>
  </si>
  <si>
    <t>2017/18</t>
  </si>
  <si>
    <t>Staff costs</t>
  </si>
  <si>
    <t>This page provides the cost per minute for each staff type . Total monthly costs are calculated using publicly available sources (See bottom of this sheet). These are provided in Table 3. Then in Table 2 the total monthly cost is divided by the working minutes per year (which are calculated in Table 1) .</t>
  </si>
  <si>
    <t xml:space="preserve">Table1: Calculation of working minutes per year: </t>
  </si>
  <si>
    <t>Item</t>
  </si>
  <si>
    <t>Code</t>
  </si>
  <si>
    <t>Number</t>
  </si>
  <si>
    <t>Label in this tool</t>
  </si>
  <si>
    <t>Procedure days (4 out of 5 working days)</t>
  </si>
  <si>
    <t>weeks per year</t>
  </si>
  <si>
    <t>A</t>
  </si>
  <si>
    <t>N/A</t>
  </si>
  <si>
    <t>average weeks per month</t>
  </si>
  <si>
    <t>weekspermonth</t>
  </si>
  <si>
    <t>public holidays</t>
  </si>
  <si>
    <t>B</t>
  </si>
  <si>
    <t>annual leave days</t>
  </si>
  <si>
    <t>C</t>
  </si>
  <si>
    <t>Confirmed with CF - 9 May 2014</t>
  </si>
  <si>
    <t>average sick days per year</t>
  </si>
  <si>
    <t xml:space="preserve">D  </t>
  </si>
  <si>
    <t>working days per week</t>
  </si>
  <si>
    <t>E</t>
  </si>
  <si>
    <t>Nurses reported</t>
  </si>
  <si>
    <t>working hours per day</t>
  </si>
  <si>
    <t xml:space="preserve">F  </t>
  </si>
  <si>
    <t>workhoursperday</t>
  </si>
  <si>
    <t>Actual working days per year</t>
  </si>
  <si>
    <t>G = (A x E)-(B+C+D)</t>
  </si>
  <si>
    <t>workdaysperyear</t>
  </si>
  <si>
    <t>procdaysper year</t>
  </si>
  <si>
    <t>Actual working days per month</t>
  </si>
  <si>
    <t>H = G / 12</t>
  </si>
  <si>
    <t>workdayspermonth</t>
  </si>
  <si>
    <t>procdayspermonth</t>
  </si>
  <si>
    <t>Actual working days per week</t>
  </si>
  <si>
    <t>I = G / 52</t>
  </si>
  <si>
    <t>workdaysperweek</t>
  </si>
  <si>
    <t>procdaysperweek</t>
  </si>
  <si>
    <t>Actual working minutes per year</t>
  </si>
  <si>
    <t>J = G x F x 60</t>
  </si>
  <si>
    <t>Table 2: Calculating cost per minute</t>
  </si>
  <si>
    <t>Currency:</t>
  </si>
  <si>
    <t>Category</t>
  </si>
  <si>
    <t>Total monthly cost (average of grades below)</t>
  </si>
  <si>
    <t>Wage per minute</t>
  </si>
  <si>
    <t>Comment</t>
  </si>
  <si>
    <t>Enrolled nurse</t>
  </si>
  <si>
    <t>Table 3: Estimating total monthly cost</t>
  </si>
  <si>
    <t xml:space="preserve">Currency: </t>
  </si>
  <si>
    <t xml:space="preserve">Title </t>
  </si>
  <si>
    <t>Package is TCE or notch only?</t>
  </si>
  <si>
    <t>Salary Grade</t>
  </si>
  <si>
    <t>Employer paid benefits</t>
  </si>
  <si>
    <t>Bottom (notch 1)</t>
  </si>
  <si>
    <t>Top (Highest notch in grade (if applicable))</t>
  </si>
  <si>
    <t>Average</t>
  </si>
  <si>
    <t>Monthly</t>
  </si>
  <si>
    <t>Pension Fund</t>
  </si>
  <si>
    <t>Medical Aid</t>
  </si>
  <si>
    <t>Housing</t>
  </si>
  <si>
    <t>Service Bonus</t>
  </si>
  <si>
    <t>Total monthly cost</t>
  </si>
  <si>
    <t>13th cheque (divided by 12 to create monthly amount)</t>
  </si>
  <si>
    <t>TCE</t>
  </si>
  <si>
    <t>grade 1</t>
  </si>
  <si>
    <t>grade 2</t>
  </si>
  <si>
    <t>grade 3</t>
  </si>
  <si>
    <t>n/a</t>
  </si>
  <si>
    <t>Notch</t>
  </si>
  <si>
    <t>staff nurse</t>
  </si>
  <si>
    <t>professional nurse</t>
  </si>
  <si>
    <t>professional nurse (Speciality)</t>
  </si>
  <si>
    <t>clinical nurse practitioner (PHC)</t>
  </si>
  <si>
    <t>social worker</t>
  </si>
  <si>
    <t>grade 4</t>
  </si>
  <si>
    <t>workminutespa</t>
  </si>
  <si>
    <t>Average electricity in June-July 2016, -August-September 2016, Septemeber-October 2016</t>
  </si>
  <si>
    <t>Makro website QUALITEL Corded Business Phone</t>
  </si>
  <si>
    <t>Cost year</t>
  </si>
  <si>
    <t>Inflation Rates</t>
  </si>
  <si>
    <t>To adjust unit costs between cost years.  Average rates over calendar year.</t>
  </si>
  <si>
    <t>Rate (%)</t>
  </si>
  <si>
    <t>Years</t>
  </si>
  <si>
    <t>Cumulative Rate</t>
  </si>
  <si>
    <t>per pack 100, 50 pairs</t>
  </si>
  <si>
    <t>Programme Manager - Government</t>
  </si>
  <si>
    <t>pp per month</t>
  </si>
  <si>
    <t>pp per workshop</t>
  </si>
  <si>
    <t>No. of years to inflate by</t>
  </si>
  <si>
    <t>PMTCT (mother not on any ART; presentation in labour)</t>
  </si>
  <si>
    <t>Testing at birth</t>
  </si>
  <si>
    <t>HIV Serology (confirm)</t>
  </si>
  <si>
    <t>Lab tests</t>
  </si>
  <si>
    <t>Security guard</t>
  </si>
  <si>
    <t>Clerk (receptionist)</t>
  </si>
  <si>
    <t>Paper flip files</t>
  </si>
  <si>
    <t>Bond paper</t>
  </si>
  <si>
    <t xml:space="preserve">Biosscrub </t>
  </si>
  <si>
    <t>Red biohazard bags</t>
  </si>
  <si>
    <t xml:space="preserve">Advance test kits </t>
  </si>
  <si>
    <t>Elisa</t>
  </si>
  <si>
    <t>results cards</t>
  </si>
  <si>
    <t>Paper flip Files</t>
  </si>
  <si>
    <t>per single</t>
  </si>
  <si>
    <t>Results cards</t>
  </si>
  <si>
    <t>per 1</t>
  </si>
  <si>
    <t>per one</t>
  </si>
  <si>
    <t>Pre-test counselling</t>
  </si>
  <si>
    <t>Test 1</t>
  </si>
  <si>
    <t>Information/register session</t>
  </si>
  <si>
    <t>Arrival</t>
  </si>
  <si>
    <t>Arrival, 2 pages</t>
  </si>
  <si>
    <t>Arrival, 1 file</t>
  </si>
  <si>
    <t>Pre-test counselling, 1 form</t>
  </si>
  <si>
    <t>Test 1, 0.5ml</t>
  </si>
  <si>
    <t>Test 1, 1 pair</t>
  </si>
  <si>
    <t>Test 3 (0.57% of individuals)</t>
  </si>
  <si>
    <t>Whole blood draw (0.02% of individuals)</t>
  </si>
  <si>
    <t>Post test counselling</t>
  </si>
  <si>
    <t>Grade 1</t>
  </si>
  <si>
    <t>Grade 2</t>
  </si>
  <si>
    <t>Grade 3</t>
  </si>
  <si>
    <t>Average monthly cost (all grades)</t>
  </si>
  <si>
    <t>Non OSD, G1 N1</t>
  </si>
  <si>
    <t>Data Capturer</t>
  </si>
  <si>
    <t>Non OSD, G4 N1</t>
  </si>
  <si>
    <t>Non OSD, G2</t>
  </si>
  <si>
    <t>Arrival (2)</t>
  </si>
  <si>
    <t>ANC testing (negative)</t>
  </si>
  <si>
    <t>ANC testing (positive)</t>
  </si>
  <si>
    <t>Test 3 (0.69% of individuals)</t>
  </si>
  <si>
    <t>Partner notification (negative)</t>
  </si>
  <si>
    <t>Test 1 Negative result counselling (94% of individuals)</t>
  </si>
  <si>
    <t>Partner notification (positive)</t>
  </si>
  <si>
    <t>Test 3 (0.67% of individuals)</t>
  </si>
  <si>
    <t>Whole blood draw (0.023% of individuals)</t>
  </si>
  <si>
    <t>Staff nurse</t>
  </si>
  <si>
    <t xml:space="preserve">Administrative assistant </t>
  </si>
  <si>
    <t>Field coordinator</t>
  </si>
  <si>
    <t>Senior nurse</t>
  </si>
  <si>
    <t>Data technician</t>
  </si>
  <si>
    <t>Arrival/registration 1</t>
  </si>
  <si>
    <t>Negative result couselling</t>
  </si>
  <si>
    <t>Test 2  (6% of patients)</t>
  </si>
  <si>
    <t>Test 3 (0.78% of patients)</t>
  </si>
  <si>
    <t>Whole blood draw (0.0039% of patients)</t>
  </si>
  <si>
    <t>Mobile testing (negative) - urban</t>
  </si>
  <si>
    <t>Mobile testing (positive) - urban</t>
  </si>
  <si>
    <t>Mobile testing (negative) - rural</t>
  </si>
  <si>
    <t>Mobile testing (positive) - rural</t>
  </si>
  <si>
    <t>Home based testing (negative) - urban</t>
  </si>
  <si>
    <t>Professional nurse (Speciality)</t>
  </si>
  <si>
    <t>Pre test counselling</t>
  </si>
  <si>
    <t>Home based testing (positive) - urban</t>
  </si>
  <si>
    <t>Test 3 (0.79% of patients)</t>
  </si>
  <si>
    <t>Test 4 (0.79% of patients)</t>
  </si>
  <si>
    <t>Home based testing (negative) - rural</t>
  </si>
  <si>
    <t>Home based testing (positive) - rural</t>
  </si>
  <si>
    <t>Mobile van</t>
  </si>
  <si>
    <t xml:space="preserve">Tabana Operational Vehicle </t>
  </si>
  <si>
    <t>Smith room</t>
  </si>
  <si>
    <t>per room</t>
  </si>
  <si>
    <t>Smith room furniture</t>
  </si>
  <si>
    <t>Tabana Room</t>
  </si>
  <si>
    <t>Tabana Room equipment</t>
  </si>
  <si>
    <t xml:space="preserve">Test 2 </t>
  </si>
  <si>
    <t>Test 2</t>
  </si>
  <si>
    <t>Test 3 (0.753% of patients)</t>
  </si>
  <si>
    <t>Test 4 (0.753% of patients)</t>
  </si>
  <si>
    <t>Test 4 (0.78% of patients)</t>
  </si>
  <si>
    <t>Reception (large)</t>
  </si>
  <si>
    <t>monthly cost</t>
  </si>
  <si>
    <t>Reception - equipment (large)</t>
  </si>
  <si>
    <t>Reception (small)</t>
  </si>
  <si>
    <t>Reception - equipment (small)</t>
  </si>
  <si>
    <t>Counselling room</t>
  </si>
  <si>
    <t>Counselling room - equipment</t>
  </si>
  <si>
    <t>Test 4 (0.67% of individuals)</t>
  </si>
  <si>
    <t>Test 4 (0.69% of individuals)</t>
  </si>
  <si>
    <t>Negative result counselling</t>
  </si>
  <si>
    <t>Test 4 (0.57% of individuals)</t>
  </si>
  <si>
    <t>Mobile testing (positive)</t>
  </si>
  <si>
    <t>Mobile testing (negative)</t>
  </si>
  <si>
    <t>Home based testing (positive)</t>
  </si>
  <si>
    <t>Home based testing (negative)</t>
  </si>
  <si>
    <t>Adolescent testing (negative)</t>
  </si>
  <si>
    <t>Adolescent testing (positive)</t>
  </si>
  <si>
    <t>Test 3 (0.578% of patients)</t>
  </si>
  <si>
    <t>Test 4 (0.578% of patients)</t>
  </si>
  <si>
    <t>PITC (negative)</t>
  </si>
  <si>
    <t>PITC (positive)</t>
  </si>
  <si>
    <t>2018/19+</t>
  </si>
  <si>
    <t>RSA Global Fund Grant portfolio budgets 2018, Subject to revision during grant negotiations (Steve's email)</t>
  </si>
  <si>
    <t>Glove, examination, non-sterile, type 1 Latex, single use, Powder free, Ambidextrous, SANS 11193-1, Size: Medium, 50 pairs per box of 100</t>
  </si>
  <si>
    <t xml:space="preserve">Lubricant </t>
  </si>
  <si>
    <t>Lubricant, water based, non-irritant, for use during intercourse; Treasury tender (weighted average)</t>
  </si>
  <si>
    <t>Swabs, gauze, absorbent, type 3, bleached, 8 ply, 100 swabs</t>
  </si>
  <si>
    <t>ABON HIV 1/2</t>
  </si>
  <si>
    <t>per test kit</t>
  </si>
  <si>
    <t>First response HIV 1/2</t>
  </si>
  <si>
    <t>per 5L</t>
  </si>
  <si>
    <t>per 20 files</t>
  </si>
  <si>
    <t>Hand sanitizer (500ml)</t>
  </si>
  <si>
    <t>per annum</t>
  </si>
  <si>
    <t>Professional nurse</t>
  </si>
  <si>
    <t xml:space="preserve">Average retail price for B &amp; C grade commercial property (property24.com) </t>
  </si>
  <si>
    <t>CSW programme-30 ppl ingredients costing (R5350 in total)</t>
  </si>
  <si>
    <t>Test 1, 1ml</t>
  </si>
  <si>
    <t>Pre-test counselling - community mobilizer</t>
  </si>
  <si>
    <t>Pre-test counselling (community mobilizer)</t>
  </si>
  <si>
    <t>Pre test counselling (community mobilizer)</t>
  </si>
  <si>
    <t>Swabs, cleansing, Type 3, 100 swabsDiameter: 30mm</t>
  </si>
  <si>
    <t>https://www.makro.co.za/stationery-office-furniture/paper-filing/filing-folders/file-storage/tidy-files-medium-weight-files-/p/000000000000125629_PK</t>
  </si>
  <si>
    <t>Cleaner (government)</t>
  </si>
  <si>
    <t>Contract cleaning minimum wage</t>
  </si>
  <si>
    <t>R22/hour</t>
  </si>
  <si>
    <t>Senior Nurse</t>
  </si>
  <si>
    <t>Staff Nurse Gr3</t>
  </si>
  <si>
    <t>Professional Nurse (Speciality)</t>
  </si>
  <si>
    <t>Grade A</t>
  </si>
  <si>
    <t>Grade B</t>
  </si>
  <si>
    <t>Grade C-E</t>
  </si>
  <si>
    <t>Non OSD, G6</t>
  </si>
  <si>
    <t>Notches</t>
  </si>
  <si>
    <t>Non OSD, G5</t>
  </si>
  <si>
    <t>Non OSD, G4</t>
  </si>
  <si>
    <t>Non OSD, G10</t>
  </si>
  <si>
    <t>RSA Global Fund Grant portfolio budgets 2016</t>
  </si>
  <si>
    <t>RSA GF proposal 2014</t>
  </si>
  <si>
    <t>Other</t>
  </si>
  <si>
    <t>Medical male circumcision</t>
  </si>
  <si>
    <t>ART Adults (1st line 1st year)</t>
  </si>
  <si>
    <t>per circumcision (Average)</t>
  </si>
  <si>
    <t>NHLS 2021 price-list</t>
  </si>
  <si>
    <t>Contract Circular RT35-2019, weighted average based on target volume</t>
  </si>
  <si>
    <t>http://www.treasury.gov.za/divisions/ocpo/ostb/contracts/RT75-2021.zip</t>
  </si>
  <si>
    <t xml:space="preserve">http://www.treasury.gov.za/divisions/ocpo/ostb/contracts/RT42-2022zip </t>
  </si>
  <si>
    <t>https://www.statssa.gov.za/publications/P0141/CPIHistory.pdf?</t>
  </si>
  <si>
    <t>Screening/Initiation</t>
  </si>
  <si>
    <t>PrEP guidelines/implementation</t>
  </si>
  <si>
    <t>Readiness assessment and STI screening</t>
  </si>
  <si>
    <t>HTS (1st test)</t>
  </si>
  <si>
    <t>HTS (2nd test if 1st positive)</t>
  </si>
  <si>
    <t>HTS (discordant tests)</t>
  </si>
  <si>
    <t>1/(1-HIV prevalence)</t>
  </si>
  <si>
    <t>Data from demonstration projects (personal communication, Kevin Rebe/ Gaby Gomez)</t>
  </si>
  <si>
    <t>HIV prevalence</t>
  </si>
  <si>
    <t>2% chance of discordance</t>
  </si>
  <si>
    <t>Other monitoring tests</t>
  </si>
  <si>
    <t>HBsAg</t>
  </si>
  <si>
    <t>ALT</t>
  </si>
  <si>
    <t>Pregnancy test (urine)</t>
  </si>
  <si>
    <t>Kendon Medical Supplies Pty Ltd, quote (19 Aug 2019)</t>
  </si>
  <si>
    <t>Baxter (2013)</t>
  </si>
  <si>
    <t>If HBsAg is positive</t>
  </si>
  <si>
    <t>STI symptom screen</t>
  </si>
  <si>
    <t>Assumption</t>
  </si>
  <si>
    <t>Rapid syphilis test</t>
  </si>
  <si>
    <t>Creatinine</t>
  </si>
  <si>
    <t>Syphilis RPR</t>
  </si>
  <si>
    <t>PrEP Regimen (TDF+FTC)</t>
  </si>
  <si>
    <t>Prescribing &amp; dispensing</t>
  </si>
  <si>
    <t>Follow-up visits</t>
  </si>
  <si>
    <t>HIV incidence</t>
  </si>
  <si>
    <t>Data from demonstration projects, adjusted by HIV incidence</t>
  </si>
  <si>
    <t>Health system costs</t>
  </si>
  <si>
    <t>Training (nurses)</t>
  </si>
  <si>
    <t>Training (counsellors)</t>
  </si>
  <si>
    <t>Training (peer educators)</t>
  </si>
  <si>
    <t>Mobilisation</t>
  </si>
  <si>
    <t>M+E</t>
  </si>
  <si>
    <t>Overhead</t>
  </si>
  <si>
    <t>Building maintenance and utilities</t>
  </si>
  <si>
    <t>PrEP training - 1 day</t>
  </si>
  <si>
    <t>Peer educator/ supervisor training</t>
  </si>
  <si>
    <t>Peer educator</t>
  </si>
  <si>
    <t>Paper A3 size (Typek)</t>
  </si>
  <si>
    <t xml:space="preserve">7% overhead </t>
  </si>
  <si>
    <t>per person trained</t>
  </si>
  <si>
    <t>Clinton Health Access Initiative (2015)</t>
  </si>
  <si>
    <t>per page</t>
  </si>
  <si>
    <t>Assumption (2 day add-on to NIMART training, 160 clients per yr, 1 per year)</t>
  </si>
  <si>
    <t>Assumption (1 day add-on to existing training, 160 clients per yr, 1 per year)</t>
  </si>
  <si>
    <t>Assumption (proportion initiated out of all reached = 1/100)</t>
  </si>
  <si>
    <t>Assumption (1 set per client per year)</t>
  </si>
  <si>
    <t>Assumption (15 mins out of 8 hrs for PrEP/160 clients per year)</t>
  </si>
  <si>
    <t>1 x 2-page clinical form per year per person on PrEP</t>
  </si>
  <si>
    <t>1 x A3 per month per clinic</t>
  </si>
  <si>
    <t>Assumption (60min per month/site)</t>
  </si>
  <si>
    <t>Assumption (3 minutes x number of visits per year)</t>
  </si>
  <si>
    <t>per user initiated</t>
  </si>
  <si>
    <t>Personal communication, Gaby Gomez</t>
  </si>
  <si>
    <t>HIV prevalance</t>
  </si>
  <si>
    <t>Thembisa 3.2 (2018)</t>
  </si>
  <si>
    <t>Population/notes</t>
  </si>
  <si>
    <t>PrEP (oral) Young women</t>
  </si>
  <si>
    <t>PrEP (oral) FSW</t>
  </si>
  <si>
    <t>PrEP (oral) Young men</t>
  </si>
  <si>
    <t>PrEP (oral) MSM</t>
  </si>
  <si>
    <t>CAB-LA injection</t>
  </si>
  <si>
    <t>per injection</t>
  </si>
  <si>
    <t>Month 1</t>
  </si>
  <si>
    <t>Chance of discordance</t>
  </si>
  <si>
    <t>Training (M&amp;E data capturer)</t>
  </si>
  <si>
    <t>Assumption (75min per year online training, 160 clients per yr, 1 per year)</t>
  </si>
  <si>
    <t>https://www.treasury.gov.za/divisions/ocpo/ostb/contracts/RT75-2021.zip</t>
  </si>
  <si>
    <t>https://www.treasury.gov.za/divisions/ocpo/ostb/contracts/RT41-2020.zip</t>
  </si>
  <si>
    <t>Assumed half of adult cost</t>
  </si>
  <si>
    <t>CD4</t>
  </si>
  <si>
    <t>ART guidelines</t>
  </si>
  <si>
    <t xml:space="preserve">Long L, Girdwood S, Govender K, Meyer-Rath G, Miot J: Cost and outcomes of routine HIV care and treatment: A comparison of public and private delivery models covering low-income earners in South Africa. Preprint available under DOI: https://doi.org/10.21203/rs.3.rs-960517/v1    </t>
  </si>
  <si>
    <t>per visit</t>
  </si>
  <si>
    <t>Average cost/patient visit</t>
  </si>
  <si>
    <t>Fixed cost per visit (ZAR)</t>
  </si>
  <si>
    <t>Assets</t>
  </si>
  <si>
    <t>Staff (total)</t>
  </si>
  <si>
    <t>Clinical</t>
  </si>
  <si>
    <t>Non-clinical (overhead)</t>
  </si>
  <si>
    <t>Supplies</t>
  </si>
  <si>
    <t>Variable cost per visit (ZAR)</t>
  </si>
  <si>
    <t>NonHIV meds/visit</t>
  </si>
  <si>
    <t>Source:</t>
  </si>
  <si>
    <t>Average number of visits in first year of ART</t>
  </si>
  <si>
    <t>Average number of visits in follow-up years on ART</t>
  </si>
  <si>
    <t>Average headcount per month (2018, DHIS)</t>
  </si>
  <si>
    <t>Fixed cost per month</t>
  </si>
  <si>
    <t>Total cost in sample</t>
  </si>
  <si>
    <t>ART PPP other (space, equipment, overheads, etc)</t>
  </si>
  <si>
    <t>ART PPP Non-ARV drugs</t>
  </si>
  <si>
    <t>per day</t>
  </si>
  <si>
    <t>1 pill per day</t>
  </si>
  <si>
    <t>ABC + 3TC + LPV/r (syrup, kids &lt;1)</t>
  </si>
  <si>
    <t>1 to 12 months</t>
  </si>
  <si>
    <t>&lt;1 month</t>
  </si>
  <si>
    <t>For babies &lt; 1 month</t>
  </si>
  <si>
    <t>Assumption same as adults (Long et al)</t>
  </si>
  <si>
    <t>Contract</t>
  </si>
  <si>
    <t>Item Number</t>
  </si>
  <si>
    <t>NSN</t>
  </si>
  <si>
    <t>Medicine Pack short Description</t>
  </si>
  <si>
    <t>Pack Size</t>
  </si>
  <si>
    <t>Pack Size Unit of Measure</t>
  </si>
  <si>
    <t>Administration Pack Size</t>
  </si>
  <si>
    <t>Administration Unit of Measure</t>
  </si>
  <si>
    <t xml:space="preserve">Dosage Form
</t>
  </si>
  <si>
    <t xml:space="preserve">INN
</t>
  </si>
  <si>
    <t>Brand As Per Contract</t>
  </si>
  <si>
    <t>Supplier Name</t>
  </si>
  <si>
    <t>Supplier Code</t>
  </si>
  <si>
    <t xml:space="preserve">Price
</t>
  </si>
  <si>
    <t>Lead Time</t>
  </si>
  <si>
    <t>EML Cateogry</t>
  </si>
  <si>
    <t>EML Sub-Category</t>
  </si>
  <si>
    <t>ATC</t>
  </si>
  <si>
    <t>ven_status</t>
  </si>
  <si>
    <t>Level Of Care</t>
  </si>
  <si>
    <t>Quantity Awarded</t>
  </si>
  <si>
    <t>EAN 13 Barcode for Unit Pack</t>
  </si>
  <si>
    <t>EAN 13 Barcode for Shelf Pack or Shrinkwrap</t>
  </si>
  <si>
    <t>EAN 13 Barcode for Shelf Pack or Shrinkwrap/Single Unit Qty</t>
  </si>
  <si>
    <t>ITF14 Barcode for Shipper Pack</t>
  </si>
  <si>
    <t>ITF14 Barcode for Shipper Pack/Single Unit Qty</t>
  </si>
  <si>
    <t xml:space="preserve">Pallet Barcode
</t>
  </si>
  <si>
    <t xml:space="preserve">Pallet Barcocde Single Unit Quantity
</t>
  </si>
  <si>
    <t>NAPPI</t>
  </si>
  <si>
    <t>MOQ</t>
  </si>
  <si>
    <t>Contract Start Date</t>
  </si>
  <si>
    <t>Contract end date</t>
  </si>
  <si>
    <t>Contract Extend/Expire Date</t>
  </si>
  <si>
    <t>UNSPSC Code</t>
  </si>
  <si>
    <t>CSD Supplier Code</t>
  </si>
  <si>
    <t>Latest Addendum Nr</t>
  </si>
  <si>
    <t>Price Effective Date</t>
  </si>
  <si>
    <t>Split %</t>
  </si>
  <si>
    <t>Awarded</t>
  </si>
  <si>
    <t>Procurement</t>
  </si>
  <si>
    <t>Medicine UUID</t>
  </si>
  <si>
    <t>Price per unit</t>
  </si>
  <si>
    <t>Weighted price</t>
  </si>
  <si>
    <t>HP13-2022ARV</t>
  </si>
  <si>
    <t>Abacavir; 20mg/ml; Solution; 240 ml</t>
  </si>
  <si>
    <t>ml (ml)</t>
  </si>
  <si>
    <t>Solution</t>
  </si>
  <si>
    <t>Abacavir</t>
  </si>
  <si>
    <t>Aspen Abacavir sol 240ml</t>
  </si>
  <si>
    <t>Pharmacare Limited</t>
  </si>
  <si>
    <t>V2205</t>
  </si>
  <si>
    <t>14</t>
  </si>
  <si>
    <t>EML</t>
  </si>
  <si>
    <t>approved</t>
  </si>
  <si>
    <t>J05AF06</t>
  </si>
  <si>
    <t>V</t>
  </si>
  <si>
    <t>PHC</t>
  </si>
  <si>
    <t/>
  </si>
  <si>
    <t>18</t>
  </si>
  <si>
    <t>null</t>
  </si>
  <si>
    <t>51342501-00001</t>
  </si>
  <si>
    <t>MAAA0008452</t>
  </si>
  <si>
    <t>yes</t>
  </si>
  <si>
    <t>none</t>
  </si>
  <si>
    <t>e07cf32e-45a7-47ef-8ff4-c06b89f6eb91</t>
  </si>
  <si>
    <t>Hetacav Oral Solution</t>
  </si>
  <si>
    <t>Hetero Drugs South Africa (Pty) Ltd</t>
  </si>
  <si>
    <t>VB2N1</t>
  </si>
  <si>
    <t>12</t>
  </si>
  <si>
    <t>MAAA0323938</t>
  </si>
  <si>
    <t>9</t>
  </si>
  <si>
    <t>30</t>
  </si>
  <si>
    <t>Abacavir; 300mg; Tablet; 56 Tablets</t>
  </si>
  <si>
    <t>Tablet (Tablets)</t>
  </si>
  <si>
    <t>Tablet</t>
  </si>
  <si>
    <t>Kavimun 300</t>
  </si>
  <si>
    <t>Viatris Healthcare (Pty) Ltd ta Mylan (Pty) Ltd</t>
  </si>
  <si>
    <t>V3PS6</t>
  </si>
  <si>
    <t>51342501-00003</t>
  </si>
  <si>
    <t>MAAA0081441</t>
  </si>
  <si>
    <t>0646c4ef-6d53-4917-9f6d-3eda28087feb</t>
  </si>
  <si>
    <t>Abacavir; 60mg; Tablet, dispersible; 56 Tablets</t>
  </si>
  <si>
    <t>Tablet, dispersible</t>
  </si>
  <si>
    <t>Kavimun Paed 60mg 56</t>
  </si>
  <si>
    <t>51342501-00002</t>
  </si>
  <si>
    <t>aca56106-7afd-4441-88f2-35a37749aecd</t>
  </si>
  <si>
    <t>Atazanavir, Ritonavir; 300mg, 100mg; Tablet; 28 Tablets</t>
  </si>
  <si>
    <t>28</t>
  </si>
  <si>
    <t>Atazanavir, Ritonavir</t>
  </si>
  <si>
    <t>Riatem</t>
  </si>
  <si>
    <t>Innovata Pharmaceuticals (Pty) Ltd</t>
  </si>
  <si>
    <t>VBBL4</t>
  </si>
  <si>
    <t>J05AE08</t>
  </si>
  <si>
    <t>51342701-00002</t>
  </si>
  <si>
    <t>MAAA0003385</t>
  </si>
  <si>
    <t>7</t>
  </si>
  <si>
    <t>0832ac01-0de3-4a29-9971-6701d4ec5dc2</t>
  </si>
  <si>
    <t>Atazanavir; 200mg; Capsule; 60 Capsules</t>
  </si>
  <si>
    <t>Capsule (Capsules)</t>
  </si>
  <si>
    <t>Capsule</t>
  </si>
  <si>
    <t>Atazanavir</t>
  </si>
  <si>
    <t>ZOROVIR 200 mg</t>
  </si>
  <si>
    <t>Aurobindo Pharma (Pty) Ltd</t>
  </si>
  <si>
    <t>V1MV2</t>
  </si>
  <si>
    <t>48</t>
  </si>
  <si>
    <t>51342701-00004</t>
  </si>
  <si>
    <t>MAAA0039785</t>
  </si>
  <si>
    <t>4</t>
  </si>
  <si>
    <t>6aaa784d-1319-41dd-a642-1207860ef100</t>
  </si>
  <si>
    <t>Atazanavir; 300mg; Capsule; 30 Capsules</t>
  </si>
  <si>
    <t>ZOROVIR 300 mg</t>
  </si>
  <si>
    <t>51342701-00005</t>
  </si>
  <si>
    <t>3ad26811-b0f9-4587-b8e3-152a72a2248a</t>
  </si>
  <si>
    <t>Darunavir, Ritonavir; 400mg, 50mg; Tablet; 56 Tablets</t>
  </si>
  <si>
    <t>Darunavir, Ritonavir</t>
  </si>
  <si>
    <t>ZADURNA</t>
  </si>
  <si>
    <t>J05AR26</t>
  </si>
  <si>
    <t>24</t>
  </si>
  <si>
    <t>51341801-00006</t>
  </si>
  <si>
    <t>c3bde1b4-2f7d-4318-966a-692a80253817</t>
  </si>
  <si>
    <t>Darunavir; 150mg; Tablet; 240 Tablets</t>
  </si>
  <si>
    <t>Darunavir</t>
  </si>
  <si>
    <t>Prezista 150mg tabs 240</t>
  </si>
  <si>
    <t xml:space="preserve">Janssen Pharmaceutica (Pty) Ltd  </t>
  </si>
  <si>
    <t>VBKY6</t>
  </si>
  <si>
    <t>NON-EML</t>
  </si>
  <si>
    <t>not yet reviewed</t>
  </si>
  <si>
    <t>J05AE10</t>
  </si>
  <si>
    <t>N</t>
  </si>
  <si>
    <t>1</t>
  </si>
  <si>
    <t>51341801-00001</t>
  </si>
  <si>
    <t>MAAA0016328</t>
  </si>
  <si>
    <t>f61555fa-20e4-4ff5-87a6-895469d546b0</t>
  </si>
  <si>
    <t>Darunavir; 600mg; Tablet; 56 Tablets</t>
  </si>
  <si>
    <t xml:space="preserve">NURADAR 600 mg </t>
  </si>
  <si>
    <t>51341801-00002</t>
  </si>
  <si>
    <t>e08d030b-567c-49cc-9eba-8dcd33a34ab3</t>
  </si>
  <si>
    <t>Darunavir; 75mg; Tablet; 480 Tablets</t>
  </si>
  <si>
    <t>Prezista 75mg tabs 480</t>
  </si>
  <si>
    <t>51341801-00000</t>
  </si>
  <si>
    <t>73f83586-8bd4-4f25-ad6d-15a9f306b750</t>
  </si>
  <si>
    <t>Dolutegravir; 50mg; Tablet; 30 Tablets</t>
  </si>
  <si>
    <t>tablet, scored</t>
  </si>
  <si>
    <t>Dolutegravir</t>
  </si>
  <si>
    <t>VIDOTEG</t>
  </si>
  <si>
    <t>Sonke Pharmaceuticals (Pty) Ltd</t>
  </si>
  <si>
    <t>V1VD1</t>
  </si>
  <si>
    <t>J05AJ03</t>
  </si>
  <si>
    <t>44</t>
  </si>
  <si>
    <t>51343300-00003</t>
  </si>
  <si>
    <t>MAAA0000389</t>
  </si>
  <si>
    <t>8</t>
  </si>
  <si>
    <t>590e5250-f578-4739-b219-145e94756bba</t>
  </si>
  <si>
    <t>MYLTEGA</t>
  </si>
  <si>
    <t>51343300-00004</t>
  </si>
  <si>
    <t>cbfecf17-aaed-417d-a28f-e367c2975b6e</t>
  </si>
  <si>
    <t>Hetvir 50's</t>
  </si>
  <si>
    <t>36</t>
  </si>
  <si>
    <t>Efavirenz; 200mg; Tablet; 84 Tablets</t>
  </si>
  <si>
    <t>Efavirenz</t>
  </si>
  <si>
    <t>EFAMAT 200</t>
  </si>
  <si>
    <t>J05AG03</t>
  </si>
  <si>
    <t>51341903-00001</t>
  </si>
  <si>
    <t>eb32eeb3-dcc4-456d-a6a0-8d2512b31cbb</t>
  </si>
  <si>
    <t>Sonke Efavirenz 200</t>
  </si>
  <si>
    <t>20</t>
  </si>
  <si>
    <t>Efavirenz; 50mg; Capsule; 28 Capsules</t>
  </si>
  <si>
    <t>Adco-Efavirenz 50mg capsules 28's</t>
  </si>
  <si>
    <t>Adcock Ingram Healthcare (Pty) Ltd</t>
  </si>
  <si>
    <t>V2272</t>
  </si>
  <si>
    <t>181896194</t>
  </si>
  <si>
    <t>51341903-00000</t>
  </si>
  <si>
    <t>MAAA0036413</t>
  </si>
  <si>
    <t>7079406e-399a-4da4-8f54-e5442741b695</t>
  </si>
  <si>
    <t>Efavirenz; 600mg; Tablet; 28 Tablets</t>
  </si>
  <si>
    <t>ASPEN EFAVIRENZ 600MG TAB B/BAG 28</t>
  </si>
  <si>
    <t>51341903-00007</t>
  </si>
  <si>
    <t>f9bb6e51-9472-4474-aec9-c7a84c5cdbd5</t>
  </si>
  <si>
    <t>Efrin 600mg 28</t>
  </si>
  <si>
    <t>Etravirine; 100mg; Tablet; 112 Tablets</t>
  </si>
  <si>
    <t>Etravirine</t>
  </si>
  <si>
    <t>Intelence 100mg Tabs 120</t>
  </si>
  <si>
    <t>for review</t>
  </si>
  <si>
    <t>J05AG04</t>
  </si>
  <si>
    <t>51343704-00000</t>
  </si>
  <si>
    <t>0c5f86cb-a732-42b9-b294-69fc184afc4f</t>
  </si>
  <si>
    <t>Lamivudine, Abacavir, Dolutegravir; 300mg, 600mg, 50mg; Tablet; 28 Tablets</t>
  </si>
  <si>
    <t>Lamivudine, Abacavir, Dolutegravir</t>
  </si>
  <si>
    <t>Damicava</t>
  </si>
  <si>
    <t>Cipla Medpro SA (Pty) Ltd</t>
  </si>
  <si>
    <t>VXZ32</t>
  </si>
  <si>
    <t>J05AR13</t>
  </si>
  <si>
    <t>51343300-00002</t>
  </si>
  <si>
    <t>MAAA0006605</t>
  </si>
  <si>
    <t>5</t>
  </si>
  <si>
    <t>3d920eb4-7c72-40b8-ae0c-d4f5a99b725a</t>
  </si>
  <si>
    <t>Cagol</t>
  </si>
  <si>
    <t>EMCURE PHARMACEUTICALS SA (PTY) LTD</t>
  </si>
  <si>
    <t>V3GQ7</t>
  </si>
  <si>
    <t>MAAA0050669</t>
  </si>
  <si>
    <t>6</t>
  </si>
  <si>
    <t>Lamivudine, Abacavir; 300mg, 600mg; Tablet; 28 Tablets</t>
  </si>
  <si>
    <t>Lamivudine, Abacavir</t>
  </si>
  <si>
    <t>Dumiva</t>
  </si>
  <si>
    <t>J05AR02</t>
  </si>
  <si>
    <t>51343801-00000</t>
  </si>
  <si>
    <t>99b2940f-de53-4c80-8d56-fe09849dae7c</t>
  </si>
  <si>
    <t>Heteruam 600/300mg</t>
  </si>
  <si>
    <t>Lamivudine, Abacavir; 60mg, 120mg; Tablet; 28 Tablets</t>
  </si>
  <si>
    <t>DUMIVA DISPERSIBLE</t>
  </si>
  <si>
    <t>51343801-00002</t>
  </si>
  <si>
    <t>61c03f58-dfb0-4670-86cd-61fc4ef494ce</t>
  </si>
  <si>
    <t>Divudine 120/60</t>
  </si>
  <si>
    <t>Lamivudine; 10mg/ml; Solution; 240 ml</t>
  </si>
  <si>
    <t>Lamivudine</t>
  </si>
  <si>
    <t>Adco-Lamivudine solution 240ml</t>
  </si>
  <si>
    <t>J05AF05</t>
  </si>
  <si>
    <t>1 Shipper (12 units)</t>
  </si>
  <si>
    <t>51343110-00000</t>
  </si>
  <si>
    <t>cf32aa8c-7110-4cb0-8908-8c43942f4058</t>
  </si>
  <si>
    <t>Bindolam oral solution</t>
  </si>
  <si>
    <t>Lamivudine; 150mg; Tablet; 56 Tablets</t>
  </si>
  <si>
    <t>Adco-Lamivudine 150mg tablets 56's</t>
  </si>
  <si>
    <t>181896198</t>
  </si>
  <si>
    <t>51343110-00002</t>
  </si>
  <si>
    <t>5b84c6f7-43d5-408c-8582-1cd01fb722fa</t>
  </si>
  <si>
    <t>Sonke Lamivudine 150</t>
  </si>
  <si>
    <t>Lopinavir, Ritonavir; 100mg, 25mg; Tablet; 60 Tablets</t>
  </si>
  <si>
    <t>Lopinavir, Ritonavir</t>
  </si>
  <si>
    <t>RILOVIA 100/25</t>
  </si>
  <si>
    <t>J05AR10</t>
  </si>
  <si>
    <t>51343111-00004</t>
  </si>
  <si>
    <t>ae0c8735-b5d5-4ab3-9711-d045d037ace4</t>
  </si>
  <si>
    <t>Lopinavir, Ritonavir; 200mg, 50mg; Tablet; 112 Tablets</t>
  </si>
  <si>
    <t>RILOVIA 200/50</t>
  </si>
  <si>
    <t>51343111-00005</t>
  </si>
  <si>
    <t>3269ddc4-506a-4e5a-97e6-b6263187ddd1</t>
  </si>
  <si>
    <t xml:space="preserve">Aluvia </t>
  </si>
  <si>
    <t>ABBVIE (PTY) LTD</t>
  </si>
  <si>
    <t>V3PG3</t>
  </si>
  <si>
    <t>MAAA0076921</t>
  </si>
  <si>
    <t>Lopinavir, Ritonavir; 40mg, 10mg; Capsule; 120 Capsules</t>
  </si>
  <si>
    <t>Lopimune 40/10 Oral Pellets</t>
  </si>
  <si>
    <t>51343111-00006</t>
  </si>
  <si>
    <t>7dede4f3-9840-4679-b816-096d5cc4198a</t>
  </si>
  <si>
    <t>Lopinavir, Ritonavir; 80mg/ml, 20mg/ml; Solution; 60 ml</t>
  </si>
  <si>
    <t>Kaletra Solution</t>
  </si>
  <si>
    <t>300 bottles</t>
  </si>
  <si>
    <t>51343111-00003</t>
  </si>
  <si>
    <t>4d313c92-51c2-407d-a1ae-65853df453b3</t>
  </si>
  <si>
    <t>Nevirapine; 200mg; Tablet; 56 Tablets</t>
  </si>
  <si>
    <t>Nevirapine</t>
  </si>
  <si>
    <t>Adco-Nevirapine 200mg 56</t>
  </si>
  <si>
    <t>J05AG01</t>
  </si>
  <si>
    <t>1 Shipper (50 Units)</t>
  </si>
  <si>
    <t>51343002-00002</t>
  </si>
  <si>
    <t>e0bf48a9-7b2d-4bb9-9e38-964b46829f31</t>
  </si>
  <si>
    <t>Nevirapine; 50mg/5ml; Suspension; 100 ml</t>
  </si>
  <si>
    <t>Suspension</t>
  </si>
  <si>
    <t>Cipla Nevirapine oral suspension</t>
  </si>
  <si>
    <t>51343002-00000</t>
  </si>
  <si>
    <t>68a43211-9ff5-4ec0-86f0-6657433f021b</t>
  </si>
  <si>
    <t>Nevirapine; 50mg/5ml; Suspension; 240 ml</t>
  </si>
  <si>
    <t>Bindopin suspension 50mg/5ml</t>
  </si>
  <si>
    <t>51343002-00001</t>
  </si>
  <si>
    <t>Raltegravir; 100mg; Tablet; 56 Tablets</t>
  </si>
  <si>
    <t>Raltegravir</t>
  </si>
  <si>
    <t>Isentress 100mg</t>
  </si>
  <si>
    <t>MSD (Pty) Ltd</t>
  </si>
  <si>
    <t>V2185</t>
  </si>
  <si>
    <t>J05AX08</t>
  </si>
  <si>
    <t>HOSP</t>
  </si>
  <si>
    <t>51343201-00004</t>
  </si>
  <si>
    <t>MAAA0077142</t>
  </si>
  <si>
    <t>b7268573-f14c-4fa8-84b1-cb331589f11d</t>
  </si>
  <si>
    <t>Raltegravir; 25mg; Tablet; 56 Tablets</t>
  </si>
  <si>
    <t>Isentress 25mg</t>
  </si>
  <si>
    <t>51343201-00003</t>
  </si>
  <si>
    <t>9a0246f8-f64b-4298-82a3-d29e751424c4</t>
  </si>
  <si>
    <t>Raltegravir; 400mg; Tablet; 56 Tablets</t>
  </si>
  <si>
    <t>Isentress 400mg</t>
  </si>
  <si>
    <t>51343201-00002</t>
  </si>
  <si>
    <t>38bd95e5-2793-4686-a1d9-b1e54a76ecb6</t>
  </si>
  <si>
    <t>Ritonavir; 100mg; Suspension; 30 Sachets</t>
  </si>
  <si>
    <t>Sachet (Sachets)</t>
  </si>
  <si>
    <t>Ritonavir</t>
  </si>
  <si>
    <t>Norvir Oral Powder</t>
  </si>
  <si>
    <t>J05AE03</t>
  </si>
  <si>
    <t>51343203-00004</t>
  </si>
  <si>
    <t>599e8897-69e5-48bc-ace5-10d7f102af8a</t>
  </si>
  <si>
    <t>Ritonavir; 100mg; Tablet; 56 Tablets</t>
  </si>
  <si>
    <t>Hetrovir 100</t>
  </si>
  <si>
    <t>51343203-00002</t>
  </si>
  <si>
    <t>3b296e97-a74e-4721-b17f-e81937c1f09a</t>
  </si>
  <si>
    <t>Tenofovir, Emtricitabine, Efavirenz; 300mg, 200mg, 600mg; Tablet; 28 Tablets</t>
  </si>
  <si>
    <t>Tenofovir, Emtricitabine, Efavirenz</t>
  </si>
  <si>
    <t>Tribuss Tabs  300/200/600 28s</t>
  </si>
  <si>
    <t>J05AR06</t>
  </si>
  <si>
    <t>10</t>
  </si>
  <si>
    <t>51343803-00000</t>
  </si>
  <si>
    <t>5798f1f7-14c6-4858-a528-44805a67e505</t>
  </si>
  <si>
    <t>Atroiza</t>
  </si>
  <si>
    <t>Hetripco 28's</t>
  </si>
  <si>
    <t>3002312001(28's)</t>
  </si>
  <si>
    <t>Tenofovir, Emtricitabine, Efavirenz; 300mg, 200mg, 600mg; Tablet; 84 Tablets</t>
  </si>
  <si>
    <t>ATROIZA</t>
  </si>
  <si>
    <t>51343803-00001</t>
  </si>
  <si>
    <t>same drug, different pack size</t>
  </si>
  <si>
    <t>Hetripco 84's</t>
  </si>
  <si>
    <t>Tenofovir, Emtricitabine; 300mg, 200mg; Tablet; 28 Tablets</t>
  </si>
  <si>
    <t>Tenofovir, Emtricitabine</t>
  </si>
  <si>
    <t>Tenemine 300/200 28</t>
  </si>
  <si>
    <t>J05AR03</t>
  </si>
  <si>
    <t>51343804-00000</t>
  </si>
  <si>
    <t>32c53743-3623-4d9f-8d97-f6f04d67596a</t>
  </si>
  <si>
    <t>Duotemtric</t>
  </si>
  <si>
    <t>Hetemcit</t>
  </si>
  <si>
    <t>720869001(30's)</t>
  </si>
  <si>
    <t>Tenofovir, Lamivudine, Dolutegravir; 300mg, 300mg, 50mg; Tablet; 28 Tablets</t>
  </si>
  <si>
    <t>Tenofovir, Lamivudine, Dolutegravir</t>
  </si>
  <si>
    <t>Vulante</t>
  </si>
  <si>
    <t>J05AR27</t>
  </si>
  <si>
    <t>51343300-00000</t>
  </si>
  <si>
    <t>016593a7-3ed5-4f23-93ef-4250b1d84706</t>
  </si>
  <si>
    <t>Acriptega</t>
  </si>
  <si>
    <t>Reydin</t>
  </si>
  <si>
    <t>Luvigen 28's</t>
  </si>
  <si>
    <t>Myteladov</t>
  </si>
  <si>
    <t>Telatri</t>
  </si>
  <si>
    <t>VOLUTRIP</t>
  </si>
  <si>
    <t>Tenofovir, Lamivudine, Dolutegravir; 300mg, 300mg, 50mg; Tablet; 84 Tablets</t>
  </si>
  <si>
    <t>ACRIPTEGA</t>
  </si>
  <si>
    <t>51343300-00005</t>
  </si>
  <si>
    <t>Luvigen 84's</t>
  </si>
  <si>
    <t>Tenofovir; 300mg; Tablet; 28 Tablets</t>
  </si>
  <si>
    <t>Tenofovir</t>
  </si>
  <si>
    <t>Adco-Tenofovir tablets 300mg 28's</t>
  </si>
  <si>
    <t>J05AF07</t>
  </si>
  <si>
    <t>181896242</t>
  </si>
  <si>
    <t>1 Shipper (100 Units)</t>
  </si>
  <si>
    <t>51343503-00000</t>
  </si>
  <si>
    <t>2f8a127c-311c-48d2-98ef-9ad5ee4e07ae</t>
  </si>
  <si>
    <t>Zidovudine, Lamivudine; 300mg, 150mg; Tablet; 56 Tablets</t>
  </si>
  <si>
    <t>Zidovudine, Lamivudine</t>
  </si>
  <si>
    <t>Zovilam</t>
  </si>
  <si>
    <t>J05AR01</t>
  </si>
  <si>
    <t>51343806-00000</t>
  </si>
  <si>
    <t>cf29d979-a9cd-4c4b-9ab0-dc875a69b161</t>
  </si>
  <si>
    <t>Combozil 150/300</t>
  </si>
  <si>
    <t>Zidovudine; 100mg; Capsule; 100 Capsules</t>
  </si>
  <si>
    <t>Zidovudine</t>
  </si>
  <si>
    <t>Zidomat 100 mg tablets 100</t>
  </si>
  <si>
    <t>J05AF01</t>
  </si>
  <si>
    <t>51343116-00001</t>
  </si>
  <si>
    <t>df19bbbb-dc8b-4cef-a233-7d9c75e7649a</t>
  </si>
  <si>
    <t>Zidovudine; 300mg; Capsule; 56 Capsules</t>
  </si>
  <si>
    <t>Adco-Zidovudine tablets 56's</t>
  </si>
  <si>
    <t>181896243</t>
  </si>
  <si>
    <t>1 Shipper (144 Units)</t>
  </si>
  <si>
    <t>51343116-00002</t>
  </si>
  <si>
    <t>1f7cd9a5-f4a4-4ed9-b9b7-59727c39f508</t>
  </si>
  <si>
    <t>Zidovudine; 50mg/5ml; Syrup; 200 ml</t>
  </si>
  <si>
    <t>Syrup</t>
  </si>
  <si>
    <t>Adco-Zidovudine syrup 200ml</t>
  </si>
  <si>
    <t>180165395</t>
  </si>
  <si>
    <t>1 Shipper (12 Units)</t>
  </si>
  <si>
    <t>51343116-00003</t>
  </si>
  <si>
    <t>8fd4d02d-ee3f-4a7f-9496-e72cf9413286</t>
  </si>
  <si>
    <t>Price per unit (ZAR)</t>
  </si>
  <si>
    <t>unit</t>
  </si>
  <si>
    <t>Dolutegravir; 10mg; Tablet; 30 Tablets</t>
  </si>
  <si>
    <t>Macleods Pharmaceuticals (Pty) Ltd</t>
  </si>
  <si>
    <t>Viral load</t>
  </si>
  <si>
    <t>Average weight 6kg</t>
  </si>
  <si>
    <t>Average weight 10kg</t>
  </si>
  <si>
    <t>6ml per day (3ml BD, ART guidelines)</t>
  </si>
  <si>
    <t>3ml per day (1.5ml BD, ART guidelines)</t>
  </si>
  <si>
    <t>1.6ml per day (0.8ml BD, ART guidelines)</t>
  </si>
  <si>
    <t>4ml per day (2ml BD, ART guidelines)</t>
  </si>
  <si>
    <t>12ml per day (6ml BD, ART guidelines)</t>
  </si>
  <si>
    <t>ABC + 3TC + LPV/r (syrup, kids 3-5)</t>
  </si>
  <si>
    <t>ABC + 3TC + LPV/r (syrup, kids 1-2)</t>
  </si>
  <si>
    <t>Average weight 14kg</t>
  </si>
  <si>
    <t>16ml per day (8ml BD, ART guidelines)</t>
  </si>
  <si>
    <t>5ml per day (2.5ml BD, ART guidelines)</t>
  </si>
  <si>
    <t>ABC + 3TC + DTG (tablets, kids 6-9)</t>
  </si>
  <si>
    <t>Average weight 22kg</t>
  </si>
  <si>
    <t>Age group</t>
  </si>
  <si>
    <t>AZT + 3TC + NVP </t>
  </si>
  <si>
    <t>ABC + 3TC + LPV/r  </t>
  </si>
  <si>
    <t>ABC + 3TC + DTG </t>
  </si>
  <si>
    <t>TDF + 3TC + DTG</t>
  </si>
  <si>
    <t>Neonates &lt;4 wks</t>
  </si>
  <si>
    <t>&lt;12 months</t>
  </si>
  <si>
    <t>1-2 years</t>
  </si>
  <si>
    <t>3-5 years</t>
  </si>
  <si>
    <t>6-9 years</t>
  </si>
  <si>
    <t>10-14 years</t>
  </si>
  <si>
    <t>3TC/ABC/LPV/RTV</t>
  </si>
  <si>
    <t>Source: Karl-Gunter Technau &lt;Karl-Gunter.Technau@wits.ac.za&gt;, March 2023</t>
  </si>
  <si>
    <t xml:space="preserve">ART Paeds Neonates </t>
  </si>
  <si>
    <t>AZT + 3TC + NVP (syrup, kids&lt;1)</t>
  </si>
  <si>
    <t>AZT + 3TC + NVP (syrup, neonates)</t>
  </si>
  <si>
    <t>18ml per day (9ml BD, ART guidelines)</t>
  </si>
  <si>
    <t>ABC + 3TC + LPV/r + RTV (syrup, kids &lt;1)</t>
  </si>
  <si>
    <t>2 sachets (1 sachet BD, ART guidelines)</t>
  </si>
  <si>
    <t>ABC + 3TC + LPV/r + RTV (syrup, kids 1-2)</t>
  </si>
  <si>
    <t>4 sachets (2 sachet BD, ART guidelines)</t>
  </si>
  <si>
    <t>ABC + 3TC + LPV/r + RTV (syrup, kids 3-5)</t>
  </si>
  <si>
    <t>ABC + 3TC + DTG (kids 3-5)</t>
  </si>
  <si>
    <t>DTG 10mg</t>
  </si>
  <si>
    <t>25mg per day (2.5 x 10mg, ART guidelines, circular)</t>
  </si>
  <si>
    <t>ABC + 3TC + LPV/r (tablets, kids 6-9)</t>
  </si>
  <si>
    <t>ABC + 3TC + LPV/r + RTV (tablets, kids 6-9)</t>
  </si>
  <si>
    <t>removed 1 patient</t>
  </si>
  <si>
    <t>ABC 300mg</t>
  </si>
  <si>
    <t>ABC 60mg</t>
  </si>
  <si>
    <t>1 pill per day (ART guidelines)</t>
  </si>
  <si>
    <t>3TC 150mg</t>
  </si>
  <si>
    <t>2 pills per day (ART guidelines)</t>
  </si>
  <si>
    <t>Average weight 40kg</t>
  </si>
  <si>
    <t>Validate % columns</t>
  </si>
  <si>
    <t>Literature costs- do not have this breakdown</t>
  </si>
  <si>
    <t>removed 2 patients</t>
  </si>
  <si>
    <t>3TC/(TDF or ABC)/RTV/ATZ/</t>
  </si>
  <si>
    <t>ART Adults (1st line followup)</t>
  </si>
  <si>
    <t>ART Adults (2nd line followup)</t>
  </si>
  <si>
    <t>Indicator</t>
  </si>
  <si>
    <t>Rand per US Dollar</t>
  </si>
  <si>
    <t>Weighted average of the banks' daily rates at approximately 10:30 am. Weights are based on the banks' foreign exchange transactions.</t>
  </si>
  <si>
    <t>Date</t>
  </si>
  <si>
    <t>Value</t>
  </si>
  <si>
    <t>per person</t>
  </si>
  <si>
    <t>per circumcision</t>
  </si>
  <si>
    <t>per year</t>
  </si>
  <si>
    <t>http://dx.doi.org/10.1136/bmjgh-2021-005019</t>
  </si>
  <si>
    <t>Alain Lolliot (personal communication)</t>
  </si>
  <si>
    <t>Matsimela 2021</t>
  </si>
  <si>
    <t>HIVST partners of index cases</t>
  </si>
  <si>
    <t>HIVST partners of ANC clients</t>
  </si>
  <si>
    <t>HIVST fixed point</t>
  </si>
  <si>
    <t>HIVST workplace distribution</t>
  </si>
  <si>
    <t>HIVST taxi ranks</t>
  </si>
  <si>
    <t>Exchange rate used in paper 13.75468 ZAR = 1 USD</t>
  </si>
  <si>
    <t>per test kit distributed</t>
  </si>
  <si>
    <t>HIVST general PHC</t>
  </si>
  <si>
    <t>HIVST general PHC (negative)</t>
  </si>
  <si>
    <t>HIVST general PHC (positive)</t>
  </si>
  <si>
    <t>https://www.treasury.gov.za/divisions/ocpo/ostb/contracts/RT41-2020%20Addendum%202%20Price%20Adjustment.pdf</t>
  </si>
  <si>
    <t>Weighted by 4% positive and 96% negative tests (Thembisa 4.3 output)</t>
  </si>
  <si>
    <t>per client tested</t>
  </si>
  <si>
    <t>per person per year</t>
  </si>
  <si>
    <t>Dapivirine Ring</t>
  </si>
  <si>
    <t>Dapivirine ring</t>
  </si>
  <si>
    <t>per ring</t>
  </si>
  <si>
    <t>Retention Intervention</t>
  </si>
  <si>
    <t>Community navigator</t>
  </si>
  <si>
    <t>Linkage Officer</t>
  </si>
  <si>
    <t>Case Manager</t>
  </si>
  <si>
    <t>Social Work and related professionals</t>
  </si>
  <si>
    <t>WBOT OTL</t>
  </si>
  <si>
    <t>Youth workers</t>
  </si>
  <si>
    <t>WBOT CHW</t>
  </si>
  <si>
    <t>Psychologists and Vocational Counsellors</t>
  </si>
  <si>
    <t>same as CHW</t>
  </si>
  <si>
    <t>per year cost</t>
  </si>
  <si>
    <t>Community mobilizers</t>
  </si>
  <si>
    <t>Siyenza retention staff</t>
  </si>
  <si>
    <t>DOI (if published)</t>
  </si>
  <si>
    <t>per person tested</t>
  </si>
  <si>
    <t>Meyer-Rath 2023 (personal communication)</t>
  </si>
  <si>
    <t>all 9 provinces</t>
  </si>
  <si>
    <t>https://www.health.gov.za/wp-content/uploads/2022/07/Health-Department-welcomes-Bargaining-Council-resolution-to-improve-work-conditions-of-CHWs-27-July-2022.pdf</t>
  </si>
  <si>
    <t>Test 2, 1ml</t>
  </si>
  <si>
    <t>Test 2, 1 pair</t>
  </si>
  <si>
    <t>Chlorhexidine 0.5% in Alcohol 70%, solution with emollient, 500ml Coloured red</t>
  </si>
  <si>
    <t>https://www.makro.co.za/stationery-office-furniture/paper-filing/paper/white-paper/copy-paper/typek-a4-office-paper-80-gsm/p/000000000000012434_BOX</t>
  </si>
  <si>
    <t>Box of 500x5 TYPEK A4 (for consent forms)</t>
  </si>
  <si>
    <t>Chlorhexidine 4% solution surgical scrub, 5L (sold in 500ml, price adjusted)</t>
  </si>
  <si>
    <t>13</t>
  </si>
  <si>
    <t>181918853</t>
  </si>
  <si>
    <t>39</t>
  </si>
  <si>
    <t>222000950</t>
  </si>
  <si>
    <t>181918854</t>
  </si>
  <si>
    <t>37</t>
  </si>
  <si>
    <t>181874441</t>
  </si>
  <si>
    <t>31</t>
  </si>
  <si>
    <t>181779132</t>
  </si>
  <si>
    <t>181896251</t>
  </si>
  <si>
    <t>35</t>
  </si>
  <si>
    <t>181920731</t>
  </si>
  <si>
    <t>181920732</t>
  </si>
  <si>
    <t>181892499</t>
  </si>
  <si>
    <t>222001277</t>
  </si>
  <si>
    <t>181872915</t>
  </si>
  <si>
    <t>181922274</t>
  </si>
  <si>
    <t>34</t>
  </si>
  <si>
    <t>180387396</t>
  </si>
  <si>
    <t>222000207</t>
  </si>
  <si>
    <t>25</t>
  </si>
  <si>
    <t>180205026</t>
  </si>
  <si>
    <t>43</t>
  </si>
  <si>
    <t>181896256</t>
  </si>
  <si>
    <t>21</t>
  </si>
  <si>
    <t>33</t>
  </si>
  <si>
    <t>181871672</t>
  </si>
  <si>
    <t>17</t>
  </si>
  <si>
    <t>23</t>
  </si>
  <si>
    <t>26</t>
  </si>
  <si>
    <t>222001257</t>
  </si>
  <si>
    <t>47</t>
  </si>
  <si>
    <t>181896255</t>
  </si>
  <si>
    <t>181922255</t>
  </si>
  <si>
    <t>22</t>
  </si>
  <si>
    <t>181900960</t>
  </si>
  <si>
    <t>38</t>
  </si>
  <si>
    <t>222001256</t>
  </si>
  <si>
    <t>19</t>
  </si>
  <si>
    <t>27</t>
  </si>
  <si>
    <t>181922256</t>
  </si>
  <si>
    <t>32</t>
  </si>
  <si>
    <t>181922275</t>
  </si>
  <si>
    <t>181896196</t>
  </si>
  <si>
    <t>42</t>
  </si>
  <si>
    <t>181896252</t>
  </si>
  <si>
    <t>222001249</t>
  </si>
  <si>
    <t>222001210</t>
  </si>
  <si>
    <t>45</t>
  </si>
  <si>
    <t>181922278</t>
  </si>
  <si>
    <t>181936065</t>
  </si>
  <si>
    <t>222000968</t>
  </si>
  <si>
    <t>222000210</t>
  </si>
  <si>
    <t>2</t>
  </si>
  <si>
    <t>181781208</t>
  </si>
  <si>
    <t>222001255</t>
  </si>
  <si>
    <t>222001314</t>
  </si>
  <si>
    <t>222000208</t>
  </si>
  <si>
    <t>Dolutegravir; 50mg; tablet, scored; 30 Tablets</t>
  </si>
  <si>
    <t>41</t>
  </si>
  <si>
    <t>181901076</t>
  </si>
  <si>
    <t>46</t>
  </si>
  <si>
    <t>3</t>
  </si>
  <si>
    <t>181896191</t>
  </si>
  <si>
    <t>https://www.sars.gov.za/wp-content/uploads/Ops/Guides/PAYE-GEN-01-G03-Guide-for-Employers-in-respect-of-Allowances-External-Guide.pdf</t>
  </si>
  <si>
    <t>Pack of 20</t>
  </si>
  <si>
    <t>https://www.medicalinnovations.co.za/product/sharps-container-5l/</t>
  </si>
  <si>
    <t>https://medqsupplies.co.za/product/bio-hazard-plastic-bags/</t>
  </si>
  <si>
    <t>https://www.resbank.co.za/en/home/what-we-do/statistics/key-statistics/selected-historical-rates</t>
  </si>
  <si>
    <t>Weighted average cost of male condoms (see Condoms sheet)</t>
  </si>
  <si>
    <t>Weighted average cost of female condoms (see Condoms sheet)</t>
  </si>
  <si>
    <t>Weighted unit cost</t>
  </si>
  <si>
    <t>District</t>
  </si>
  <si>
    <t>Target</t>
  </si>
  <si>
    <t>Contractor</t>
  </si>
  <si>
    <t>EC - Nelson Mandela</t>
  </si>
  <si>
    <t>FS - Fezile Dabi</t>
  </si>
  <si>
    <t>Aurum</t>
  </si>
  <si>
    <t>FS - Motheo/Manguang</t>
  </si>
  <si>
    <t>FS - Xhariep</t>
  </si>
  <si>
    <t>GAU - West Rand</t>
  </si>
  <si>
    <t>J Galt Express</t>
  </si>
  <si>
    <t>KZN - Amajuba</t>
  </si>
  <si>
    <t>KZN - Ilembe</t>
  </si>
  <si>
    <t>NW - DR RS Mompati</t>
  </si>
  <si>
    <t>NC - Frances Baard</t>
  </si>
  <si>
    <t>NC - JT Gaetsewe</t>
  </si>
  <si>
    <t>NC - Namakwa</t>
  </si>
  <si>
    <t>NC - Pixley ka Seme</t>
  </si>
  <si>
    <t>NC - ZF Mqcawu</t>
  </si>
  <si>
    <t>WC - Cape Winelands</t>
  </si>
  <si>
    <t>WC- Central Karoo</t>
  </si>
  <si>
    <t>WC - Eden</t>
  </si>
  <si>
    <t>WC - Overberg</t>
  </si>
  <si>
    <t>WC - West Coast</t>
  </si>
  <si>
    <t>EC - Sarah Baartman</t>
  </si>
  <si>
    <t>EC - Joe Gqabi</t>
  </si>
  <si>
    <t>RightToCare</t>
  </si>
  <si>
    <t>Southern Health</t>
  </si>
  <si>
    <t>KZN - Umzinyathi</t>
  </si>
  <si>
    <t>KZN - Umkhayakude</t>
  </si>
  <si>
    <t>Thathende</t>
  </si>
  <si>
    <t>MP - Gert Sibande</t>
  </si>
  <si>
    <t>JPS Africa</t>
  </si>
  <si>
    <t>Needle Hypoderm.Inj. 21G; L/point</t>
  </si>
  <si>
    <t>Community mobilizer</t>
  </si>
  <si>
    <t>nursing assistant</t>
  </si>
  <si>
    <t>Nursing assistant</t>
  </si>
  <si>
    <t>https://www.gov.za/speeches/minister-thulas-nxesi-hikes-minimum-wage-farmworkers-and-domestic-workers-22-feb-2023-0000</t>
  </si>
  <si>
    <t>Queue marshall</t>
  </si>
  <si>
    <t>EWPW minimum wage</t>
  </si>
  <si>
    <t>Pharmacist Assistant (Basic)</t>
  </si>
  <si>
    <t>Pharmacist assistant</t>
  </si>
  <si>
    <t>Medical officer</t>
  </si>
  <si>
    <t>5102 headcount/month, 4 staff per clinic, 4 visits/client/year</t>
  </si>
  <si>
    <t>5102 headcount/month, 1 staff per clinic, 4 visits/client/year</t>
  </si>
  <si>
    <t>5102 headcount/month, 8 staff per clinic, 4 visits/client/year</t>
  </si>
  <si>
    <t>5102 headcount/month, 16 staff per clinic, 4 visits/client/year</t>
  </si>
  <si>
    <t>5102 headcount/month, 13 staff per clinic, 4 visits/client/year</t>
  </si>
  <si>
    <t>5102 headcount/month, 2 staff per clinic, 4 visits/client/year</t>
  </si>
  <si>
    <t>5102 headcount/month, 4 staff per clinic, 5 visits/client/year</t>
  </si>
  <si>
    <t>5102 headcount/month, 1 staff per clinic, 5 visits/client/year</t>
  </si>
  <si>
    <t>5102 headcount/month, 8 staff per clinic, 5 visits/client/year</t>
  </si>
  <si>
    <t>5102 headcount/month, 16 staff per clinic, 5 visits/client/year</t>
  </si>
  <si>
    <t>5102 headcount/month, 13 staff per clinic, 5 visits/client/year</t>
  </si>
  <si>
    <t>5102 headcount/month, 2 staff per clinic, 5 visits/client/year</t>
  </si>
  <si>
    <t>5102 headcount/month, 4 staff per clinic, 3 visits/client/year</t>
  </si>
  <si>
    <t>5102 headcount/month, 1 staff per clinic, 3 visits/client/year</t>
  </si>
  <si>
    <t>5102 headcount/month, 8 staff per clinic, 3 visits/client/year</t>
  </si>
  <si>
    <t>5102 headcount/month, 16 staff per clinic, 3 visits/client/year</t>
  </si>
  <si>
    <t>5102 headcount/month, 13 staff per clinic, 3 visits/client/year</t>
  </si>
  <si>
    <t>5102 headcount/month, 2 staff per clinic, 3 visits/client/year</t>
  </si>
  <si>
    <t>5102 headcount/month, 4 staff per clinic, 7.54 visits/client/year</t>
  </si>
  <si>
    <t>5102 headcount/month, 1 staff per clinic, 7.54 visits/client/year</t>
  </si>
  <si>
    <t>5102 headcount/month, 8 staff per clinic, 7.54 visits/client/year</t>
  </si>
  <si>
    <t>5102 headcount/month, 16 staff per clinic, 7.54 visits/client/year</t>
  </si>
  <si>
    <t>5102 headcount/month, 13 staff per clinic, 7.54 visits/client/year</t>
  </si>
  <si>
    <t>5102 headcount/month, 2 staff per clinic, 7.54 visits/client/year</t>
  </si>
  <si>
    <t>Linkage officer</t>
  </si>
  <si>
    <t>of similar calibre to linkage officers employed in NGO sector, Gr4 Non-OSD (AIDS healthcare foundation)</t>
  </si>
  <si>
    <t>Psychologist</t>
  </si>
  <si>
    <t>Programme manager</t>
  </si>
  <si>
    <t>Non OSD, G12 N4</t>
  </si>
  <si>
    <t>NVP Suspension; 240 ml, 1ml/day (LBW) for 6 weeks</t>
  </si>
  <si>
    <t>NVP suspension first 6 weeks (LBW)</t>
  </si>
  <si>
    <t>NVP suspension first 6 weeks (NBW)</t>
  </si>
  <si>
    <t>NVP Suspension; 240 ml, 1.5ml/day (NBW) for 6 weeks</t>
  </si>
  <si>
    <t>NVP suspension first 3 months</t>
  </si>
  <si>
    <t>NVP suspension last 9 months</t>
  </si>
  <si>
    <t>NVP Suspension; 240 ml, 8ml/day (NBW) for 9 months</t>
  </si>
  <si>
    <t>NVP Suspension; 240 ml, 5ml/day (NBW) for 3 months</t>
  </si>
  <si>
    <t>per dose</t>
  </si>
  <si>
    <t>Personal communication (Hasina Sebudar contact point, price from Leonard from Pop Council)</t>
  </si>
  <si>
    <t>Used in ingredient costing directly?</t>
  </si>
  <si>
    <t>2023/24 CG business plans. Steve Cohen personal communication</t>
  </si>
  <si>
    <t>GF Grant Portfolio Budget 2022 (Steve's Cohen personal communication)</t>
  </si>
  <si>
    <t>GF Grant Portfolio Budget 2022 (Steve Cohen personal communication)</t>
  </si>
  <si>
    <t xml:space="preserve">Updated costs for Long L, Girdwood S, Govender K, Meyer-Rath G, Miot J: Cost and outcomes of routine HIV care and treatment: A comparison of public and private delivery models covering low-income earners in South Africa. Preprint available under DOI: https://doi.org/10.21203/rs.3.rs-960517/v1    </t>
  </si>
  <si>
    <t>&lt;-duration assumption</t>
  </si>
  <si>
    <t>Testing at 6 months</t>
  </si>
  <si>
    <t>Non OSD, G2 N11</t>
  </si>
  <si>
    <t>HTS</t>
  </si>
  <si>
    <t>HIVST kit</t>
  </si>
  <si>
    <t>Weighted avg from RT41-2020 amend6, oral and blood</t>
  </si>
  <si>
    <t>Months-&gt;</t>
  </si>
  <si>
    <t>Other (full service cost items)</t>
  </si>
  <si>
    <t>per patient day</t>
  </si>
  <si>
    <t>Expenditure per patient day equivalent (district hospitals)</t>
  </si>
  <si>
    <t>Expenditure per PDE</t>
  </si>
  <si>
    <t>Inpatient care (pre-ART; &lt;100 cells/microl)</t>
  </si>
  <si>
    <t>Inpatient care (pre-ART; 100-199 cells/microl)</t>
  </si>
  <si>
    <t>Inpatient care (pre-ART; &gt;350 cells/microl)</t>
  </si>
  <si>
    <t>Meyer Rath 2013</t>
  </si>
  <si>
    <t>Full service</t>
  </si>
  <si>
    <t>per patient year in cohort</t>
  </si>
  <si>
    <t>Inpatient care (ART; &lt;100 cells/microl)</t>
  </si>
  <si>
    <t>Inpatient care (ART; 100-199 cells/microl)</t>
  </si>
  <si>
    <t>Inpatient care (ART; &gt;350 cells/microl)</t>
  </si>
  <si>
    <t>Full service cost- do not have this breakdown</t>
  </si>
  <si>
    <t>24.50 GBP (email from Hasina, official letter from GSK), 1 GBP = 1.22 USD (on 02 Nov 2023)</t>
  </si>
  <si>
    <t>Retention Intervention (slim)</t>
  </si>
  <si>
    <t>POC VL testing</t>
  </si>
  <si>
    <t>GeneXpert CAPEX II</t>
  </si>
  <si>
    <t>Reagent (GX HIV Viral load)</t>
  </si>
  <si>
    <t>Warranty (GeneXpert CAPEX II)</t>
  </si>
  <si>
    <t>POCT coordinator</t>
  </si>
  <si>
    <t>https://www.ncbi.nlm.nih.gov/pmc/articles/PMC7700965/pdf/main.pdf</t>
  </si>
  <si>
    <t>GX Consumables</t>
  </si>
  <si>
    <t>EQA (GX, NHLS)</t>
  </si>
  <si>
    <t>Support travel (GX, NHLS)</t>
  </si>
  <si>
    <t>Support equipment (GX, NHLS)</t>
  </si>
  <si>
    <t>Lab manager (GX, NHLS)</t>
  </si>
  <si>
    <t xml:space="preserve">Medium volumes=60% used </t>
  </si>
  <si>
    <t>https://www.stoptb.org/sites/default/files/gdf_diagnostics_medical_devices_other_health_products_catalog_0.pdf</t>
  </si>
  <si>
    <t>Equipment cost for IV module with laptop</t>
  </si>
  <si>
    <t>per machine</t>
  </si>
  <si>
    <t>per setup</t>
  </si>
  <si>
    <t>Upfront payment so no need to depreciate</t>
  </si>
  <si>
    <r>
      <t xml:space="preserve">Unit </t>
    </r>
    <r>
      <rPr>
        <b/>
        <sz val="11"/>
        <color rgb="FFFF0000"/>
        <rFont val="Calibri"/>
        <family val="2"/>
        <scheme val="minor"/>
      </rPr>
      <t xml:space="preserve"> </t>
    </r>
  </si>
  <si>
    <t>Cost per intervention</t>
  </si>
  <si>
    <t>Source of unit cost</t>
  </si>
  <si>
    <t>Cost year (original source)</t>
  </si>
  <si>
    <t>Source of quantity</t>
  </si>
  <si>
    <t>Description (optional)</t>
  </si>
  <si>
    <t>Cost from source</t>
  </si>
  <si>
    <t>Equipment life years (if applicable)</t>
  </si>
  <si>
    <t>Scale parameter (eg. used to scale annual cost to a monthly cost, or monthly to per minute)</t>
  </si>
  <si>
    <t>Cost Unit (adjusted for scale)</t>
  </si>
  <si>
    <t>per 100 swabs</t>
  </si>
  <si>
    <t>HIVST (STAR)</t>
  </si>
  <si>
    <t>Source for inclusion in intervention</t>
  </si>
  <si>
    <t>3750 patients per year</t>
  </si>
  <si>
    <t>1 Programme manager at 20% FTE; 1920 contacts pa</t>
  </si>
  <si>
    <t>1 supervisor; 1920 contacts pa</t>
  </si>
  <si>
    <t>20 CSW reached pa; 240 contacts pa</t>
  </si>
  <si>
    <t>80% or CSW reached get tested. Oversees 80 tests per day; 9435 tests pa</t>
  </si>
  <si>
    <t>80% of CSW get tested. 8 clients tested per day; 3145 tests pa</t>
  </si>
  <si>
    <t>1920 contacts pa</t>
  </si>
  <si>
    <t>Assumption, distribution in kids</t>
  </si>
  <si>
    <t>4200 public facilities, % of facilities with this cadre</t>
  </si>
  <si>
    <t>Meyer Rath 2013, (mean cost per stay in 2009USD)/1460*(mean length of stay)*((No. of hospitalisations)/(patient years))</t>
  </si>
  <si>
    <t>160 contacts pm, Company car</t>
  </si>
  <si>
    <t xml:space="preserve"> 2024-05-02</t>
  </si>
  <si>
    <t xml:space="preserve"> 2024-04-30</t>
  </si>
  <si>
    <t xml:space="preserve"> 2024-04-29</t>
  </si>
  <si>
    <t xml:space="preserve"> 2024-04-26</t>
  </si>
  <si>
    <t xml:space="preserve"> 2024-04-25</t>
  </si>
  <si>
    <t xml:space="preserve"> 2024-04-24</t>
  </si>
  <si>
    <t xml:space="preserve"> 2024-04-23</t>
  </si>
  <si>
    <t xml:space="preserve"> 2024-04-22</t>
  </si>
  <si>
    <t xml:space="preserve"> 2024-04-19</t>
  </si>
  <si>
    <t xml:space="preserve"> 2024-04-18</t>
  </si>
  <si>
    <t xml:space="preserve"> 2024-04-17</t>
  </si>
  <si>
    <t xml:space="preserve"> 2024-04-16</t>
  </si>
  <si>
    <t xml:space="preserve"> 2024-04-15</t>
  </si>
  <si>
    <t xml:space="preserve"> 2024-04-12</t>
  </si>
  <si>
    <t xml:space="preserve"> 2024-04-11</t>
  </si>
  <si>
    <t xml:space="preserve"> 2024-04-10</t>
  </si>
  <si>
    <t xml:space="preserve"> 2024-04-09</t>
  </si>
  <si>
    <t xml:space="preserve"> 2024-04-08</t>
  </si>
  <si>
    <t xml:space="preserve"> 2024-04-05</t>
  </si>
  <si>
    <t xml:space="preserve"> 2024-04-04</t>
  </si>
  <si>
    <t xml:space="preserve"> 2024-04-03</t>
  </si>
  <si>
    <t xml:space="preserve"> 2024-04-02</t>
  </si>
  <si>
    <t xml:space="preserve"> 2024-03-28</t>
  </si>
  <si>
    <t xml:space="preserve"> 2024-03-27</t>
  </si>
  <si>
    <t xml:space="preserve"> 2024-03-26</t>
  </si>
  <si>
    <t xml:space="preserve"> 2024-03-25</t>
  </si>
  <si>
    <t xml:space="preserve"> 2024-03-22</t>
  </si>
  <si>
    <t xml:space="preserve"> 2024-03-20</t>
  </si>
  <si>
    <t xml:space="preserve"> 2024-03-19</t>
  </si>
  <si>
    <t xml:space="preserve"> 2024-03-18</t>
  </si>
  <si>
    <t xml:space="preserve"> 2024-03-15</t>
  </si>
  <si>
    <t xml:space="preserve"> 2024-03-14</t>
  </si>
  <si>
    <t xml:space="preserve"> 2024-03-13</t>
  </si>
  <si>
    <t xml:space="preserve"> 2024-03-12</t>
  </si>
  <si>
    <t xml:space="preserve"> 2024-03-11</t>
  </si>
  <si>
    <t xml:space="preserve"> 2024-03-08</t>
  </si>
  <si>
    <t xml:space="preserve"> 2024-03-07</t>
  </si>
  <si>
    <t xml:space="preserve"> 2024-03-06</t>
  </si>
  <si>
    <t xml:space="preserve"> 2024-03-05</t>
  </si>
  <si>
    <t xml:space="preserve"> 2024-03-04</t>
  </si>
  <si>
    <t xml:space="preserve"> 2024-03-01</t>
  </si>
  <si>
    <t xml:space="preserve"> 2024-02-29</t>
  </si>
  <si>
    <t xml:space="preserve"> 2024-02-28</t>
  </si>
  <si>
    <t xml:space="preserve"> 2024-02-27</t>
  </si>
  <si>
    <t xml:space="preserve"> 2024-02-26</t>
  </si>
  <si>
    <t xml:space="preserve"> 2024-02-23</t>
  </si>
  <si>
    <t xml:space="preserve"> 2024-02-22</t>
  </si>
  <si>
    <t xml:space="preserve"> 2024-02-21</t>
  </si>
  <si>
    <t xml:space="preserve"> 2024-02-20</t>
  </si>
  <si>
    <t xml:space="preserve"> 2024-02-19</t>
  </si>
  <si>
    <t xml:space="preserve"> 2024-02-16</t>
  </si>
  <si>
    <t xml:space="preserve"> 2024-02-15</t>
  </si>
  <si>
    <t xml:space="preserve"> 2024-02-14</t>
  </si>
  <si>
    <t xml:space="preserve"> 2024-02-13</t>
  </si>
  <si>
    <t xml:space="preserve"> 2024-02-12</t>
  </si>
  <si>
    <t xml:space="preserve"> 2024-02-09</t>
  </si>
  <si>
    <t xml:space="preserve"> 2024-02-08</t>
  </si>
  <si>
    <t xml:space="preserve"> 2024-02-07</t>
  </si>
  <si>
    <t xml:space="preserve"> 2024-02-06</t>
  </si>
  <si>
    <t xml:space="preserve"> 2024-02-05</t>
  </si>
  <si>
    <t xml:space="preserve"> 2024-02-02</t>
  </si>
  <si>
    <t xml:space="preserve"> 2024-02-01</t>
  </si>
  <si>
    <t xml:space="preserve"> 2024-01-31</t>
  </si>
  <si>
    <t xml:space="preserve"> 2024-01-30</t>
  </si>
  <si>
    <t xml:space="preserve"> 2024-01-29</t>
  </si>
  <si>
    <t xml:space="preserve"> 2024-01-26</t>
  </si>
  <si>
    <t xml:space="preserve"> 2024-01-25</t>
  </si>
  <si>
    <t xml:space="preserve"> 2024-01-24</t>
  </si>
  <si>
    <t xml:space="preserve"> 2024-01-23</t>
  </si>
  <si>
    <t xml:space="preserve"> 2024-01-22</t>
  </si>
  <si>
    <t xml:space="preserve"> 2024-01-19</t>
  </si>
  <si>
    <t xml:space="preserve"> 2024-01-18</t>
  </si>
  <si>
    <t xml:space="preserve"> 2024-01-17</t>
  </si>
  <si>
    <t xml:space="preserve"> 2024-01-16</t>
  </si>
  <si>
    <t xml:space="preserve"> 2024-01-15</t>
  </si>
  <si>
    <t xml:space="preserve"> 2024-01-12</t>
  </si>
  <si>
    <t xml:space="preserve"> 2024-01-11</t>
  </si>
  <si>
    <t xml:space="preserve"> 2024-01-10</t>
  </si>
  <si>
    <t xml:space="preserve"> 2024-01-09</t>
  </si>
  <si>
    <t xml:space="preserve"> 2024-01-08</t>
  </si>
  <si>
    <t xml:space="preserve"> 2024-01-05</t>
  </si>
  <si>
    <t xml:space="preserve"> 2024-01-04</t>
  </si>
  <si>
    <t xml:space="preserve"> 2024-01-03</t>
  </si>
  <si>
    <t xml:space="preserve"> 2024-01-02</t>
  </si>
  <si>
    <t>https://knowledgehub.health.gov.za/system/files/elibdownloads/2023-04/PPQ24.2022%2520Dolutegravir%252010mg%2520dispersible%2520Tablet%252C%252030%2520Tablets.pdf</t>
  </si>
  <si>
    <t xml:space="preserve"> </t>
  </si>
  <si>
    <t xml:space="preserve">Only 50mg avaible </t>
  </si>
  <si>
    <t>Master Procurement Circular May 2024</t>
  </si>
  <si>
    <t>Scepter Solutions</t>
  </si>
  <si>
    <t>Bokamosa Social Upliftment</t>
  </si>
  <si>
    <t>Southern Health Foundation</t>
  </si>
  <si>
    <t>Innovo Mobile Healthcare</t>
  </si>
  <si>
    <t>Lister Health</t>
  </si>
  <si>
    <t>Sunrise Medical Centre</t>
  </si>
  <si>
    <t>Lammatjstji Trading Enerprise</t>
  </si>
  <si>
    <t xml:space="preserve">April 2024 Salary scale </t>
  </si>
  <si>
    <t>https://www.psira.co.za/dmdocuments/Illustrative%20Costing%20Guideline%202024-2025%20AREA%201%20and%202.pdf</t>
  </si>
  <si>
    <t>https://www.gov.za/news/media-statements/government-activities/minister-thulas-nxesi-announces-national-minimum-wage</t>
  </si>
  <si>
    <t>https://www.treasury.gov.za/divisions/ocpo/ostb/contracts/RT35-1-2023.zip</t>
  </si>
  <si>
    <t>Number of MMCs in 10+ year olds</t>
  </si>
  <si>
    <t>Sarah Girdwood, https://www.ncbi.nlm.nih.gov/pmc/articles/PMC7700965/pdf/main.pdf</t>
  </si>
  <si>
    <t>https://www.makro.co.za/stationery-office-furniture/office-electronics/telephones-fax-machines/corded-phones/corded-telephones/qualitel-corded-phone/p/000000000000246452_EA</t>
  </si>
  <si>
    <t>https://www.health.gov.za/wp-content/uploads/2024/04/HP12-2023LQ-CPA-Add-4-12-Effective-1-May-2024.pdf</t>
  </si>
  <si>
    <t>https://www.treasury.gov.za/divisions/ocpo/ostb/contracts/RT76-2023%20CPA%20Amendment%204-%20Effective%2001%20May%202024.pdf</t>
  </si>
  <si>
    <t>https://www.treasury.gov.za/divisions/ocpo/ostb/contracts/RT284-2023.zip</t>
  </si>
  <si>
    <t>https://www.makro.co.za/stationery-office-furniture/paper-filing/paper/white-paper/a3-paper/typek-a3-office-paper-80-gsm/p/000000000000877929_EA</t>
  </si>
  <si>
    <t>https://www.treasury.gov.za/divisions/ocpo/ostb/contracts/RT41-1-2020%20CPA%20Addendum%205.pdf</t>
  </si>
  <si>
    <t>https://www.hst.org.za/publications/District%20Health%20Barometers/District%20Health%20Barometer_Complete%20Book_March.pdf</t>
  </si>
  <si>
    <t>EFV 200mg</t>
  </si>
  <si>
    <t>EFV 50mg</t>
  </si>
  <si>
    <t>EFV 600mg</t>
  </si>
  <si>
    <t>ETR 100mg</t>
  </si>
  <si>
    <t>RTV 100mg</t>
  </si>
  <si>
    <t>DRV/r 400mg</t>
  </si>
  <si>
    <t>DRV 150mg</t>
  </si>
  <si>
    <t>DRV 600mg</t>
  </si>
  <si>
    <t>NVP 200mg</t>
  </si>
  <si>
    <t>DRV 10mg</t>
  </si>
  <si>
    <t>LPV/r 100mg</t>
  </si>
  <si>
    <t>LPV/r 200mg</t>
  </si>
  <si>
    <t>LPV/r 40mg</t>
  </si>
  <si>
    <t>NVP syrup 100ml</t>
  </si>
  <si>
    <t>NVP syrup 240ml</t>
  </si>
  <si>
    <t>ABC syrup 240ml</t>
  </si>
  <si>
    <t>LPV/r syrup 60ml</t>
  </si>
  <si>
    <t>3TC syrup 240ml</t>
  </si>
  <si>
    <t>RAL 100mg</t>
  </si>
  <si>
    <t>RAL 25mg</t>
  </si>
  <si>
    <t>RAL 400mg</t>
  </si>
  <si>
    <t>ATV 300mg</t>
  </si>
  <si>
    <t>ATV 200mg</t>
  </si>
  <si>
    <t>TDF/FTC</t>
  </si>
  <si>
    <t>(duplicate)</t>
  </si>
  <si>
    <t>3TC/AZT</t>
  </si>
  <si>
    <t>AZT 100mg</t>
  </si>
  <si>
    <t>AZT 300mg</t>
  </si>
  <si>
    <t>AZT syrup 200ml</t>
  </si>
  <si>
    <t>TDF 300mg</t>
  </si>
  <si>
    <t>28 tablets a month</t>
  </si>
  <si>
    <t>2x28=56 tablets a month</t>
  </si>
  <si>
    <t>ATV/r 300mg</t>
  </si>
  <si>
    <t>200mg 1 tablet STAT in labour</t>
  </si>
  <si>
    <t>300mg/300mg 1 tablet STAT in labour</t>
  </si>
  <si>
    <t>300mg 4 tablets STAT in labour</t>
  </si>
  <si>
    <t>RTV susp 100mg</t>
  </si>
  <si>
    <t>ABC/3TC/DTG</t>
  </si>
  <si>
    <t>ABC/3TC 600mg</t>
  </si>
  <si>
    <t>ABC/3TC/DTG (tablets, kids 10-14)</t>
  </si>
  <si>
    <t>ABC/3TC + LPV/r (tablets, kids 10-14)</t>
  </si>
  <si>
    <t>TDF/FTC + LPV/r (Adults)</t>
  </si>
  <si>
    <t>PrEP regimen</t>
  </si>
  <si>
    <t xml:space="preserve">PEP regimen (TDF+3TC+ATV/r) </t>
  </si>
  <si>
    <t>ABC/3TC 120mg</t>
  </si>
  <si>
    <t>per ml</t>
  </si>
  <si>
    <t>mother not on life-long ART (9m preg, 12m bf)</t>
  </si>
  <si>
    <t>Peer navigator for HIV treatment</t>
  </si>
  <si>
    <t>Peer navigator</t>
  </si>
  <si>
    <t>Minimum wage</t>
  </si>
  <si>
    <t>https://pubmed.ncbi.nlm.nih.gov/38489491/</t>
  </si>
  <si>
    <t>3 months salary, 19 patients per PN</t>
  </si>
  <si>
    <t>10% of time for 3 months</t>
  </si>
  <si>
    <t>PN printing/copying</t>
  </si>
  <si>
    <t>per client</t>
  </si>
  <si>
    <t>https://doi.org/10.1097/qai.0000000000003371</t>
  </si>
  <si>
    <t>PN office supplies</t>
  </si>
  <si>
    <t>PN SMS service</t>
  </si>
  <si>
    <t>PN telephone</t>
  </si>
  <si>
    <t>as per manuscript</t>
  </si>
  <si>
    <t>PN facility costs</t>
  </si>
  <si>
    <t>PN per diem</t>
  </si>
  <si>
    <t>Male urethritis syndrome OR scrotal swelling</t>
  </si>
  <si>
    <t>Ceftriaxone 250mg</t>
  </si>
  <si>
    <t>Azithromycin 500mg 2 tablets</t>
  </si>
  <si>
    <t>bond paper</t>
  </si>
  <si>
    <t>STI symptom screen every visit</t>
  </si>
  <si>
    <t>Pelvic Exam for symptomatic</t>
  </si>
  <si>
    <t>MUS prevalence (Rebe, 2015)</t>
  </si>
  <si>
    <t>1 page, 3-monthly visit STI screen form</t>
  </si>
  <si>
    <t>per vial</t>
  </si>
  <si>
    <t>per dose (1g)</t>
  </si>
  <si>
    <t>TDF/3TC/DTG</t>
  </si>
  <si>
    <t>TDF/FTC/EFV</t>
  </si>
  <si>
    <t>Men's clinics for HIV treatment (STI component only)</t>
  </si>
  <si>
    <t>CAB-LA Young women</t>
  </si>
  <si>
    <t>CAB-LA FSW</t>
  </si>
  <si>
    <t>CAB-LA Young men</t>
  </si>
  <si>
    <t>CAB-LA MSM</t>
  </si>
  <si>
    <t xml:space="preserve"> 2024-07-30</t>
  </si>
  <si>
    <t xml:space="preserve"> 2024-07-29</t>
  </si>
  <si>
    <t xml:space="preserve"> 2024-07-26</t>
  </si>
  <si>
    <t xml:space="preserve"> 2024-07-25</t>
  </si>
  <si>
    <t xml:space="preserve"> 2024-07-24</t>
  </si>
  <si>
    <t xml:space="preserve"> 2024-07-23</t>
  </si>
  <si>
    <t xml:space="preserve"> 2024-07-22</t>
  </si>
  <si>
    <t xml:space="preserve"> 2024-07-19</t>
  </si>
  <si>
    <t xml:space="preserve"> 2024-07-18</t>
  </si>
  <si>
    <t xml:space="preserve"> 2024-07-17</t>
  </si>
  <si>
    <t xml:space="preserve"> 2024-07-16</t>
  </si>
  <si>
    <t xml:space="preserve"> 2024-07-15</t>
  </si>
  <si>
    <t xml:space="preserve"> 2024-07-12</t>
  </si>
  <si>
    <t xml:space="preserve"> 2024-07-11</t>
  </si>
  <si>
    <t xml:space="preserve"> 2024-07-10</t>
  </si>
  <si>
    <t xml:space="preserve"> 2024-07-09</t>
  </si>
  <si>
    <t xml:space="preserve"> 2024-07-08</t>
  </si>
  <si>
    <t xml:space="preserve"> 2024-07-05</t>
  </si>
  <si>
    <t xml:space="preserve"> 2024-07-04</t>
  </si>
  <si>
    <t xml:space="preserve"> 2024-07-03</t>
  </si>
  <si>
    <t xml:space="preserve"> 2024-07-02</t>
  </si>
  <si>
    <t xml:space="preserve"> 2024-07-01</t>
  </si>
  <si>
    <t xml:space="preserve"> 2024-06-28</t>
  </si>
  <si>
    <t xml:space="preserve"> 2024-06-27</t>
  </si>
  <si>
    <t xml:space="preserve"> 2024-06-26</t>
  </si>
  <si>
    <t xml:space="preserve"> 2024-06-25</t>
  </si>
  <si>
    <t xml:space="preserve"> 2024-06-24</t>
  </si>
  <si>
    <t xml:space="preserve"> 2024-06-21</t>
  </si>
  <si>
    <t xml:space="preserve"> 2024-06-20</t>
  </si>
  <si>
    <t xml:space="preserve"> 2024-06-19</t>
  </si>
  <si>
    <t xml:space="preserve"> 2024-06-18</t>
  </si>
  <si>
    <t xml:space="preserve"> 2024-06-14</t>
  </si>
  <si>
    <t xml:space="preserve"> 2024-06-13</t>
  </si>
  <si>
    <t xml:space="preserve"> 2024-06-12</t>
  </si>
  <si>
    <t xml:space="preserve"> 2024-06-11</t>
  </si>
  <si>
    <t xml:space="preserve"> 2024-06-10</t>
  </si>
  <si>
    <t xml:space="preserve"> 2024-06-07</t>
  </si>
  <si>
    <t xml:space="preserve"> 2024-06-06</t>
  </si>
  <si>
    <t xml:space="preserve"> 2024-06-05</t>
  </si>
  <si>
    <t xml:space="preserve"> 2024-06-04</t>
  </si>
  <si>
    <t xml:space="preserve"> 2024-06-03</t>
  </si>
  <si>
    <t xml:space="preserve"> 2024-05-31</t>
  </si>
  <si>
    <t xml:space="preserve"> 2024-05-30</t>
  </si>
  <si>
    <t xml:space="preserve"> 2024-05-28</t>
  </si>
  <si>
    <t xml:space="preserve"> 2024-05-27</t>
  </si>
  <si>
    <t xml:space="preserve"> 2024-05-24</t>
  </si>
  <si>
    <t xml:space="preserve"> 2024-05-23</t>
  </si>
  <si>
    <t xml:space="preserve"> 2024-05-22</t>
  </si>
  <si>
    <t xml:space="preserve"> 2024-05-21</t>
  </si>
  <si>
    <t xml:space="preserve"> 2024-05-20</t>
  </si>
  <si>
    <t xml:space="preserve"> 2024-05-17</t>
  </si>
  <si>
    <t xml:space="preserve"> 2024-05-16</t>
  </si>
  <si>
    <t xml:space="preserve"> 2024-05-15</t>
  </si>
  <si>
    <t xml:space="preserve"> 2024-05-14</t>
  </si>
  <si>
    <t xml:space="preserve"> 2024-05-13</t>
  </si>
  <si>
    <t xml:space="preserve"> 2024-05-10</t>
  </si>
  <si>
    <t xml:space="preserve"> 2024-05-09</t>
  </si>
  <si>
    <t xml:space="preserve"> 2024-05-08</t>
  </si>
  <si>
    <t xml:space="preserve"> 2024-05-07</t>
  </si>
  <si>
    <t xml:space="preserve"> 2024-05-06</t>
  </si>
  <si>
    <t xml:space="preserve"> 2024-05-03</t>
  </si>
  <si>
    <t>ART with POCVL Adults (1st line 1st year)</t>
  </si>
  <si>
    <t>ART with POCVL Adults (1st line followup)</t>
  </si>
  <si>
    <t>ART with POCVL Adults (2nd line followup)</t>
  </si>
  <si>
    <t>Population</t>
  </si>
  <si>
    <t>Cost per admission (2024 ZAR)</t>
  </si>
  <si>
    <t>Cost per admission (2024 USD)</t>
  </si>
  <si>
    <t>mean length of hospital stay (days)*</t>
  </si>
  <si>
    <t>*Source: Meyer-Rath 2013</t>
  </si>
  <si>
    <t>ART with POCVL Paeds Kids 10-14 (1st year)</t>
  </si>
  <si>
    <t>ART with POCVL Paeds Kids 10-14 (followup)</t>
  </si>
  <si>
    <t>ART with POCVL Paeds Kids &lt;1</t>
  </si>
  <si>
    <t>ART with POCVL Paeds Kids 1-2 (1st year)</t>
  </si>
  <si>
    <t>ART with POCVL Paeds Kids 1-2 (followup)</t>
  </si>
  <si>
    <t>ART with POCVL Paeds Kids 3-5 (1st year)</t>
  </si>
  <si>
    <t>ART with POCVL Paeds Kids 3-5 (followup)</t>
  </si>
  <si>
    <t>ART with POCVL Paeds Kids 6-9 (1st year)</t>
  </si>
  <si>
    <t>ART with POCVL Paeds Kids 6-9 (followup)</t>
  </si>
  <si>
    <t>ART Paeds Kids &lt;1</t>
  </si>
  <si>
    <t>ART Paeds Kids 1-2 (1st year)</t>
  </si>
  <si>
    <t>ART Paeds Kids 1-2 (followup)</t>
  </si>
  <si>
    <t>ART Paeds Kids 3-5 (1st year)</t>
  </si>
  <si>
    <t>ART Paeds Kids 3-5 (followup)</t>
  </si>
  <si>
    <t>ART Paeds Kids 6-9 (1st year)</t>
  </si>
  <si>
    <t>ART Paeds Kids 6-9 (followup)</t>
  </si>
  <si>
    <t>ART Paeds Kids 10-14 (1st year)</t>
  </si>
  <si>
    <t>ART Paeds Kids 10-14 (followup)</t>
  </si>
  <si>
    <t xml:space="preserve">ART with POCVL Paeds Neonates </t>
  </si>
  <si>
    <t>STI screening and management (all visits during a year, 3 monthly)</t>
  </si>
  <si>
    <t>Initiation</t>
  </si>
  <si>
    <t>3-monthly follow-up</t>
  </si>
  <si>
    <t>Month 1 follow-up</t>
  </si>
  <si>
    <t>Months on programme:</t>
  </si>
  <si>
    <t>they get a 3-monthy supply from Month 1 onwards</t>
  </si>
  <si>
    <t>Provincial strategic implementation plans (Steve Cohen, personal communication)</t>
  </si>
  <si>
    <t>Assumed - 3 months</t>
  </si>
  <si>
    <t>Assumed - 9 months</t>
  </si>
  <si>
    <t>PMTCT guidelines</t>
  </si>
  <si>
    <t>1 per person</t>
  </si>
  <si>
    <t>Assumed 1 per person circumcised</t>
  </si>
  <si>
    <t>www.nature.com/articles/s41598-019-49109-w</t>
  </si>
  <si>
    <t>Assumed</t>
  </si>
  <si>
    <t>NDOH personal communication</t>
  </si>
  <si>
    <t>1 swab * HIV prevalence</t>
  </si>
  <si>
    <t>1 pair * HIV prevalence</t>
  </si>
  <si>
    <t>1 swab * HIV incidence</t>
  </si>
  <si>
    <t>1 pair * HIV incidence</t>
  </si>
  <si>
    <t>3-monthy supply from Month 1 onwards</t>
  </si>
  <si>
    <t>per month dispensed (multiplied by number of months above)</t>
  </si>
  <si>
    <t>1 pair per person</t>
  </si>
  <si>
    <t>1 Month supply on initiation</t>
  </si>
  <si>
    <t>1 swab per person</t>
  </si>
  <si>
    <t>1 per person per visit</t>
  </si>
  <si>
    <t>1 pair per person per visit</t>
  </si>
  <si>
    <t>3-monthly dispensing per person per visit</t>
  </si>
  <si>
    <t>Gloves (non-sterile)</t>
  </si>
  <si>
    <t>Unit Cost (2024 ZAR)</t>
  </si>
  <si>
    <t>Unit cost (2024 USD)</t>
  </si>
  <si>
    <t>All AIDS deaths</t>
  </si>
  <si>
    <t>Price per circumcision</t>
  </si>
  <si>
    <t xml:space="preserve"> Lise Jamieson, Khumo Modiba, Gesine Meyer-Rath</t>
  </si>
  <si>
    <t>Queries: gesine@bu.edu</t>
  </si>
  <si>
    <t>Suggested citation:</t>
  </si>
  <si>
    <t xml:space="preserve"> Jamieson L, Modiba K, Meyer-Rath G (2024) National HIV Unit Cost Model, South Africa. Health Economics and Epidemiology Research Office, University of the Witwatersrand, Johannesburg.</t>
  </si>
  <si>
    <t>Adults on ART in 20% of clinics (high demand clinics)</t>
  </si>
  <si>
    <t>Combination prevention package service provision through outreach to FSW</t>
  </si>
  <si>
    <t>for PMTCT</t>
  </si>
  <si>
    <t>Adult first line</t>
  </si>
  <si>
    <t>Adult second line</t>
  </si>
  <si>
    <t>for ART (first line)</t>
  </si>
  <si>
    <t>for ART (second line)</t>
  </si>
  <si>
    <t>for prevention</t>
  </si>
  <si>
    <t>Full service charge as per tender</t>
  </si>
  <si>
    <t>Pre-test counselling, 1 form for counselling</t>
  </si>
  <si>
    <t>Pre test counselling, consent form</t>
  </si>
  <si>
    <t>Pre-test counselling, consent form</t>
  </si>
  <si>
    <t>consent form</t>
  </si>
  <si>
    <t>ART adults starting ART on first line in given year</t>
  </si>
  <si>
    <t>ART adults in years following starting ART</t>
  </si>
  <si>
    <t>ART adults on second line ART</t>
  </si>
  <si>
    <t>Paediatric ART, first month of birth (as per ART guidelines)</t>
  </si>
  <si>
    <t>Peadiatric ART, starting ART at ages 1-2 yrs</t>
  </si>
  <si>
    <t>Paediatric ART in first year of life (after first month)</t>
  </si>
  <si>
    <t>Peadiatric ART, in year after initiation at ages 1-2 yrs</t>
  </si>
  <si>
    <t>Peadiatric ART, in year after initiation at ages 3-5 yrs</t>
  </si>
  <si>
    <t>Peadiatric ART, starting ART at ages 3-5 yrs</t>
  </si>
  <si>
    <t>Peadiatric ART, starting ART at ages 6-9 yrs</t>
  </si>
  <si>
    <t>Peadiatric ART, in year after initiation at ages 6-9 yrs</t>
  </si>
  <si>
    <t>Peadiatric ART, in year after initiation at ages 10-14 yrs</t>
  </si>
  <si>
    <t>Peadiatric ART, starting ART at ages 10-14 yrs</t>
  </si>
  <si>
    <t>As ART costs above, but replacing PCR-based VL with point-of-care GeneXpert testing</t>
  </si>
  <si>
    <t>National ART cost model (Meyer Rath)</t>
  </si>
  <si>
    <t>HIV+ pregnant women diagnosed at birth</t>
  </si>
  <si>
    <t>PCR HIV testing of infants at birth</t>
  </si>
  <si>
    <t>Testing at 10 weeks</t>
  </si>
  <si>
    <t>PCR HIV testing of infants at 10 weeks of age</t>
  </si>
  <si>
    <t>PCR HIV testing of infants at 6 months of age</t>
  </si>
  <si>
    <t>General HTS (negative)</t>
  </si>
  <si>
    <t>General HTS (positive)</t>
  </si>
  <si>
    <t>HTS counsellor training</t>
  </si>
  <si>
    <t>Adolscent testing = school-based testing in HTS CEA</t>
  </si>
  <si>
    <t>HTS in the general population, negative test</t>
  </si>
  <si>
    <t>HTS in the general population, positive test</t>
  </si>
  <si>
    <t>Antenatal Care HIV testing, positive test</t>
  </si>
  <si>
    <t>Antenatal Care HIV testing, negative test</t>
  </si>
  <si>
    <t>https://doi.org/10.1038/s41598-019-49109-w</t>
  </si>
  <si>
    <t>Partner notification, negative test</t>
  </si>
  <si>
    <t>Partner notification, positive test</t>
  </si>
  <si>
    <t>Provider-initiated testing and counselling, negative test</t>
  </si>
  <si>
    <t>Provider-initiated testing and counselling, positive test</t>
  </si>
  <si>
    <t>Community-based mobile HIV testing, negative test</t>
  </si>
  <si>
    <t>Community-based mobile HIV testing, positive test</t>
  </si>
  <si>
    <t>Home-based HIV testing, negative test</t>
  </si>
  <si>
    <t>Home-based HIV testing, positive test</t>
  </si>
  <si>
    <t>HIV self-testing, fixed point modality</t>
  </si>
  <si>
    <t>HIV self-testing, taxi ranks/transport hubs modality</t>
  </si>
  <si>
    <t>HIV self-testing, secondary distribution to partners of ANC clients</t>
  </si>
  <si>
    <t>HIV self-testing, secondary distribution to partners of index cases</t>
  </si>
  <si>
    <t>HIV self-testing, workplace distribution</t>
  </si>
  <si>
    <t>HIV self-testing, general primary healthcare clinics</t>
  </si>
  <si>
    <t>Survivors of sexual assault (estimated from rate of crimes in general population)</t>
  </si>
  <si>
    <t>Based on the staff contingent of the PEPFAR surge, Siyenza programme scaled to all PHCs in South Africa</t>
  </si>
  <si>
    <t>Adult men on ART served by men's clinics (cost of ART already accounted for in ART costs above)</t>
  </si>
  <si>
    <t>ART naïve and defaulters (CD4 &lt;200)</t>
  </si>
  <si>
    <t>ART naïve and defaulters (CD4 200-349)</t>
  </si>
  <si>
    <t>ART naïve and defaulters (CD4 350-499)</t>
  </si>
  <si>
    <t>ART naïve and defaulters (CD4 &gt;=500)</t>
  </si>
  <si>
    <t>Applied to adults on ART, at feasible maximum coverage of this intervention</t>
  </si>
  <si>
    <t>Costs fixed; from Pharmaceutical Services Unit</t>
  </si>
  <si>
    <t>Costs fixed; NDoH 5-year pharmacovigilance plan</t>
  </si>
  <si>
    <t>https://doi.org/10.1038/s41598-019-49109-w; Tabana Operational Vehicle 2016</t>
  </si>
  <si>
    <t>All sex workers</t>
  </si>
  <si>
    <t>U=U messaging (per HIV test)</t>
  </si>
  <si>
    <t>U=U messaging (per person reached)</t>
  </si>
  <si>
    <t>per person reached</t>
  </si>
  <si>
    <t>All males over 15 years testing because of U=U messaging intervention</t>
  </si>
  <si>
    <t>All males over 15 years reached with U=U messaging intervention</t>
  </si>
  <si>
    <t>Weighted average of urban + rural above</t>
  </si>
  <si>
    <t>https://doi.org/10.1038/s41598-019-49109-w 2016 updated</t>
  </si>
  <si>
    <t>&lt;-number of visits for duration assumption</t>
  </si>
  <si>
    <t>Total condoms distributed * 80%</t>
  </si>
  <si>
    <t>Total condoms distributed * 20%</t>
  </si>
  <si>
    <t>Condom distribution in clinics</t>
  </si>
  <si>
    <t>Number of early infant male circumcisions</t>
  </si>
  <si>
    <t>Version 10.1, 1 Apr 2025</t>
  </si>
  <si>
    <t>Unpublished</t>
  </si>
  <si>
    <t>cost of HBC per pt mt, assumed to be 1 mt before death</t>
  </si>
  <si>
    <t>Submitted</t>
  </si>
  <si>
    <t>ART adult (average cost)</t>
  </si>
  <si>
    <t>Average cost estimate of above, weighted by est. population size</t>
  </si>
  <si>
    <t>ART Paed (average cost)</t>
  </si>
  <si>
    <t>Est population size (Thembisa 4.7+)</t>
  </si>
  <si>
    <t>patient id</t>
  </si>
  <si>
    <t>date_ART_start</t>
  </si>
  <si>
    <t>date dispensed</t>
  </si>
  <si>
    <t>medid</t>
  </si>
  <si>
    <t>units dispensed</t>
  </si>
  <si>
    <t>price/unit</t>
  </si>
  <si>
    <t>total cost</t>
  </si>
  <si>
    <t>First year?</t>
  </si>
  <si>
    <t>Average cost per visit for non-ARV drugs in the first year of treatment</t>
  </si>
  <si>
    <t>Total cost</t>
  </si>
  <si>
    <t>Calculated</t>
  </si>
  <si>
    <t>Total visits</t>
  </si>
  <si>
    <t>Girdwood et al (visits in first year)</t>
  </si>
  <si>
    <t>Average cost per visit</t>
  </si>
  <si>
    <t>MPC name</t>
  </si>
  <si>
    <t>Old price 2019</t>
  </si>
  <si>
    <t>Price per unit 2023</t>
  </si>
  <si>
    <t xml:space="preserve">TENOFOVIR 300mg, EMTRICITABINE 200mg, EFAVIRENZ 600mg tablet, 28 tablets  </t>
  </si>
  <si>
    <t>ABACAVIR 600mg and LAMIVUDINE 300mg tablet,  28 tablets (Option 2)</t>
  </si>
  <si>
    <t>Amlodipine 10mg tablet, 28 tablets</t>
  </si>
  <si>
    <t>Amlodipine  5mg tablet, 28 tablets</t>
  </si>
  <si>
    <t>ATAZANAVIR 150mg tablet/capsule, 56  tablets/capsules</t>
  </si>
  <si>
    <t>EFAVIRENZ 600mg tablet, 28 tablets (Option 2)</t>
  </si>
  <si>
    <t>Enalapril 10mg tablet, 28 tablets</t>
  </si>
  <si>
    <t>Hydrochlorothiazide 12,5mg tablet, 28 tablets</t>
  </si>
  <si>
    <t>Hydrochlorothiazide 25mg tablet, 28 tablets</t>
  </si>
  <si>
    <t>Isoniazid 100mg tablet, 28 tablets</t>
  </si>
  <si>
    <t>Isoniazid 300mg tablet, 28 tablets</t>
  </si>
  <si>
    <t xml:space="preserve">LAMIVUDINE 150mg tablet, scored, 56 tablets  </t>
  </si>
  <si>
    <t>LOPINAVIR 200mg and RITONAVIR 50mg film coated tablet, 112 tablets (Option 2)</t>
  </si>
  <si>
    <t>Metformin 850mg tablet, 84 tablets</t>
  </si>
  <si>
    <t>NEVIRAPINE 200mg tablet, 56 tablets (Option 2)</t>
  </si>
  <si>
    <t>Pyrazinamide 500mg tablet, 28 tablets</t>
  </si>
  <si>
    <t>Rifampicin, Ethambutol, Isoniazid and Pyrazinamide 150/400/275/75mg tablet, 112 tablets</t>
  </si>
  <si>
    <t>Rifampicin, Pyrazinamide, Ethambutol and Isoniazid  150/400/275/75mg tablet, 28 tablets</t>
  </si>
  <si>
    <t>Rifampicin, Pyrazinamide, Ethambutol and Isoniazid  150/400/275/75mg tablet, 56 tablets</t>
  </si>
  <si>
    <t>Rifampicin, Pyrazinamide, Ethambutol and Isoniazid  150/400/275/75mg tablet, 84 tablets</t>
  </si>
  <si>
    <t>Rifampicin and Isoniazid 300/150mg tablet, 56 tablets</t>
  </si>
  <si>
    <t>TENOFOVIR 300mg  and EMTRICITABINE 200mg tablet, 28 tablets (Option 2)</t>
  </si>
  <si>
    <t>ZIDOVUDINE 300mg tablet, 56 tablets  (Option 2)</t>
  </si>
  <si>
    <t>Aciclovir 200mg dispersible tablet, 25 dispersible tablets</t>
  </si>
  <si>
    <t>Aciclovir 400mg dispersible tablets, 60 dispersible tablets</t>
  </si>
  <si>
    <t>Amoxicillin and Clavulanic Acid 400mg and 57mg/5ml suspension, 70ml</t>
  </si>
  <si>
    <t>used old price</t>
  </si>
  <si>
    <t>Amoxicillin 125mg/5ml suspension, 100ml</t>
  </si>
  <si>
    <t>Amoxicillin 250mg capsule, 15 capsules</t>
  </si>
  <si>
    <t>Amoxicillin 500mg capsule, 15 capsules</t>
  </si>
  <si>
    <t>Amoxicillin and Clavulanic acid 250/125mg tablet, 15 tablets</t>
  </si>
  <si>
    <t xml:space="preserve">Aqueous BP 100g Gram </t>
  </si>
  <si>
    <t>Aspirin 300mg scored tablet, 14 tablets</t>
  </si>
  <si>
    <t>Atropine, 0.5mg/mL, injection, 1ml</t>
  </si>
  <si>
    <t>Azithromycin 200mg/5ml suspension, 15ml</t>
  </si>
  <si>
    <t>Azithromycin 250mg capsule, 3 capsules</t>
  </si>
  <si>
    <t>Azithromycin 500mg tablet, 2 tablets</t>
  </si>
  <si>
    <t>Azithromycin 500mg tablet, 3 tablets</t>
  </si>
  <si>
    <t xml:space="preserve">Beclomethasone Diproprionate 200mcg 200Dose Inhaler </t>
  </si>
  <si>
    <t xml:space="preserve">Calamine BP 100 mL </t>
  </si>
  <si>
    <t xml:space="preserve">Calcium Carbonate, Glycine 420mg/180mg 168 Tablet </t>
  </si>
  <si>
    <t xml:space="preserve">Calcium Carbonate equ. elem.Ca 500mg 10 Tablet </t>
  </si>
  <si>
    <t xml:space="preserve">Calcium Carbonate equ. elem.Ca 500mg 30 Tablet </t>
  </si>
  <si>
    <t>CALCIUM GLUCONATE 10% M/V INJECTION, 10ML</t>
  </si>
  <si>
    <t>Ceftriaxone 1g injection</t>
  </si>
  <si>
    <t>Ceftriaxone 250mg injection</t>
  </si>
  <si>
    <t>Cetirizine 10mg tablet, 28 tablets</t>
  </si>
  <si>
    <t xml:space="preserve">Chloramphenicol 1% eye ointment, 3.5g </t>
  </si>
  <si>
    <t xml:space="preserve">Chlorhexidine 0.2% 200ml Mouthwash </t>
  </si>
  <si>
    <t xml:space="preserve">Chlorhexidine 1% 50G Gram </t>
  </si>
  <si>
    <t xml:space="preserve">Chlorpheniramine Maleate 2mg/5mL 50 mL </t>
  </si>
  <si>
    <t>Chlorphenamine 4mg tablet, 10 tablets</t>
  </si>
  <si>
    <t>Chlorphenamine 4mg tablet, 30 tablets</t>
  </si>
  <si>
    <t>Ciprofloxacin 500mg tablet, 10 tablets</t>
  </si>
  <si>
    <t xml:space="preserve">Clotrimazole 1% cream, 20g </t>
  </si>
  <si>
    <t>Clotrimazole 500mg vaginal tablet, Unit pack: 1 tablet and applicator</t>
  </si>
  <si>
    <t>Clotrimazole 500mg/50g vaginal cream, Unit pack: 50g tube + 6 applicators</t>
  </si>
  <si>
    <t>Sulfamethoxazole and Trimethoprim  200/40mg per 5ml suspension, 100ml</t>
  </si>
  <si>
    <t>Sulfamethoxazole and Trimethoprim 400/80mg tablet,  28 tablets</t>
  </si>
  <si>
    <t>Sulfamethoxazole and Trimethoprim 400/80mg tablet, 56 tablets</t>
  </si>
  <si>
    <t xml:space="preserve">Emulsifying BP 500g Ointment </t>
  </si>
  <si>
    <t xml:space="preserve">Ferrous salt, providing 50 to 65 mg elemental iron, alone or in combination with other elements/vitamins tablet/capsule, 100 tablets/capsules MCC registration </t>
  </si>
  <si>
    <t xml:space="preserve">Ferrous salt, providing 50 to 65 mg elemental iron, alone or in combination with other elements/vitamins tablet/capsule, 28 tablets/capsules MCC registration </t>
  </si>
  <si>
    <t xml:space="preserve">Ferrous salt, providing 50 to 65 mg elemental iron, alone or in combination with other elements/vitamins tablet/capsule, 56 tablets/capsules MCC registration required </t>
  </si>
  <si>
    <t xml:space="preserve">Ferrous salt, providing 50 to 65 mg elemental iron, alone or in combination with other elements/vitamins tablet/capsule, 84 tablets/capsules MCC registration required </t>
  </si>
  <si>
    <t>Flucloxacillin 250mg capsule, 40 capsules</t>
  </si>
  <si>
    <t>Folic acid 5mg tablet, 28 tablets MCC registration required</t>
  </si>
  <si>
    <t>Furosemide 40mg tablet, 28 tablets</t>
  </si>
  <si>
    <t>Furosemide 40mg tablet, 56 tablets</t>
  </si>
  <si>
    <t xml:space="preserve">Hydrocortisone 1% 20g cream </t>
  </si>
  <si>
    <t>Ibuprofen 200mg tablet, 15 tablets</t>
  </si>
  <si>
    <t>Ibuprofen 400mg tablet, 15 tablets</t>
  </si>
  <si>
    <t xml:space="preserve">Lactulose 3.35g/5ml 150 mL </t>
  </si>
  <si>
    <t>Lansoprazole 30mg capsule, 14 capsules</t>
  </si>
  <si>
    <t>Loperamide 2mg tablet, 6 tablets</t>
  </si>
  <si>
    <t xml:space="preserve">Medroxyprogesterone 5mg 30 Tablet </t>
  </si>
  <si>
    <t xml:space="preserve">Methyl Salicylate 10% 25g Ointment </t>
  </si>
  <si>
    <t>Metoclopramide 10mg tablet, 10 tablets</t>
  </si>
  <si>
    <t>Metoclopramide 5mg/ml injection, 2mL</t>
  </si>
  <si>
    <t>Metronidazole 200mg tablet, 21 tablets</t>
  </si>
  <si>
    <t>Metronidazole 200mg tablet, 28 tablets</t>
  </si>
  <si>
    <t>Metronidazole 200mg/5ml suspension, 100ml</t>
  </si>
  <si>
    <t>Metronidazole 400mg tablet, 14 tablets</t>
  </si>
  <si>
    <t>Metronidazole 400mg tablet, 21 tablets</t>
  </si>
  <si>
    <t>Metronidazole 400mg tablet, 5 tablets</t>
  </si>
  <si>
    <t xml:space="preserve">Oxymetazoline 0.025%. 10ml Nasal Drops </t>
  </si>
  <si>
    <t xml:space="preserve">Oxymetazoline 0.05%. 10ml Nasal Drops </t>
  </si>
  <si>
    <t xml:space="preserve">Paracetamol 120mg/5mL 100 mL </t>
  </si>
  <si>
    <t>Paracetamol 500mg tablet, 20 tablets</t>
  </si>
  <si>
    <t xml:space="preserve">Povidone Iodine 10% 25g Ointment </t>
  </si>
  <si>
    <t>Promethazine 25mg tablet, 100 tablets</t>
  </si>
  <si>
    <t>Simvastatin 10mg tablet, 28 tablets</t>
  </si>
  <si>
    <t xml:space="preserve">Tetracaine 1% 0.5ml x 20 units eye drops </t>
  </si>
  <si>
    <t>Tramadol 50mg capsule/tablet, 20 capsules/tablets</t>
  </si>
  <si>
    <t>VACCINE: INFLUENZA (INACTIVATED) INJECTION; 0,5ML PREFILLED SYRINGE  ANTIGENICITY ACCORDING TO CURRENT MCC REQUIREMENTS.</t>
  </si>
  <si>
    <t xml:space="preserve">Vaccine: Tetanus Toxoid  10dose Vial </t>
  </si>
  <si>
    <t xml:space="preserve">Vitamin B Complex BP 28 Tablet </t>
  </si>
  <si>
    <t>Pyridoxine (Vitamin B6) 25mg tablet, 28 tablets</t>
  </si>
  <si>
    <t xml:space="preserve">Vitamins, Multi  100 mL </t>
  </si>
  <si>
    <t>Price per tablet</t>
  </si>
  <si>
    <t>HP01-2021TB</t>
  </si>
  <si>
    <t>16</t>
  </si>
  <si>
    <t>181810590</t>
  </si>
  <si>
    <t>4-Aminosalicylic Acid; Granules; 30 Sachet (s) (4g)</t>
  </si>
  <si>
    <t>Sachet (4g) (Sachet (s) (4g))</t>
  </si>
  <si>
    <t>Granules</t>
  </si>
  <si>
    <t>4-Aminosalicylic Acid</t>
  </si>
  <si>
    <t>Paser Granules</t>
  </si>
  <si>
    <t>Equity Pharmaceuticals (pty) Ltd</t>
  </si>
  <si>
    <t>V1QZ3</t>
  </si>
  <si>
    <t>J04AA01</t>
  </si>
  <si>
    <t>51281506-00000</t>
  </si>
  <si>
    <t>MAAA0007480</t>
  </si>
  <si>
    <t>e10b5dd9-9440-4de4-816b-5672cfa068a3</t>
  </si>
  <si>
    <t>HP09-2023SD</t>
  </si>
  <si>
    <t>189710142</t>
  </si>
  <si>
    <t>Acetazolamide; 250mg; Tablet; 100 Tablets</t>
  </si>
  <si>
    <t>Acetazolamide</t>
  </si>
  <si>
    <t>Azomid tablet 100's</t>
  </si>
  <si>
    <t>S01EC01</t>
  </si>
  <si>
    <t>51141501-00003</t>
  </si>
  <si>
    <t>75231e89-8442-49c2-b023-cc9c7c8d7e7b</t>
  </si>
  <si>
    <t>189752737</t>
  </si>
  <si>
    <t>Acetazolamide; 250mg; Tablet; 30 Tablets</t>
  </si>
  <si>
    <t>Azomid tablet 30's</t>
  </si>
  <si>
    <t>51141501-00002</t>
  </si>
  <si>
    <t>HP12-2020LQ</t>
  </si>
  <si>
    <t>189714840</t>
  </si>
  <si>
    <t>Acetic Acid; Liquid; 500 ml</t>
  </si>
  <si>
    <t>Liquid</t>
  </si>
  <si>
    <t>Acetic Acid</t>
  </si>
  <si>
    <t>ACETIC ACID, GLACIAL BP</t>
  </si>
  <si>
    <t>Sanichem (pty) Ltd</t>
  </si>
  <si>
    <t>V2RX2</t>
  </si>
  <si>
    <t>G01AD02</t>
  </si>
  <si>
    <t>51471602-00000</t>
  </si>
  <si>
    <t>MAAA0002361</t>
  </si>
  <si>
    <t>6f03eda6-1960-46c5-a14b-9bc219a4dda8</t>
  </si>
  <si>
    <t>189714841</t>
  </si>
  <si>
    <t>Acetone; Liquid; 500 ml</t>
  </si>
  <si>
    <t>Acetone</t>
  </si>
  <si>
    <t>Acetone BP, 500ml</t>
  </si>
  <si>
    <t>V07AY</t>
  </si>
  <si>
    <t>51473901-00000</t>
  </si>
  <si>
    <t>469d8ee5-db18-4c78-8872-bc853a02aa80</t>
  </si>
  <si>
    <t>HP06-2021SVP</t>
  </si>
  <si>
    <t>181915188</t>
  </si>
  <si>
    <t>Acetylcysteine; 200mg/ml; injection; 10 ml</t>
  </si>
  <si>
    <t>injection</t>
  </si>
  <si>
    <t>Acetylcysteine</t>
  </si>
  <si>
    <t>Paradote</t>
  </si>
  <si>
    <t>V03AB23</t>
  </si>
  <si>
    <t>1 x 10 vials</t>
  </si>
  <si>
    <t>51162701-00000</t>
  </si>
  <si>
    <t>fd5ea4db-8789-4ed3-ad10-51e3eb04d6e0</t>
  </si>
  <si>
    <t>181896924</t>
  </si>
  <si>
    <t>Acetylcysteine; 200mg; Tablet, dispersible; 25 Tablets</t>
  </si>
  <si>
    <t>Acc 200 25s</t>
  </si>
  <si>
    <t>Sandoz SA (Pty) Ltd</t>
  </si>
  <si>
    <t>VVZ69</t>
  </si>
  <si>
    <t>51162701-00003</t>
  </si>
  <si>
    <t>MAAA0011663</t>
  </si>
  <si>
    <t>1f8d5cf6-bf02-421a-983f-8ab860676db9</t>
  </si>
  <si>
    <t>HP02-2021AI</t>
  </si>
  <si>
    <t>180256112</t>
  </si>
  <si>
    <t>Aciclovir; 200mg; Tablet, dispersible; 25 Tablets</t>
  </si>
  <si>
    <t>Aciclovir</t>
  </si>
  <si>
    <t>Lovire 200 Tablets</t>
  </si>
  <si>
    <t>RANBAXY PHARMACEUTICALS (PTY) LTD</t>
  </si>
  <si>
    <t>V4728</t>
  </si>
  <si>
    <t>J05AB01</t>
  </si>
  <si>
    <t>HU000036</t>
  </si>
  <si>
    <t>51342309-00001</t>
  </si>
  <si>
    <t>MAAA0000384</t>
  </si>
  <si>
    <t>33b9f280-616b-4ba4-9210-8635a4270c87</t>
  </si>
  <si>
    <t>180075476</t>
  </si>
  <si>
    <t>Aciclovir; 250mg; injection; 1 Injection</t>
  </si>
  <si>
    <t>Injection (Injections)</t>
  </si>
  <si>
    <t>MYLAN ACICLOVIR 250</t>
  </si>
  <si>
    <t>51342309-00000</t>
  </si>
  <si>
    <t>4ba0e987-7466-4d02-bb0f-39bf372f5972</t>
  </si>
  <si>
    <t>180282035</t>
  </si>
  <si>
    <t>Aciclovir; 400mg; Tablet, dispersible; 70 Tablets</t>
  </si>
  <si>
    <t xml:space="preserve">Lovire 400 Tablets </t>
  </si>
  <si>
    <t>51342309-00002</t>
  </si>
  <si>
    <t>7ce8d89d-30a8-4cf8-aa62-183a62d1823d</t>
  </si>
  <si>
    <t>180179717</t>
  </si>
  <si>
    <t>Acitretin; 10mg; Capsule; 30 Capsules</t>
  </si>
  <si>
    <t>Acitretin</t>
  </si>
  <si>
    <t>Neotigason 10mg</t>
  </si>
  <si>
    <t>TEVA PHARMACEUTICALS (PTY) LTD</t>
  </si>
  <si>
    <t>V43G1</t>
  </si>
  <si>
    <t>D05BB02</t>
  </si>
  <si>
    <t>51191913-00002</t>
  </si>
  <si>
    <t>MAAA0842904</t>
  </si>
  <si>
    <t>a299e12f-55dc-4ba3-9a61-1d3ef0ebf438</t>
  </si>
  <si>
    <t>180179725</t>
  </si>
  <si>
    <t>Acitretin; 25mg; Capsule; 30 Capsules</t>
  </si>
  <si>
    <t>Neotigason 25mg</t>
  </si>
  <si>
    <t>51191913-00003</t>
  </si>
  <si>
    <t>0420805d-864e-4a9f-8b5b-8f2a52715043</t>
  </si>
  <si>
    <t>189713765</t>
  </si>
  <si>
    <t>Acriflavine; 0.1%; Emulsion; 100 ml</t>
  </si>
  <si>
    <t>Emulsion</t>
  </si>
  <si>
    <t>Acriflavine</t>
  </si>
  <si>
    <t>Resmed Acriflavine Emulsion</t>
  </si>
  <si>
    <t>Resmed Healthcare Cc</t>
  </si>
  <si>
    <t>VCEJ2</t>
  </si>
  <si>
    <t>R02AA13</t>
  </si>
  <si>
    <t>51471801-00000</t>
  </si>
  <si>
    <t>MAAA0010098</t>
  </si>
  <si>
    <t>8297d844-1264-40d5-a149-c4195064b2e2</t>
  </si>
  <si>
    <t>180373081</t>
  </si>
  <si>
    <t>Adenosine; 6mg/2ml; injection; 2 ml</t>
  </si>
  <si>
    <t>Adenosine</t>
  </si>
  <si>
    <t>ADENOCOR</t>
  </si>
  <si>
    <t>Sanofi-Aventis SA (Pty) Ltd</t>
  </si>
  <si>
    <t>V2160</t>
  </si>
  <si>
    <t>C01EB10</t>
  </si>
  <si>
    <t>51124101-00000</t>
  </si>
  <si>
    <t>MAAA0009069</t>
  </si>
  <si>
    <t>f6f8e3dc-89ad-4ce2-b496-480a91bc3c27</t>
  </si>
  <si>
    <t>181823255</t>
  </si>
  <si>
    <t>Albendazole; 400mg; Tablet; 1 Tablet</t>
  </si>
  <si>
    <t>Albendazole</t>
  </si>
  <si>
    <t>Wormadole</t>
  </si>
  <si>
    <t>Dezzo Trading 392 (Pty) Ltd</t>
  </si>
  <si>
    <t>V05Y6</t>
  </si>
  <si>
    <t>P02CA03</t>
  </si>
  <si>
    <t>51451801-00000</t>
  </si>
  <si>
    <t>MAAA0006141</t>
  </si>
  <si>
    <t>0e916f97-e66f-436a-a7e8-f0332e82f0a5</t>
  </si>
  <si>
    <t>HP10-2023BIO/01</t>
  </si>
  <si>
    <t>189712267</t>
  </si>
  <si>
    <t>Albumin, Human, Normal; 20%; Infusion (parenteral); 100 ml</t>
  </si>
  <si>
    <t>Infusion (parenteral)</t>
  </si>
  <si>
    <t>Albumin, Human, Normal</t>
  </si>
  <si>
    <t>Albusol 20% 100 ml</t>
  </si>
  <si>
    <t>NATIONAL BIOPRODUCTS INSTITUTE NPC</t>
  </si>
  <si>
    <t>VTW85</t>
  </si>
  <si>
    <t>B05AA01</t>
  </si>
  <si>
    <t>51131909-00001</t>
  </si>
  <si>
    <t>MAAA0014635</t>
  </si>
  <si>
    <t>4043a2f3-8e54-4946-943a-338af8fe1408</t>
  </si>
  <si>
    <t>180181282</t>
  </si>
  <si>
    <t>Albumin, Human, Normal; 20%; Infusion (parenteral); 50 ml</t>
  </si>
  <si>
    <t>Albusol 20% 50 ml</t>
  </si>
  <si>
    <t>51131909-00000</t>
  </si>
  <si>
    <t>222001044</t>
  </si>
  <si>
    <t>Alcohol; 75%; Solution; 500 ml</t>
  </si>
  <si>
    <t>Alcohol</t>
  </si>
  <si>
    <t>SteriKleen Hand Rub</t>
  </si>
  <si>
    <t>Barrs Pharmaceuticals Industries (pty) Ltd</t>
  </si>
  <si>
    <t>V4890</t>
  </si>
  <si>
    <t>D08AX08</t>
  </si>
  <si>
    <t>51473901-00004</t>
  </si>
  <si>
    <t>MAAA0024330</t>
  </si>
  <si>
    <t>540f2af7-edf4-48a3-a8c1-e31f15332665</t>
  </si>
  <si>
    <t>180075489</t>
  </si>
  <si>
    <t>Alfentanil; 1mg/2ml; injection; 2 ml</t>
  </si>
  <si>
    <t>Alfentanil</t>
  </si>
  <si>
    <t>Rapifen 2ml</t>
  </si>
  <si>
    <t>Piramal Critical Care South Africa (Pty) Ltd</t>
  </si>
  <si>
    <t>VFPD3</t>
  </si>
  <si>
    <t>N01AH02</t>
  </si>
  <si>
    <t>5 x 2ml amps</t>
  </si>
  <si>
    <t>51273001-00000</t>
  </si>
  <si>
    <t>MAAA0655823</t>
  </si>
  <si>
    <t>a22e517b-692c-46ca-b98b-ffa677c0686a</t>
  </si>
  <si>
    <t>180105006</t>
  </si>
  <si>
    <t>Allopurinol; 100mg; Tablet; 100 Tablets</t>
  </si>
  <si>
    <t>Allopurinol</t>
  </si>
  <si>
    <t>Zorikos 100</t>
  </si>
  <si>
    <t>Forrester Pharma (Pty) Ltd</t>
  </si>
  <si>
    <t>V3UR7</t>
  </si>
  <si>
    <t>M04AA01</t>
  </si>
  <si>
    <t>51192001-00002</t>
  </si>
  <si>
    <t>MAAA0090397</t>
  </si>
  <si>
    <t>5b1a12d5-e4d8-46aa-afa1-bc7dd1d67543</t>
  </si>
  <si>
    <t>181923347</t>
  </si>
  <si>
    <t>Allopurinol; 100mg; Tablet; 28 Tablets</t>
  </si>
  <si>
    <t>51192001-00000</t>
  </si>
  <si>
    <t>Austell Allopurinol 100</t>
  </si>
  <si>
    <t>Austell Pharmaceuticals (Pty) Ltd</t>
  </si>
  <si>
    <t>V1A10</t>
  </si>
  <si>
    <t>721623-003</t>
  </si>
  <si>
    <t>MAAA0034946</t>
  </si>
  <si>
    <t>15</t>
  </si>
  <si>
    <t>222001079</t>
  </si>
  <si>
    <t>Allopurinol; 100mg; Tablet; 60 Tablets</t>
  </si>
  <si>
    <t>51192001-00001</t>
  </si>
  <si>
    <t>180339396</t>
  </si>
  <si>
    <t>Allopurinol; 300mg; Tablet; 30 Tablets</t>
  </si>
  <si>
    <t>Adco-Allopurinol tablets 300mg 30's</t>
  </si>
  <si>
    <t>51192001-00005</t>
  </si>
  <si>
    <t>70bf58bf-ec33-4657-922d-158c87f53138</t>
  </si>
  <si>
    <t>Austell Allopurinol 300</t>
  </si>
  <si>
    <t>721624-002</t>
  </si>
  <si>
    <t>189714591</t>
  </si>
  <si>
    <t>Alprazolam; 0.5mg; Tablet; 30 Tablets</t>
  </si>
  <si>
    <t>Alprazolam</t>
  </si>
  <si>
    <t>BIOZANE 0.5MG TABLTS 30'S</t>
  </si>
  <si>
    <t>Biotech Laboratories (Pty) Ltd</t>
  </si>
  <si>
    <t>VUV35</t>
  </si>
  <si>
    <t>N05BA12</t>
  </si>
  <si>
    <t>TER</t>
  </si>
  <si>
    <t>51401505-00000</t>
  </si>
  <si>
    <t>MAAA0029826</t>
  </si>
  <si>
    <t>60659cd7-981c-4090-b0c7-6cb0be53472e</t>
  </si>
  <si>
    <t>180075498</t>
  </si>
  <si>
    <t>Alprostadil; 500mcg/ml; injection; 1 ml</t>
  </si>
  <si>
    <t>Alprostadil</t>
  </si>
  <si>
    <t>Prostin VR 0.5mg/ml INJ 1ml</t>
  </si>
  <si>
    <t>Pfizer Laboratories (Pty) Ltd</t>
  </si>
  <si>
    <t>V2189</t>
  </si>
  <si>
    <t>G04BE01</t>
  </si>
  <si>
    <t>51413301-00000</t>
  </si>
  <si>
    <t>MAAA0019202</t>
  </si>
  <si>
    <t>7c7c1d61-b784-4550-9394-43afe6a65d6c</t>
  </si>
  <si>
    <t>HP06-2021SVP/01</t>
  </si>
  <si>
    <t>180189601</t>
  </si>
  <si>
    <t>Alteplase; 50mg; injection; 1 Injection</t>
  </si>
  <si>
    <t>Alteplase</t>
  </si>
  <si>
    <t>Actilyse 50mg</t>
  </si>
  <si>
    <t>Ingelheim Pharmaceuticals (pty) Ltd</t>
  </si>
  <si>
    <t>VH649</t>
  </si>
  <si>
    <t>B01AD02</t>
  </si>
  <si>
    <t>1 x 1</t>
  </si>
  <si>
    <t>51412702-00000</t>
  </si>
  <si>
    <t>MAAA0079325</t>
  </si>
  <si>
    <t>1a71921d-2533-4adf-95bd-e4c774bb9853</t>
  </si>
  <si>
    <t>189714733</t>
  </si>
  <si>
    <t>Aluminium hydroxide; 300mg/5ml; Suspension; 500 ml</t>
  </si>
  <si>
    <t>Aluminium hydroxide</t>
  </si>
  <si>
    <t>Resmed Aluminium Hydroxide Gel B.P.</t>
  </si>
  <si>
    <t>A02AB01</t>
  </si>
  <si>
    <t>51171511-00000</t>
  </si>
  <si>
    <t>17d3b896-1999-4601-83b9-f5a73b0dde73</t>
  </si>
  <si>
    <t>189710390</t>
  </si>
  <si>
    <t>Amantadine; 100mg; Capsule; 20 Capsules</t>
  </si>
  <si>
    <t>Amantadine</t>
  </si>
  <si>
    <t>Symmetrel 100mg</t>
  </si>
  <si>
    <t>Novartis SA (Pty) Ltd</t>
  </si>
  <si>
    <t>VBVW2</t>
  </si>
  <si>
    <t>N04BB01</t>
  </si>
  <si>
    <t>51142517-00000</t>
  </si>
  <si>
    <t>MAAA0006317</t>
  </si>
  <si>
    <t>27b7111c-987d-4d2e-82ae-ea34259416fa</t>
  </si>
  <si>
    <t>189708790</t>
  </si>
  <si>
    <t>Amikacin Sulph; 100mg/2ml; injection; 2 ml</t>
  </si>
  <si>
    <t>Amikacin Sulph</t>
  </si>
  <si>
    <t>Amikacin Fresenius 100 mg/2 ml</t>
  </si>
  <si>
    <t>FRESENIUS KABI SOUTH AFRICA (PTY) LTD</t>
  </si>
  <si>
    <t>VAJL3</t>
  </si>
  <si>
    <t>J01GB06</t>
  </si>
  <si>
    <t>51281627-00000</t>
  </si>
  <si>
    <t>MAAA0007374</t>
  </si>
  <si>
    <t>231f8015-e87e-4086-a51b-cc62e4da0338</t>
  </si>
  <si>
    <t>189708789</t>
  </si>
  <si>
    <t>Amikacin Sulph; 250mg/2ml; injection; 2 ml</t>
  </si>
  <si>
    <t>AMIKACIN FRESENIUS 250mg/2 ml</t>
  </si>
  <si>
    <t>51281627-00001</t>
  </si>
  <si>
    <t>0ea89857-9b39-4fc6-a513-1f7111af5278</t>
  </si>
  <si>
    <t>189708024</t>
  </si>
  <si>
    <t>Amikacin Sulph; 500mg/2ml; injection; 2 ml</t>
  </si>
  <si>
    <t>Amikacin Fresenius 500 mg/2 ml</t>
  </si>
  <si>
    <t>51281627-00002</t>
  </si>
  <si>
    <t>a91108c7-8461-4716-83c4-c12f5bdf1834</t>
  </si>
  <si>
    <t>189700102</t>
  </si>
  <si>
    <t>Aminophylline; 250mg/10ml; injection; 10 ml</t>
  </si>
  <si>
    <t>Aminophylline</t>
  </si>
  <si>
    <t>SABAX AMINOPHYLLINE IV 10ML</t>
  </si>
  <si>
    <t>Adcock Ingram Critical Care (Pty) Ltd</t>
  </si>
  <si>
    <t>V4222</t>
  </si>
  <si>
    <t>R03DA05</t>
  </si>
  <si>
    <t>51391602-00002</t>
  </si>
  <si>
    <t>MAAA0010153</t>
  </si>
  <si>
    <t>de5a59db-b568-4206-9f4b-4a41ca92cd50</t>
  </si>
  <si>
    <t>180075509</t>
  </si>
  <si>
    <t>Amiodarone; 150mg/3ml; injection; 3 ml</t>
  </si>
  <si>
    <t>Amiodarone</t>
  </si>
  <si>
    <t>CORDARONE X IV</t>
  </si>
  <si>
    <t>C01BD01</t>
  </si>
  <si>
    <t>51123601-00000</t>
  </si>
  <si>
    <t>7b62fbee-0531-4825-82d2-2e29caaf10f7</t>
  </si>
  <si>
    <t>189710641</t>
  </si>
  <si>
    <t>Amiodarone; 200mg; Tablet; 30 Tablets</t>
  </si>
  <si>
    <t>BIO-AMIODARONE 200MG TABLETS 30S</t>
  </si>
  <si>
    <t>51123601-00002</t>
  </si>
  <si>
    <t>e88e8e38-455c-4f76-930d-036ef5a36cd1</t>
  </si>
  <si>
    <t>181807812</t>
  </si>
  <si>
    <t>Amisulpride; 200mg; Tablet; 30 Tablets</t>
  </si>
  <si>
    <t>Amisulpride</t>
  </si>
  <si>
    <t>SOLIAN 200MG TAB 30</t>
  </si>
  <si>
    <t>N05AL05</t>
  </si>
  <si>
    <t>241476568104Y044</t>
  </si>
  <si>
    <t>51331701-00003</t>
  </si>
  <si>
    <t>706ae29e-ffed-4237-9c16-33cc6bc30ee0</t>
  </si>
  <si>
    <t>181807811</t>
  </si>
  <si>
    <t>Amisulpride; 50mg; Tablet; 30 Tablets</t>
  </si>
  <si>
    <t>SOLIAN 50MG TAB 30</t>
  </si>
  <si>
    <t>241476556104Y033</t>
  </si>
  <si>
    <t>51331701-00002</t>
  </si>
  <si>
    <t>db4fb24a-cd83-4c69-9c19-560735024c50</t>
  </si>
  <si>
    <t>189710133</t>
  </si>
  <si>
    <t>Amitriptyline; 10mg; Tablet; 100 Tablets</t>
  </si>
  <si>
    <t>Amitriptyline</t>
  </si>
  <si>
    <t>TREPILINE 10MG TAB SEC 100</t>
  </si>
  <si>
    <t>N06AA09</t>
  </si>
  <si>
    <t>51293002-00001</t>
  </si>
  <si>
    <t>67f7c43e-f3a0-4f6e-89ff-af3980d3c870</t>
  </si>
  <si>
    <t>180339402</t>
  </si>
  <si>
    <t>Amitriptyline; 10mg; Tablet; 28 Tablets</t>
  </si>
  <si>
    <t>Austel Amitriptyline 10mg 28's</t>
  </si>
  <si>
    <t>51293002-00000</t>
  </si>
  <si>
    <t>189760812</t>
  </si>
  <si>
    <t>Amitriptyline; 25mg; Tablet; 100 Tablets</t>
  </si>
  <si>
    <t>Amitriptyline HCL 25 KIARA (Formerly Sandoz Amitriptyline 25mg)</t>
  </si>
  <si>
    <t>Kiara Health (Pty) Ltd</t>
  </si>
  <si>
    <t>VSTP3</t>
  </si>
  <si>
    <t>51293002-00002</t>
  </si>
  <si>
    <t>MAAA0537011</t>
  </si>
  <si>
    <t>ef873406-c15b-431c-b25e-9ae9e767880d</t>
  </si>
  <si>
    <t>189711829</t>
  </si>
  <si>
    <t>Amitriptyline; 25mg; Tablet; 28 Tablets</t>
  </si>
  <si>
    <t>TREPILINE 25MG TAB B/BAG 28</t>
  </si>
  <si>
    <t>51293002-00003</t>
  </si>
  <si>
    <t>GULF AMITRIPTYLINE 25</t>
  </si>
  <si>
    <t>Gulf Drug Company (Pty) Ltd</t>
  </si>
  <si>
    <t>VTS03</t>
  </si>
  <si>
    <t>MAAA0009791</t>
  </si>
  <si>
    <t>189711830</t>
  </si>
  <si>
    <t>Amitriptyline; 25mg; Tablet; 56 Tablets</t>
  </si>
  <si>
    <t>TREPILINE 25MG TAB B/BAG 56</t>
  </si>
  <si>
    <t>51293002-00004</t>
  </si>
  <si>
    <t>189711831</t>
  </si>
  <si>
    <t>Amitriptyline; 25mg; Tablet; 84 Tablets</t>
  </si>
  <si>
    <t>TREPILINE 25MG TAB B/BAG 84</t>
  </si>
  <si>
    <t>51293002-00005</t>
  </si>
  <si>
    <t>181936074</t>
  </si>
  <si>
    <t>Amlodipine; 10mg; Tablet; 28 Tablets</t>
  </si>
  <si>
    <t>Amlodipine</t>
  </si>
  <si>
    <t>Ciplavasc 10</t>
  </si>
  <si>
    <t>Cipla Medpro Manufacturing (Pty) Ltd</t>
  </si>
  <si>
    <t>VS2P5</t>
  </si>
  <si>
    <t>C08CA01</t>
  </si>
  <si>
    <t>51433902-00003</t>
  </si>
  <si>
    <t>MAAA1168386</t>
  </si>
  <si>
    <t>79c05160-ed3e-4c38-b740-853c6408b943</t>
  </si>
  <si>
    <t>Amlodipine Dezzo 10</t>
  </si>
  <si>
    <t>Austell Amlodipine 10mg</t>
  </si>
  <si>
    <t>29</t>
  </si>
  <si>
    <t>181936075</t>
  </si>
  <si>
    <t>Amlodipine; 5mg; Tablet; 28 Tablets</t>
  </si>
  <si>
    <t>Ciplavasc 5</t>
  </si>
  <si>
    <t>51433902-00002</t>
  </si>
  <si>
    <t>1c38c670-e853-4e26-a712-5e6bdb06d4cc</t>
  </si>
  <si>
    <t>Austell Amlodipine 5mg</t>
  </si>
  <si>
    <t>Amlodipine 5 Unimed</t>
  </si>
  <si>
    <t>Unimed Healthcare (Pty) Ltd</t>
  </si>
  <si>
    <t>V92D6</t>
  </si>
  <si>
    <t>MAAA0444639</t>
  </si>
  <si>
    <t>180057867</t>
  </si>
  <si>
    <t>Amoxicillin, Clavulanic Acid; 1,000mg, 200mg; injection; 1 Injection</t>
  </si>
  <si>
    <t>Amoxicillin, Clavulanic Acid</t>
  </si>
  <si>
    <t xml:space="preserve">Sandoz Co-amoxyclav 1,2 g/20 ml </t>
  </si>
  <si>
    <t>J01CR02</t>
  </si>
  <si>
    <t>10 x 10</t>
  </si>
  <si>
    <t>51282101-00008</t>
  </si>
  <si>
    <t>c8b57477-7fac-435f-ab20-d68cda9cc374</t>
  </si>
  <si>
    <t>180002781</t>
  </si>
  <si>
    <t>Amoxicillin, Clavulanic Acid; 125mg/5ml, 31.25mg/5ml; Suspension; 100 ml</t>
  </si>
  <si>
    <t>Sandoz Co-Amox S 156mg</t>
  </si>
  <si>
    <t>51282101-00001</t>
  </si>
  <si>
    <t>1d8fd80f-1d75-43a4-bf52-74c1e9e573f5</t>
  </si>
  <si>
    <t>Auro-Amoxiclav 125 - 31,25 mg/5 ml</t>
  </si>
  <si>
    <t>189714965</t>
  </si>
  <si>
    <t>Amoxicillin, Clavulanic Acid; 250mg, 125mg; Tablet; 15 Tablets</t>
  </si>
  <si>
    <t>Auro Amoxiclav 375 mg</t>
  </si>
  <si>
    <t>713381-001</t>
  </si>
  <si>
    <t>51282101-00004</t>
  </si>
  <si>
    <t>b4ba567d-6133-40fb-9701-042fc7cd8ed7</t>
  </si>
  <si>
    <t>Austell Co-Amoxiclav 375mg</t>
  </si>
  <si>
    <t>180002786</t>
  </si>
  <si>
    <t>Amoxicillin, Clavulanic Acid; 250mg/5ml, 62.5mg/5ml; Suspension; 100 ml</t>
  </si>
  <si>
    <t>Auro-Amoxiclav 250 - 62,5 mg/5 ml</t>
  </si>
  <si>
    <t>51282101-00002</t>
  </si>
  <si>
    <t>43d1bff5-7952-482e-adc1-56dd999dc8d6</t>
  </si>
  <si>
    <t>Sandoz Co-amoxyclav SF 312mg</t>
  </si>
  <si>
    <t>180158719</t>
  </si>
  <si>
    <t>Amoxicillin, Clavulanic Acid; 500mg, 100mg; injection; 1 Injection</t>
  </si>
  <si>
    <t xml:space="preserve">Sandoz Co-amoxyclav 0,6 g/20 ml </t>
  </si>
  <si>
    <t>51282101-00007</t>
  </si>
  <si>
    <t>f1a6b324-48ba-40c7-a767-8200141de68d</t>
  </si>
  <si>
    <t>181854324</t>
  </si>
  <si>
    <t>Amoxicillin, Clavulanic Acid; 875mg, 125mg; Tablet; 10 Tablets</t>
  </si>
  <si>
    <t xml:space="preserve">Auro Amoxiclav 1000 mg </t>
  </si>
  <si>
    <t>713383-001</t>
  </si>
  <si>
    <t>51282101-00006</t>
  </si>
  <si>
    <t>a0216075-cff4-4544-8df1-af98afbda79f</t>
  </si>
  <si>
    <t>Ranclav 1g Tab</t>
  </si>
  <si>
    <t>HU000051</t>
  </si>
  <si>
    <t>222000960</t>
  </si>
  <si>
    <t>Amoxicillin/Clavulanic Acid; 600mg/42.9mg; Suspension; 100 ml</t>
  </si>
  <si>
    <t>Amoxicillin/Clavulanic Acid</t>
  </si>
  <si>
    <t>Austell Co Amoxiclav ES 600</t>
  </si>
  <si>
    <t>51282101-00000</t>
  </si>
  <si>
    <t>9c537c2d-7e09-4ccf-88a9-c3466a783353</t>
  </si>
  <si>
    <t>189704685</t>
  </si>
  <si>
    <t>Amoxicillin; 125mg/5ml; Suspension; 100 ml</t>
  </si>
  <si>
    <t>Amoxicillin</t>
  </si>
  <si>
    <t>Allmox S 125 mg/ 5 ml Suspension</t>
  </si>
  <si>
    <t>J01CA04</t>
  </si>
  <si>
    <t>51281702-00003</t>
  </si>
  <si>
    <t>03a2cce5-41f6-44bd-8703-0bfef13ba2a2</t>
  </si>
  <si>
    <t>AMYN S 125</t>
  </si>
  <si>
    <t>Amoxicillin 125 mg/5 ml Suspension Unimed</t>
  </si>
  <si>
    <t>189706340</t>
  </si>
  <si>
    <t>Amoxicillin; 250mg/5ml; Suspension; 100 ml</t>
  </si>
  <si>
    <t>Allmox SF 250</t>
  </si>
  <si>
    <t>51281702-00004</t>
  </si>
  <si>
    <t>66a708a8-817c-4c3c-868d-222ead4308b4</t>
  </si>
  <si>
    <t>AMYN SF 250</t>
  </si>
  <si>
    <t>Amoxicillin 250 mg/5 ml Suspension Unimed</t>
  </si>
  <si>
    <t>11</t>
  </si>
  <si>
    <t>189710338</t>
  </si>
  <si>
    <t>Amoxicillin; 250mg; Capsule; 100 Capsules</t>
  </si>
  <si>
    <t>Allmox 250 Capsules</t>
  </si>
  <si>
    <t>51281702-00006</t>
  </si>
  <si>
    <t>29fac439-776f-4d36-91fe-74e700fafe09</t>
  </si>
  <si>
    <t>180198245</t>
  </si>
  <si>
    <t>Amoxicillin; 250mg; Capsule; 15 Capsules</t>
  </si>
  <si>
    <t>MOXYMAX 250</t>
  </si>
  <si>
    <t>51281702-00005</t>
  </si>
  <si>
    <t>Indo Amoxycillin 250</t>
  </si>
  <si>
    <t>189710500</t>
  </si>
  <si>
    <t>Amoxicillin; 500mg; Capsule; 100 Capsules</t>
  </si>
  <si>
    <t>Ultramox 500</t>
  </si>
  <si>
    <t>OETHMAAN BIOSIMS (PTY) LTD</t>
  </si>
  <si>
    <t>V91P2</t>
  </si>
  <si>
    <t>51281702-00002</t>
  </si>
  <si>
    <t>MAAA0437774</t>
  </si>
  <si>
    <t>3906efe0-b8dd-4279-af5d-d487b1e168c5</t>
  </si>
  <si>
    <t>180292354</t>
  </si>
  <si>
    <t>Amoxicillin; 500mg; Capsule; 15 Capsules</t>
  </si>
  <si>
    <t>Allmox 500 capsules</t>
  </si>
  <si>
    <t>51281702-00007</t>
  </si>
  <si>
    <t>MOXYMAX 500</t>
  </si>
  <si>
    <t>Indo Amoxycillin 500</t>
  </si>
  <si>
    <t>189702886</t>
  </si>
  <si>
    <t>Ampicillin; 250mg; injection; 1 Injection</t>
  </si>
  <si>
    <t>Ampicillin</t>
  </si>
  <si>
    <t>AMPICILLIN FRESENIUS 250 mg</t>
  </si>
  <si>
    <t>J01CA01</t>
  </si>
  <si>
    <t>51281716-00000</t>
  </si>
  <si>
    <t>e0728b2b-41d5-47c3-b57e-1d672a79dac7</t>
  </si>
  <si>
    <t>Ampicillin 250 Injection Unimed</t>
  </si>
  <si>
    <t>189702887</t>
  </si>
  <si>
    <t>Ampicillin; 500mg; injection; 1 Injection</t>
  </si>
  <si>
    <t>Auro Ampicillin Injection 500 mg</t>
  </si>
  <si>
    <t>51281716-00001</t>
  </si>
  <si>
    <t>f82f1913-13d2-411c-a752-3edf398340ed</t>
  </si>
  <si>
    <t>Ampicillin 500 Injection Unimed</t>
  </si>
  <si>
    <t>HP04-2022ONC</t>
  </si>
  <si>
    <t>222001259</t>
  </si>
  <si>
    <t>Anastrozole; 1mg; Tablet; 28 Tablets</t>
  </si>
  <si>
    <t>Anastrozole</t>
  </si>
  <si>
    <t>Medivision Anastrozole 1</t>
  </si>
  <si>
    <t>Medivision (Pty) Ltd</t>
  </si>
  <si>
    <t>V20D5</t>
  </si>
  <si>
    <t>L02BG03</t>
  </si>
  <si>
    <t>51111875-00000</t>
  </si>
  <si>
    <t>MAAA0002347</t>
  </si>
  <si>
    <t>d9686a90-aa61-4703-9efb-c94dc344a355</t>
  </si>
  <si>
    <t>HP08-2020SSP</t>
  </si>
  <si>
    <t>189711199</t>
  </si>
  <si>
    <t>Aqueous; Cream; 100 g</t>
  </si>
  <si>
    <t>g (g)</t>
  </si>
  <si>
    <t>Cream</t>
  </si>
  <si>
    <t>Aqueous</t>
  </si>
  <si>
    <t>Barrs Aqueous cream BP</t>
  </si>
  <si>
    <t>D02AC</t>
  </si>
  <si>
    <t>51241927-00001</t>
  </si>
  <si>
    <t>6f22991c-d556-4fa4-bac4-2002e8d72643</t>
  </si>
  <si>
    <t>189715110</t>
  </si>
  <si>
    <t>Aqueous; Cream; 500 g</t>
  </si>
  <si>
    <t>51241927-00000</t>
  </si>
  <si>
    <t>181807310</t>
  </si>
  <si>
    <t>Aripiprazole; 10mg; Tablet; 30 Tablets</t>
  </si>
  <si>
    <t>Aripiprazole</t>
  </si>
  <si>
    <t>Hetarip 10</t>
  </si>
  <si>
    <t>N05AX12</t>
  </si>
  <si>
    <t>51294403-00001</t>
  </si>
  <si>
    <t>7de24389-4711-4d8e-8422-9d6a9275c3a7</t>
  </si>
  <si>
    <t>181807313</t>
  </si>
  <si>
    <t>Aripiprazole; 15mg; Tablet; 30 Tablets</t>
  </si>
  <si>
    <t xml:space="preserve">Radzil 15 mg </t>
  </si>
  <si>
    <t>Macleods Pharmaceuticals SA (Pty) Ltd</t>
  </si>
  <si>
    <t>V3PJ1</t>
  </si>
  <si>
    <t>51294403-00002</t>
  </si>
  <si>
    <t>MAAA0007167</t>
  </si>
  <si>
    <t>d34f7048-7144-4522-b98c-5075fa69b0ec</t>
  </si>
  <si>
    <t>181869812</t>
  </si>
  <si>
    <t>Aripiprazole; 5mg; Tablet; 30 Tablets</t>
  </si>
  <si>
    <t xml:space="preserve">Radzil 5 mg </t>
  </si>
  <si>
    <t>51294403-00000</t>
  </si>
  <si>
    <t>5a993fec-c5a3-4682-b976-b01207a59452</t>
  </si>
  <si>
    <t>180958902</t>
  </si>
  <si>
    <t>Artemether, Lumefantrine; 20mg, 120mg; Tablet; 24 Tablets</t>
  </si>
  <si>
    <t>Artemether, Lumefantrine</t>
  </si>
  <si>
    <t>Coartem</t>
  </si>
  <si>
    <t>P01BF01</t>
  </si>
  <si>
    <t>51102901-00000</t>
  </si>
  <si>
    <t>a5ddecf0-4cd1-497e-ab6e-93e94267ac31</t>
  </si>
  <si>
    <t>222000949</t>
  </si>
  <si>
    <t>Artesunate; 60mg; injection; 1 Injection</t>
  </si>
  <si>
    <t>Artesunate</t>
  </si>
  <si>
    <t>GARSUN</t>
  </si>
  <si>
    <t>P01BE03</t>
  </si>
  <si>
    <t>51102900-00000</t>
  </si>
  <si>
    <t>f69a2ea3-20be-4b4f-89be-cc6729740ef2</t>
  </si>
  <si>
    <t>222000916</t>
  </si>
  <si>
    <t>Aspirin; 300mg; tablet, scored; 14 Tablets</t>
  </si>
  <si>
    <t>Aspirin</t>
  </si>
  <si>
    <t>Aspirin 300 Unimed</t>
  </si>
  <si>
    <t>B01AC06</t>
  </si>
  <si>
    <t>51385602-00004</t>
  </si>
  <si>
    <t>e51f58ca-21b1-4500-83db-624a591f7941</t>
  </si>
  <si>
    <t>Dr du Toit's Pain Expeller</t>
  </si>
  <si>
    <t>Ipharma (Pty) Ltd</t>
  </si>
  <si>
    <t>V8QU8</t>
  </si>
  <si>
    <t>MAAA0003048</t>
  </si>
  <si>
    <t>Aspirin 300mg scored tablet</t>
  </si>
  <si>
    <t>189714405</t>
  </si>
  <si>
    <t>Aspirin; 300mg; Tablet; 96 Tablets</t>
  </si>
  <si>
    <t>51385602-00005</t>
  </si>
  <si>
    <t>1b38f5e2-23be-42e5-a4e9-f3881e4af00c</t>
  </si>
  <si>
    <t>180192290</t>
  </si>
  <si>
    <t>Atenolol; 100mg; Tablet; 28 Tablets</t>
  </si>
  <si>
    <t>Atenolol</t>
  </si>
  <si>
    <t>ADCO-Atenolol 100MG Tablets 28's</t>
  </si>
  <si>
    <t>C07AB03</t>
  </si>
  <si>
    <t>51263101-00001</t>
  </si>
  <si>
    <t>8d0eeaed-d634-4f8b-bfb4-29c2274366e0</t>
  </si>
  <si>
    <t>222001081</t>
  </si>
  <si>
    <t>Atenolol; 25mg; Tablet; 28 Tablets</t>
  </si>
  <si>
    <t>Tenopress 25mg Tablets</t>
  </si>
  <si>
    <t>51263101-00002</t>
  </si>
  <si>
    <t>5365a5b4-1ed7-4842-9701-a114c044d9c1</t>
  </si>
  <si>
    <t>40</t>
  </si>
  <si>
    <t>189710125</t>
  </si>
  <si>
    <t>Atenolol; 50mg; Tablet; 30 Tablets</t>
  </si>
  <si>
    <t>Adco-Atenolol 50mg tablets 28's</t>
  </si>
  <si>
    <t>51263101-00000</t>
  </si>
  <si>
    <t>f0fc911d-4c9b-4c50-9699-0cddc0c8beb5</t>
  </si>
  <si>
    <t>ATENOLOL 50 ARYA</t>
  </si>
  <si>
    <t>Arya Pharma (Pty) Ltd</t>
  </si>
  <si>
    <t>VF6A8</t>
  </si>
  <si>
    <t>MAAA0717051</t>
  </si>
  <si>
    <t>180142176</t>
  </si>
  <si>
    <t>Atorvastatin; 10mg; Tablet; 28 Tablets</t>
  </si>
  <si>
    <t>Atorvastatin</t>
  </si>
  <si>
    <t>LIPOGEN 10</t>
  </si>
  <si>
    <t>C10AA05</t>
  </si>
  <si>
    <t>51321701-00000</t>
  </si>
  <si>
    <t>420b0cc7-f387-4a8f-a098-1bb07267b24c</t>
  </si>
  <si>
    <t xml:space="preserve">Alipto 10 </t>
  </si>
  <si>
    <t>181798133</t>
  </si>
  <si>
    <t>Atorvastatin; 20mg; Tablet; 30 Tablets</t>
  </si>
  <si>
    <t>VASTOR 20 MG</t>
  </si>
  <si>
    <t>718734-001</t>
  </si>
  <si>
    <t>51321701-00001</t>
  </si>
  <si>
    <t>97ebe769-deaf-4655-bf7d-41ea15d25a6e</t>
  </si>
  <si>
    <t>LIPOGEN 20</t>
  </si>
  <si>
    <t>181859938</t>
  </si>
  <si>
    <t>Atorvastatin; 40mg; Tablet; 30 Tablets</t>
  </si>
  <si>
    <t>LIPOGEN 40</t>
  </si>
  <si>
    <t>51321701-00002</t>
  </si>
  <si>
    <t>2b8b93ae-0d0c-4909-a535-7fc3a4767df5</t>
  </si>
  <si>
    <t>180075518</t>
  </si>
  <si>
    <t>Atracurium; 25mg/2.5ml; injection; 2.5 ml</t>
  </si>
  <si>
    <t>Atracurium</t>
  </si>
  <si>
    <t xml:space="preserve">Tracrium Inj 5x2.5ml </t>
  </si>
  <si>
    <t>M03AC04</t>
  </si>
  <si>
    <t>51152001-00000</t>
  </si>
  <si>
    <t>cf5a11ca-a63b-43c2-9e6b-459bfb7b4283</t>
  </si>
  <si>
    <t>180075520</t>
  </si>
  <si>
    <t>Atracurium; 50mg/5ml; injection; 5 ml</t>
  </si>
  <si>
    <t xml:space="preserve">Tracrium Inj 5x5ml </t>
  </si>
  <si>
    <t>51152001-00003</t>
  </si>
  <si>
    <t>6bfd048e-f6ed-493e-b254-4a67c833c242</t>
  </si>
  <si>
    <t>HP07-2020DAI</t>
  </si>
  <si>
    <t>180087294</t>
  </si>
  <si>
    <t>Atropine; 1%; Drop, Eye; 5 ml</t>
  </si>
  <si>
    <t>Drop (Drops)</t>
  </si>
  <si>
    <t>Drop, Eye</t>
  </si>
  <si>
    <t>Atropine</t>
  </si>
  <si>
    <t>ATROPINE EYE DROPS 5ML</t>
  </si>
  <si>
    <t>S01FA01</t>
  </si>
  <si>
    <t>51151616-00002</t>
  </si>
  <si>
    <t>0fd313c5-3a94-4aa6-8c44-7b900d600e4c</t>
  </si>
  <si>
    <t>189707024</t>
  </si>
  <si>
    <t>Atropine; 1mg/ml; injection; 1 ml</t>
  </si>
  <si>
    <t>ATROPINE SULPHATE FRESENIUS 1.0 mg/1 ml</t>
  </si>
  <si>
    <t>A03BA01</t>
  </si>
  <si>
    <t>10 Amps</t>
  </si>
  <si>
    <t>51151616-00001</t>
  </si>
  <si>
    <t>5de3990a-8a60-4e4d-9b85-ba3432b3290d</t>
  </si>
  <si>
    <t>Pharma-Q Atropine 1mg/1ml</t>
  </si>
  <si>
    <t>Pharma-Q (Pty) Ltd</t>
  </si>
  <si>
    <t>V1NK1</t>
  </si>
  <si>
    <t>MAAA0016762</t>
  </si>
  <si>
    <t>189707023</t>
  </si>
  <si>
    <t>Atropine; 500mcg/ml; injection; 1 ml</t>
  </si>
  <si>
    <t>Pharma-Q Atropine 0.5mg/1ml</t>
  </si>
  <si>
    <t>51151616-00000</t>
  </si>
  <si>
    <t>1522ad56-669a-429b-b5b6-3ef66a90fc8f</t>
  </si>
  <si>
    <t>ATROPINE SULPHATE FRESENIUS 0.5 mg/1 ml</t>
  </si>
  <si>
    <t>16006267000235     </t>
  </si>
  <si>
    <t>189710268</t>
  </si>
  <si>
    <t>Azathioprine; 50mg; Tablet; 100 Tablets</t>
  </si>
  <si>
    <t>Azathioprine</t>
  </si>
  <si>
    <t>AZAMUN 50MG</t>
  </si>
  <si>
    <t xml:space="preserve">Acino Pharma (Pty) Ltd  </t>
  </si>
  <si>
    <t>VGS73</t>
  </si>
  <si>
    <t>L04AX01</t>
  </si>
  <si>
    <t>51203401-00000</t>
  </si>
  <si>
    <t>MAAA0009244</t>
  </si>
  <si>
    <t>7dc13c73-18c3-4b52-9a0a-c82a3000152f</t>
  </si>
  <si>
    <t>181886851</t>
  </si>
  <si>
    <t>Azithromycin; 500mg; Tablet; 2 Tablets</t>
  </si>
  <si>
    <t>Azithromycin</t>
  </si>
  <si>
    <t>Austell Azithromycin 500mg</t>
  </si>
  <si>
    <t>J01FA10</t>
  </si>
  <si>
    <t>51282301-00002</t>
  </si>
  <si>
    <t>3197e81f-56ef-4c26-8398-9ebe56efa4ca</t>
  </si>
  <si>
    <t>AZITHROMYCIN 500 BIOTECH TABS 2</t>
  </si>
  <si>
    <t>180291039</t>
  </si>
  <si>
    <t>Azithromycin; 500mg; Tablet; 3 Tablets</t>
  </si>
  <si>
    <t>AZITHROMYCIN STRIDES</t>
  </si>
  <si>
    <t>KAHMA BIOTECH (Pty) Ltd</t>
  </si>
  <si>
    <t>VB035</t>
  </si>
  <si>
    <t>51282301-00004</t>
  </si>
  <si>
    <t>MAAA0119416</t>
  </si>
  <si>
    <t>AZITHROMYCIN 500 BIOTECH TABS 3</t>
  </si>
  <si>
    <t>189710127</t>
  </si>
  <si>
    <t>Baclofen; 10mg; Tablet; 30 Tablets</t>
  </si>
  <si>
    <t>Baclofen</t>
  </si>
  <si>
    <t>Teva Baclofen 10</t>
  </si>
  <si>
    <t>M03BX01</t>
  </si>
  <si>
    <t>51152017-00000</t>
  </si>
  <si>
    <t>c51e513e-3a0d-4794-80c2-9a03e3e0b6e8</t>
  </si>
  <si>
    <t>189751273</t>
  </si>
  <si>
    <t>Baclofen; 25mg; Tablet; 30 Tablets</t>
  </si>
  <si>
    <t>BACLOFEN 25 BIOTECH 30's</t>
  </si>
  <si>
    <t>51152017-00002</t>
  </si>
  <si>
    <t>fc25d02b-b3a7-4613-a5e5-9213216d7534</t>
  </si>
  <si>
    <t>189712275</t>
  </si>
  <si>
    <t>Balanced Salt; solution, ophthalmic; 15 ml</t>
  </si>
  <si>
    <t>solution, ophthalmic</t>
  </si>
  <si>
    <t>Balanced Salt</t>
  </si>
  <si>
    <t>BSS 15ml</t>
  </si>
  <si>
    <t>Alcon Laboratories (sa) (pty) Ltd</t>
  </si>
  <si>
    <t>V6308</t>
  </si>
  <si>
    <t>S01XA20</t>
  </si>
  <si>
    <t>51241505-00000</t>
  </si>
  <si>
    <t>MAAA0101764</t>
  </si>
  <si>
    <t>726c088b-8e55-4f64-9935-9779b4c3c5f8</t>
  </si>
  <si>
    <t>222001219</t>
  </si>
  <si>
    <t>Balanced Salt; solution, ophthalmic; 500 ml</t>
  </si>
  <si>
    <t>BSS 500ml</t>
  </si>
  <si>
    <t>51241505-00001</t>
  </si>
  <si>
    <t>HP05-2021DI/01</t>
  </si>
  <si>
    <t>222001232</t>
  </si>
  <si>
    <t>Barium Sulfate With Suspending Agent; 4.6%; Suspension; 225 ml</t>
  </si>
  <si>
    <t>Barium Sulfate With Suspending Agent</t>
  </si>
  <si>
    <t>Axim E-Z CAT</t>
  </si>
  <si>
    <t>Africa X-RAY Industrial and Medical</t>
  </si>
  <si>
    <t>VAMA1</t>
  </si>
  <si>
    <t>V08BA01</t>
  </si>
  <si>
    <t>1 x 24</t>
  </si>
  <si>
    <t>51441704-00001</t>
  </si>
  <si>
    <t>MAAA0006679</t>
  </si>
  <si>
    <t>75534367-cb4f-4e3a-a07e-db77721f6d59</t>
  </si>
  <si>
    <t>HP05-2021DI</t>
  </si>
  <si>
    <t>181753063</t>
  </si>
  <si>
    <t>Barium Sulfate With Suspending Agent; 98g/100g; Powder; 340 g</t>
  </si>
  <si>
    <t>Powder</t>
  </si>
  <si>
    <t>AXIM E-Z-HD</t>
  </si>
  <si>
    <t>51441704-00000</t>
  </si>
  <si>
    <t>895c50be-8d2f-49c8-b7d9-57576995e548</t>
  </si>
  <si>
    <t>180035256</t>
  </si>
  <si>
    <t>Barium Sulfate;  BP; Suspension; 1 Kit</t>
  </si>
  <si>
    <t>Kit (Kit(s))</t>
  </si>
  <si>
    <t>Barium Sulfate</t>
  </si>
  <si>
    <t>AXIM POLIBAR ACB</t>
  </si>
  <si>
    <t>0H784AP14ZAOX</t>
  </si>
  <si>
    <t>51441704-00003</t>
  </si>
  <si>
    <t>df0ab470-fd91-4a08-a52c-46b56ce5d77d</t>
  </si>
  <si>
    <t>72</t>
  </si>
  <si>
    <t>180034705</t>
  </si>
  <si>
    <t>Beclometasone; 100mcg; Inhaler; 200 Doses</t>
  </si>
  <si>
    <t>Dose (Doses)</t>
  </si>
  <si>
    <t>Inhaler</t>
  </si>
  <si>
    <t>Beclometasone</t>
  </si>
  <si>
    <t>BECEZE 100 CFC FREE Inhaler (200 doses) Complete</t>
  </si>
  <si>
    <t>R03BA01</t>
  </si>
  <si>
    <t>51422302-00001</t>
  </si>
  <si>
    <t>003d04d3-6c6a-42d8-9f4c-65c3b63695e7</t>
  </si>
  <si>
    <t>HP07-2020DAI/01</t>
  </si>
  <si>
    <t>189762877</t>
  </si>
  <si>
    <t>Beclometasone; 100mcg; Inhaler; SERIES; 200 Doses</t>
  </si>
  <si>
    <t>Beclate 100 HFA inhaler 200 doses</t>
  </si>
  <si>
    <t>160 packs</t>
  </si>
  <si>
    <t>860eb8f6-367c-482f-9067-812ffc40ac4e</t>
  </si>
  <si>
    <t>49</t>
  </si>
  <si>
    <t>180327939</t>
  </si>
  <si>
    <t>Beclometasone; 200mcg; Inhaler; 200 Doses</t>
  </si>
  <si>
    <t xml:space="preserve">Beclate 200 HFA  </t>
  </si>
  <si>
    <t>51422302-00003</t>
  </si>
  <si>
    <t>37c60c59-b4c0-4e5f-87b8-90c1a6d9ca28</t>
  </si>
  <si>
    <t>74</t>
  </si>
  <si>
    <t>180388822</t>
  </si>
  <si>
    <t>Beclometasone; 50mcg; Inhaler; 200 Doses</t>
  </si>
  <si>
    <t>BECEZE 50 CFC FREE Inhaler (200 doses) Complete</t>
  </si>
  <si>
    <t>51422302-00000</t>
  </si>
  <si>
    <t>8205c16b-0c0b-42df-99fe-54a5748b25ce</t>
  </si>
  <si>
    <t>189706018</t>
  </si>
  <si>
    <t>Beclometasone; 50mcg; Inhaler; SERIES; 200 Doses</t>
  </si>
  <si>
    <t xml:space="preserve">Beclate 50 HFA  </t>
  </si>
  <si>
    <t>707a68d8-32e7-4ce1-9cbb-09aeb80c1917</t>
  </si>
  <si>
    <t>75</t>
  </si>
  <si>
    <t>222001026</t>
  </si>
  <si>
    <t>Beclometasone; 50mcg; Spray, Nasal; 150 Doses</t>
  </si>
  <si>
    <t>Spray (Sprays)</t>
  </si>
  <si>
    <t>Spray, Nasal</t>
  </si>
  <si>
    <t xml:space="preserve">Beclate Aquanase </t>
  </si>
  <si>
    <t>192 packs</t>
  </si>
  <si>
    <t>51422302-00002</t>
  </si>
  <si>
    <t>886fb258-c481-4312-843c-2f969d4f60d9</t>
  </si>
  <si>
    <t>181923856</t>
  </si>
  <si>
    <t>Bedaquiline; 100mg; Tablet; 188 Tablets</t>
  </si>
  <si>
    <t>Bedaquiline</t>
  </si>
  <si>
    <t>Sirturo</t>
  </si>
  <si>
    <t>J04AK05</t>
  </si>
  <si>
    <t>51281501-00004</t>
  </si>
  <si>
    <t>5a50e4ab-beb8-4fe8-81ca-5651912380f5</t>
  </si>
  <si>
    <t>180090356</t>
  </si>
  <si>
    <t>Benzoin Co; Tincture; 100 ml</t>
  </si>
  <si>
    <t>Tincture</t>
  </si>
  <si>
    <t>Benzoin Co</t>
  </si>
  <si>
    <t>Barrs Benzoin Tincture Compound BP</t>
  </si>
  <si>
    <t>D02AD</t>
  </si>
  <si>
    <t>51473102-00000</t>
  </si>
  <si>
    <t>bd901b68-ee55-4df4-a16f-c0a1609d04ef</t>
  </si>
  <si>
    <t>189714844</t>
  </si>
  <si>
    <t>Benzoin Co; Tincture; 20 ml</t>
  </si>
  <si>
    <t>Barrs Benzoin Tincure Compound BP</t>
  </si>
  <si>
    <t>51473102-00001</t>
  </si>
  <si>
    <t>180257846</t>
  </si>
  <si>
    <t>Benzydamine, Chlorhexidine; 22.5mg/15ml, 18mg/15ml; Mouthwash; 200 ml</t>
  </si>
  <si>
    <t>Mouthwash</t>
  </si>
  <si>
    <t>Benzydamine, Chlorhexidine</t>
  </si>
  <si>
    <t>Andolex-C Oral Rinse</t>
  </si>
  <si>
    <t>Inova Pharmaceuticals (pty) Ltd</t>
  </si>
  <si>
    <t>V2192</t>
  </si>
  <si>
    <t>A01AD02</t>
  </si>
  <si>
    <t>51384605-00000</t>
  </si>
  <si>
    <t>MAAA0010561</t>
  </si>
  <si>
    <t>d014d071-4053-4d92-b928-c6b5d0483c47</t>
  </si>
  <si>
    <t>189707445</t>
  </si>
  <si>
    <t>Benzyl Benzoate; 25%; Liquid; 100 ml</t>
  </si>
  <si>
    <t>Benzyl Benzoate</t>
  </si>
  <si>
    <t>Barrs Benzyl Benzoate Emulsion BP</t>
  </si>
  <si>
    <t>P03AX01</t>
  </si>
  <si>
    <t>51452202-00000</t>
  </si>
  <si>
    <t>27d5354d-0e1b-4a46-b457-6435bd461353</t>
  </si>
  <si>
    <t>180075545</t>
  </si>
  <si>
    <t>Betamethasone Disodium Phosphate; 4mg/ml; injection; 1 ml</t>
  </si>
  <si>
    <t>Betamethasone Disodium Phosphate</t>
  </si>
  <si>
    <t>Pharma-Q Betamethasone 4mg/1ml</t>
  </si>
  <si>
    <t>H02AB01</t>
  </si>
  <si>
    <t>51422303-00002</t>
  </si>
  <si>
    <t>62aaf4b3-aa97-4f93-bfa6-471f876d5521</t>
  </si>
  <si>
    <t>189703383</t>
  </si>
  <si>
    <t>Betamethasone Valerate; 0.1%; Cream; 15 g</t>
  </si>
  <si>
    <t>Betamethasone Valerate</t>
  </si>
  <si>
    <t>Vari-Betamethasone 0.1% Cream</t>
  </si>
  <si>
    <t>D07AC01</t>
  </si>
  <si>
    <t>51422303-00005</t>
  </si>
  <si>
    <t>0ccd4c9a-34d7-4a77-8d66-58367da63c29</t>
  </si>
  <si>
    <t>181892281</t>
  </si>
  <si>
    <t>Betamethasone Valerate; 0.1%; Cream; 50 g</t>
  </si>
  <si>
    <t>51422303-00004</t>
  </si>
  <si>
    <t>189707996</t>
  </si>
  <si>
    <t>Betamethasone Valerate; 0.1%; Cream; 500 g</t>
  </si>
  <si>
    <t>Vari-Betamethasone 0.1% cream</t>
  </si>
  <si>
    <t>51422303-00104</t>
  </si>
  <si>
    <t>651ef3cf-eb50-4d03-8591-0ae92b615cfa</t>
  </si>
  <si>
    <t>222000141</t>
  </si>
  <si>
    <t>Betamethasone; 500mcg; Tablet; 100 Tablets</t>
  </si>
  <si>
    <t>Betamethasone</t>
  </si>
  <si>
    <t>BETANOID 0.5MG TAB 100 ZA</t>
  </si>
  <si>
    <t>51422303-00103</t>
  </si>
  <si>
    <t>d6fa3060-d55f-4284-8dce-2991b455a750</t>
  </si>
  <si>
    <t>181801852</t>
  </si>
  <si>
    <t>Betamethasone; 500mcg; Tablet; 20 Tablets</t>
  </si>
  <si>
    <t>BETANOID 0.5MG TAB 20 ZA</t>
  </si>
  <si>
    <t>51422303-00110</t>
  </si>
  <si>
    <t>180075592</t>
  </si>
  <si>
    <t>Betaxolol; 2.5mg/ml; Drop, Eye; 5 ml</t>
  </si>
  <si>
    <t>Betaxolol</t>
  </si>
  <si>
    <t>Betoptic S 0.25%</t>
  </si>
  <si>
    <t>S01ED02</t>
  </si>
  <si>
    <t>51263108-00000</t>
  </si>
  <si>
    <t>ebf5b75e-adaa-461d-a196-7eb360556fb3</t>
  </si>
  <si>
    <t>189708315</t>
  </si>
  <si>
    <t>Betaxolol; 5mg/ml; Drop, Eye; 5 ml</t>
  </si>
  <si>
    <t>Loxoptic</t>
  </si>
  <si>
    <t>Actor Pharma (pty) Ltd</t>
  </si>
  <si>
    <t>V2G28</t>
  </si>
  <si>
    <t>51263108-00001</t>
  </si>
  <si>
    <t>MAAA0183044</t>
  </si>
  <si>
    <t>197ba0e7-b941-42a5-93e9-a4a1909ed25e</t>
  </si>
  <si>
    <t>181817552</t>
  </si>
  <si>
    <t>Bevacizumab; 100mg/4ml; injection; 4 ml</t>
  </si>
  <si>
    <t>Bevacizumab</t>
  </si>
  <si>
    <t>Avastin 100mg</t>
  </si>
  <si>
    <t>Roche Products (Pty) Ltd</t>
  </si>
  <si>
    <t>V2177</t>
  </si>
  <si>
    <t>L01XC07</t>
  </si>
  <si>
    <t>1 vial</t>
  </si>
  <si>
    <t>51111731-00000</t>
  </si>
  <si>
    <t>MAAA0007487</t>
  </si>
  <si>
    <t>5bca6d30-cbe9-4405-9141-dd3419c28f20</t>
  </si>
  <si>
    <t>180000649</t>
  </si>
  <si>
    <t>Bezafibrate; 400mg; Tablet; 30 Tablets</t>
  </si>
  <si>
    <t>Bezafibrate</t>
  </si>
  <si>
    <t>Sandoz Bezafibrate 400mg 30s</t>
  </si>
  <si>
    <t>C10AB02</t>
  </si>
  <si>
    <t>51321901-00001</t>
  </si>
  <si>
    <t>d5b82049-b5cb-4d7e-b5a7-92461a222c49</t>
  </si>
  <si>
    <t>181772811</t>
  </si>
  <si>
    <t>Bimatoprost; 0.3mg/ml; Drop, Eye; 3 ml</t>
  </si>
  <si>
    <t>Bimatoprost</t>
  </si>
  <si>
    <t>Lumigan 0.03%</t>
  </si>
  <si>
    <t>Allergan Pharmaceuticals (Pty) Ltd</t>
  </si>
  <si>
    <t>V2Z92</t>
  </si>
  <si>
    <t>S01EE03</t>
  </si>
  <si>
    <t>51241103-00000</t>
  </si>
  <si>
    <t>MAAA0018734</t>
  </si>
  <si>
    <t>460d1ddf-33d1-46a2-b771-06ab5fc3278b</t>
  </si>
  <si>
    <t>180075548</t>
  </si>
  <si>
    <t>Biperiden; 5mg/ml; injection; 1 ml</t>
  </si>
  <si>
    <t>Biperiden</t>
  </si>
  <si>
    <t>Akineton Injection</t>
  </si>
  <si>
    <t>Pharmaco Distribution (Pty) Ltd</t>
  </si>
  <si>
    <t>VBVW1</t>
  </si>
  <si>
    <t>N04AA02</t>
  </si>
  <si>
    <t>51151617-00000</t>
  </si>
  <si>
    <t>MAAA0044115</t>
  </si>
  <si>
    <t>78fa5f95-e624-4cea-bcdc-a592cace325c</t>
  </si>
  <si>
    <t>189712125</t>
  </si>
  <si>
    <t>Bisacodyl; 10mg; Suppository; 10 Suppositories</t>
  </si>
  <si>
    <t>Suppository (Suppositories)</t>
  </si>
  <si>
    <t>Suppository</t>
  </si>
  <si>
    <t>Bisacodyl</t>
  </si>
  <si>
    <t>Dulcolax 10mg Adult Supps 10's</t>
  </si>
  <si>
    <t>Opella Healthcare SA (Pty) Ltd</t>
  </si>
  <si>
    <t>VQKV5</t>
  </si>
  <si>
    <t>A06AB02</t>
  </si>
  <si>
    <t>51171614-00000</t>
  </si>
  <si>
    <t>MAAA1098484</t>
  </si>
  <si>
    <t>98488f4c-c88c-4c80-93b0-9b26b4085b66</t>
  </si>
  <si>
    <t>50</t>
  </si>
  <si>
    <t>222001083</t>
  </si>
  <si>
    <t>Bisacodyl; 5mg; Tablet; 10 Tablets</t>
  </si>
  <si>
    <t>LAXADOR BISACODYL TAB BL 10</t>
  </si>
  <si>
    <t>51171614-00003</t>
  </si>
  <si>
    <t>3f823f06-16ee-4cdc-99de-414c7b86481c</t>
  </si>
  <si>
    <t>HP04-2022ONC/01</t>
  </si>
  <si>
    <t>181770198</t>
  </si>
  <si>
    <t>Bleomycin; 15IU; injection; 1 Injection</t>
  </si>
  <si>
    <t>Bleomycin</t>
  </si>
  <si>
    <t>Cipla Bleomycin</t>
  </si>
  <si>
    <t>L01DC01</t>
  </si>
  <si>
    <t>51111733-00000</t>
  </si>
  <si>
    <t>ca01d4fd-ae78-43bc-9699-5e9736e0674f</t>
  </si>
  <si>
    <t>181816794</t>
  </si>
  <si>
    <t>Bortezomib; 3.5mg; injection; 10 ml</t>
  </si>
  <si>
    <t>Bortezomib</t>
  </si>
  <si>
    <t>Valtib 3,5mg</t>
  </si>
  <si>
    <t>Accord Healthcare (Pty) Ltd</t>
  </si>
  <si>
    <t>V2MB8</t>
  </si>
  <si>
    <t>L01XG01</t>
  </si>
  <si>
    <t>51111838-00000</t>
  </si>
  <si>
    <t>MAAA0005335</t>
  </si>
  <si>
    <t>88cb3cdb-1d6a-448d-bdf6-b77624a0285b</t>
  </si>
  <si>
    <t>HP10-2023BIO</t>
  </si>
  <si>
    <t>180144073</t>
  </si>
  <si>
    <t>Botulinum Toxin, Type A, Lyophilised; 100IU; injection; 1 Injection</t>
  </si>
  <si>
    <t>Botulinum Toxin, Type A, Lyophilised</t>
  </si>
  <si>
    <t>Botox Inj 100 U Vial</t>
  </si>
  <si>
    <t>M03AX01</t>
  </si>
  <si>
    <t>813850-002</t>
  </si>
  <si>
    <t>51152005-00000</t>
  </si>
  <si>
    <t>8a1adb84-0327-4aeb-b510-d859fa462476</t>
  </si>
  <si>
    <t>181838247</t>
  </si>
  <si>
    <t>Brimonidine; 1.5mg/ml; Drop, Eye; 5 ml</t>
  </si>
  <si>
    <t>Brimonidine</t>
  </si>
  <si>
    <t>Alphagan Purite Ophthalmic Solution</t>
  </si>
  <si>
    <t>S01EA05</t>
  </si>
  <si>
    <t>51241131-00000</t>
  </si>
  <si>
    <t>22beb548-8f03-4660-a9ae-d486d9f0bbde</t>
  </si>
  <si>
    <t>180284536</t>
  </si>
  <si>
    <t>Brimonidine; 2mg/ml; Drop, Eye; 5 ml</t>
  </si>
  <si>
    <t>Brimoct</t>
  </si>
  <si>
    <t>51241126-00000</t>
  </si>
  <si>
    <t>534b48bc-42ce-4803-a6a4-ada3e7326b46</t>
  </si>
  <si>
    <t>53</t>
  </si>
  <si>
    <t>189710310</t>
  </si>
  <si>
    <t>Bromocriptine; 2.5mg; Tablet; 30 Tablets</t>
  </si>
  <si>
    <t>Bromocriptine</t>
  </si>
  <si>
    <t>ASPEN BROMOCRIPT 2.5MG TAB BOT30</t>
  </si>
  <si>
    <t>N04BC01</t>
  </si>
  <si>
    <t>51142501-00100</t>
  </si>
  <si>
    <t>de3e2aa1-c63a-451d-b40e-1bd01e54e0c9</t>
  </si>
  <si>
    <t>76</t>
  </si>
  <si>
    <t>222001071</t>
  </si>
  <si>
    <t>Budesonide, Formoterol; 160mcg, 4.5mcg; Inhaler; 60 Doses</t>
  </si>
  <si>
    <t>Budesonide, Formoterol</t>
  </si>
  <si>
    <t>Symbicord Turbuhaler 160:4,5 µg</t>
  </si>
  <si>
    <t>Astra Zeneca Pharmaceuticals (Pty) Ltd</t>
  </si>
  <si>
    <t>V2180</t>
  </si>
  <si>
    <t>R03AK07</t>
  </si>
  <si>
    <t>51162012-00000</t>
  </si>
  <si>
    <t>MAAA0006577</t>
  </si>
  <si>
    <t>6fc67099-89d2-4a52-8208-9229363a6a87</t>
  </si>
  <si>
    <t>69</t>
  </si>
  <si>
    <t>222000964</t>
  </si>
  <si>
    <t>Budesonide, Formoterol; 320mcg, 9mcg; Inhaler; 60 Doses</t>
  </si>
  <si>
    <t>Symbicord Turbuhaler 320:9 µg</t>
  </si>
  <si>
    <t>51162012-00001</t>
  </si>
  <si>
    <t>d4d9f0fc-b023-4b67-8487-fb856e898e16</t>
  </si>
  <si>
    <t>180075555</t>
  </si>
  <si>
    <t>Bupivacaine, Adrenaline; 5mg/ml, 5mcg/ml; injection; 20 ml</t>
  </si>
  <si>
    <t>Bupivacaine, Adrenaline</t>
  </si>
  <si>
    <t>MACAINE WITH ADRENALINE INJ 10 X 20ML</t>
  </si>
  <si>
    <t>N01BB51</t>
  </si>
  <si>
    <t>51271603-00004</t>
  </si>
  <si>
    <t>2ab0f931-054f-4fd6-a240-bf69b440a37e</t>
  </si>
  <si>
    <t>180075556</t>
  </si>
  <si>
    <t>Bupivacaine, Dextrose; 5mg, 72.7mg; injection; 4 ml</t>
  </si>
  <si>
    <t>Bupivacaine, Dextrose</t>
  </si>
  <si>
    <t>MACAINE HCL 0.5% SPINAL INJECTION WITH DEXTROSE</t>
  </si>
  <si>
    <t>51271603-00005</t>
  </si>
  <si>
    <t>0a9e4276-97cb-439f-a5cc-b40fb212c34e</t>
  </si>
  <si>
    <t>180075551</t>
  </si>
  <si>
    <t>Bupivacaine; 5mg/ml; injection (Spinal); 10 ml</t>
  </si>
  <si>
    <t>Bupivacaine</t>
  </si>
  <si>
    <t>MACAINE HCL 0.5% INJECTION</t>
  </si>
  <si>
    <t>N01BB01</t>
  </si>
  <si>
    <t>51271603-00001</t>
  </si>
  <si>
    <t>9d55a2b6-fac9-4912-9731-af69d97a244b</t>
  </si>
  <si>
    <t>180075553</t>
  </si>
  <si>
    <t>Bupivacaine; 5mg/ml; injection (Spinal); 4 ml</t>
  </si>
  <si>
    <t>MACAINE HCL 0.5% INJ 10 X 10ML</t>
  </si>
  <si>
    <t>51271603-00000</t>
  </si>
  <si>
    <t>54</t>
  </si>
  <si>
    <t>222001425</t>
  </si>
  <si>
    <t>Bupropion; 150mg; Tablet; 30 Tablets</t>
  </si>
  <si>
    <t>Bupropion</t>
  </si>
  <si>
    <t>BUDEP XR 150</t>
  </si>
  <si>
    <t>N06AX12</t>
  </si>
  <si>
    <t>51293402-00002</t>
  </si>
  <si>
    <t>be84605b-6a30-4026-b56d-b9920892eb14</t>
  </si>
  <si>
    <t>55</t>
  </si>
  <si>
    <t>222001426</t>
  </si>
  <si>
    <t>Bupropion; 300mg; Tablet; 30 Tablets</t>
  </si>
  <si>
    <t>BUDEP XR 300</t>
  </si>
  <si>
    <t>51293402-00001</t>
  </si>
  <si>
    <t>418f0940-1553-4bed-b737-1367bff2a825</t>
  </si>
  <si>
    <t>189710642</t>
  </si>
  <si>
    <t>Busulfan; 2mg; Tablet; 100 Tablets</t>
  </si>
  <si>
    <t>Busulfan</t>
  </si>
  <si>
    <t>MYLERAN 2MG TAB 100</t>
  </si>
  <si>
    <t>L01AB01</t>
  </si>
  <si>
    <t>51112301-00000</t>
  </si>
  <si>
    <t>0cdb8f00-764b-44f8-a172-dd97866085fe</t>
  </si>
  <si>
    <t>56</t>
  </si>
  <si>
    <t>180348494</t>
  </si>
  <si>
    <t>Cabergoline; 500mcg; Tablet; 4 Tablets</t>
  </si>
  <si>
    <t>Cabergoline</t>
  </si>
  <si>
    <t>Dostinex 0.5mg TAB, 4s</t>
  </si>
  <si>
    <t>G02CB03</t>
  </si>
  <si>
    <t>51141535-00000</t>
  </si>
  <si>
    <t>a9259713-e2c5-444b-b7a8-065a1d20ed26</t>
  </si>
  <si>
    <t>222001198</t>
  </si>
  <si>
    <t>Caffeine; 20mg/ml; injection; 1 ml</t>
  </si>
  <si>
    <t>Caffeine</t>
  </si>
  <si>
    <t>CAYONA 20mg/ml</t>
  </si>
  <si>
    <t>Safeline Pharmaceuticals (pty) Ltd</t>
  </si>
  <si>
    <t>VZL63</t>
  </si>
  <si>
    <t>N06BC01</t>
  </si>
  <si>
    <t>51144601-00000</t>
  </si>
  <si>
    <t>MAAA0002530</t>
  </si>
  <si>
    <t>907b7b4c-ab79-44dc-8c42-8de29b5dfdc2</t>
  </si>
  <si>
    <t>189703365</t>
  </si>
  <si>
    <t>Calamine; Lotion; 100 ml</t>
  </si>
  <si>
    <t>Lotion</t>
  </si>
  <si>
    <t>Calamine</t>
  </si>
  <si>
    <t>Barrs Calamine Lotion BP</t>
  </si>
  <si>
    <t>D04AX</t>
  </si>
  <si>
    <t>51241205-00000</t>
  </si>
  <si>
    <t>c943dbcd-a9b3-495d-9a87-76f4061cb0c6</t>
  </si>
  <si>
    <t>181842015</t>
  </si>
  <si>
    <t>Calcipotriol, Betamethasone Dipropionate; 50mcg/g, 500mcg/g; Ointment; 30 g</t>
  </si>
  <si>
    <t>Ointment</t>
  </si>
  <si>
    <t>Calcipotriol, Betamethasone Dipropionate</t>
  </si>
  <si>
    <t>Dovobet 30g</t>
  </si>
  <si>
    <t>D05AX52</t>
  </si>
  <si>
    <t>51241223-00000</t>
  </si>
  <si>
    <t>6d4e2a9e-50ba-40fd-a8bf-82f28c565759</t>
  </si>
  <si>
    <t>59</t>
  </si>
  <si>
    <t>180964704</t>
  </si>
  <si>
    <t>Calcium Carbonate; 500mg; Tablet; 10 Tablets</t>
  </si>
  <si>
    <t>Calcium Carbonate</t>
  </si>
  <si>
    <t>Zinplex Calcium 500mg</t>
  </si>
  <si>
    <t>A12AA04</t>
  </si>
  <si>
    <t>51171501-00000</t>
  </si>
  <si>
    <t>f8d5f203-4ea2-4bae-b386-a3bfabba06c9</t>
  </si>
  <si>
    <t>EVO Calcium Soluble 500mg 10 Tablets</t>
  </si>
  <si>
    <t>Evohealth (Pty) Ltd</t>
  </si>
  <si>
    <t>VFMA4</t>
  </si>
  <si>
    <t>MAAA0010062</t>
  </si>
  <si>
    <t>60</t>
  </si>
  <si>
    <t>181917243</t>
  </si>
  <si>
    <t>Calcium Carbonate; 500mg; Tablet; 30 Tablets</t>
  </si>
  <si>
    <t xml:space="preserve">EVO Calcium Soluble 500mg 30 Tablets </t>
  </si>
  <si>
    <t>51171501-00001</t>
  </si>
  <si>
    <t>HP11-2020LVP</t>
  </si>
  <si>
    <t>180167408</t>
  </si>
  <si>
    <t>Calcium Chloride, Sodium Chloride, Potassium Chloride; 0.175g, 6.42g; Solution (CARDIOPLEGIC); 1 L</t>
  </si>
  <si>
    <t>L (L)</t>
  </si>
  <si>
    <t>Calcium Chloride, Sodium Chloride, Potassium Chloride</t>
  </si>
  <si>
    <t>ST Thomas` Hospital Cardioplegic Solution II</t>
  </si>
  <si>
    <t>B05XA16</t>
  </si>
  <si>
    <t>51122301-00000</t>
  </si>
  <si>
    <t>1523bce1-5f26-49eb-8692-0ed9b39e9b91</t>
  </si>
  <si>
    <t>222001016</t>
  </si>
  <si>
    <t>Calcium Folinate; 100mg; injection; 1 Injection</t>
  </si>
  <si>
    <t>Calcium Folinate</t>
  </si>
  <si>
    <t>Abic Leucovorin 100mg/10ml</t>
  </si>
  <si>
    <t>V03AF03</t>
  </si>
  <si>
    <t>51172310-00000</t>
  </si>
  <si>
    <t>e293b277-a178-4b68-9ee9-760a8abe40fe</t>
  </si>
  <si>
    <t>189711671</t>
  </si>
  <si>
    <t>Calcium Folinate; 15mg; Tablet; 10 Tablets</t>
  </si>
  <si>
    <t>Rescuvolin 15mg</t>
  </si>
  <si>
    <t>51172310-00002</t>
  </si>
  <si>
    <t>c9b2cd60-a9c7-4733-aed7-a4f002af215f</t>
  </si>
  <si>
    <t>181848888</t>
  </si>
  <si>
    <t>Calcium Folinate; 300mg; injection; 1 Injection</t>
  </si>
  <si>
    <t>Abic Leucovorin 300mg/30ml</t>
  </si>
  <si>
    <t>51172310-00001</t>
  </si>
  <si>
    <t>29a06b82-ab1e-40fa-b6ec-bd19247ad447</t>
  </si>
  <si>
    <t>180075565</t>
  </si>
  <si>
    <t>Calcium Gluconate; 10%; injection; 10 ml</t>
  </si>
  <si>
    <t>Calcium Gluconate</t>
  </si>
  <si>
    <t>CALCIUM GLUCONATE FRESENIUS INJECTION</t>
  </si>
  <si>
    <t>A12AA03</t>
  </si>
  <si>
    <t>51191915-00002</t>
  </si>
  <si>
    <t>1fda0048-7a19-4d50-93be-915461af445c</t>
  </si>
  <si>
    <t>58</t>
  </si>
  <si>
    <t>222000440</t>
  </si>
  <si>
    <t>Calcium Salt; 168-250mg; Tablet (Calcium salt providing 168mg - 250mg elemental calcium, chewable tablet); 168 Tablets</t>
  </si>
  <si>
    <t>Calcium Salt</t>
  </si>
  <si>
    <t>EVO Calcium Chewable Tablets 168mg</t>
  </si>
  <si>
    <t>A02AA02</t>
  </si>
  <si>
    <t>51171501-00002</t>
  </si>
  <si>
    <t>e456ca91-1b3e-4f30-992c-c2a751e0ef5b</t>
  </si>
  <si>
    <t>Resmed Calcium salt providing 168mg-250mg elemental calcium,chewable tablet.</t>
  </si>
  <si>
    <t>180957667</t>
  </si>
  <si>
    <t>Capecitabine; 150mg; Tablet; 60 Tablets</t>
  </si>
  <si>
    <t>Capecitabine</t>
  </si>
  <si>
    <t>Capexa 150mg</t>
  </si>
  <si>
    <t>L01BC06</t>
  </si>
  <si>
    <t>722783-001</t>
  </si>
  <si>
    <t>51112001-00001</t>
  </si>
  <si>
    <t>ccb3e4a7-91ab-4e1b-aa38-32dd37da76c2</t>
  </si>
  <si>
    <t>180958744</t>
  </si>
  <si>
    <t>Capecitabine; 500mg; Tablet; 120 Tablets</t>
  </si>
  <si>
    <t>Capexa 500mg</t>
  </si>
  <si>
    <t>722784-001</t>
  </si>
  <si>
    <t>51112001-00000</t>
  </si>
  <si>
    <t>534e5a2b-2ad5-416d-b3fd-feb3dfdeb43c</t>
  </si>
  <si>
    <t>63</t>
  </si>
  <si>
    <t>189710010</t>
  </si>
  <si>
    <t>Captopril; 25mg; Tablet; 60 Tablets</t>
  </si>
  <si>
    <t>Captopril</t>
  </si>
  <si>
    <t>BIO-CAPTOPRIL 25MG Tablets 60's</t>
  </si>
  <si>
    <t>C09AA01</t>
  </si>
  <si>
    <t>51432401-00000</t>
  </si>
  <si>
    <t>c1d06406-72a6-4fe4-a52b-616071234f01</t>
  </si>
  <si>
    <t>189712347</t>
  </si>
  <si>
    <t>Carbamazepine; 100mg/5ml; Suspension; 250 ml</t>
  </si>
  <si>
    <t>Carbamazepine</t>
  </si>
  <si>
    <t>Tegretol Suspension</t>
  </si>
  <si>
    <t>N03AF01</t>
  </si>
  <si>
    <t>51141513-00005</t>
  </si>
  <si>
    <t>d8cb1c25-012d-41c2-986e-674d7cb085a2</t>
  </si>
  <si>
    <t>64</t>
  </si>
  <si>
    <t>181892375</t>
  </si>
  <si>
    <t>Carbamazepine; 200mg; Tablet; 28 Tablets</t>
  </si>
  <si>
    <t>Partid-200</t>
  </si>
  <si>
    <t>51141513-00003</t>
  </si>
  <si>
    <t>29110573-a8cc-46c3-b816-4b20b3b86ccf</t>
  </si>
  <si>
    <t>65</t>
  </si>
  <si>
    <t>180339414</t>
  </si>
  <si>
    <t>Carbamazepine; 200mg; Tablet; 56 Tablets</t>
  </si>
  <si>
    <t>51141513-00004</t>
  </si>
  <si>
    <t>DEGRANOL 200MG TABS B/BAG 56</t>
  </si>
  <si>
    <t>66</t>
  </si>
  <si>
    <t>180339437</t>
  </si>
  <si>
    <t>Carbamazepine; 200mg; Tablet; 84 Tablets</t>
  </si>
  <si>
    <t>Zecarb 200</t>
  </si>
  <si>
    <t>51141513-00000</t>
  </si>
  <si>
    <t>67</t>
  </si>
  <si>
    <t>189712669</t>
  </si>
  <si>
    <t>Carbamazepine; 400mg; tablet, cr; 28 Tablets</t>
  </si>
  <si>
    <t>tablet, cr</t>
  </si>
  <si>
    <t>Tegretol CR 400mg</t>
  </si>
  <si>
    <t>51141513-00007</t>
  </si>
  <si>
    <t>0ff49431-e483-4b62-bfd4-9a48ecb35c24</t>
  </si>
  <si>
    <t>70</t>
  </si>
  <si>
    <t>222000144</t>
  </si>
  <si>
    <t>Carbimazole; 5mg; Tablet; 100 Tablets</t>
  </si>
  <si>
    <t>Carbimazole</t>
  </si>
  <si>
    <t>Neo Mercazole 5mg Tabs 100</t>
  </si>
  <si>
    <t>H03BB01</t>
  </si>
  <si>
    <t>51181614-00100</t>
  </si>
  <si>
    <t>f590e6cd-6fde-4ed4-a80d-a239b2fb8cf8</t>
  </si>
  <si>
    <t>189714187</t>
  </si>
  <si>
    <t>Carboplatin; 150mg/15ml; injection; 15 ml</t>
  </si>
  <si>
    <t>Carboplatin</t>
  </si>
  <si>
    <t>Accord Carboplatin 150mg</t>
  </si>
  <si>
    <t>L01XA02</t>
  </si>
  <si>
    <t>51112701-00000</t>
  </si>
  <si>
    <t>97bc3d1f-8348-4729-8ccb-4d1c31f31de5</t>
  </si>
  <si>
    <t>181744809</t>
  </si>
  <si>
    <t>Carboplatin; 450mg/45ml; injection; 45 ml</t>
  </si>
  <si>
    <t>Accord Carboplatin 450mg</t>
  </si>
  <si>
    <t>51112701-00001</t>
  </si>
  <si>
    <t>b67a8cd9-7054-458c-9fa7-06bee6403c09</t>
  </si>
  <si>
    <t>77</t>
  </si>
  <si>
    <t>181807607</t>
  </si>
  <si>
    <t>Carboxymethylcellulose; 5mg/ml; Drop, Eye; 15 ml</t>
  </si>
  <si>
    <t>Carboxymethylcellulose</t>
  </si>
  <si>
    <t>Refresh Tears Lubricating Eye Drops</t>
  </si>
  <si>
    <t>A06AC06</t>
  </si>
  <si>
    <t>704150-001</t>
  </si>
  <si>
    <t>51241129-00002</t>
  </si>
  <si>
    <t>35ff57df-848a-4660-a9a2-827f92ea6695</t>
  </si>
  <si>
    <t>71</t>
  </si>
  <si>
    <t>222001084</t>
  </si>
  <si>
    <t>Carvedilol; 12.5mg; Tablet; 28 Tablets</t>
  </si>
  <si>
    <t>Carvedilol</t>
  </si>
  <si>
    <t>Carvedilol 12,5 Oethmaan</t>
  </si>
  <si>
    <t>C07AG02</t>
  </si>
  <si>
    <t>51262002-00004</t>
  </si>
  <si>
    <t>6777d408-740b-401f-bb79-bfb35fc0ef0d</t>
  </si>
  <si>
    <t>180155487</t>
  </si>
  <si>
    <t>Carvedilol; 25mg; Tablet; 30 Tablets</t>
  </si>
  <si>
    <t>Carloc 25</t>
  </si>
  <si>
    <t>51262002-00005</t>
  </si>
  <si>
    <t>13b01835-7a64-465f-b3d9-dcf0402a51ed</t>
  </si>
  <si>
    <t>73</t>
  </si>
  <si>
    <t>180254416</t>
  </si>
  <si>
    <t>Carvedilol; 6.25mg; Tablet; 30 Tablets</t>
  </si>
  <si>
    <t>Carloc 6,25</t>
  </si>
  <si>
    <t>51262002-00003</t>
  </si>
  <si>
    <t>972e0f13-2973-417b-abdf-8c1acfe490aa</t>
  </si>
  <si>
    <t>189705592</t>
  </si>
  <si>
    <t>Cefalexin; 125mg/5ml; Suspension; 100 ml</t>
  </si>
  <si>
    <t>Cefalexin</t>
  </si>
  <si>
    <t>Ranceph Suspension 125mg/5ml</t>
  </si>
  <si>
    <t>J01DB01</t>
  </si>
  <si>
    <t>HU000047</t>
  </si>
  <si>
    <t>51282514-00000</t>
  </si>
  <si>
    <t>45673a3f-dcb6-4b0f-a9f5-6fd97edfffa6</t>
  </si>
  <si>
    <t>189706333</t>
  </si>
  <si>
    <t>Cefalexin; 250mg/5ml; Suspension; 100 ml</t>
  </si>
  <si>
    <t>RANCEPH SUSP 250mg/5ml 100ml</t>
  </si>
  <si>
    <t>51282523-00000</t>
  </si>
  <si>
    <t>2e878edb-f942-433e-b755-0de11b0e2410</t>
  </si>
  <si>
    <t>189755469</t>
  </si>
  <si>
    <t>Cefalexin; 250mg; Capsule; 20 Capsules</t>
  </si>
  <si>
    <t>Ranceph 250 Capsules</t>
  </si>
  <si>
    <t>51282514-00001</t>
  </si>
  <si>
    <t>e1b4cee4-aec9-4018-b9a0-61bcec6e1461</t>
  </si>
  <si>
    <t>222001216</t>
  </si>
  <si>
    <t>Cefalexin; 500mg; Capsule; 20 Capsules</t>
  </si>
  <si>
    <t>Ranceph 500 Capsules</t>
  </si>
  <si>
    <t>51282514-00004</t>
  </si>
  <si>
    <t>f3dc1427-ecd6-4630-bf58-56434b0c303b</t>
  </si>
  <si>
    <t>180113691</t>
  </si>
  <si>
    <t>Cefazolin; 1g; injection; 1 Injection</t>
  </si>
  <si>
    <t>Cefazolin</t>
  </si>
  <si>
    <t>ZEFKOL 1.0G INJECTION</t>
  </si>
  <si>
    <t>J01DB04</t>
  </si>
  <si>
    <t>51282532-00000</t>
  </si>
  <si>
    <t>3173c627-e1b1-4923-a1c2-039c91c034e4</t>
  </si>
  <si>
    <t>Cefazolin 1g Oethmaan</t>
  </si>
  <si>
    <t>189708784</t>
  </si>
  <si>
    <t>Cefazolin; 500mg; injection; 1 Injection</t>
  </si>
  <si>
    <t>ZEFKOL 0,5G INJECTION</t>
  </si>
  <si>
    <t>51282532-00001</t>
  </si>
  <si>
    <t>c9c3052e-841e-4227-8a0e-736ec41e6f23</t>
  </si>
  <si>
    <t>Cefazolin 500mg Oethmaan</t>
  </si>
  <si>
    <t>180186466</t>
  </si>
  <si>
    <t>Cefepime; 1g; injection; 1 Injection</t>
  </si>
  <si>
    <t>Cefepime</t>
  </si>
  <si>
    <t>Auro Cefepime Injection 1000 mg</t>
  </si>
  <si>
    <t>J01DE01</t>
  </si>
  <si>
    <t>713369-001</t>
  </si>
  <si>
    <t>51282602-00000</t>
  </si>
  <si>
    <t>9429bdf7-7994-4365-a85b-4096422ea77b</t>
  </si>
  <si>
    <t>180187880</t>
  </si>
  <si>
    <t>Cefepime; 2g; injection; 1 Injection</t>
  </si>
  <si>
    <t>Auro Cefepime Injection 2000 mg</t>
  </si>
  <si>
    <t>713370-001</t>
  </si>
  <si>
    <t>51282602-00001</t>
  </si>
  <si>
    <t>e1034efd-9fc6-492e-8a7b-de5afd966f10</t>
  </si>
  <si>
    <t>189708190</t>
  </si>
  <si>
    <t>Cefotaxime; 1g; injection; 1 Injection</t>
  </si>
  <si>
    <t>Cefotaxime</t>
  </si>
  <si>
    <t>SAB - Cefotaxime 1 g Injection</t>
  </si>
  <si>
    <t>J01DD01</t>
  </si>
  <si>
    <t>51284109-00000</t>
  </si>
  <si>
    <t>572a8087-bd12-4d53-aa35-7b9c9f566610</t>
  </si>
  <si>
    <t>51</t>
  </si>
  <si>
    <t>189708788</t>
  </si>
  <si>
    <t>Cefotaxime; 500mg; injection; 1 Injection</t>
  </si>
  <si>
    <t>Cefotaxime 0.5g Oethmaan</t>
  </si>
  <si>
    <t>51284109-00001</t>
  </si>
  <si>
    <t>985248c3-79bd-4bf5-a927-227abdee1ded</t>
  </si>
  <si>
    <t>52</t>
  </si>
  <si>
    <t>189708786</t>
  </si>
  <si>
    <t>Ceftazidime; 1g; injection; 1 Injection</t>
  </si>
  <si>
    <t>Ceftazidime</t>
  </si>
  <si>
    <t>TAZIJECT 1.0 G INJECTION</t>
  </si>
  <si>
    <t>J01DD02</t>
  </si>
  <si>
    <t>51284108-00000</t>
  </si>
  <si>
    <t>c86e7665-6c22-4825-876a-e23113ac7aae</t>
  </si>
  <si>
    <t>180374734</t>
  </si>
  <si>
    <t>Ceftazidime; 2g; injection; 1 Injection</t>
  </si>
  <si>
    <t>TAZIJECT 2.0G INJECTION</t>
  </si>
  <si>
    <t>51284108-00001</t>
  </si>
  <si>
    <t>43925d92-4929-4b16-9bad-eab9c0f8aa85</t>
  </si>
  <si>
    <t>181750482</t>
  </si>
  <si>
    <t>Ceftriaxone; 1g; injection; 1 Injection</t>
  </si>
  <si>
    <t>Ceftriaxone</t>
  </si>
  <si>
    <t>Fraxone 1g</t>
  </si>
  <si>
    <t>J01DD04</t>
  </si>
  <si>
    <t>51284119-00001</t>
  </si>
  <si>
    <t>0d63a117-f211-443f-9123-f5ef4b124e23</t>
  </si>
  <si>
    <t>ROCIJECT 1.0G INJECTION</t>
  </si>
  <si>
    <t>Seftry 1,0</t>
  </si>
  <si>
    <t>181775872</t>
  </si>
  <si>
    <t>Ceftriaxone; 250mg; injection; 1 Injection</t>
  </si>
  <si>
    <t>Fraxone 250 mg</t>
  </si>
  <si>
    <t>51284119-00002</t>
  </si>
  <si>
    <t>b627ea43-e167-4514-b46c-de94724519fb</t>
  </si>
  <si>
    <t>REZONE 250 INJECTION</t>
  </si>
  <si>
    <t>181750480</t>
  </si>
  <si>
    <t>Ceftriaxone; 500mg; injection; 1 Injection</t>
  </si>
  <si>
    <t>ROCIJECT 0.5MG INJECTION</t>
  </si>
  <si>
    <t>703 320 001</t>
  </si>
  <si>
    <t>51284119-00004</t>
  </si>
  <si>
    <t>6a6a8876-7061-44c1-8fad-3885cc4e9dbd</t>
  </si>
  <si>
    <t>Seftry 0,5</t>
  </si>
  <si>
    <t>222000438</t>
  </si>
  <si>
    <t>Cetirizine; 10mg; Tablet; 28 Tablets</t>
  </si>
  <si>
    <t>Cetirizine</t>
  </si>
  <si>
    <t>CETIRIZINE 10 BIOTECH</t>
  </si>
  <si>
    <t>R06AE07</t>
  </si>
  <si>
    <t>51313101-00002</t>
  </si>
  <si>
    <t>f1191bd5-5b5e-4179-8a27-d80aa8cbe003</t>
  </si>
  <si>
    <t>Austell Cetirizine 10 mg</t>
  </si>
  <si>
    <t>181894020</t>
  </si>
  <si>
    <t>Cetirizine; 1mg/ml; Syrup; 150 ml</t>
  </si>
  <si>
    <t>Allecet Syrup</t>
  </si>
  <si>
    <t>51313101-00001</t>
  </si>
  <si>
    <t>af00c686-c52e-4f8e-bff3-121b725d9fb4</t>
  </si>
  <si>
    <t>180328011</t>
  </si>
  <si>
    <t>Cetomacrogol; 10%; Cream; 500 g</t>
  </si>
  <si>
    <t>Cetomacrogol</t>
  </si>
  <si>
    <t>CLINICA CETOMACROGOL CREAM 500G</t>
  </si>
  <si>
    <t>51241907-00000</t>
  </si>
  <si>
    <t>061a8ca1-9cb3-40a2-a590-10489d89ffb3</t>
  </si>
  <si>
    <t>189710834</t>
  </si>
  <si>
    <t>Chlorambucil; 2mg; Tablet; 25 Tablets</t>
  </si>
  <si>
    <t>Chlorambucil</t>
  </si>
  <si>
    <t xml:space="preserve">LEUKERAN 2MG TABS 25`S   </t>
  </si>
  <si>
    <t>L01AA02</t>
  </si>
  <si>
    <t>51112505-00000</t>
  </si>
  <si>
    <t>48e46fcb-e648-4d95-8dbb-927636200664</t>
  </si>
  <si>
    <t>HP02-2021AI/01</t>
  </si>
  <si>
    <t>189712133</t>
  </si>
  <si>
    <t>Chloramphenicol; 0.5%; Drop, Eye; 10 ml</t>
  </si>
  <si>
    <t>Chloramphenicol</t>
  </si>
  <si>
    <t>Optiphen</t>
  </si>
  <si>
    <t>Gen-Eye (Pty) Ltd</t>
  </si>
  <si>
    <t>VPVQ5</t>
  </si>
  <si>
    <t>S01AA01</t>
  </si>
  <si>
    <t>51282004-00001</t>
  </si>
  <si>
    <t>MAAA1136844</t>
  </si>
  <si>
    <t>9650517a-2fda-4c9a-8299-710150bde467</t>
  </si>
  <si>
    <t>189700731</t>
  </si>
  <si>
    <t>Chloramphenicol; 1%; ointment, eye; 3.5 g</t>
  </si>
  <si>
    <t>ointment, eye</t>
  </si>
  <si>
    <t>Chloramex Eye Ointment 3.5g</t>
  </si>
  <si>
    <t>51282004-00002</t>
  </si>
  <si>
    <t>d5868138-97ba-4a5d-baa4-d94b32460b69</t>
  </si>
  <si>
    <t>180090749</t>
  </si>
  <si>
    <t>Chlorhexidine, Alcohol; 0.5%, 70%; Solution (without emolient); 500 ml</t>
  </si>
  <si>
    <t>Chlorhexidine, Alcohol</t>
  </si>
  <si>
    <t>Steriprep 0.5%</t>
  </si>
  <si>
    <t>D08AC52</t>
  </si>
  <si>
    <t>51284804-00001</t>
  </si>
  <si>
    <t>9501390f-5608-4167-9535-d407301f86d9</t>
  </si>
  <si>
    <t>222001174</t>
  </si>
  <si>
    <t>Chlorhexidine, Alcohol; 0.5%, 70%; Solution; 50 ml</t>
  </si>
  <si>
    <t>51473901-00005</t>
  </si>
  <si>
    <t>83194869-e6af-4772-af23-e3b1c1e77d80</t>
  </si>
  <si>
    <t>HP12-2020LQ/01</t>
  </si>
  <si>
    <t>189711309</t>
  </si>
  <si>
    <t>Chlorhexidine, Cetrimide; 1.5%, 15%; Liquid; 5 L</t>
  </si>
  <si>
    <t>Chlorhexidine, Cetrimide</t>
  </si>
  <si>
    <t>CETIDINE CONCENTRATE 5L</t>
  </si>
  <si>
    <t>B Braun Medical (pty) Ltd</t>
  </si>
  <si>
    <t>VYL89</t>
  </si>
  <si>
    <t>898233-008</t>
  </si>
  <si>
    <t>51472803-00000</t>
  </si>
  <si>
    <t>MAAA0040832</t>
  </si>
  <si>
    <t>da49c681-2c87-41ba-8e42-fd2e1de0796f</t>
  </si>
  <si>
    <t>189714848</t>
  </si>
  <si>
    <t>Chlorhexidine; 0.2%; Mouthwash; 200 ml</t>
  </si>
  <si>
    <t>Chlorhexidine</t>
  </si>
  <si>
    <t>Chlorhexidine Gluconate 0.2%</t>
  </si>
  <si>
    <t>D08AC02</t>
  </si>
  <si>
    <t>51472805-00001</t>
  </si>
  <si>
    <t>2ae9b530-b63c-4958-9361-7ee0aa66a3c4</t>
  </si>
  <si>
    <t>189705153</t>
  </si>
  <si>
    <t>Chlorhexidine; 4%; Solution (Hibiscrub); 500 ml</t>
  </si>
  <si>
    <t>Steriscrub</t>
  </si>
  <si>
    <t>51472802-00000</t>
  </si>
  <si>
    <t>cbe40d9d-29c3-4d95-8567-4ad45304bda0</t>
  </si>
  <si>
    <t>189711414</t>
  </si>
  <si>
    <t>Chlorphenamine; 2mg/5ml; Syrup; 50 ml</t>
  </si>
  <si>
    <t>Chlorphenamine</t>
  </si>
  <si>
    <t>Allergex syrup 50ml</t>
  </si>
  <si>
    <t>R06AB04</t>
  </si>
  <si>
    <t>1 shipper</t>
  </si>
  <si>
    <t>51313424-00002</t>
  </si>
  <si>
    <t>951dfc74-fbc7-4ae8-9388-d47a92326ffa</t>
  </si>
  <si>
    <t>Histagex</t>
  </si>
  <si>
    <t>78</t>
  </si>
  <si>
    <t>181821882</t>
  </si>
  <si>
    <t>Chlorphenamine; 4mg; Tablet; 10 Tablets</t>
  </si>
  <si>
    <t>Allergex Tablets 10's Blister</t>
  </si>
  <si>
    <t>51313401-00001</t>
  </si>
  <si>
    <t>f4d1ab3e-d62b-40a2-85b3-4f003da23991</t>
  </si>
  <si>
    <t>79</t>
  </si>
  <si>
    <t>181917348</t>
  </si>
  <si>
    <t>Chlorphenamine; 4mg; Tablet; 30 Tablets</t>
  </si>
  <si>
    <t>Allergex Tablets 30's Blister</t>
  </si>
  <si>
    <t>51313401-00002</t>
  </si>
  <si>
    <t>81</t>
  </si>
  <si>
    <t>189711826</t>
  </si>
  <si>
    <t>Chlorpromazine; 100mg; Tablet; 56 Tablets</t>
  </si>
  <si>
    <t>Chlorpromazine</t>
  </si>
  <si>
    <t>Largactil 100mg 56 Tablets</t>
  </si>
  <si>
    <t>N05AA01</t>
  </si>
  <si>
    <t>51332807-00001</t>
  </si>
  <si>
    <t>32efbf45-0f0c-44f1-a875-335eb40c7d41</t>
  </si>
  <si>
    <t>84</t>
  </si>
  <si>
    <t>181868872</t>
  </si>
  <si>
    <t>Chlorpromazine; 25mg; Tablet; 56 Tablets</t>
  </si>
  <si>
    <t>Largactil 25mg 56 Tablets</t>
  </si>
  <si>
    <t>51332807-00004</t>
  </si>
  <si>
    <t>850134c8-a0ed-4a7c-8d1e-e6285083fe71</t>
  </si>
  <si>
    <t>189712364</t>
  </si>
  <si>
    <t>Ciclosporin; 100mg/ml; Solution; 50 ml</t>
  </si>
  <si>
    <t>Ciclosporin</t>
  </si>
  <si>
    <t>Sandimmun Neoral 100mg/ml Oral solution</t>
  </si>
  <si>
    <t>L04AD01</t>
  </si>
  <si>
    <t>51203101-00003</t>
  </si>
  <si>
    <t>d729099e-7bc0-41d2-ada7-74b2c212d32e</t>
  </si>
  <si>
    <t>180001233</t>
  </si>
  <si>
    <t>Ciclosporin; 100mg; Capsule; 50 Capsules</t>
  </si>
  <si>
    <t>Sandimmun Neoral 100mg</t>
  </si>
  <si>
    <t>51203101-00001</t>
  </si>
  <si>
    <t>70ff03a6-dcbe-46a2-9301-0bf52daabfe4</t>
  </si>
  <si>
    <t>180001218</t>
  </si>
  <si>
    <t>Ciclosporin; 25mg; Capsule; 50 Capsules</t>
  </si>
  <si>
    <t xml:space="preserve">Sandimmun Neoral 25mg </t>
  </si>
  <si>
    <t>51203101-00002</t>
  </si>
  <si>
    <t>03e79199-4849-4857-997c-8ed540421fa9</t>
  </si>
  <si>
    <t>180073825</t>
  </si>
  <si>
    <t>Ciclosporin; 50mg; injection; 1 Injection</t>
  </si>
  <si>
    <t>Sandimmun Neoral 50mg injection</t>
  </si>
  <si>
    <t>51203101-00000</t>
  </si>
  <si>
    <t>0b322832-c1f8-4486-9fb6-d678e4994471</t>
  </si>
  <si>
    <t>61</t>
  </si>
  <si>
    <t>189763036</t>
  </si>
  <si>
    <t>Ciprofloxacin; 100mg/50ml; injection; 100 ml</t>
  </si>
  <si>
    <t>Ciprofloxacin</t>
  </si>
  <si>
    <t>CIPROFLOXACIN FRESENIUS 2 mg/ml 100ml</t>
  </si>
  <si>
    <t>J01MA02</t>
  </si>
  <si>
    <t>51282909-00001</t>
  </si>
  <si>
    <t>5eb73579-9e41-4093-8109-7006c50778ba</t>
  </si>
  <si>
    <t>180302525</t>
  </si>
  <si>
    <t>Ciprofloxacin; 250mg/5ml; Suspension; 100 ml</t>
  </si>
  <si>
    <t>Ciprobay Suspension</t>
  </si>
  <si>
    <t>Bayer (Pty) Ltd</t>
  </si>
  <si>
    <t>V6390</t>
  </si>
  <si>
    <t>51282909-00003</t>
  </si>
  <si>
    <t>MAAA0009623</t>
  </si>
  <si>
    <t>3e741615-a05b-45e6-8214-47c17a7b242c</t>
  </si>
  <si>
    <t>189762972</t>
  </si>
  <si>
    <t>Ciprofloxacin; 250mg; Tablet; 10 Tablets</t>
  </si>
  <si>
    <t>BIOTECH CIPROFLOXACIN 250 mg 10's</t>
  </si>
  <si>
    <t>51282909-00000</t>
  </si>
  <si>
    <t>f6d4a105-5c1d-4403-8270-798972bc1835</t>
  </si>
  <si>
    <t>180073995</t>
  </si>
  <si>
    <t>Ciprofloxacin; 3mg/ml; Drop, Eye; 5 ml</t>
  </si>
  <si>
    <t>Ciloxan</t>
  </si>
  <si>
    <t>S01AE03</t>
  </si>
  <si>
    <t>51282909-00004</t>
  </si>
  <si>
    <t>f8ec8e12-1979-4822-bd69-ea023f7ab821</t>
  </si>
  <si>
    <t>62</t>
  </si>
  <si>
    <t>180185726</t>
  </si>
  <si>
    <t>Ciprofloxacin; 400mg/200ml; Infusion (parenteral); 200 ml</t>
  </si>
  <si>
    <t>CIPROFLOXACIN FRESENIUS 2 mg/ml 200 ml</t>
  </si>
  <si>
    <t>51282909-00006</t>
  </si>
  <si>
    <t>9607b87a-7f4f-4090-bd2c-1cdd46515fcc</t>
  </si>
  <si>
    <t>189763034</t>
  </si>
  <si>
    <t>Ciprofloxacin; 500mg; Tablet; 10 Tablets</t>
  </si>
  <si>
    <t>BIOTECH CIPROFLOXACIN 500 mg 10's</t>
  </si>
  <si>
    <t>51282909-00002</t>
  </si>
  <si>
    <t>0039031d-1712-4647-9c2d-b716201b83e4</t>
  </si>
  <si>
    <t>Austell Ciprofloxacin 500mg 10s</t>
  </si>
  <si>
    <t>180308024</t>
  </si>
  <si>
    <t>Cisatracurium; 10mg/5ml; injection; 5 ml</t>
  </si>
  <si>
    <t>Cisatracurium</t>
  </si>
  <si>
    <t>Cistrax 10mg/5ml</t>
  </si>
  <si>
    <t>M03AC11</t>
  </si>
  <si>
    <t>51152006-00002</t>
  </si>
  <si>
    <t>f6daf753-da25-432a-b2f0-3b21a412a819</t>
  </si>
  <si>
    <t>181767288</t>
  </si>
  <si>
    <t>Cisatracurium; 5mg/2.5ml; injection; 2.5 ml</t>
  </si>
  <si>
    <t xml:space="preserve">Cistrax 5mg/2.5ml </t>
  </si>
  <si>
    <t>51152006-00100</t>
  </si>
  <si>
    <t>0c6cc06c-e3b1-42c4-9d36-c89be61e440f</t>
  </si>
  <si>
    <t>180348859</t>
  </si>
  <si>
    <t>Cisplatin; 10mg/10ml; injection; 10 ml</t>
  </si>
  <si>
    <t>Cisplatin</t>
  </si>
  <si>
    <t>Cisplatin 10mg/ 20ml Oethmaan</t>
  </si>
  <si>
    <t>L01XA01</t>
  </si>
  <si>
    <t>51112702-00100</t>
  </si>
  <si>
    <t>8d0933c9-cf72-4795-a8a2-8862e7660bb6</t>
  </si>
  <si>
    <t>180348860</t>
  </si>
  <si>
    <t>Cisplatin; 50mg/50ml; injection; 50 ml</t>
  </si>
  <si>
    <t>Cisplatin 50mg / 100ml Oethmaan</t>
  </si>
  <si>
    <t>51112702-00000</t>
  </si>
  <si>
    <t>06fa4aea-8a61-4dd8-94e6-7473d24db509</t>
  </si>
  <si>
    <t>87</t>
  </si>
  <si>
    <t>181935507</t>
  </si>
  <si>
    <t>Citalopram; 10mg; Tablet; 28 Tablets</t>
  </si>
  <si>
    <t>Citalopram</t>
  </si>
  <si>
    <t>Austell Citalopram 10 mg 28's</t>
  </si>
  <si>
    <t>N06AB04</t>
  </si>
  <si>
    <t>51292004-00001</t>
  </si>
  <si>
    <t>59ddbd7d-3087-4507-823d-ba4eca17da06</t>
  </si>
  <si>
    <t>88</t>
  </si>
  <si>
    <t>180129661</t>
  </si>
  <si>
    <t>Citalopram; 20mg; Tablet; 28 Tablets</t>
  </si>
  <si>
    <t>Austell Citalopram 20 mg 28's</t>
  </si>
  <si>
    <t>51292004-00002</t>
  </si>
  <si>
    <t>bc03f461-f359-4656-ad44-d4f99599933a</t>
  </si>
  <si>
    <t>Citalopram 20 Oethmaan</t>
  </si>
  <si>
    <t>180035474</t>
  </si>
  <si>
    <t>Citric Acid;  BP; Powder; 500 g</t>
  </si>
  <si>
    <t>Citric Acid</t>
  </si>
  <si>
    <t>Citric Acid B.P.</t>
  </si>
  <si>
    <t>A09AB04</t>
  </si>
  <si>
    <t>51131628-00002</t>
  </si>
  <si>
    <t>3b088f63-e56d-4b0d-aab6-85b12bee34e6</t>
  </si>
  <si>
    <t>222001218</t>
  </si>
  <si>
    <t>Clarithromycin; 125mg/5ml; Suspension; 60 ml</t>
  </si>
  <si>
    <t>Clarithromycin</t>
  </si>
  <si>
    <t xml:space="preserve">KLARITHRAN SUSPENSION 125 mg/ 5 ml </t>
  </si>
  <si>
    <t>J01FA09</t>
  </si>
  <si>
    <t>51282302-00002</t>
  </si>
  <si>
    <t>7bdb7ea2-29cb-48f0-a0a2-52e1df964721</t>
  </si>
  <si>
    <t>181927703</t>
  </si>
  <si>
    <t>Clarithromycin; 250mg/5ml; Suspension; 60 ml</t>
  </si>
  <si>
    <t xml:space="preserve">KLARITHRAN SUSPENSION 250 mg/ 5 ml </t>
  </si>
  <si>
    <t>51282302-00001</t>
  </si>
  <si>
    <t>284d93fd-d019-485c-831f-ef04789e6b9a</t>
  </si>
  <si>
    <t>68</t>
  </si>
  <si>
    <t>180145713</t>
  </si>
  <si>
    <t>Clarithromycin; 500mg; Tablet; 14 Tablets</t>
  </si>
  <si>
    <t>Austell Clarithromycin 500mg 14s</t>
  </si>
  <si>
    <t>51282302-00000</t>
  </si>
  <si>
    <t>9a6bff92-a78c-4cab-8b45-88dfbba2a8ad</t>
  </si>
  <si>
    <t>189712138</t>
  </si>
  <si>
    <t>Clindamycin; 150mg; Capsule; 100 Capsules</t>
  </si>
  <si>
    <t>Clindamycin</t>
  </si>
  <si>
    <t>Dalacin C 150 mg</t>
  </si>
  <si>
    <t>J01FF01</t>
  </si>
  <si>
    <t>51283002-00002</t>
  </si>
  <si>
    <t>fb73bf89-f18f-4c15-beb7-74ddd49ca26c</t>
  </si>
  <si>
    <t>180103949</t>
  </si>
  <si>
    <t>Clindamycin; 150mg; Capsule; 20 Capsules</t>
  </si>
  <si>
    <t>51283002-00000</t>
  </si>
  <si>
    <t>189710888</t>
  </si>
  <si>
    <t>Clindamycin; 600mg/4ml; injection; 4 ml</t>
  </si>
  <si>
    <t>Pharma-Q Clindamycin</t>
  </si>
  <si>
    <t>51283002-00001</t>
  </si>
  <si>
    <t>7030ce5e-1737-4b5b-8800-1e632b49d3b9</t>
  </si>
  <si>
    <t>HP03-2020CHM</t>
  </si>
  <si>
    <t>181834734</t>
  </si>
  <si>
    <t>Clip, Tubal Occlusion With Mechanical Locking; Medical device; 1 Device</t>
  </si>
  <si>
    <t>Device (Devices)</t>
  </si>
  <si>
    <t>Medical device</t>
  </si>
  <si>
    <t>Clip, Tubal Occlusion With Mechanical Locking</t>
  </si>
  <si>
    <t>Filshieclips (Femcare-Nikomed)</t>
  </si>
  <si>
    <t>Triton Enterprises Cc</t>
  </si>
  <si>
    <t>V3432</t>
  </si>
  <si>
    <t>437913-007</t>
  </si>
  <si>
    <t>1 x  box (20 pairs)</t>
  </si>
  <si>
    <t>42291802-00000</t>
  </si>
  <si>
    <t>MAAA0131599</t>
  </si>
  <si>
    <t>c8dc05b9-53fc-48b9-9002-03869e310eac</t>
  </si>
  <si>
    <t>189707981</t>
  </si>
  <si>
    <t>Clobetasol; 0.05%; Cream; 25 g</t>
  </si>
  <si>
    <t>Clobetasol</t>
  </si>
  <si>
    <t>Dovate Cream 25g</t>
  </si>
  <si>
    <t>D07AD01</t>
  </si>
  <si>
    <t>51421601-00000</t>
  </si>
  <si>
    <t>e115d9fb-8c9e-4c44-8f67-3572fda00983</t>
  </si>
  <si>
    <t>189707980</t>
  </si>
  <si>
    <t>Clobetasol; 0.05%; Ointment; 25 g</t>
  </si>
  <si>
    <t>Dovate Ointment 25g</t>
  </si>
  <si>
    <t>51421601-00001</t>
  </si>
  <si>
    <t>8e84b714-9817-41e8-b299-be2945817011</t>
  </si>
  <si>
    <t>189714435</t>
  </si>
  <si>
    <t>Clofazimine; 100mg; Tablet; 100 Tablets</t>
  </si>
  <si>
    <t>Clofazimine</t>
  </si>
  <si>
    <t>Lamprene</t>
  </si>
  <si>
    <t>under review</t>
  </si>
  <si>
    <t>J04BA01</t>
  </si>
  <si>
    <t>51283110-00100</t>
  </si>
  <si>
    <t>82f513bd-3f6b-4e1c-94d9-1a46aa220c6e</t>
  </si>
  <si>
    <t>180054777</t>
  </si>
  <si>
    <t>Clomifene; 50mg; Tablet; 10 Tablets</t>
  </si>
  <si>
    <t>Clomifene</t>
  </si>
  <si>
    <t>Fertomid-50</t>
  </si>
  <si>
    <t>G03GB02</t>
  </si>
  <si>
    <t>10 packs</t>
  </si>
  <si>
    <t>51181919-00000</t>
  </si>
  <si>
    <t>e27a3b95-494d-4d98-962b-4350e7d5157d</t>
  </si>
  <si>
    <t>89</t>
  </si>
  <si>
    <t>181797926</t>
  </si>
  <si>
    <t>Clomipramine; 25mg; Tablet; 50 Tablets</t>
  </si>
  <si>
    <t>Clomipramine</t>
  </si>
  <si>
    <t>ANAFRANIL 25 TABLET</t>
  </si>
  <si>
    <t>N06AA04</t>
  </si>
  <si>
    <t>51292902-00000</t>
  </si>
  <si>
    <t>1a9c0c0a-4c8f-4a45-af48-c4289494cbf9</t>
  </si>
  <si>
    <t>90</t>
  </si>
  <si>
    <t>222001088</t>
  </si>
  <si>
    <t>Clonazepam; 0.5mg; Tablet; 84 Tablets</t>
  </si>
  <si>
    <t>Clonazepam</t>
  </si>
  <si>
    <t>Clonam 0.5</t>
  </si>
  <si>
    <t>Ascendis Pharma (Pty) Ltd</t>
  </si>
  <si>
    <t>V0DM6</t>
  </si>
  <si>
    <t>N03AE01</t>
  </si>
  <si>
    <t>51401516-00002</t>
  </si>
  <si>
    <t>MAAA0043637</t>
  </si>
  <si>
    <t>fb3101a1-30eb-4a1b-9899-8b6e906b6dba</t>
  </si>
  <si>
    <t>91</t>
  </si>
  <si>
    <t>222001089</t>
  </si>
  <si>
    <t>Clonazepam; 2mg; Tablet; 84 Tablets</t>
  </si>
  <si>
    <t>Clonam 2</t>
  </si>
  <si>
    <t>51401516-00001</t>
  </si>
  <si>
    <t>cb1b2540-24d6-48b5-ad79-85096e6cdc13</t>
  </si>
  <si>
    <t>93</t>
  </si>
  <si>
    <t>180964072</t>
  </si>
  <si>
    <t>Clopidogrel; 75mg; Tablet; 28 Tablets</t>
  </si>
  <si>
    <t>Clopidogrel</t>
  </si>
  <si>
    <t>Aviolix 75</t>
  </si>
  <si>
    <t>B01AC04</t>
  </si>
  <si>
    <t>100 x 28</t>
  </si>
  <si>
    <t>51131629-00000</t>
  </si>
  <si>
    <t>478d4c85-a8a6-4f86-b7f1-3c603232f021</t>
  </si>
  <si>
    <t>180075729</t>
  </si>
  <si>
    <t>Clotiapine; 40mg/4ml; injection; 4 ml</t>
  </si>
  <si>
    <t>Clotiapine</t>
  </si>
  <si>
    <t>Etomine Injection</t>
  </si>
  <si>
    <t>N05AH06</t>
  </si>
  <si>
    <t>51334202-00000</t>
  </si>
  <si>
    <t>d4269442-5ba4-4981-a5eb-f2f53e38f4f6</t>
  </si>
  <si>
    <t>189705118</t>
  </si>
  <si>
    <t>Clotrimazole; 1%; Cream; 20 g</t>
  </si>
  <si>
    <t>Clotrimazole</t>
  </si>
  <si>
    <t>Innospore Topical Cream</t>
  </si>
  <si>
    <t>D01AC01</t>
  </si>
  <si>
    <t>51302308-00000</t>
  </si>
  <si>
    <t>4c852fff-9fce-445f-9257-1f8100238aa6</t>
  </si>
  <si>
    <t>Clotrimazole 1% cream, 20g (Closcript Topical)</t>
  </si>
  <si>
    <t>181932694</t>
  </si>
  <si>
    <t>Clotrimazole; 500mg/50g; cream, vaginal; 50 g</t>
  </si>
  <si>
    <t>cream, vaginal</t>
  </si>
  <si>
    <t>Clotrimazole Biotech Vaginal</t>
  </si>
  <si>
    <t>G01AF02</t>
  </si>
  <si>
    <t>51302308-00002</t>
  </si>
  <si>
    <t>e042faf0-1984-4176-9420-c5b8e7ad7c63</t>
  </si>
  <si>
    <t>Clotrimazole 1% cream, 20g (Closcript Vaginal)</t>
  </si>
  <si>
    <t>189710836</t>
  </si>
  <si>
    <t>Clotrimazole; 500mg; Pessary; 1 Pessary</t>
  </si>
  <si>
    <t>Pessary (Pessaries)</t>
  </si>
  <si>
    <t>Pessary</t>
  </si>
  <si>
    <t>Candizole Vaginal Tabs 500mg</t>
  </si>
  <si>
    <t>51302308-00001</t>
  </si>
  <si>
    <t>a4895dcb-b528-4d2d-b579-34d9a23d0eb5</t>
  </si>
  <si>
    <t>189705615</t>
  </si>
  <si>
    <t>Cloxacillin; 250mg; injection; 1 Injection</t>
  </si>
  <si>
    <t>Cloxacillin</t>
  </si>
  <si>
    <t>CLOXACILLIN FRESENIUS 250 mg</t>
  </si>
  <si>
    <t>J01CF02</t>
  </si>
  <si>
    <t>51283501-00000</t>
  </si>
  <si>
    <t>38938bdf-a57d-4077-81f6-4e53143a2f1e</t>
  </si>
  <si>
    <t>189705134</t>
  </si>
  <si>
    <t>Cloxacillin; 500mg; injection; 1 Injection</t>
  </si>
  <si>
    <t>CLOXACILLIN FRESENIUS 500 mg</t>
  </si>
  <si>
    <t>51283501-00001</t>
  </si>
  <si>
    <t>48a9df65-6572-4cf8-a40e-42c2a0545803</t>
  </si>
  <si>
    <t>94</t>
  </si>
  <si>
    <t>189710025</t>
  </si>
  <si>
    <t>Clozapine; 100mg; Tablet; 100 Tablets</t>
  </si>
  <si>
    <t>Clozapine</t>
  </si>
  <si>
    <t>Aspen clozapine 100mg 100</t>
  </si>
  <si>
    <t>N05AH02</t>
  </si>
  <si>
    <t>51332703-00000</t>
  </si>
  <si>
    <t>4913373d-488e-4091-b65b-bb7e4de4ba75</t>
  </si>
  <si>
    <t>95</t>
  </si>
  <si>
    <t>189710069</t>
  </si>
  <si>
    <t>Clozapine; 25mg; Tablet; 100 Tablets</t>
  </si>
  <si>
    <t>Aspen clozapine 25mg 100</t>
  </si>
  <si>
    <t>51332703-00001</t>
  </si>
  <si>
    <t>49c4c297-882b-480b-bfb7-2725b983d92a</t>
  </si>
  <si>
    <t>189712370</t>
  </si>
  <si>
    <t>Coal Tar;  BP; Solution; 500 ml</t>
  </si>
  <si>
    <t>Coal Tar</t>
  </si>
  <si>
    <t>Resmed Coal Tar Solution B.P.</t>
  </si>
  <si>
    <t>D05AA</t>
  </si>
  <si>
    <t>51241207-00002</t>
  </si>
  <si>
    <t>f866f631-817c-449e-88cd-5e05e427ee90</t>
  </si>
  <si>
    <t>189712299</t>
  </si>
  <si>
    <t>Cocaine;  BP; Powder; 25 g</t>
  </si>
  <si>
    <t>Cocaine</t>
  </si>
  <si>
    <t>Barrs Cocaine Hydrochloride BP</t>
  </si>
  <si>
    <t>N01BC01</t>
  </si>
  <si>
    <t>51273607-00000</t>
  </si>
  <si>
    <t>56a76ee8-8be9-4f56-b43a-135935dc0ed4</t>
  </si>
  <si>
    <t>97</t>
  </si>
  <si>
    <t>181937413</t>
  </si>
  <si>
    <t>Colchicine; 500mcg; Tablet; 12 Tablets</t>
  </si>
  <si>
    <t>Colchicine</t>
  </si>
  <si>
    <t>Podagra 0.5mg</t>
  </si>
  <si>
    <t>M04AC01</t>
  </si>
  <si>
    <t>51192002-00000</t>
  </si>
  <si>
    <t>ec71d73b-66fc-4b56-84b7-75c76692cf05</t>
  </si>
  <si>
    <t>HP08-2020SSP/01</t>
  </si>
  <si>
    <t>180046796</t>
  </si>
  <si>
    <t>Collagenase, Proteases;  BP; Ointment; 30 g</t>
  </si>
  <si>
    <t>Collagenase, Proteases</t>
  </si>
  <si>
    <t>Iruxol</t>
  </si>
  <si>
    <t>Smith &amp; Nephew (Pty) Ltd</t>
  </si>
  <si>
    <t>V1867</t>
  </si>
  <si>
    <t>not approved</t>
  </si>
  <si>
    <t>D03BA52</t>
  </si>
  <si>
    <t>Per Each 30g Tube</t>
  </si>
  <si>
    <t>42312305-00000</t>
  </si>
  <si>
    <t>MAAA0016878</t>
  </si>
  <si>
    <t>34279358-1b3b-4377-909e-f3eee91498fe</t>
  </si>
  <si>
    <t>189711429</t>
  </si>
  <si>
    <t>Cyclopentolate, Phenylephrine; 0.2%, 1%; Drop, Eye; 5 ml</t>
  </si>
  <si>
    <t>Cyclopentolate, Phenylephrine</t>
  </si>
  <si>
    <t xml:space="preserve">Cyclomydril </t>
  </si>
  <si>
    <t>S01FA54</t>
  </si>
  <si>
    <t>51241517-00000</t>
  </si>
  <si>
    <t>5d5ee4f6-2934-4730-ba95-586ca0137563</t>
  </si>
  <si>
    <t>189711430</t>
  </si>
  <si>
    <t>Cyclopentolate; 1%; Drop, Eye; 15 ml</t>
  </si>
  <si>
    <t>Cyclopentolate</t>
  </si>
  <si>
    <t xml:space="preserve">Cyclogyl 1%  </t>
  </si>
  <si>
    <t>S01FA04</t>
  </si>
  <si>
    <t>51241138-00000</t>
  </si>
  <si>
    <t>b7451769-9b64-4d69-b88b-17e593502008</t>
  </si>
  <si>
    <t>189704487</t>
  </si>
  <si>
    <t>Cyclophosphamide; 1g; injection; 1 Injection</t>
  </si>
  <si>
    <t>Cyclophosphamide</t>
  </si>
  <si>
    <t>Endoxan Injection 1 g</t>
  </si>
  <si>
    <t>BAXTER HEALTHCARE SOUTH AFRICA</t>
  </si>
  <si>
    <t>V3KX0</t>
  </si>
  <si>
    <t>L01AA01</t>
  </si>
  <si>
    <t>51112507-00006</t>
  </si>
  <si>
    <t>MAAA0153863</t>
  </si>
  <si>
    <t>aba076aa-b581-4bcb-b787-c4f5fb946c20</t>
  </si>
  <si>
    <t>189714915</t>
  </si>
  <si>
    <t>Cyclophosphamide; 500mg; injection; 1 Injection</t>
  </si>
  <si>
    <t>Endoxan Injection 500 mg</t>
  </si>
  <si>
    <t>51112507-00005</t>
  </si>
  <si>
    <t>b4da3219-0d88-4262-9e34-70730fe20782</t>
  </si>
  <si>
    <t>189714585</t>
  </si>
  <si>
    <t>Cyclophosphamide; 50mg; Tablet; 50 Tablets</t>
  </si>
  <si>
    <t>Endoxan 50 mg tablets</t>
  </si>
  <si>
    <t>51112507-00000</t>
  </si>
  <si>
    <t>f687cbae-f90d-4d25-84f0-043c41529fce</t>
  </si>
  <si>
    <t>189707439</t>
  </si>
  <si>
    <t>Cyproterone, Ethinylestradiol; 2mg, 0.035mg; Tablet; 28 Tablets</t>
  </si>
  <si>
    <t>Cyproterone, Ethinylestradiol</t>
  </si>
  <si>
    <t>Ginette</t>
  </si>
  <si>
    <t>G03HB01</t>
  </si>
  <si>
    <t>51111828-00001</t>
  </si>
  <si>
    <t>c1a40a2f-681c-424d-8c35-7e7cd609b32e</t>
  </si>
  <si>
    <t>180057290</t>
  </si>
  <si>
    <t>Cyproterone; 10mg; Tablet; 15 Tablets</t>
  </si>
  <si>
    <t>Cyproterone</t>
  </si>
  <si>
    <t>Androcur 10mg Tablets</t>
  </si>
  <si>
    <t>G03HA01</t>
  </si>
  <si>
    <t>51111828-00002</t>
  </si>
  <si>
    <t>dc90a2e2-23fc-4523-9061-ed7744b4892b</t>
  </si>
  <si>
    <t>189709124</t>
  </si>
  <si>
    <t>Cyproterone; 50mg; Tablet; 20 Tablets</t>
  </si>
  <si>
    <t>Cipla-Cyproterone Acetate 50</t>
  </si>
  <si>
    <t>20 packs</t>
  </si>
  <si>
    <t>51111828-00003</t>
  </si>
  <si>
    <t>fa49a019-f6c4-489f-9b2f-80916ad8df8f</t>
  </si>
  <si>
    <t>180073563</t>
  </si>
  <si>
    <t>Dacarbazine; 200mg; injection; 1 Injection</t>
  </si>
  <si>
    <t>Dacarbazine</t>
  </si>
  <si>
    <t>Dacin 200</t>
  </si>
  <si>
    <t>Key Oncologics (Pty) Ltd</t>
  </si>
  <si>
    <t>VAYM6</t>
  </si>
  <si>
    <t>L01AX04</t>
  </si>
  <si>
    <t>1 pack (10)</t>
  </si>
  <si>
    <t>51112402-00100</t>
  </si>
  <si>
    <t>MAAA0009144</t>
  </si>
  <si>
    <t>24bb1d63-93a6-4d2f-9a2a-3b1882b24ae6</t>
  </si>
  <si>
    <t>98</t>
  </si>
  <si>
    <t>180280770</t>
  </si>
  <si>
    <t>Danazol; 100mg; Capsule; 60 Capsules</t>
  </si>
  <si>
    <t>Danazol</t>
  </si>
  <si>
    <t>Danogen-100</t>
  </si>
  <si>
    <t>G03XA01</t>
  </si>
  <si>
    <t>51182024-00000</t>
  </si>
  <si>
    <t>b138ce69-6808-450d-851a-c40ced7aa8b1</t>
  </si>
  <si>
    <t>189710181</t>
  </si>
  <si>
    <t>Dapsone; 100mg; Tablet; 100 Tablets</t>
  </si>
  <si>
    <t>Dapsone</t>
  </si>
  <si>
    <t>A-Lennon Dapsone 100mg 100's</t>
  </si>
  <si>
    <t>J04BA02</t>
  </si>
  <si>
    <t>51287004-00001</t>
  </si>
  <si>
    <t>c359740d-1123-4236-85d9-1ab2c011b8cb</t>
  </si>
  <si>
    <t>99</t>
  </si>
  <si>
    <t>222001427</t>
  </si>
  <si>
    <t>Deferasirox; 180mg; Tablet; 30 Tablets</t>
  </si>
  <si>
    <t>Deferasirox</t>
  </si>
  <si>
    <t>Jadenu 180mg</t>
  </si>
  <si>
    <t>V03AC03</t>
  </si>
  <si>
    <t>51172320-00004</t>
  </si>
  <si>
    <t>b7e4ebe8-4b23-4695-8a1f-df3e481c85dd</t>
  </si>
  <si>
    <t>100</t>
  </si>
  <si>
    <t>181810861</t>
  </si>
  <si>
    <t>Deferasirox; 250mg; Tablet; 28 Tablets</t>
  </si>
  <si>
    <t>Exjade 250mg</t>
  </si>
  <si>
    <t>51172320-00000</t>
  </si>
  <si>
    <t>bfd3c2bc-701f-4e98-a03d-2b79a0e88d7d</t>
  </si>
  <si>
    <t>101</t>
  </si>
  <si>
    <t>181810862</t>
  </si>
  <si>
    <t>Deferasirox; 500mg; Tablet; 28 Tablets</t>
  </si>
  <si>
    <t>Exjade 500mg</t>
  </si>
  <si>
    <t>51172320-00001</t>
  </si>
  <si>
    <t>20bb9b2c-7b63-4044-8c80-82d1dbda88bf</t>
  </si>
  <si>
    <t>180075755</t>
  </si>
  <si>
    <t>Deferoxamine; 500mg; injection; 1 Injection</t>
  </si>
  <si>
    <t>Deferoxamine</t>
  </si>
  <si>
    <t xml:space="preserve">Desferal </t>
  </si>
  <si>
    <t>V03AC01</t>
  </si>
  <si>
    <t>1 x 10</t>
  </si>
  <si>
    <t>51172301-00001</t>
  </si>
  <si>
    <t>d0f52d6b-7208-4242-90db-d1f6cd2653ff</t>
  </si>
  <si>
    <t>222000902</t>
  </si>
  <si>
    <t>Delamanid; 50mg; Tablet; 48 Tablets</t>
  </si>
  <si>
    <t>Delamanid</t>
  </si>
  <si>
    <t>DELTYBA</t>
  </si>
  <si>
    <t>J04AK06</t>
  </si>
  <si>
    <t>51201622-00001</t>
  </si>
  <si>
    <t>226303d4-2ffa-4a5e-b058-30064119d6ed</t>
  </si>
  <si>
    <t>103</t>
  </si>
  <si>
    <t>180772047</t>
  </si>
  <si>
    <t>Desmopressin; 0.1mg; Tablet; 30 Tablets</t>
  </si>
  <si>
    <t>Desmopressin</t>
  </si>
  <si>
    <t>DDAVP 0.1MG TABLETS 30's</t>
  </si>
  <si>
    <t>Ferring (Pty) Ltd</t>
  </si>
  <si>
    <t>VXY92</t>
  </si>
  <si>
    <t>H01BA02</t>
  </si>
  <si>
    <t>(91)200100837</t>
  </si>
  <si>
    <t>51182101-00005</t>
  </si>
  <si>
    <t>MAAA0005879</t>
  </si>
  <si>
    <t>cc5460b8-3d02-406b-af47-20ee02edf833</t>
  </si>
  <si>
    <t>104</t>
  </si>
  <si>
    <t>181795796</t>
  </si>
  <si>
    <t>Desmopressin; 0.2mg; Tablet; 30 Tablets</t>
  </si>
  <si>
    <t>DDAVP 0.2MG TABLETS 30's</t>
  </si>
  <si>
    <t>(91)2001050836</t>
  </si>
  <si>
    <t>51182101-00002</t>
  </si>
  <si>
    <t>947b1b17-c4ab-4a25-a354-bd61faa7a445</t>
  </si>
  <si>
    <t>180296022</t>
  </si>
  <si>
    <t>Desmopressin; 100mcg/ml; Spray, Nasal; 5 ml</t>
  </si>
  <si>
    <t>DDAVP Nasal Spray 0.1mg/ml</t>
  </si>
  <si>
    <t>51182101-00001</t>
  </si>
  <si>
    <t>034785d3-211f-4dae-a8dc-599343314d73</t>
  </si>
  <si>
    <t>105</t>
  </si>
  <si>
    <t>222001428</t>
  </si>
  <si>
    <t>Desmopressin; 120mcg; Tablet; 30 Tablets</t>
  </si>
  <si>
    <t>MINIRIN MELT 120mcg</t>
  </si>
  <si>
    <t>51182101-00008</t>
  </si>
  <si>
    <t>d44207db-170c-4f14-8169-fc23ee78f3e4</t>
  </si>
  <si>
    <t>106</t>
  </si>
  <si>
    <t>222001429</t>
  </si>
  <si>
    <t>Desmopressin; 240mcg; Tablet; 30 Tablets</t>
  </si>
  <si>
    <t>MINIRIN MELT 240mcg</t>
  </si>
  <si>
    <t>51182101-00009</t>
  </si>
  <si>
    <t>0b060f18-8f01-4c8d-aa83-88b010945bb5</t>
  </si>
  <si>
    <t>180075757</t>
  </si>
  <si>
    <t>Desmopressin; 4mcg/ml; injection; 1 Injection</t>
  </si>
  <si>
    <t>DDAVP INJECTION 4MCG/ML 1ML</t>
  </si>
  <si>
    <t>5 x 10 ampoules pack ( 50 ampoules)</t>
  </si>
  <si>
    <t>51182101-00000</t>
  </si>
  <si>
    <t>59932875-78e1-41ff-a378-ec422f6c7823</t>
  </si>
  <si>
    <t>124</t>
  </si>
  <si>
    <t>189708057</t>
  </si>
  <si>
    <t>Dexamethasone, Neomycin, Polymyxin B; 1mg/ml, 3.5mg/ml, 6,000IU/ml; Drop, Eye; 5 ml</t>
  </si>
  <si>
    <t>Dexamethasone, Neomycin, Polymyxin B</t>
  </si>
  <si>
    <t>MAXITROL Eye Drops</t>
  </si>
  <si>
    <t>S01CA01</t>
  </si>
  <si>
    <t>51102844-00001</t>
  </si>
  <si>
    <t>f6f9b03b-3d53-428c-9840-52638373ca0e</t>
  </si>
  <si>
    <t>125</t>
  </si>
  <si>
    <t>189755066</t>
  </si>
  <si>
    <t>Dexamethasone, Neomycin, Polymyxin B; 1mg/ml, 3.5mg/ml, 6,000IU/ml; ointment, eye; 3.5 g</t>
  </si>
  <si>
    <t>MAXITROL Eye Ointment</t>
  </si>
  <si>
    <t>51102844-00000</t>
  </si>
  <si>
    <t>1958c348-ee02-40f7-92ec-07f2e21e5474</t>
  </si>
  <si>
    <t>189711204</t>
  </si>
  <si>
    <t>Dexamethasone; 0.1%; Drop, Eye; 5 ml</t>
  </si>
  <si>
    <t>Dexamethasone</t>
  </si>
  <si>
    <t xml:space="preserve">Maxidex </t>
  </si>
  <si>
    <t>S01BA01</t>
  </si>
  <si>
    <t>51422306-00002</t>
  </si>
  <si>
    <t>6eccc064-0218-45dd-9b7e-852eba5c5664</t>
  </si>
  <si>
    <t>180075759</t>
  </si>
  <si>
    <t>Dexamethasone; 4mg/ml; injection; 1 ml</t>
  </si>
  <si>
    <t>FRESENIUS DEXAMETHASONE 4 mg/1 ml</t>
  </si>
  <si>
    <t>H02AB02</t>
  </si>
  <si>
    <t>51422306-00001</t>
  </si>
  <si>
    <t>2464522f-0023-444a-9413-7ab00d8cfeca</t>
  </si>
  <si>
    <t>Pharma-Q Dexamethasone 4mg</t>
  </si>
  <si>
    <t>181937349</t>
  </si>
  <si>
    <t>Dexmedetomidine; 200mcg/2ml; injection; 2 ml</t>
  </si>
  <si>
    <t>Dexmedetomidine</t>
  </si>
  <si>
    <t>Precedex 100mcg/ml 2ml</t>
  </si>
  <si>
    <t>N05CM18</t>
  </si>
  <si>
    <t>51361801-00000</t>
  </si>
  <si>
    <t>5f8f31da-150e-4a66-ab2f-423d4a7c5151</t>
  </si>
  <si>
    <t>180075794</t>
  </si>
  <si>
    <t>Dextrose In Water; 50%; injection; 20 ml</t>
  </si>
  <si>
    <t>Dextrose In Water</t>
  </si>
  <si>
    <t>DEXTROSE FRESENIUS 50 % (20 ml) INJECTION</t>
  </si>
  <si>
    <t>B05BA03</t>
  </si>
  <si>
    <t>51191601-00000</t>
  </si>
  <si>
    <t>751b8244-222d-4c4e-9593-e43e773868e3</t>
  </si>
  <si>
    <t>180352804</t>
  </si>
  <si>
    <t>Dextrose In Water; 50%; injection; 50 ml</t>
  </si>
  <si>
    <t>DEXTROSE-FRESENIUS 50% (50ml)</t>
  </si>
  <si>
    <t>60 Bags</t>
  </si>
  <si>
    <t>51191601-00001</t>
  </si>
  <si>
    <t>189712091</t>
  </si>
  <si>
    <t>Dextrose Monohydrate;  BP; Powder; 500 g</t>
  </si>
  <si>
    <t>Dextrose Monohydrate</t>
  </si>
  <si>
    <t>Resmed Dextrose Powder</t>
  </si>
  <si>
    <t>V06DC01</t>
  </si>
  <si>
    <t>50161509-00001</t>
  </si>
  <si>
    <t>d6ee0efe-f8ce-4beb-952b-0a68f5f1a1e6</t>
  </si>
  <si>
    <t>189716005</t>
  </si>
  <si>
    <t>Dextrose Monohydrate;  BP; Powder; 75 g</t>
  </si>
  <si>
    <t>50161509-00000</t>
  </si>
  <si>
    <t>180005302</t>
  </si>
  <si>
    <t>Dextrose, Electrolyte; 5%; Infusion (parenteral); 1 L</t>
  </si>
  <si>
    <t>Dextrose, Electrolyte</t>
  </si>
  <si>
    <t>Sabax General Replacement Solution with Glucose 5%</t>
  </si>
  <si>
    <t>B05BB02</t>
  </si>
  <si>
    <t>51191704-00008</t>
  </si>
  <si>
    <t>466b2592-0ae6-482c-a35b-e353078454a8</t>
  </si>
  <si>
    <t>180019333</t>
  </si>
  <si>
    <t>Dextrose, Maintelyte; 10%; Infusion (parenteral); 1 L</t>
  </si>
  <si>
    <t>Dextrose, Maintelyte</t>
  </si>
  <si>
    <t>Sabax Maintelyte with Glucose 10%</t>
  </si>
  <si>
    <t>51191704-00004</t>
  </si>
  <si>
    <t>524fdea2-9811-405e-8830-42845d676bd8</t>
  </si>
  <si>
    <t>180031182</t>
  </si>
  <si>
    <t>Dextrose, Maintelyte; 5%; Infusion (parenteral); 1 L</t>
  </si>
  <si>
    <t>Sabax Maintelyte with Glucose 5%</t>
  </si>
  <si>
    <t>51191704-00003</t>
  </si>
  <si>
    <t>4d1a4e42-44e1-4a0d-ac94-b08022f99008</t>
  </si>
  <si>
    <t>189703042</t>
  </si>
  <si>
    <t>Dextrose; 10%; Infusion (parenteral); 1 L</t>
  </si>
  <si>
    <t>Dextrose</t>
  </si>
  <si>
    <t>INJ 2ml</t>
  </si>
  <si>
    <t>815462/018</t>
  </si>
  <si>
    <t>50161509-00014</t>
  </si>
  <si>
    <t>d07355a5-45e2-4707-81a0-32cec8f777e9</t>
  </si>
  <si>
    <t>180018990</t>
  </si>
  <si>
    <t>Dextrose; 5%; Infusion (parenteral); 1 L</t>
  </si>
  <si>
    <t>Autosterile 5% Glucose Injection BP 1000ml (FIG1009)</t>
  </si>
  <si>
    <t>713621-001</t>
  </si>
  <si>
    <t>50161509-00013</t>
  </si>
  <si>
    <t>c728c634-f66e-4ba3-9bf9-9d1aff74d225</t>
  </si>
  <si>
    <t>189761558</t>
  </si>
  <si>
    <t>Dextrose; 5%; Infusion (parenteral); 100 ml</t>
  </si>
  <si>
    <t>Sabax Glucose 5% (100ml)</t>
  </si>
  <si>
    <t>50161509-00011</t>
  </si>
  <si>
    <t>189761516</t>
  </si>
  <si>
    <t>Dextrose; 5%; Infusion (parenteral); 200 ml</t>
  </si>
  <si>
    <t>Autosterile 5% Glucose Injection BP 200ml (FIG1011)</t>
  </si>
  <si>
    <t>713620-001</t>
  </si>
  <si>
    <t>50161509-00012</t>
  </si>
  <si>
    <t>189761557</t>
  </si>
  <si>
    <t>Dextrose; 5%; Infusion (parenteral); 50 ml</t>
  </si>
  <si>
    <t>Sabax Glucose 5% (50ml)</t>
  </si>
  <si>
    <t>50161509-00010</t>
  </si>
  <si>
    <t>189711855</t>
  </si>
  <si>
    <t>Dextrose; 50%; Infusion (parenteral); 500 ml</t>
  </si>
  <si>
    <t>DEXTROSE FRESENIUS 50%</t>
  </si>
  <si>
    <t>803014/007</t>
  </si>
  <si>
    <t>50161509-00005</t>
  </si>
  <si>
    <t>07f63313-1711-4b8c-a56d-b4d18e51b2aa</t>
  </si>
  <si>
    <t>180075798</t>
  </si>
  <si>
    <t>Diazepam; 10mg/2ml; injection; 2 ml</t>
  </si>
  <si>
    <t>Diazepam</t>
  </si>
  <si>
    <t>Pharma-Q Diazepam</t>
  </si>
  <si>
    <t>N05BA01</t>
  </si>
  <si>
    <t>51401518-00000</t>
  </si>
  <si>
    <t>e4bd78c8-3d0c-42ce-81e6-c00a1daee698</t>
  </si>
  <si>
    <t>108</t>
  </si>
  <si>
    <t>180280749</t>
  </si>
  <si>
    <t>Diazepam; 5mg; Tablet; 100 Tablets</t>
  </si>
  <si>
    <t>DOVAL 5 mg tablets</t>
  </si>
  <si>
    <t>50 x 100 tablets</t>
  </si>
  <si>
    <t>51401518-00001</t>
  </si>
  <si>
    <t>51853016-caf0-4b24-bc6b-8055d667b476</t>
  </si>
  <si>
    <t>109</t>
  </si>
  <si>
    <t>222001090</t>
  </si>
  <si>
    <t>Diazepam; 5mg; Tablet; 14 Tablets</t>
  </si>
  <si>
    <t>50 x 14 tablets</t>
  </si>
  <si>
    <t>51401518-00002</t>
  </si>
  <si>
    <t>110</t>
  </si>
  <si>
    <t>189714440</t>
  </si>
  <si>
    <t>Diazoxide; 20mg; Capsule; 100 Capsules</t>
  </si>
  <si>
    <t>Diazoxide</t>
  </si>
  <si>
    <t>Proglicem 25mg Capsules</t>
  </si>
  <si>
    <t>C02DA01</t>
  </si>
  <si>
    <t>51434302-00000</t>
  </si>
  <si>
    <t>37615b67-bd75-48c8-95e1-4f234b3509fd</t>
  </si>
  <si>
    <t>111</t>
  </si>
  <si>
    <t>222001430</t>
  </si>
  <si>
    <t>diclofenac; 50mg; Tablet; 28 Tablets</t>
  </si>
  <si>
    <t>diclofenac</t>
  </si>
  <si>
    <t>MYLAN DICLOFENAC 50 MG</t>
  </si>
  <si>
    <t>M01AB05</t>
  </si>
  <si>
    <t>51383304-00007</t>
  </si>
  <si>
    <t>cef308b5-b0c6-4d5a-b78b-190b13092f15</t>
  </si>
  <si>
    <t>Diclofenac 50 Oethmaan</t>
  </si>
  <si>
    <t>112</t>
  </si>
  <si>
    <t>222001431</t>
  </si>
  <si>
    <t>diclofenac; 50mg; Tablet; 9 Tablets</t>
  </si>
  <si>
    <t>51383304-00008</t>
  </si>
  <si>
    <t>180075799</t>
  </si>
  <si>
    <t>Diclofenac; 75mg/3ml; Injection; 3 ml</t>
  </si>
  <si>
    <t>Diclofenac</t>
  </si>
  <si>
    <t>Dicon 75 inj</t>
  </si>
  <si>
    <t>51383304-00000</t>
  </si>
  <si>
    <t>1e43e208-45dd-4fd8-9f9e-379ab3819f7f</t>
  </si>
  <si>
    <t>Diclofenac Injection Unimed</t>
  </si>
  <si>
    <t>116</t>
  </si>
  <si>
    <t>222001091</t>
  </si>
  <si>
    <t>Digoxin; 250mcg; Tablet; 30 Tablets</t>
  </si>
  <si>
    <t>Digoxin</t>
  </si>
  <si>
    <t>LANOXIN 0.25MG TAB BL 30 ZA</t>
  </si>
  <si>
    <t>C01AA05</t>
  </si>
  <si>
    <t>51124404-00003</t>
  </si>
  <si>
    <t>27678431-8933-4547-9fb0-38a0acf9eec3</t>
  </si>
  <si>
    <t>180075803</t>
  </si>
  <si>
    <t>Digoxin; 500mcg/2ml; injection; 2 ml</t>
  </si>
  <si>
    <t>Lanoxin 0.5mg Inj 5 x 2ml</t>
  </si>
  <si>
    <t>51124404-00000</t>
  </si>
  <si>
    <t>9c5f45a5-fa45-4936-a6bb-47c79ca2693b</t>
  </si>
  <si>
    <t>113</t>
  </si>
  <si>
    <t>181898753</t>
  </si>
  <si>
    <t>Digoxin; 62.5mcg; Tablet; 100 Tablets</t>
  </si>
  <si>
    <t>LANOXIN 62.5MCG TAB BL 120 ASP ZA</t>
  </si>
  <si>
    <t>51124404-00004</t>
  </si>
  <si>
    <t>33cefa12-35d4-4b6c-81e7-fbff872e7c87</t>
  </si>
  <si>
    <t>189753544</t>
  </si>
  <si>
    <t>Dinoprostone; 1mg/3g; Syringe, Prefilled; 3 g</t>
  </si>
  <si>
    <t>Syringe, Prefilled</t>
  </si>
  <si>
    <t>Dinoprostone</t>
  </si>
  <si>
    <t>Prandin E2 1mg Vaginal Gel 3g</t>
  </si>
  <si>
    <t>G02AD02</t>
  </si>
  <si>
    <t>51182201-00000</t>
  </si>
  <si>
    <t>24d5ce23-d27b-4fcd-bdaf-767d07dc3d4f</t>
  </si>
  <si>
    <t>189715235</t>
  </si>
  <si>
    <t>Dobutamine; 250mg/20ml; injection; 20 ml</t>
  </si>
  <si>
    <t>Dobutamine</t>
  </si>
  <si>
    <t>DOBUTAMINE FRESENIUS 250mg/20ml</t>
  </si>
  <si>
    <t>C01CA07</t>
  </si>
  <si>
    <t>5 Amps</t>
  </si>
  <si>
    <t>51392402-00000</t>
  </si>
  <si>
    <t>e6a7eeab-1f6e-4680-8496-f6a45248b4a8</t>
  </si>
  <si>
    <t>180182958</t>
  </si>
  <si>
    <t>Docetaxel; 20mg/ml; injection; 1 ml</t>
  </si>
  <si>
    <t>Docetaxel</t>
  </si>
  <si>
    <t>Prosaglic 20mg/2ml</t>
  </si>
  <si>
    <t>L01CD02</t>
  </si>
  <si>
    <t>51101929-00000</t>
  </si>
  <si>
    <t>20f29ed6-ae48-4199-905b-c811da3d2969</t>
  </si>
  <si>
    <t>180182961</t>
  </si>
  <si>
    <t>Docetaxel; 80mg/4ml; injection; 4 ml</t>
  </si>
  <si>
    <t>Prosaglic 80mg/8ml</t>
  </si>
  <si>
    <t>51101929-00001</t>
  </si>
  <si>
    <t>3bea4de9-f9af-452c-aa51-a412f468ca55</t>
  </si>
  <si>
    <t>189715649</t>
  </si>
  <si>
    <t>Docusate; 0.5%; drop, ear; 10 ml</t>
  </si>
  <si>
    <t>drop, ear</t>
  </si>
  <si>
    <t>Docusate</t>
  </si>
  <si>
    <t>WAXSOL</t>
  </si>
  <si>
    <t>A06AA02</t>
  </si>
  <si>
    <t>51171656-00000</t>
  </si>
  <si>
    <t>4d9884bb-1e8b-4605-932b-d47a246595de</t>
  </si>
  <si>
    <t>180075879</t>
  </si>
  <si>
    <t>Dopamine; 200mg/5ml; injection; 5 ml</t>
  </si>
  <si>
    <t>Dopamine</t>
  </si>
  <si>
    <t>Pharma-Q Dopamine</t>
  </si>
  <si>
    <t>C01CA04</t>
  </si>
  <si>
    <t>51392403-00000</t>
  </si>
  <si>
    <t>ce387f90-b4aa-4bbf-a0bb-5afbcaa217ed</t>
  </si>
  <si>
    <t>118</t>
  </si>
  <si>
    <t>189763011</t>
  </si>
  <si>
    <t>Doxazosin; 1mg; Tablet; 30 Tablets</t>
  </si>
  <si>
    <t>Doxazosin</t>
  </si>
  <si>
    <t>Cardugen 1 mg</t>
  </si>
  <si>
    <t>C02CA04</t>
  </si>
  <si>
    <t>51263602-00001</t>
  </si>
  <si>
    <t>570b26e6-94d1-4092-8b4e-0fb3b9df03ac</t>
  </si>
  <si>
    <t>119</t>
  </si>
  <si>
    <t>189763013</t>
  </si>
  <si>
    <t>Doxazosin; 4mg; Tablet; 30 Tablets</t>
  </si>
  <si>
    <t>Urodoxa 4 mg</t>
  </si>
  <si>
    <t>Aurogen SA (Pty) Ltd</t>
  </si>
  <si>
    <t>VSSS2</t>
  </si>
  <si>
    <t>1 pack</t>
  </si>
  <si>
    <t>51263602-00000</t>
  </si>
  <si>
    <t>MAAA1226475</t>
  </si>
  <si>
    <t>b78a2735-878a-4201-baee-ee9abd508ce4</t>
  </si>
  <si>
    <t>Cardugen 4 mg</t>
  </si>
  <si>
    <t>189762107</t>
  </si>
  <si>
    <t>Doxorubicin; 10mg/5ml; injection; 5 ml</t>
  </si>
  <si>
    <t>Doxorubicin</t>
  </si>
  <si>
    <t>HX-Doxorubicin 10mg / 5ml</t>
  </si>
  <si>
    <t>L01DB01</t>
  </si>
  <si>
    <t>51281806-00001</t>
  </si>
  <si>
    <t>d969fe84-05a7-4719-9574-323526052a5e</t>
  </si>
  <si>
    <t>189762108</t>
  </si>
  <si>
    <t>Doxorubicin; 50mg/25ml; injection; 25 ml</t>
  </si>
  <si>
    <t>HX-Doxorubicin 50mg / 25ml</t>
  </si>
  <si>
    <t>51281806-00000</t>
  </si>
  <si>
    <t>5d2df036-9c79-4db7-a465-302e3609b3f2</t>
  </si>
  <si>
    <t>222000938</t>
  </si>
  <si>
    <t>Doxycycline; 100mg; Tablet; 100 Tablets</t>
  </si>
  <si>
    <t>Doxycycline</t>
  </si>
  <si>
    <t>DOXYCYCLINE BIOTECH 100 100 TABS</t>
  </si>
  <si>
    <t>J01AA02</t>
  </si>
  <si>
    <t>51284006-00000</t>
  </si>
  <si>
    <t>f3b0e913-87d0-4f3b-b3b9-8b85fbc758e7</t>
  </si>
  <si>
    <t>80</t>
  </si>
  <si>
    <t>222000939</t>
  </si>
  <si>
    <t>Doxycycline; 100mg; Tablet; 14 Tablets</t>
  </si>
  <si>
    <t>DOXYCYCLINE BIOTECH 100 14 TABS</t>
  </si>
  <si>
    <t>51284006-00001</t>
  </si>
  <si>
    <t>Doxytet</t>
  </si>
  <si>
    <t>180975217</t>
  </si>
  <si>
    <t>Dressing, Plastic Liquid; spray topical; 100 ml</t>
  </si>
  <si>
    <t>spray topical</t>
  </si>
  <si>
    <t>Dressing, Plastic Liquid</t>
  </si>
  <si>
    <t>Opsite Spray</t>
  </si>
  <si>
    <t>NA</t>
  </si>
  <si>
    <t>Per Each 100ml Spray</t>
  </si>
  <si>
    <t>819c722b-9d73-48a5-93ae-5a4ebb2c231b</t>
  </si>
  <si>
    <t>189713910</t>
  </si>
  <si>
    <t>Electrode Gel (Ecg) Chloride Free;  BP; Gel; 250 ml</t>
  </si>
  <si>
    <t>Gel</t>
  </si>
  <si>
    <t>Electrode Gel (Ecg) Chloride Free</t>
  </si>
  <si>
    <t xml:space="preserve"> CRYSTAL ELECTRODE GEL</t>
  </si>
  <si>
    <t>Lechoba Medical Technologies (Pty) Ltd</t>
  </si>
  <si>
    <t>V3QX3</t>
  </si>
  <si>
    <t>42181715-00000</t>
  </si>
  <si>
    <t>MAAA0038766</t>
  </si>
  <si>
    <t>784fe967-7e44-47a7-8108-7e7cc2765008</t>
  </si>
  <si>
    <t>180058953</t>
  </si>
  <si>
    <t>Electrolyte No 2 Solution: Na, K, Cl, Mg, Hpo4, Dextrose; injection; 1 L</t>
  </si>
  <si>
    <t>Electrolyte No 2 Solution: Na, K, Cl, Mg, Hpo4, Dextrose</t>
  </si>
  <si>
    <t>ELECTROLYTE NO.2 WITH DEXTROSE 10% FRESENIUS</t>
  </si>
  <si>
    <t>809047/004</t>
  </si>
  <si>
    <t>51191704-00007</t>
  </si>
  <si>
    <t>5b9a6dd9-4517-4751-a81b-0bd2aed16eeb</t>
  </si>
  <si>
    <t>189707512</t>
  </si>
  <si>
    <t>Emulsifying;  BP; Ointment; 500 g</t>
  </si>
  <si>
    <t>Emulsifying</t>
  </si>
  <si>
    <t>EMULSIFYING OINTMENT BP BIOTECH 500 g</t>
  </si>
  <si>
    <t>51241927-00003</t>
  </si>
  <si>
    <t>92a4f8c9-9c45-447a-82f4-00feb6734c9e</t>
  </si>
  <si>
    <t>121</t>
  </si>
  <si>
    <t>189708531</t>
  </si>
  <si>
    <t>Enalapril; 10mg; Tablet; 28 Tablets</t>
  </si>
  <si>
    <t>Enalapril</t>
  </si>
  <si>
    <t>ENALAPRIL 10 ARYA</t>
  </si>
  <si>
    <t>C09AA02</t>
  </si>
  <si>
    <t>51432803-00000</t>
  </si>
  <si>
    <t>9c8a8dc8-eede-4d10-b779-322cfe54934a</t>
  </si>
  <si>
    <t>PHARMAPRESS 10MG TAB BL 28</t>
  </si>
  <si>
    <t>Enalapril 10 mg Unimed</t>
  </si>
  <si>
    <t>122</t>
  </si>
  <si>
    <t>189710187</t>
  </si>
  <si>
    <t>Enalapril; 20mg; Tablet; 30 Tablets</t>
  </si>
  <si>
    <t>ENALAPRIL 20 ARYA</t>
  </si>
  <si>
    <t>51432803-00001</t>
  </si>
  <si>
    <t>4e78f1da-85de-476d-9759-8deedfe104eb</t>
  </si>
  <si>
    <t>PHARMAPRESS 20MG TAB BL 28</t>
  </si>
  <si>
    <t>123</t>
  </si>
  <si>
    <t>189710188</t>
  </si>
  <si>
    <t>Enalapril; 5mg; Tablet; 28 Tablets</t>
  </si>
  <si>
    <t>ENALAPRIL 5 ARYA</t>
  </si>
  <si>
    <t>51432803-00002</t>
  </si>
  <si>
    <t>3b0dfb17-228f-47f0-842c-6841f9ac1275</t>
  </si>
  <si>
    <t>ALAPREN 5 TABLETS</t>
  </si>
  <si>
    <t>180077964</t>
  </si>
  <si>
    <t>Enoxaparin; 40mg/0.4ml; Syringe, Prefilled; 0.4 ml</t>
  </si>
  <si>
    <t>Enoxaparin</t>
  </si>
  <si>
    <t>CLEXANE 40</t>
  </si>
  <si>
    <t>B01AB05</t>
  </si>
  <si>
    <t>51131607-00001</t>
  </si>
  <si>
    <t>8c654fa9-00e8-4f51-b964-a1218b33430b</t>
  </si>
  <si>
    <t>222000901</t>
  </si>
  <si>
    <t>Enoxaparin; 60mg/0.6ml; Syringe, Prefilled; 0.6 ml</t>
  </si>
  <si>
    <t>CLEXANE 60</t>
  </si>
  <si>
    <t>51131607-00002</t>
  </si>
  <si>
    <t>3e08374c-c03c-432c-8e21-63178cc98da3</t>
  </si>
  <si>
    <t>180970533</t>
  </si>
  <si>
    <t>Enoxaparin; 80mg/0.8ml; Syringe, Prefilled; 0.8 ml</t>
  </si>
  <si>
    <t>CLEXANE 80</t>
  </si>
  <si>
    <t>51131607-00003</t>
  </si>
  <si>
    <t>dbc1699a-507f-4ac9-be4f-eed436604cd4</t>
  </si>
  <si>
    <t>181919462</t>
  </si>
  <si>
    <t>Enzymatic Cleaner; Solution; 5 L</t>
  </si>
  <si>
    <t>Enzymatic Cleaner</t>
  </si>
  <si>
    <t>Pristine</t>
  </si>
  <si>
    <t>Maba Africa (Pty) Ltd</t>
  </si>
  <si>
    <t>VHGU5</t>
  </si>
  <si>
    <t>42281706-00002</t>
  </si>
  <si>
    <t>MAAA0363362</t>
  </si>
  <si>
    <t>68934890-4c6e-47e8-b024-8164dd00bc9f</t>
  </si>
  <si>
    <t>180970906</t>
  </si>
  <si>
    <t>42281706-00003</t>
  </si>
  <si>
    <t>71d85c5f-efb8-42d1-9057-5182f406d999</t>
  </si>
  <si>
    <t>222000173</t>
  </si>
  <si>
    <t>Epinephrine (Adrenaline); 0.15mg/0.3ml; auto-pen; 0.3 ml</t>
  </si>
  <si>
    <t>auto-pen</t>
  </si>
  <si>
    <t>Epinephrine (Adrenaline)</t>
  </si>
  <si>
    <t>EpiPen® Junior</t>
  </si>
  <si>
    <t>C01CA24</t>
  </si>
  <si>
    <t>51391743-00002</t>
  </si>
  <si>
    <t>ae05d223-3274-4de6-b9b5-e14f54cbafa4</t>
  </si>
  <si>
    <t>222000174</t>
  </si>
  <si>
    <t>Epinephrine (Adrenaline); 0.3mg/0.3ml; auto-pen; 0.3 ml</t>
  </si>
  <si>
    <t xml:space="preserve">EpiPen® </t>
  </si>
  <si>
    <t>51391743-00001</t>
  </si>
  <si>
    <t>a9afde8c-bcf9-44c0-81af-270cb656407f</t>
  </si>
  <si>
    <t>180075485</t>
  </si>
  <si>
    <t>Epinephrine (Adrenaline); 1mg/ml; injection; 1 ml</t>
  </si>
  <si>
    <t xml:space="preserve">Pharma-Q Adrenaline 1mg/ml </t>
  </si>
  <si>
    <t>16009802416 003</t>
  </si>
  <si>
    <t>51391743-00000</t>
  </si>
  <si>
    <t>65af69e8-61e2-4851-aef5-7ea204986d20</t>
  </si>
  <si>
    <t>ADRENALINE FRESENIUS 1 mg/1 ml (1:1000)</t>
  </si>
  <si>
    <t>189710736</t>
  </si>
  <si>
    <t>Epirubicin; 10mg/5ml; injection; 5 ml</t>
  </si>
  <si>
    <t>Epirubicin</t>
  </si>
  <si>
    <t>Accord Epirubicin 10mg</t>
  </si>
  <si>
    <t>L01DB03</t>
  </si>
  <si>
    <t>51281803-00000</t>
  </si>
  <si>
    <t>3989e178-5b94-4965-9385-f0c03e7af40e</t>
  </si>
  <si>
    <t>189710735</t>
  </si>
  <si>
    <t>Epirubicin; 50mg/25ml; injection; 25 ml</t>
  </si>
  <si>
    <t>Accord Epirubicin 50mg</t>
  </si>
  <si>
    <t>51281803-00001</t>
  </si>
  <si>
    <t>3edbf70a-1ed3-4dbb-8d62-e0d14351bc3d</t>
  </si>
  <si>
    <t>180076474</t>
  </si>
  <si>
    <t>Ergometrine, Oxytocin; 500mcg, 5IU; injection; 1 ml</t>
  </si>
  <si>
    <t>Ergometrine, Oxytocin</t>
  </si>
  <si>
    <t>SYNTOMETRINE</t>
  </si>
  <si>
    <t>G02AC01</t>
  </si>
  <si>
    <t>51182203-00003</t>
  </si>
  <si>
    <t>a150090c-bd66-417e-928d-ed996a12c435</t>
  </si>
  <si>
    <t>82</t>
  </si>
  <si>
    <t>222000942</t>
  </si>
  <si>
    <t>Ertapenem; 1g; injection; 1 Injection</t>
  </si>
  <si>
    <t>Ertapenem</t>
  </si>
  <si>
    <t xml:space="preserve">Invanz </t>
  </si>
  <si>
    <t>J01DH03</t>
  </si>
  <si>
    <t>51284610-00000</t>
  </si>
  <si>
    <t>5759fa58-27a6-41ea-9029-1580a27d15d1</t>
  </si>
  <si>
    <t>HP06-2021SVP/02</t>
  </si>
  <si>
    <t>222001233</t>
  </si>
  <si>
    <t>Erythropoietin; 10000IU; injection; 1 ml</t>
  </si>
  <si>
    <t>Erythropoietin</t>
  </si>
  <si>
    <t>Recormon 10000iu/0.6ml</t>
  </si>
  <si>
    <t>B03XA01</t>
  </si>
  <si>
    <t>1 x 6</t>
  </si>
  <si>
    <t>51131506-00007</t>
  </si>
  <si>
    <t>45bf19bc-147d-43f0-817c-062bc3b03808</t>
  </si>
  <si>
    <t>222000447</t>
  </si>
  <si>
    <t>Erythropoietin; 2000IU/0.3ml; Syringe, Prefilled; 1 Syringe, Pre-filled</t>
  </si>
  <si>
    <t>Syringe, Pre-filled (Syringes, Pre-filled)</t>
  </si>
  <si>
    <t>Recormon 2000iu/0.3ml</t>
  </si>
  <si>
    <t>51131506-00004</t>
  </si>
  <si>
    <t>3b516c24-3bcc-45ca-8fba-2c75d60bd536</t>
  </si>
  <si>
    <t>181829692</t>
  </si>
  <si>
    <t>Erythropoietin; 30000IU/0.6ml; Syringe, Prefilled; 1 Syringe, Pre-filled</t>
  </si>
  <si>
    <t>Recormon 30000iu/0.6ml</t>
  </si>
  <si>
    <t>51131506-00008</t>
  </si>
  <si>
    <t>d25f9995-bb98-4473-a88b-a84fc02cc1b3</t>
  </si>
  <si>
    <t>222001235</t>
  </si>
  <si>
    <t>Erythropoietin; 4000IU; injection; 1 ml</t>
  </si>
  <si>
    <t>Recormon 4000iu/0.3ml</t>
  </si>
  <si>
    <t>51131506-00005</t>
  </si>
  <si>
    <t>bd72c582-023c-41a0-b707-86be457514ef</t>
  </si>
  <si>
    <t>222001234</t>
  </si>
  <si>
    <t>Erythropoietin; 6000IU; injection; 1 ml</t>
  </si>
  <si>
    <t>Recormon 6000iu/0.3ml</t>
  </si>
  <si>
    <t>51131506-00006</t>
  </si>
  <si>
    <t>0259a675-e1f2-4a6b-a0b7-a75960355941</t>
  </si>
  <si>
    <t>181767218</t>
  </si>
  <si>
    <t>Estradiol, Norethisterone Acetate; 1mg, 0.5mg; Tablet; 28 Tablets</t>
  </si>
  <si>
    <t>Estradiol, Norethisterone Acetate</t>
  </si>
  <si>
    <t>Activelle</t>
  </si>
  <si>
    <t>Novo Nordisk (pty) Ltd</t>
  </si>
  <si>
    <t>V2743</t>
  </si>
  <si>
    <t>G03CA53</t>
  </si>
  <si>
    <t>51352423-00000</t>
  </si>
  <si>
    <t>MAAA0013414</t>
  </si>
  <si>
    <t>eb6f3971-3160-4c85-9afc-e83f8a520a79</t>
  </si>
  <si>
    <t>180212294</t>
  </si>
  <si>
    <t>Estradiol, Norethisterone Acetate; 2mg, 1mg; Tablet; 28 Tablets</t>
  </si>
  <si>
    <t>Kliogest</t>
  </si>
  <si>
    <t>51352423-00001</t>
  </si>
  <si>
    <t>8d0a5fe3-3f9e-43f8-9306-b86d2fa72897</t>
  </si>
  <si>
    <t>180142527</t>
  </si>
  <si>
    <t>Estradiol; 1mg; Tablet; 28 Tablets</t>
  </si>
  <si>
    <t>Estradiol</t>
  </si>
  <si>
    <t>Estrofem 1mg</t>
  </si>
  <si>
    <t>G03CA03</t>
  </si>
  <si>
    <t>51351605-00002</t>
  </si>
  <si>
    <t>6f993d23-e65f-4802-95a9-6d5c1fa6e107</t>
  </si>
  <si>
    <t>180155496</t>
  </si>
  <si>
    <t>Estradiol; 2mg; Tablet; 28 Tablets</t>
  </si>
  <si>
    <t>Estrofem</t>
  </si>
  <si>
    <t>51351605-00003</t>
  </si>
  <si>
    <t>83624eef-2b70-4bbb-9ad7-1c51b7b258aa</t>
  </si>
  <si>
    <t>HP03-2020CHM/01</t>
  </si>
  <si>
    <t>181814209</t>
  </si>
  <si>
    <t>Estrogen, Conjugated ; 0.3mg; Tablet; 28 Tablets</t>
  </si>
  <si>
    <t xml:space="preserve">Estrogen, Conjugated </t>
  </si>
  <si>
    <t>Premarin 0.3mg</t>
  </si>
  <si>
    <t>G03CA57</t>
  </si>
  <si>
    <t>51351804-00001</t>
  </si>
  <si>
    <t>58953730-6301-4ca9-843f-ee2dc254c3e9</t>
  </si>
  <si>
    <t>189715339</t>
  </si>
  <si>
    <t>Ethambutol; 400mg; Tablet; 100 Tablets</t>
  </si>
  <si>
    <t>Ethambutol</t>
  </si>
  <si>
    <t>Sandoz Ethambutol HCl 400mg 100s</t>
  </si>
  <si>
    <t>J04AK02</t>
  </si>
  <si>
    <t>51281501-00000</t>
  </si>
  <si>
    <t>e905c319-4a03-49f5-94df-a0f6cace99f1</t>
  </si>
  <si>
    <t>181817413</t>
  </si>
  <si>
    <t>Ethambutol; 400mg; Tablet; 56 Tablets</t>
  </si>
  <si>
    <t>Sandoz Ethambutol HCl 400mg 56s</t>
  </si>
  <si>
    <t>51281501-00002</t>
  </si>
  <si>
    <t>181817416</t>
  </si>
  <si>
    <t>Ethambutol; 400mg; Tablet; 84 Tablets</t>
  </si>
  <si>
    <t>Sandoz Ethambutol HCl 400mg 84s</t>
  </si>
  <si>
    <t>51281501-00003</t>
  </si>
  <si>
    <t>181897182</t>
  </si>
  <si>
    <t>Ethanol; 70%; Liquid; 500 ml</t>
  </si>
  <si>
    <t>Ethanol</t>
  </si>
  <si>
    <t>ADCO ALCOHOL TYPE 1 SURFACE DISINFECTANT 500ML</t>
  </si>
  <si>
    <t>0c7e2ec5-c918-47e9-894b-8401488ac873</t>
  </si>
  <si>
    <t>189710249</t>
  </si>
  <si>
    <t>Ethionamide; 250mg; Tablet; 250 Tablets</t>
  </si>
  <si>
    <t>Ethionamide</t>
  </si>
  <si>
    <t>Ethionamide Macleods 250 mg Tablets</t>
  </si>
  <si>
    <t>J04AD03</t>
  </si>
  <si>
    <t>51281507-00000</t>
  </si>
  <si>
    <t>4405d744-81a5-4baf-9aee-f59ddccb7ae3</t>
  </si>
  <si>
    <t>181817488</t>
  </si>
  <si>
    <t>Ethionamide; 250mg; Tablet; 28 Tablets</t>
  </si>
  <si>
    <t>51281507-00001</t>
  </si>
  <si>
    <t>181817490</t>
  </si>
  <si>
    <t>Ethionamide; 250mg; Tablet; 56 Tablets</t>
  </si>
  <si>
    <t>Ethionamide Macleods 250mg Tablets</t>
  </si>
  <si>
    <t>51281507-00002</t>
  </si>
  <si>
    <t>181817491</t>
  </si>
  <si>
    <t>Ethionamide; 250mg; Tablet; 84 Tablets</t>
  </si>
  <si>
    <t>51281507-00003</t>
  </si>
  <si>
    <t>180075956</t>
  </si>
  <si>
    <t>Etomidate; 20mg/10ml; injection; 10 ml</t>
  </si>
  <si>
    <t>Etomidate</t>
  </si>
  <si>
    <t xml:space="preserve">Hypnomidate </t>
  </si>
  <si>
    <t>N01AX07</t>
  </si>
  <si>
    <t>5 x 10ml amps</t>
  </si>
  <si>
    <t>51272302-00000</t>
  </si>
  <si>
    <t>bdf23b6f-2ac2-4274-a9ba-008b42b61187</t>
  </si>
  <si>
    <t>181902532</t>
  </si>
  <si>
    <t>Etonogestrel; 68mg; Implant; 1 Device</t>
  </si>
  <si>
    <t>Implant</t>
  </si>
  <si>
    <t>Etonogestrel</t>
  </si>
  <si>
    <t>Implanon nxt</t>
  </si>
  <si>
    <t>G03AC08</t>
  </si>
  <si>
    <t>51352005-00000</t>
  </si>
  <si>
    <t>de6c743d-2a5d-414e-863c-44008ea685f9</t>
  </si>
  <si>
    <t>180076160</t>
  </si>
  <si>
    <t>Etoposide; 100mg; injection (Section 21); 1 Injection</t>
  </si>
  <si>
    <t>Etoposide</t>
  </si>
  <si>
    <t>EPOSIN</t>
  </si>
  <si>
    <t>L01CB01</t>
  </si>
  <si>
    <t>51111739-00000</t>
  </si>
  <si>
    <t>95587189-e10f-4b98-835b-a74d75e5a814</t>
  </si>
  <si>
    <t>181807552</t>
  </si>
  <si>
    <t>Everolimus; 250mcg; Tablet; 60 Tablets</t>
  </si>
  <si>
    <t>Everolimus</t>
  </si>
  <si>
    <t>Certican 0.25</t>
  </si>
  <si>
    <t>L04AA18</t>
  </si>
  <si>
    <t>51202603-00000</t>
  </si>
  <si>
    <t>98657ddc-d12c-4e18-a039-887689f3d23d</t>
  </si>
  <si>
    <t>181810492</t>
  </si>
  <si>
    <t>Everolimus; 750mcg; Tablet; 60 Tablets</t>
  </si>
  <si>
    <t>Certican 0.75</t>
  </si>
  <si>
    <t>51202603-00001</t>
  </si>
  <si>
    <t>408a94cc-2744-489c-bd04-2f8100f13a77</t>
  </si>
  <si>
    <t>181785231</t>
  </si>
  <si>
    <t>Exemestane; 25mg; Tablet; 28 Tablets</t>
  </si>
  <si>
    <t>Exemestane</t>
  </si>
  <si>
    <t>Aromasin 25mg</t>
  </si>
  <si>
    <t>L02BG06</t>
  </si>
  <si>
    <t>51111824-00000</t>
  </si>
  <si>
    <t>b1f6a0a4-50f9-4a74-b3c8-363b95183d6e</t>
  </si>
  <si>
    <t>126</t>
  </si>
  <si>
    <t>181797762</t>
  </si>
  <si>
    <t>Ezetimibe; 10mg; Tablet; 30 Tablets</t>
  </si>
  <si>
    <t>Ezetimibe</t>
  </si>
  <si>
    <t>MYLAMIBE</t>
  </si>
  <si>
    <t>C10AX09</t>
  </si>
  <si>
    <t>51322201-00000</t>
  </si>
  <si>
    <t>7556cdb8-b775-42a3-af58-1fbda75486ae</t>
  </si>
  <si>
    <t>180090033</t>
  </si>
  <si>
    <t>Fenoterol; 1.25mg/2ml; solution, inhalation; 60 UDVs (2ml)</t>
  </si>
  <si>
    <t>UDV (2ml) (UDVs (2ml))</t>
  </si>
  <si>
    <t>solution, inhalation</t>
  </si>
  <si>
    <t>Fenoterol</t>
  </si>
  <si>
    <t>Adco Fenoterol 1.25mg/2ml</t>
  </si>
  <si>
    <t>R03AC04</t>
  </si>
  <si>
    <t>51391721-00000</t>
  </si>
  <si>
    <t>0df75cb1-8be6-49ae-a0d4-3d2102ed6a96</t>
  </si>
  <si>
    <t>180075959</t>
  </si>
  <si>
    <t>Fentanyl; 100mcg/2ml; injection; 2 ml</t>
  </si>
  <si>
    <t>Fentanyl</t>
  </si>
  <si>
    <t>Pharma-Q Fentanyl 100ug/2ml</t>
  </si>
  <si>
    <t>N01AH01</t>
  </si>
  <si>
    <t>51142219-00000</t>
  </si>
  <si>
    <t>3e55307e-435c-4584-9494-cb3dc9feb590</t>
  </si>
  <si>
    <t>FENTANYL FRESENIUS 100 mcg/2 ml</t>
  </si>
  <si>
    <t>180075960</t>
  </si>
  <si>
    <t>Fentanyl; 500mcg/10ml; injection; 10 ml</t>
  </si>
  <si>
    <t>Pharma-Q Fentanyl 500ug/10ml</t>
  </si>
  <si>
    <t>51142219-00001</t>
  </si>
  <si>
    <t>521ae1b5-4604-4449-ae64-d08e2dae5cee</t>
  </si>
  <si>
    <t>180079580</t>
  </si>
  <si>
    <t>Ferrous Gluconate; 350mg/5ml; Syrup; 100 ml</t>
  </si>
  <si>
    <t>Ferrous Gluconate</t>
  </si>
  <si>
    <t>Resmed Ferrous Glucoate Syrup</t>
  </si>
  <si>
    <t>B03AA03</t>
  </si>
  <si>
    <t>51131519-00001</t>
  </si>
  <si>
    <t>f0561805-6925-47d8-95d7-cc8f7510ec6c</t>
  </si>
  <si>
    <t>129</t>
  </si>
  <si>
    <t>181923348</t>
  </si>
  <si>
    <t>Ferrous Sulfate Co; 170mg; Tablet; 28 Tablets</t>
  </si>
  <si>
    <t>Ferrous Sulfate Co</t>
  </si>
  <si>
    <t>Gulf Ferrous Sulphate Compound Tablets</t>
  </si>
  <si>
    <t>B03AA07</t>
  </si>
  <si>
    <t>51191917-00004</t>
  </si>
  <si>
    <t>9f75a556-57e4-44d3-b5b7-80ef78785673</t>
  </si>
  <si>
    <t>130</t>
  </si>
  <si>
    <t>181923349</t>
  </si>
  <si>
    <t>Ferrous Sulfate Co; 170mg; Tablet; 56 Tablets</t>
  </si>
  <si>
    <t>51191917-00005</t>
  </si>
  <si>
    <t>131</t>
  </si>
  <si>
    <t>181923350</t>
  </si>
  <si>
    <t>Ferrous Sulfate Co; 170mg; Tablet; 84 Tablets</t>
  </si>
  <si>
    <t>51191917-00006</t>
  </si>
  <si>
    <t>181747103</t>
  </si>
  <si>
    <t>Filgrastim; 30MU; Syringe, Prefilled; 1 Syringe, Pre-filled</t>
  </si>
  <si>
    <t>Filgrastim</t>
  </si>
  <si>
    <t xml:space="preserve">Filgrastim Teva 30MIU 5 </t>
  </si>
  <si>
    <t>L03AA02</t>
  </si>
  <si>
    <t>51201802-00001</t>
  </si>
  <si>
    <t>6092a993-38be-4e8b-933f-32b43e53dc9f</t>
  </si>
  <si>
    <t>180954695</t>
  </si>
  <si>
    <t>Filgrastim; 48MU; Syringe, Prefilled; 1 Syringe, Pre-filled</t>
  </si>
  <si>
    <t xml:space="preserve">Filgrastim Teva 48MIU 5 </t>
  </si>
  <si>
    <t>51201802-00000</t>
  </si>
  <si>
    <t>348f60d9-c17e-4bc7-86b8-62400f562ed1</t>
  </si>
  <si>
    <t>189710066</t>
  </si>
  <si>
    <t>Flucloxacillin; 250mg; Capsule; 100 Capsules</t>
  </si>
  <si>
    <t>Flucloxacillin</t>
  </si>
  <si>
    <t>Septapen 250</t>
  </si>
  <si>
    <t>J01CF05</t>
  </si>
  <si>
    <t>51282110-00000</t>
  </si>
  <si>
    <t>9fa0db0e-3290-4fc2-8f5e-00d7e1a9fdf8</t>
  </si>
  <si>
    <t>85</t>
  </si>
  <si>
    <t>180342029</t>
  </si>
  <si>
    <t>Flucloxacillin; 250mg; Capsule; 20 Capsules</t>
  </si>
  <si>
    <t>51282110-00001</t>
  </si>
  <si>
    <t>Indo flucloxacillin 250</t>
  </si>
  <si>
    <t>86</t>
  </si>
  <si>
    <t>181818543</t>
  </si>
  <si>
    <t>Flucloxacillin; 250mg; Capsule; 40 Capsules</t>
  </si>
  <si>
    <t>Flupen</t>
  </si>
  <si>
    <t>51282110-00003</t>
  </si>
  <si>
    <t>180101098</t>
  </si>
  <si>
    <t>Fluconazole; 200mg/100ml; Infusion (parenteral); 100 ml</t>
  </si>
  <si>
    <t>Fluconazole</t>
  </si>
  <si>
    <t xml:space="preserve">FLUCONAZOLE FRESENIUS 2 mg/ml </t>
  </si>
  <si>
    <t>J02AC01</t>
  </si>
  <si>
    <t>51303402-00002</t>
  </si>
  <si>
    <t>89d345a6-6bc2-4485-8e0d-2452685f0f57</t>
  </si>
  <si>
    <t>180962874</t>
  </si>
  <si>
    <t>Fluconazole; 200mg; Tablet; 28 Tablets</t>
  </si>
  <si>
    <t>BIO FLUCONAZOLE 200mg 28’s</t>
  </si>
  <si>
    <t>51303402-00001</t>
  </si>
  <si>
    <t>f3493d29-269c-4499-a10d-618493cd633e</t>
  </si>
  <si>
    <t>181791499</t>
  </si>
  <si>
    <t>Fluconazole; 50mg/5ml; Suspension; 35 ml</t>
  </si>
  <si>
    <t>Diflucan 50mg/5ml</t>
  </si>
  <si>
    <t>51303402-00007</t>
  </si>
  <si>
    <t>3ba522db-02a3-496f-bbff-0b828751fdec</t>
  </si>
  <si>
    <t>222001217</t>
  </si>
  <si>
    <t>Fluconazole; 50mg; Tablet; 14 Tablets</t>
  </si>
  <si>
    <t>BIO FLUCONAZOLE 50mg 14’s</t>
  </si>
  <si>
    <t>51303402-00000</t>
  </si>
  <si>
    <t>12886c48-528d-4aaa-8827-1a8f01044d34</t>
  </si>
  <si>
    <t>181840965</t>
  </si>
  <si>
    <t>Fludarabine; 10mg; Tablet; 20 Tablets</t>
  </si>
  <si>
    <t>Fludarabine</t>
  </si>
  <si>
    <t>Fludara 10mg Oral Tabs 20's</t>
  </si>
  <si>
    <t>L01BB05</t>
  </si>
  <si>
    <t>51111604-00000</t>
  </si>
  <si>
    <t>51f94995-a837-43bf-a750-3a55c5fa0b27</t>
  </si>
  <si>
    <t>180221925</t>
  </si>
  <si>
    <t>Fludarabine; 50mg; injection; 1 Injection</t>
  </si>
  <si>
    <t>TEVA FLUDARABINE 50</t>
  </si>
  <si>
    <t>51442001-00000</t>
  </si>
  <si>
    <t>f1fbd15f-d4a2-42e6-92a2-dbb3c5b00e7b</t>
  </si>
  <si>
    <t>189702797</t>
  </si>
  <si>
    <t>Fluocinolone Acetonide; 0.025%; Ointment; 15 g</t>
  </si>
  <si>
    <t>Fluocinolone Acetonide</t>
  </si>
  <si>
    <t>Cortoderm Ointment 15g</t>
  </si>
  <si>
    <t>D07AC04</t>
  </si>
  <si>
    <t>51422206-00002</t>
  </si>
  <si>
    <t>2298d8ea-dbf3-4bb3-b45f-63fccfc94f37</t>
  </si>
  <si>
    <t>180166914</t>
  </si>
  <si>
    <t>Fluorouracil; 5%; Ointment; 20 g</t>
  </si>
  <si>
    <t>Fluorouracil</t>
  </si>
  <si>
    <t>Efudix</t>
  </si>
  <si>
    <t>L01BC02</t>
  </si>
  <si>
    <t>51442004-00000</t>
  </si>
  <si>
    <t>00d34146-74d1-4311-a77d-c85d856fc479</t>
  </si>
  <si>
    <t>136</t>
  </si>
  <si>
    <t>180106075</t>
  </si>
  <si>
    <t>Fluoxetine; 20mg; Capsule; 100 Capsules</t>
  </si>
  <si>
    <t>Fluoxetine</t>
  </si>
  <si>
    <t>Fluoxetine 20 Unimed</t>
  </si>
  <si>
    <t>N06AB03</t>
  </si>
  <si>
    <t>51292011-00000</t>
  </si>
  <si>
    <t>c2b5ace2-cf4c-4c83-a304-c9984335d1cd</t>
  </si>
  <si>
    <t>Fluoxetine 20 Oethmaan</t>
  </si>
  <si>
    <t>135</t>
  </si>
  <si>
    <t>189712353</t>
  </si>
  <si>
    <t>Fluoxetine; 20mg; Capsule; 28 Capsules</t>
  </si>
  <si>
    <t>Prolax Capsules 20mg</t>
  </si>
  <si>
    <t>51292011-00004</t>
  </si>
  <si>
    <t>134</t>
  </si>
  <si>
    <t>180670485</t>
  </si>
  <si>
    <t>Fluoxetine; 20mg; Tablet; 28 Tablets</t>
  </si>
  <si>
    <t>LORIEN 20MG TAB BL 30</t>
  </si>
  <si>
    <t>51292011-00003</t>
  </si>
  <si>
    <t>35935d9d-e529-43c9-abab-7e97be0c8af0</t>
  </si>
  <si>
    <t>180017761</t>
  </si>
  <si>
    <t>Flupentixol; 20mg/ml; injection; 1 ml</t>
  </si>
  <si>
    <t>Flupentixol</t>
  </si>
  <si>
    <t>Fluanxol Depot 20mg/ml, 1ml inj</t>
  </si>
  <si>
    <t>Lundbeck South Africa (pty) Ltd</t>
  </si>
  <si>
    <t>VVS90</t>
  </si>
  <si>
    <t>N05AF01</t>
  </si>
  <si>
    <t>51334303-00000</t>
  </si>
  <si>
    <t>MAAA0031052</t>
  </si>
  <si>
    <t>7303c1f2-807a-4959-930b-a3e5729e0727</t>
  </si>
  <si>
    <t>189763130</t>
  </si>
  <si>
    <t>Fluticasone Propionate; 50mcg; Spray, Nasal; 120 Doses</t>
  </si>
  <si>
    <t>Fluticasone Propionate</t>
  </si>
  <si>
    <t xml:space="preserve">Flomist </t>
  </si>
  <si>
    <t>R01AD08</t>
  </si>
  <si>
    <t>51421501-00000</t>
  </si>
  <si>
    <t>63afe424-8ca3-410f-9a9e-084dc1a92fe6</t>
  </si>
  <si>
    <t>137</t>
  </si>
  <si>
    <t>189757933</t>
  </si>
  <si>
    <t>Folic Acid; 5mg; Tablet; 100 Tablets</t>
  </si>
  <si>
    <t>Folic Acid</t>
  </si>
  <si>
    <t>BE-TABS FOLIC ACID 5MG TABLETS</t>
  </si>
  <si>
    <t>B03BB01</t>
  </si>
  <si>
    <t>51191918-00002</t>
  </si>
  <si>
    <t>b9520694-2f70-4324-9f7d-7273b880a688</t>
  </si>
  <si>
    <t>138</t>
  </si>
  <si>
    <t>189713751</t>
  </si>
  <si>
    <t>Folic Acid; 5mg; Tablet; 28 Tablets</t>
  </si>
  <si>
    <t>51191918-00001</t>
  </si>
  <si>
    <t>Gulf Folic Acid 5</t>
  </si>
  <si>
    <t>189700822</t>
  </si>
  <si>
    <t>Formaldehyde;  BP; Solution; 1 L</t>
  </si>
  <si>
    <t>Formaldehyde</t>
  </si>
  <si>
    <t>Sani-Formaldehyde</t>
  </si>
  <si>
    <t>V07AB</t>
  </si>
  <si>
    <t>57a0f969-e096-445b-837d-f7f9abe739c0</t>
  </si>
  <si>
    <t>181840032</t>
  </si>
  <si>
    <t>Formoterol; 12mcg; Inhaler; 120 Doses</t>
  </si>
  <si>
    <t>Formoterol</t>
  </si>
  <si>
    <t>Foratec HFA</t>
  </si>
  <si>
    <t>R03AC13</t>
  </si>
  <si>
    <t>51391749-00000</t>
  </si>
  <si>
    <t>c50c495a-3053-40fe-8c98-fb55130acf25</t>
  </si>
  <si>
    <t>222000019</t>
  </si>
  <si>
    <t>Fosfomycin; Granules; 1 Sachet (3g)</t>
  </si>
  <si>
    <t>Sachet (3g) (Sachets (3g))</t>
  </si>
  <si>
    <t>Fosfomycin</t>
  </si>
  <si>
    <t>Urizone 3g</t>
  </si>
  <si>
    <t>J01XX01</t>
  </si>
  <si>
    <t>1 x 3g Sachet</t>
  </si>
  <si>
    <t>51286201-00000</t>
  </si>
  <si>
    <t>d31f589d-bd85-405c-ba4b-0ba73e64623d</t>
  </si>
  <si>
    <t>189714763</t>
  </si>
  <si>
    <t>Furosemide; 10mg/ml; Solution; 100 ml</t>
  </si>
  <si>
    <t>Furosemide</t>
  </si>
  <si>
    <t>Lasix Oral Solution</t>
  </si>
  <si>
    <t>C03CA01</t>
  </si>
  <si>
    <t>51191549-00012</t>
  </si>
  <si>
    <t>4e2af4c7-7276-470d-920f-d060244fd34d</t>
  </si>
  <si>
    <t>180075982</t>
  </si>
  <si>
    <t>Furosemide; 20mg/2ml; injection; 2 ml</t>
  </si>
  <si>
    <t>Adco Furosemide 20mg/2ml</t>
  </si>
  <si>
    <t>51191549-00000</t>
  </si>
  <si>
    <t>6c5faf05-5aee-4042-b37f-e6ff979422a5</t>
  </si>
  <si>
    <t>180075988</t>
  </si>
  <si>
    <t>Furosemide; 250mg/25ml; injection; 25 ml</t>
  </si>
  <si>
    <t>FRUSEMIDE FRESENIUS 250 mg/25 ml</t>
  </si>
  <si>
    <t>51191549-00002</t>
  </si>
  <si>
    <t>d032cc4e-d9d9-422d-9fac-db73fa163b85</t>
  </si>
  <si>
    <t>139</t>
  </si>
  <si>
    <t>181859966</t>
  </si>
  <si>
    <t>Furosemide; 40mg; Tablet; 112 Tablets</t>
  </si>
  <si>
    <t>DEFULIDE 40</t>
  </si>
  <si>
    <t>Trinity Pharma (Pty) Ltd</t>
  </si>
  <si>
    <t>V3C68</t>
  </si>
  <si>
    <t>51191549-00007</t>
  </si>
  <si>
    <t>MAAA0343979</t>
  </si>
  <si>
    <t>5748508a-1923-44f6-864c-a6b2921cc2fc</t>
  </si>
  <si>
    <t>140</t>
  </si>
  <si>
    <t>180339712</t>
  </si>
  <si>
    <t>Furosemide; 40mg; Tablet; 28 Tablets</t>
  </si>
  <si>
    <t>51191549-00006</t>
  </si>
  <si>
    <t>Austell Furosemide 40 mg 28's</t>
  </si>
  <si>
    <t>707423-002</t>
  </si>
  <si>
    <t>141</t>
  </si>
  <si>
    <t>181798154</t>
  </si>
  <si>
    <t>Furosemide; 40mg; Tablet; 56 Tablets</t>
  </si>
  <si>
    <t xml:space="preserve">Furosemide 40 Unimed </t>
  </si>
  <si>
    <t>51191549-00009</t>
  </si>
  <si>
    <t>142</t>
  </si>
  <si>
    <t>181798156</t>
  </si>
  <si>
    <t>Furosemide; 40mg; Tablet; 84 Tablets</t>
  </si>
  <si>
    <t>51191549-00010</t>
  </si>
  <si>
    <t>143</t>
  </si>
  <si>
    <t>189710019</t>
  </si>
  <si>
    <t>Furosemide; 500mg; Tablet; 100 Tablets</t>
  </si>
  <si>
    <t>LASIX 500MG TAB 100</t>
  </si>
  <si>
    <t>51191549-00011</t>
  </si>
  <si>
    <t>2fc1f738-aab8-480d-aa9e-b7dcf20e48f3</t>
  </si>
  <si>
    <t>57</t>
  </si>
  <si>
    <t>180075985</t>
  </si>
  <si>
    <t>Furosemide; 50mg/5ml; injection; 5 ml</t>
  </si>
  <si>
    <t xml:space="preserve">Pharma-Q Furosemide Inj. 50mg/5ml </t>
  </si>
  <si>
    <t>51191549-00003</t>
  </si>
  <si>
    <t>8b736a57-e1e8-440a-b014-ed66c99a9981</t>
  </si>
  <si>
    <t>144</t>
  </si>
  <si>
    <t>180103509</t>
  </si>
  <si>
    <t>Gabapentin; 100mg; Capsule; 100 Capsules</t>
  </si>
  <si>
    <t>Gabapentin</t>
  </si>
  <si>
    <t>BIOTECH GABAPENTIN 100MG 100'S</t>
  </si>
  <si>
    <t>N03AX12</t>
  </si>
  <si>
    <t>51362601-00000</t>
  </si>
  <si>
    <t>8dfbe0f9-94f4-44ae-97f3-f34a61bbc11d</t>
  </si>
  <si>
    <t>145</t>
  </si>
  <si>
    <t>180103511</t>
  </si>
  <si>
    <t>Gabapentin; 300mg; Capsule; 100 Capsules</t>
  </si>
  <si>
    <t>BIOTECH GABAPENTIN 300MG 100'S</t>
  </si>
  <si>
    <t>ea29b19d-5807-41ee-a086-cadb3825ec3f</t>
  </si>
  <si>
    <t>146</t>
  </si>
  <si>
    <t>180103512</t>
  </si>
  <si>
    <t>Gabapentin; 400mg; Capsule; 100 Capsules</t>
  </si>
  <si>
    <t>BIOTECH GABAPENTIN 400MG 100'S</t>
  </si>
  <si>
    <t>66329c7d-4ddb-4db5-b690-9c9d4d373536</t>
  </si>
  <si>
    <t>222000027</t>
  </si>
  <si>
    <t>Gadobenate dimeglumine; 604.72mg/ml; Syringe, Prefilled; 7.5 ml</t>
  </si>
  <si>
    <t>Gadobenate dimeglumine</t>
  </si>
  <si>
    <t>Gadovist 7.5ml</t>
  </si>
  <si>
    <t>V08CA08</t>
  </si>
  <si>
    <t>51442208-00002</t>
  </si>
  <si>
    <t>42236d48-ca1e-4dec-adb6-1cbc4204a32b</t>
  </si>
  <si>
    <t>180073826</t>
  </si>
  <si>
    <t>Gadopentetate Dimeglumine; 469.01mg/ml; injection; 20 ml</t>
  </si>
  <si>
    <t>Gadopentetate Dimeglumine</t>
  </si>
  <si>
    <t>Magnevist 20ml</t>
  </si>
  <si>
    <t>V08CA01</t>
  </si>
  <si>
    <t>51442208-00000</t>
  </si>
  <si>
    <t>29099b09-2b15-41d4-bd03-8aac2b6bd7f8</t>
  </si>
  <si>
    <t>92</t>
  </si>
  <si>
    <t>180156448</t>
  </si>
  <si>
    <t>Ganciclovir; 500mg; injection; 1 Injection</t>
  </si>
  <si>
    <t>Ganciclovir</t>
  </si>
  <si>
    <t>Cymevene 500mg/10ml</t>
  </si>
  <si>
    <t>J05AB06</t>
  </si>
  <si>
    <t>2 x 5</t>
  </si>
  <si>
    <t>51342305-00000</t>
  </si>
  <si>
    <t>9da9511c-1c7b-4b84-8f16-06d9034f2ddd</t>
  </si>
  <si>
    <t>180188832</t>
  </si>
  <si>
    <t>Gemcitabine; 1g; injection; 1 Injection</t>
  </si>
  <si>
    <t>Gemcitabine</t>
  </si>
  <si>
    <t>Hexal Gemcitabine 1g IVI</t>
  </si>
  <si>
    <t>L01BC05</t>
  </si>
  <si>
    <t>51111617-00000</t>
  </si>
  <si>
    <t>ae638bd4-032d-4dff-8b87-771ddd5e3c46</t>
  </si>
  <si>
    <t>180188801</t>
  </si>
  <si>
    <t>Gemcitabine; 200mg; injection; 1 Injection</t>
  </si>
  <si>
    <t>Hexal Gemcitabine 200mg IVI</t>
  </si>
  <si>
    <t>51111617-00001</t>
  </si>
  <si>
    <t>f1d91eae-812b-4ccd-8ffd-6425cbe237f6</t>
  </si>
  <si>
    <t>189710974</t>
  </si>
  <si>
    <t>Gentamicin; 20mg/2ml; injection; 2 ml</t>
  </si>
  <si>
    <t>Gentamicin</t>
  </si>
  <si>
    <t>GENTAMYCIN FRESENIUS 20 mg/2ml (AMPOULES)</t>
  </si>
  <si>
    <t>J01GB03</t>
  </si>
  <si>
    <t>51281607-00000</t>
  </si>
  <si>
    <t>61ff6e05-d4ed-4f90-b268-a8fbbb5151f4</t>
  </si>
  <si>
    <t>180056669</t>
  </si>
  <si>
    <t>Gentamicin; 80mg/2ml; injection; 2 ml</t>
  </si>
  <si>
    <t>GENTAMYCIN FRESENIUS 80 mg/2 ml (AMPOULES)</t>
  </si>
  <si>
    <t>51281607-00002</t>
  </si>
  <si>
    <t>27799d89-715e-4dcc-87e8-e149769e5757</t>
  </si>
  <si>
    <t>147</t>
  </si>
  <si>
    <t>180189209</t>
  </si>
  <si>
    <t>Glibenclamide; 5mg; Tablet; 28 Tablets</t>
  </si>
  <si>
    <t>Glibenclamide</t>
  </si>
  <si>
    <t>Glibenclamide 5 Oethmaan</t>
  </si>
  <si>
    <t>A10BB01</t>
  </si>
  <si>
    <t>51184004-00001</t>
  </si>
  <si>
    <t>8ed77c70-aa67-48b4-bc7a-178c93b7f3b8</t>
  </si>
  <si>
    <t>Diacare</t>
  </si>
  <si>
    <t>148</t>
  </si>
  <si>
    <t>180340162</t>
  </si>
  <si>
    <t>Glibenclamide; 5mg; Tablet; 56 Tablets</t>
  </si>
  <si>
    <t>51184004-00003</t>
  </si>
  <si>
    <t>149</t>
  </si>
  <si>
    <t>180340166</t>
  </si>
  <si>
    <t>Glibenclamide; 5mg; Tablet; 84 Tablets</t>
  </si>
  <si>
    <t>51184004-00005</t>
  </si>
  <si>
    <t>151</t>
  </si>
  <si>
    <t>222001094</t>
  </si>
  <si>
    <t>Glimepiride; 1mg; Tablet; 28 Tablets</t>
  </si>
  <si>
    <t>Glimepiride</t>
  </si>
  <si>
    <t>Austell Glimepiride 1 mg</t>
  </si>
  <si>
    <t>A10BB12</t>
  </si>
  <si>
    <t>51124503-00001</t>
  </si>
  <si>
    <t>25670c68-07db-4bba-8bb3-51ddb40a53e3</t>
  </si>
  <si>
    <t>Glimepiride 1 Oethmaan</t>
  </si>
  <si>
    <t>152</t>
  </si>
  <si>
    <t>222001095</t>
  </si>
  <si>
    <t>Glimepiride; 2mg; Tablet; 28 Tablets</t>
  </si>
  <si>
    <t xml:space="preserve">Glimepiride 2 Unimed   </t>
  </si>
  <si>
    <t>51124503-00004</t>
  </si>
  <si>
    <t>b3b27a56-6321-49a7-8c95-e21dc28c8f27</t>
  </si>
  <si>
    <t>Glimepiride 2 Oethmaan</t>
  </si>
  <si>
    <t>153</t>
  </si>
  <si>
    <t>222001096</t>
  </si>
  <si>
    <t>Glimepiride; 4mg; Tablet; 28 Tablets</t>
  </si>
  <si>
    <t>Glimepiride 4 Oethmaan</t>
  </si>
  <si>
    <t>51124503-00005</t>
  </si>
  <si>
    <t>fcf89713-fea5-465c-ade8-9eaddb6981ab</t>
  </si>
  <si>
    <t>Austell Glimepiride 4 mg</t>
  </si>
  <si>
    <t>180309135</t>
  </si>
  <si>
    <t>Glucagon; 1mg; injection; 1 ml</t>
  </si>
  <si>
    <t>Glucagon</t>
  </si>
  <si>
    <t>GLUCAGEN</t>
  </si>
  <si>
    <t>H04AA01</t>
  </si>
  <si>
    <t>51183602-00000</t>
  </si>
  <si>
    <t>e4fc07ed-fb42-4d8d-abaf-8630d4f207fd</t>
  </si>
  <si>
    <t>222001175</t>
  </si>
  <si>
    <t>Glucometer; Medical device; 1 Device</t>
  </si>
  <si>
    <t>Glucometer</t>
  </si>
  <si>
    <t>VivaChek Ino</t>
  </si>
  <si>
    <t>Blue Sky Healthcare (Pty) Ltd</t>
  </si>
  <si>
    <t>V6U14</t>
  </si>
  <si>
    <t>41116201-00101</t>
  </si>
  <si>
    <t>MAAA0082150</t>
  </si>
  <si>
    <t>e8a04d54-9a57-4c15-b3f3-c9efe1e70a6d</t>
  </si>
  <si>
    <t>189705449</t>
  </si>
  <si>
    <t>Glutaraldehyde; 2%; Solution; 1 L</t>
  </si>
  <si>
    <t>Glutaraldehyde</t>
  </si>
  <si>
    <t>ENDOSCOPE HIGH LEVEL DISINFECTANT TYPE 1 ADCO 1000ML</t>
  </si>
  <si>
    <t>D08A</t>
  </si>
  <si>
    <t>51472002-00000</t>
  </si>
  <si>
    <t>8b2d7e1a-2ecb-4cf0-9915-a8c063698fbb</t>
  </si>
  <si>
    <t>180181171</t>
  </si>
  <si>
    <t>Glutaraldehyde; 2%; Solution; 5 L</t>
  </si>
  <si>
    <t>ENDOSCOPE HIGH LEVEL DISINFECTANT TYPE 1 ADCO 5000ML</t>
  </si>
  <si>
    <t>51472002-00001</t>
  </si>
  <si>
    <t>189715124</t>
  </si>
  <si>
    <t>Glycerol;  BP; Liquid; 500 ml</t>
  </si>
  <si>
    <t>Glycerol</t>
  </si>
  <si>
    <t>GLYCEROL BP</t>
  </si>
  <si>
    <t>A06AX01</t>
  </si>
  <si>
    <t>51171608-00002</t>
  </si>
  <si>
    <t>bad374cd-6018-4591-9c68-544491717fed</t>
  </si>
  <si>
    <t>180032075</t>
  </si>
  <si>
    <t>Glycerol; 0.891ml; Suppository; 12 Suppositories</t>
  </si>
  <si>
    <t>Glycerine Suppositories for Infants and Children</t>
  </si>
  <si>
    <t>51171608-00000</t>
  </si>
  <si>
    <t>71c3606a-b083-4de2-b7cf-d5f97c7339ce</t>
  </si>
  <si>
    <t>180032076</t>
  </si>
  <si>
    <t>Glycerol; 1.698ml; Suppository; 12 Suppositories</t>
  </si>
  <si>
    <t>Glycerine Adult Supps 12</t>
  </si>
  <si>
    <t>51171608-00005</t>
  </si>
  <si>
    <t>28b0a407-f724-441a-8011-0997a6a6063b</t>
  </si>
  <si>
    <t>189712406</t>
  </si>
  <si>
    <t>Glyco Thymol Co; Mouthwash; 100 ml</t>
  </si>
  <si>
    <t>Glyco Thymol Co</t>
  </si>
  <si>
    <t>Resmed Compound Thymol Glycerine</t>
  </si>
  <si>
    <t>A01AB11</t>
  </si>
  <si>
    <t>51303701-00000</t>
  </si>
  <si>
    <t>a2657778-6432-42cd-9e5d-673c931a3e08</t>
  </si>
  <si>
    <t>180075998</t>
  </si>
  <si>
    <t>Glycopyrronium Bromide; 400mcg/2ml; injection; 2 ml</t>
  </si>
  <si>
    <t>Glycopyrronium Bromide</t>
  </si>
  <si>
    <t>Robinul Inj 2ml</t>
  </si>
  <si>
    <t>A03AB02</t>
  </si>
  <si>
    <t>51151611-00000</t>
  </si>
  <si>
    <t>18da1219-9a17-490e-bb82-75c6eaba4adb</t>
  </si>
  <si>
    <t>222000965</t>
  </si>
  <si>
    <t>Glycopyrronium Bromide; 50mcg; Inhaler; 30 Doses</t>
  </si>
  <si>
    <t>Seebri Breezhaler</t>
  </si>
  <si>
    <t>R03BB06</t>
  </si>
  <si>
    <t>51151611-00002</t>
  </si>
  <si>
    <t>3c510a01-8ade-425a-91a1-711569da7316</t>
  </si>
  <si>
    <t>180969540</t>
  </si>
  <si>
    <t>Goserelin; 10.8mg; Syringe, Prefilled; 1 Syringe, Pre-filled</t>
  </si>
  <si>
    <t>Goserelin</t>
  </si>
  <si>
    <t>Zoladex 10.8</t>
  </si>
  <si>
    <t>L02AE03</t>
  </si>
  <si>
    <t>51111805-00000</t>
  </si>
  <si>
    <t>cdb146a4-6bfc-4666-a91c-9f7b3c1bf3ad</t>
  </si>
  <si>
    <t>189709944</t>
  </si>
  <si>
    <t>Goserelin; 3.6mg; Syringe, Prefilled; 1 Syringe, Pre-filled</t>
  </si>
  <si>
    <t>Zoladex 3.6</t>
  </si>
  <si>
    <t>51111805-00001</t>
  </si>
  <si>
    <t>4842e677-0bc0-4fd2-aa79-9957e468c944</t>
  </si>
  <si>
    <t>180968745</t>
  </si>
  <si>
    <t>Granisetron; 1mg; injection; 1 Injection</t>
  </si>
  <si>
    <t>Granisetron</t>
  </si>
  <si>
    <t>Granisetron Fresenius 1 mg/ml (1 ml)</t>
  </si>
  <si>
    <t>A04AA02</t>
  </si>
  <si>
    <t>51171823-00101</t>
  </si>
  <si>
    <t>6a6dff72-3a3d-4b12-a6b7-808fa3db1961</t>
  </si>
  <si>
    <t>180073795</t>
  </si>
  <si>
    <t>Granisetron; 3mg/3ml; injection; 3 ml</t>
  </si>
  <si>
    <t>Granisetron Fresenius 1 mg/ml (3 ml)</t>
  </si>
  <si>
    <t>51171823-00000</t>
  </si>
  <si>
    <t>31529d29-4fb2-4662-8925-2d56f53200f0</t>
  </si>
  <si>
    <t>189705608</t>
  </si>
  <si>
    <t>Half Darrow With Glucose; 5%; Infusion (parenteral); 200 ml</t>
  </si>
  <si>
    <t>Half Darrow With Glucose</t>
  </si>
  <si>
    <t>Sabax Half-Strength Darrow`s with Glucose 5% 200ml</t>
  </si>
  <si>
    <t>51191704-00005</t>
  </si>
  <si>
    <t>5b09e356-ba93-43d1-bcfb-b98312123b5e</t>
  </si>
  <si>
    <t>189711189</t>
  </si>
  <si>
    <t>Half Darrow With Glucose; 5%; Infusion (parenteral); 500 ml</t>
  </si>
  <si>
    <t>Sabax Half-Strength Darrow`s with Glucose 5% 500ml</t>
  </si>
  <si>
    <t>51191704-00006</t>
  </si>
  <si>
    <t>155</t>
  </si>
  <si>
    <t>189710367</t>
  </si>
  <si>
    <t>Haloperidol; 1.5mg; Tablet; 100 Tablets</t>
  </si>
  <si>
    <t>Haloperidol</t>
  </si>
  <si>
    <t>Haloperidol 1,5 Oethmaan</t>
  </si>
  <si>
    <t>N05AD01</t>
  </si>
  <si>
    <t>51332501-00007</t>
  </si>
  <si>
    <t>138c8d53-a06a-4803-9222-5cd459adeb87</t>
  </si>
  <si>
    <t>156</t>
  </si>
  <si>
    <t>189710327</t>
  </si>
  <si>
    <t>Haloperidol; 5mg; Tablet; 100 Tablets</t>
  </si>
  <si>
    <t>Haloperidol 5 Oethmaan</t>
  </si>
  <si>
    <t>51332501-00002</t>
  </si>
  <si>
    <t>bccf4dbb-23f7-4963-80eb-4fc33478ecea</t>
  </si>
  <si>
    <t>157</t>
  </si>
  <si>
    <t>181923352</t>
  </si>
  <si>
    <t>Haloperidol; 5mg; Tablet; 28 Tablets</t>
  </si>
  <si>
    <t>51332501-00004</t>
  </si>
  <si>
    <t>158</t>
  </si>
  <si>
    <t>181923353</t>
  </si>
  <si>
    <t>Haloperidol; 5mg; Tablet; 56 Tablets</t>
  </si>
  <si>
    <t>51332501-00005</t>
  </si>
  <si>
    <t>189750285</t>
  </si>
  <si>
    <t>Halothane; Liquid; 250 ml</t>
  </si>
  <si>
    <t>Halothane</t>
  </si>
  <si>
    <t>HALOTHANE U.S.P., 250ml</t>
  </si>
  <si>
    <t>N01AB01</t>
  </si>
  <si>
    <t>51272503-00000</t>
  </si>
  <si>
    <t>02146e40-3795-468b-b60a-bd3fd9486300</t>
  </si>
  <si>
    <t>189710951</t>
  </si>
  <si>
    <t>Heparin; 25000IU/5ml; injection; 5 ml</t>
  </si>
  <si>
    <t>Unit (Units)</t>
  </si>
  <si>
    <t>Heparin</t>
  </si>
  <si>
    <t>HEPARIN SODIUM FRESENIUS 5000 I.U/1 ml (5ml)</t>
  </si>
  <si>
    <t>B01AB01</t>
  </si>
  <si>
    <t>51131602-00004</t>
  </si>
  <si>
    <t>0ef706f2-f7b1-4cb0-a6db-92a153d89270</t>
  </si>
  <si>
    <t>189715772</t>
  </si>
  <si>
    <t>Heparin; 5000IU/5ml; injection; 5 ml</t>
  </si>
  <si>
    <t>HEPARIN SODIUM FRESENIUS 1000 I.U/1 ml (5ml)</t>
  </si>
  <si>
    <t>51131602-00003</t>
  </si>
  <si>
    <t>6aafc210-64c6-4158-a3a0-a7c3b1ee7a99</t>
  </si>
  <si>
    <t>222001324</t>
  </si>
  <si>
    <t xml:space="preserve">HUMAN COAGULATION CONCENTRATE COMPLEX: FACTOR VIII COMPLEX 1 000 IU INJECTION, UNIT CONTAINING - A HIGH SPECIFIC FACTOR VIII (FACTOR VIII: C) ACTIVITY - VON WILLEBRAND FACTOR (FACTOR </t>
  </si>
  <si>
    <t xml:space="preserve">HUMAN COAGULATION CONCENTRATE COMPLEX: FACTOR VIII COMPLEX 1 000 IU INJECTION, UNIT CONTAINING - A HIGH SPECIFIC FACTOR VIII (FACTOR </t>
  </si>
  <si>
    <t>Haemosolvate Factor VIII 500 IU (2 x 500 IU pack)</t>
  </si>
  <si>
    <t>B02BD06</t>
  </si>
  <si>
    <t>51131821-00011</t>
  </si>
  <si>
    <t>28c5db41-7cc7-4278-a818-5426b5ec87ff</t>
  </si>
  <si>
    <t>222001323</t>
  </si>
  <si>
    <t xml:space="preserve">HUMAN COAGULATION CONCENTRATE COMPLEX: FACTOR VIII COMPLEX 500 IU INJECTION, UNIT CONTAINING - A HIGH SPECIFIC FACTOR VIII (FACTOR VIII: C) ACTIVITY - VON WILLEBRAND FACTOR (FACTOR </t>
  </si>
  <si>
    <t xml:space="preserve">HUMAN COAGULATION CONCENTRATE COMPLEX: FACTOR VIII COMPLEX 500 IU INJECTION, UNIT CONTAINING - A HIGH SPECIFIC FACTOR VIII (FACTOR </t>
  </si>
  <si>
    <t>Haemosolvate Factor VIII 500 IU</t>
  </si>
  <si>
    <t>51131821-00010</t>
  </si>
  <si>
    <t>cf8979ab-12ba-469f-becc-846895477599</t>
  </si>
  <si>
    <t>180352238</t>
  </si>
  <si>
    <t>Human Coagulation Factor Concentrate: Activated Prothrombin Complex; 1,000IU; injection; 1 Injection</t>
  </si>
  <si>
    <t>Human Coagulation Factor Concentrate: Activated Prothrombin Complex</t>
  </si>
  <si>
    <t>FEIBA TIM 4 IMMUNO 1000IU</t>
  </si>
  <si>
    <t>B02BD03</t>
  </si>
  <si>
    <t>51131821-00009</t>
  </si>
  <si>
    <t>e7a61f42-f95b-4b9b-95f3-ba1d80e77b24</t>
  </si>
  <si>
    <t>180323313</t>
  </si>
  <si>
    <t>Human Coagulation Factor Concentrate: Activated Prothrombin Complex; 500IU; injection; 1 Injection</t>
  </si>
  <si>
    <t>FEIBA TIM 4 IMMUNO 500IU</t>
  </si>
  <si>
    <t>51131821-00008</t>
  </si>
  <si>
    <t>0f7b6078-6633-4048-a15d-77a347928842</t>
  </si>
  <si>
    <t>180169317</t>
  </si>
  <si>
    <t>Human Coagulation Factor Concentrate: Factor Ix Complex; 500IU; injection; 1 Injection</t>
  </si>
  <si>
    <t>Human Coagulation Factor Concentrate: Factor Ix Complex</t>
  </si>
  <si>
    <t>Haemosolvex Factor IX</t>
  </si>
  <si>
    <t>B02BD04</t>
  </si>
  <si>
    <t>51131819-00001</t>
  </si>
  <si>
    <t>47a951ef-f667-4694-b609-12e72225aa83</t>
  </si>
  <si>
    <t>181894394</t>
  </si>
  <si>
    <t>Human Coagulation Factor Concentrate: Factor Viia Complex; 100,000IU; injection; 1 Injection</t>
  </si>
  <si>
    <t>Human Coagulation Factor Concentrate: Factor Viia Complex</t>
  </si>
  <si>
    <t>Novoseven 2mg</t>
  </si>
  <si>
    <t>B02BD08</t>
  </si>
  <si>
    <t>51131820-00005</t>
  </si>
  <si>
    <t>2f76ae2d-8ec9-416f-9413-d65d0ae02026</t>
  </si>
  <si>
    <t>181918372</t>
  </si>
  <si>
    <t>Human Coagulation Factor Concentrate: Factor Viia Complex; 250,000IU; injection; 1 Injection</t>
  </si>
  <si>
    <t>Novoseven 5mg</t>
  </si>
  <si>
    <t>51131820-00006</t>
  </si>
  <si>
    <t>b5a47557-8260-494e-a0ea-65355a3dd513</t>
  </si>
  <si>
    <t>181893510</t>
  </si>
  <si>
    <t>Human Coagulation Factor Concentrate: Factor Viia Complex; 50,000IU; injection; 1 Injection</t>
  </si>
  <si>
    <t>Novoseven 1mg</t>
  </si>
  <si>
    <t>51131820-00004</t>
  </si>
  <si>
    <t>d1821e2f-2def-4c9f-811a-1827c4c67fc0</t>
  </si>
  <si>
    <t>180172066</t>
  </si>
  <si>
    <t>Human Coagulation Factor Concentrate: Factor Viii Complex; 1,000IU; injection; 1 Injection</t>
  </si>
  <si>
    <t>Human Coagulation Factor Concentrate: Factor Viii Complex</t>
  </si>
  <si>
    <t>B02BD02</t>
  </si>
  <si>
    <t>51131821-00007</t>
  </si>
  <si>
    <t>92a31792-8e65-4fc8-9926-de4b1c088cc6</t>
  </si>
  <si>
    <t>180263367</t>
  </si>
  <si>
    <t>Human Coagulation Factor Concentrate: Factor Viii Complex; 300IU; injection; 1 Injection</t>
  </si>
  <si>
    <t>Haemosolvate Factor VIII 300 IU</t>
  </si>
  <si>
    <t>51131821-00005</t>
  </si>
  <si>
    <t>83dd2bf9-6994-40ed-8104-6b509e969769</t>
  </si>
  <si>
    <t>180169780</t>
  </si>
  <si>
    <t>Human Coagulation Factor Concentrate: Factor Viii Complex; 500IU; injection; 1 Injection</t>
  </si>
  <si>
    <t>51131821-00006</t>
  </si>
  <si>
    <t>e44e3008-5afa-4b3d-95aa-d16385637060</t>
  </si>
  <si>
    <t>189711240</t>
  </si>
  <si>
    <t>Hyaluronic Acid; 10mg/ml; Syringe, Prefilled; 0.4 ml</t>
  </si>
  <si>
    <t>Hyaluronic Acid</t>
  </si>
  <si>
    <t>Provisc 0.4ml</t>
  </si>
  <si>
    <t>S01KA01</t>
  </si>
  <si>
    <t>51202002-00000</t>
  </si>
  <si>
    <t>2e0eeb84-8341-422e-a07c-0980be770b97</t>
  </si>
  <si>
    <t>180087337</t>
  </si>
  <si>
    <t>Hyaluronic Acid; 10mg/ml; Syringe, Prefilled; 0.55 ml</t>
  </si>
  <si>
    <t>Provisc 0.55ml</t>
  </si>
  <si>
    <t>51202002-00001</t>
  </si>
  <si>
    <t>180301660</t>
  </si>
  <si>
    <t>Hyaluronidase; 1,500IU; injection; 1 Injection</t>
  </si>
  <si>
    <t>Hyaluronidase</t>
  </si>
  <si>
    <t>Hyalase</t>
  </si>
  <si>
    <t>B06AA03</t>
  </si>
  <si>
    <t>51271503-00000</t>
  </si>
  <si>
    <t>ee139f03-0a0a-4ae1-bdbb-d729e021605f</t>
  </si>
  <si>
    <t>159</t>
  </si>
  <si>
    <t>181798157</t>
  </si>
  <si>
    <t>Hydralazine; 25mg; Tablet; 56 Tablets</t>
  </si>
  <si>
    <t>Hydralazine</t>
  </si>
  <si>
    <t>Hydralazine HCL 25 KIARA (Fomerly Sandoz Hydralazine 25mg)</t>
  </si>
  <si>
    <t>C02DB02</t>
  </si>
  <si>
    <t>51433303-00000</t>
  </si>
  <si>
    <t>d3134bd1-dd92-4666-83bc-303ee73913f9</t>
  </si>
  <si>
    <t>160</t>
  </si>
  <si>
    <t>180091224</t>
  </si>
  <si>
    <t>Hydralazine; 25mg; Tablet; 84 Tablets</t>
  </si>
  <si>
    <t>51433303-00001</t>
  </si>
  <si>
    <t>161</t>
  </si>
  <si>
    <t>181821883</t>
  </si>
  <si>
    <t>Hydrochlorothiazide; 12.5mg; Tablet; 28 Tablets</t>
  </si>
  <si>
    <t>Hydrochlorothiazide</t>
  </si>
  <si>
    <t>RIDAQ 12.5MG TAB B/BAG 28</t>
  </si>
  <si>
    <t>C03AA03</t>
  </si>
  <si>
    <t>51191515-00000</t>
  </si>
  <si>
    <t>6f701994-0beb-43ec-a591-eb629220dc5d</t>
  </si>
  <si>
    <t>162</t>
  </si>
  <si>
    <t>180190405</t>
  </si>
  <si>
    <t>Hydrochlorothiazide; 25mg; Tablet; 28 Tablets</t>
  </si>
  <si>
    <t>Hydrochlorothiazide 25 Ascendis</t>
  </si>
  <si>
    <t>51191515-00001</t>
  </si>
  <si>
    <t>3558c549-4c1f-42f3-8275-409738bbcfe5</t>
  </si>
  <si>
    <t>Unizide 25 mg</t>
  </si>
  <si>
    <t>RIDAQ 25MG TAB B/BAG 28</t>
  </si>
  <si>
    <t>189709037</t>
  </si>
  <si>
    <t>Hydrocortisone; 1%; Cream; 20 g</t>
  </si>
  <si>
    <t>Hydrocortisone</t>
  </si>
  <si>
    <t>Vari-Hydrocortisone 1% cream</t>
  </si>
  <si>
    <t>D07AA02</t>
  </si>
  <si>
    <t>51422415-00000</t>
  </si>
  <si>
    <t>6de6d3fa-c77e-4ea1-8513-9d5cf8ec0c00</t>
  </si>
  <si>
    <t>180320694</t>
  </si>
  <si>
    <t>Hydrocortisone; 1%; Ointment; 25 g</t>
  </si>
  <si>
    <t>Mylocort Oint 25g</t>
  </si>
  <si>
    <t>51422415-00001</t>
  </si>
  <si>
    <t>10620585-1a52-480c-bd03-a0242fca29d0</t>
  </si>
  <si>
    <t>180018040</t>
  </si>
  <si>
    <t>Hydrocortisone; 100mg/2ml; injection; 2 ml</t>
  </si>
  <si>
    <t>SOLU-CORTEF 100mg</t>
  </si>
  <si>
    <t>H02AB09</t>
  </si>
  <si>
    <t>51422415-00002</t>
  </si>
  <si>
    <t>aac155b1-810d-4fdd-9764-3ce23e6557f2</t>
  </si>
  <si>
    <t xml:space="preserve">Macleods Hydrocortisone Injection </t>
  </si>
  <si>
    <t>163</t>
  </si>
  <si>
    <t>189710516</t>
  </si>
  <si>
    <t>Hydrocortisone; 10mg; Tablet; 100 Tablets</t>
  </si>
  <si>
    <t>Covocort 10MG Tablets 100's</t>
  </si>
  <si>
    <t>51422415-00003</t>
  </si>
  <si>
    <t>064b4313-39a7-4cf6-af85-73e15dcc2bd3</t>
  </si>
  <si>
    <t>189700824</t>
  </si>
  <si>
    <t>Hydrogen Perioxide; 6%; Solution; 500 ml</t>
  </si>
  <si>
    <t>Hydrogen Perioxide</t>
  </si>
  <si>
    <t>Hydrogen peroxide BP, 6% Solution 500ml</t>
  </si>
  <si>
    <t>D08AX01</t>
  </si>
  <si>
    <t>51172833-00000</t>
  </si>
  <si>
    <t>152a8b86-751f-4338-86c3-8db8c4791731</t>
  </si>
  <si>
    <t>180034698</t>
  </si>
  <si>
    <t>Hydroxypropylmethylcellulose; 3mg/ml; Drop, Eye; 20 ml</t>
  </si>
  <si>
    <t>Hydroxypropylmethylcellulose</t>
  </si>
  <si>
    <t>SPERSATEAR EYE DROPS 20ml</t>
  </si>
  <si>
    <t>S01KA02</t>
  </si>
  <si>
    <t>51241128-00100</t>
  </si>
  <si>
    <t>e6af714f-8f52-48ea-9bdd-b998e35c739d</t>
  </si>
  <si>
    <t>189761385</t>
  </si>
  <si>
    <t>Hydroxyurea; 500mg; Capsule; 100 Capsules</t>
  </si>
  <si>
    <t>Hydroxyurea</t>
  </si>
  <si>
    <t xml:space="preserve">HYDREA </t>
  </si>
  <si>
    <t>L01XX35</t>
  </si>
  <si>
    <t>731706-005</t>
  </si>
  <si>
    <t>51111606-00000</t>
  </si>
  <si>
    <t>56a5f789-904e-4146-a3e5-563763982511</t>
  </si>
  <si>
    <t>164</t>
  </si>
  <si>
    <t>189711820</t>
  </si>
  <si>
    <t>Hyoscine butylbromide; 10mg; Tablet; 10 Tablets</t>
  </si>
  <si>
    <t>Hyoscine butylbromide</t>
  </si>
  <si>
    <t>HYOSPASMOL 10MG TAB BL 10</t>
  </si>
  <si>
    <t>A03BB01</t>
  </si>
  <si>
    <t>51172107-00000</t>
  </si>
  <si>
    <t>ae20c3e6-b1eb-4660-9b63-52a205763134</t>
  </si>
  <si>
    <t>Scopex 10MG Tablet 10's</t>
  </si>
  <si>
    <t>180076081</t>
  </si>
  <si>
    <t>Hyoscine butylbromide; 20mg/ml; injection; 1 ml</t>
  </si>
  <si>
    <t>Pharma-Q Hyoscine Butylbromide</t>
  </si>
  <si>
    <t>51172107-00002</t>
  </si>
  <si>
    <t>764c01e8-4689-4d1e-b39f-25b907c200d8</t>
  </si>
  <si>
    <t>180074004</t>
  </si>
  <si>
    <t>Hyoscine butylbromide; 5mg/5ml; Syrup; 100 ml</t>
  </si>
  <si>
    <t>HYOSPASMOL 5MG/5ML SYRUP 100ML</t>
  </si>
  <si>
    <t>51171840-00003</t>
  </si>
  <si>
    <t>47052021-4fd9-4341-80a3-7e4b03ee6e7b</t>
  </si>
  <si>
    <t>222000026</t>
  </si>
  <si>
    <t>Ibandronic acid; 6mg; injection; 6 ml</t>
  </si>
  <si>
    <t>Ibandronic acid</t>
  </si>
  <si>
    <t>BONRIX 6 mg/6 ml</t>
  </si>
  <si>
    <t>M05BA06</t>
  </si>
  <si>
    <t>1 x 6 vials</t>
  </si>
  <si>
    <t>51182423-00000</t>
  </si>
  <si>
    <t>027ae1d6-3577-4ab2-b158-ecba097dd29b</t>
  </si>
  <si>
    <t>189712348</t>
  </si>
  <si>
    <t>Ibuprofen; 100mg/5ml; Suspension; 100 ml</t>
  </si>
  <si>
    <t>Ibuprofen</t>
  </si>
  <si>
    <t xml:space="preserve">Brufen for children </t>
  </si>
  <si>
    <t>Abbott Laboratories SA (Pty) Ltd</t>
  </si>
  <si>
    <t>V2150</t>
  </si>
  <si>
    <t>M01AE01</t>
  </si>
  <si>
    <t>51384509-00011</t>
  </si>
  <si>
    <t>MAAA0030395</t>
  </si>
  <si>
    <t>ac08111a-448c-484a-be8b-b2b4f7f3314e</t>
  </si>
  <si>
    <t>166</t>
  </si>
  <si>
    <t>180339460</t>
  </si>
  <si>
    <t>Ibuprofen; 200mg; Tablet; 15 Tablets</t>
  </si>
  <si>
    <t>Unifen 200</t>
  </si>
  <si>
    <t>51384509-00001</t>
  </si>
  <si>
    <t>684bacbe-c8ff-4971-99f5-1689d00fa112</t>
  </si>
  <si>
    <t>Ibusor 200</t>
  </si>
  <si>
    <t>Betagesic 200MG Tablets Blister 15's</t>
  </si>
  <si>
    <t>167</t>
  </si>
  <si>
    <t>181798173</t>
  </si>
  <si>
    <t>Ibuprofen; 200mg; Tablet; 42 Tablets</t>
  </si>
  <si>
    <t>51384509-00004</t>
  </si>
  <si>
    <t>Betagesic 200MG Tablet 42's</t>
  </si>
  <si>
    <t>168</t>
  </si>
  <si>
    <t>180339461</t>
  </si>
  <si>
    <t>Ibuprofen; 200mg; Tablet; 84 Tablets</t>
  </si>
  <si>
    <t>BETAPROFEN 200</t>
  </si>
  <si>
    <t>51384509-00005</t>
  </si>
  <si>
    <t>169</t>
  </si>
  <si>
    <t>181923355</t>
  </si>
  <si>
    <t>Ibuprofen; 400mg; Tablet; 15 Tablets</t>
  </si>
  <si>
    <t>BREN-400</t>
  </si>
  <si>
    <t>51384509-00008</t>
  </si>
  <si>
    <t>74b5a84f-642c-41ab-9891-391f22be48d3</t>
  </si>
  <si>
    <t>Unifen 400</t>
  </si>
  <si>
    <t>170</t>
  </si>
  <si>
    <t>189711816</t>
  </si>
  <si>
    <t>Ibuprofen; 400mg; Tablet; 84 Tablets</t>
  </si>
  <si>
    <t>51384509-00010</t>
  </si>
  <si>
    <t>189714886</t>
  </si>
  <si>
    <t>Ichthammol;  BP; Ointment; 500 g</t>
  </si>
  <si>
    <t>Ichthammol</t>
  </si>
  <si>
    <t>ICHTHAMMOL OINTMENT BP BIOTECH</t>
  </si>
  <si>
    <t>51284805-00000</t>
  </si>
  <si>
    <t>e94d09d4-acc3-404e-9fe0-026144b555c4</t>
  </si>
  <si>
    <t>189714258</t>
  </si>
  <si>
    <t>Ifosfamide; 1g; injection; 1 Injection</t>
  </si>
  <si>
    <t>Ifosfamide</t>
  </si>
  <si>
    <t>Holoxan 1 g Injection</t>
  </si>
  <si>
    <t>L01AA06</t>
  </si>
  <si>
    <t>51112510-00001</t>
  </si>
  <si>
    <t>3a62a234-b565-48b3-a1fd-cffb2d2093ac</t>
  </si>
  <si>
    <t>189714259</t>
  </si>
  <si>
    <t>Ifosfamide; 2g; injection; 1 Injection</t>
  </si>
  <si>
    <t>Holoxan 2 g Injection</t>
  </si>
  <si>
    <t>51112510-00002</t>
  </si>
  <si>
    <t>ba90c202-045d-477b-9410-f255c43d23c3</t>
  </si>
  <si>
    <t>189714257</t>
  </si>
  <si>
    <t>Ifosfamide; 500mg; injection; 1 Injection</t>
  </si>
  <si>
    <t>Holoxan 500 mg Injection</t>
  </si>
  <si>
    <t>51112510-00000</t>
  </si>
  <si>
    <t>26e2e1e6-6bd9-4eb4-aa1f-3db7e0e4fa40</t>
  </si>
  <si>
    <t>181758086</t>
  </si>
  <si>
    <t>Imatinib; 100mg; Capsule; 60 Capsules</t>
  </si>
  <si>
    <t>Imatinib</t>
  </si>
  <si>
    <t xml:space="preserve">Imatinib Accord 100mg </t>
  </si>
  <si>
    <t>L01XE01</t>
  </si>
  <si>
    <t>51112015-00000</t>
  </si>
  <si>
    <t>89b73685-c5ef-4680-9025-c1427cf10484</t>
  </si>
  <si>
    <t>181823721</t>
  </si>
  <si>
    <t>Imatinib; 400mg; Capsule; 30 Capsules</t>
  </si>
  <si>
    <t xml:space="preserve">Imatinib Accord 400mg </t>
  </si>
  <si>
    <t>51112005-00000</t>
  </si>
  <si>
    <t>aeb81040-4f62-42ea-88b9-55b0512ad0d9</t>
  </si>
  <si>
    <t>222000943</t>
  </si>
  <si>
    <t>Imipenem, Cilastatin; 500mg, 500mg; injection; 1 Injection</t>
  </si>
  <si>
    <t>Imipenem, Cilastatin</t>
  </si>
  <si>
    <t>Cilapen 500</t>
  </si>
  <si>
    <t>J01DH51</t>
  </si>
  <si>
    <t>HU000012</t>
  </si>
  <si>
    <t>51284903-00000</t>
  </si>
  <si>
    <t>b35d097e-30c7-4c17-90f8-966a51613634</t>
  </si>
  <si>
    <t>180346230</t>
  </si>
  <si>
    <t>Imiquimod; 5%; Cream; 12 Sachets</t>
  </si>
  <si>
    <t>Imiquimod</t>
  </si>
  <si>
    <t>Aldara sachets, 12</t>
  </si>
  <si>
    <t>D06BB10</t>
  </si>
  <si>
    <t>1 x 12</t>
  </si>
  <si>
    <t>51333202-00000</t>
  </si>
  <si>
    <t>6513a452-ff24-4baf-8660-83a0d6a61135</t>
  </si>
  <si>
    <t>189755220</t>
  </si>
  <si>
    <t>Immunoglobulin, Anti-D; 100mcg; injection; 2 ml</t>
  </si>
  <si>
    <t>Immunoglobulin, Anti-D</t>
  </si>
  <si>
    <t>Rhesugam IM</t>
  </si>
  <si>
    <t>J06BB01</t>
  </si>
  <si>
    <t>51201801-00008</t>
  </si>
  <si>
    <t>80488886-3301-454c-a152-ad55ba51b9a9</t>
  </si>
  <si>
    <t>180351608</t>
  </si>
  <si>
    <t>Immunoglobulin, Hepatitis B; 100IU/2ml; injection; 1 Injection</t>
  </si>
  <si>
    <t>Immunoglobulin, Hepatitis B</t>
  </si>
  <si>
    <t>Hebagam IM</t>
  </si>
  <si>
    <t>J06BB04</t>
  </si>
  <si>
    <t>51201801-00009</t>
  </si>
  <si>
    <t>b2c6bb47-f8ce-418d-b517-fb58f762855c</t>
  </si>
  <si>
    <t>180177484</t>
  </si>
  <si>
    <t>Immunoglobulin, Human, Normal; 12g; Infusion (parenteral); 1 Injection</t>
  </si>
  <si>
    <t>Immunoglobulin, Human, Normal</t>
  </si>
  <si>
    <t>Polygam 12 g</t>
  </si>
  <si>
    <t>J06BA02</t>
  </si>
  <si>
    <t>51201801-00013</t>
  </si>
  <si>
    <t>99057400-3ff1-4a49-8f25-d77b4c411454</t>
  </si>
  <si>
    <t>222000203</t>
  </si>
  <si>
    <t>Immunoglobulin, Human, Normal; 16%; injection; 2 ml</t>
  </si>
  <si>
    <t>Beriglobin P 2ml Injection</t>
  </si>
  <si>
    <t>51201801-00006</t>
  </si>
  <si>
    <t>1349beeb-d9f8-4e56-b112-258062405406</t>
  </si>
  <si>
    <t>180082278</t>
  </si>
  <si>
    <t>Immunoglobulin, Human, Normal; 16%; injection; 5 ml</t>
  </si>
  <si>
    <t>Intragam 5 ml</t>
  </si>
  <si>
    <t>51201801-00007</t>
  </si>
  <si>
    <t>180082250</t>
  </si>
  <si>
    <t>Immunoglobulin, Human, Normal; 1g; Infusion (parenteral); 1 Injection</t>
  </si>
  <si>
    <t>Polygam 1 g</t>
  </si>
  <si>
    <t>51201801-00010</t>
  </si>
  <si>
    <t>e78117ed-cd9a-474f-8394-2282564ee254</t>
  </si>
  <si>
    <t>180082906</t>
  </si>
  <si>
    <t>Immunoglobulin, Human, Normal; 3g; Infusion (parenteral); 1 Injection</t>
  </si>
  <si>
    <t>Polygam 3 g</t>
  </si>
  <si>
    <t>51201801-00011</t>
  </si>
  <si>
    <t>50df2345-7d4b-4828-8cf1-dd832b30663c</t>
  </si>
  <si>
    <t>189712717</t>
  </si>
  <si>
    <t>Immunoglobulin, Human, Normal; 6g; Infusion (parenteral); 1 Injection</t>
  </si>
  <si>
    <t>Polygam 6 g</t>
  </si>
  <si>
    <t>51201801-00012</t>
  </si>
  <si>
    <t>0ebcb4c2-f21a-4feb-8a51-6828c028f889</t>
  </si>
  <si>
    <t>189706843</t>
  </si>
  <si>
    <t>Immunoglobulin, Rabies; 150IU/ml; injection; 2 ml</t>
  </si>
  <si>
    <t>Immunoglobulin, Rabies</t>
  </si>
  <si>
    <t>Rabigam IM</t>
  </si>
  <si>
    <t>J06BB05</t>
  </si>
  <si>
    <t>51201801-00014</t>
  </si>
  <si>
    <t>4bdf3e92-c251-4d66-aa86-c314455ab77a</t>
  </si>
  <si>
    <t>171</t>
  </si>
  <si>
    <t>189714494</t>
  </si>
  <si>
    <t>Indometacin; 25mg; Capsule; 100 Capsules</t>
  </si>
  <si>
    <t>Indometacin</t>
  </si>
  <si>
    <t>Acuflex 25mg capsules</t>
  </si>
  <si>
    <t>M01AB01</t>
  </si>
  <si>
    <t>51142107-00000</t>
  </si>
  <si>
    <t>b2718b3e-8b5d-4055-b984-8f4c56bcfef1</t>
  </si>
  <si>
    <t>222000179</t>
  </si>
  <si>
    <t>Insulin, Analogue, Human, Long Acting; 100IU/ml; pen, prefilled; 3 ml</t>
  </si>
  <si>
    <t>pen, prefilled</t>
  </si>
  <si>
    <t>Insulin, Analogue, Human, Long Acting</t>
  </si>
  <si>
    <t>OPTISULIN SOLOSTAR 3ML  5</t>
  </si>
  <si>
    <t>not approved price indicator</t>
  </si>
  <si>
    <t>A10AE01</t>
  </si>
  <si>
    <t>51183614-00009</t>
  </si>
  <si>
    <t>32715bb6-3fd9-4f94-9ca8-e20612867086</t>
  </si>
  <si>
    <t>222000180</t>
  </si>
  <si>
    <t>Insulin, Analogue, Human, Ultrafast-Acting; 100IU/ml; cartridge; 3 ml</t>
  </si>
  <si>
    <t>cartridge</t>
  </si>
  <si>
    <t>Insulin, Analogue, Human, Ultrafast-Acting</t>
  </si>
  <si>
    <t>APIDRA 300IU CART 5</t>
  </si>
  <si>
    <t>A10AB01</t>
  </si>
  <si>
    <t>51183614-00011</t>
  </si>
  <si>
    <t>777b5cda-e354-40cb-820b-a4e06fa6e049</t>
  </si>
  <si>
    <t>222000182</t>
  </si>
  <si>
    <t>Insulin, Analogue, Human, Ultrafast-Acting; 100IU/ml; injection; 10 ml</t>
  </si>
  <si>
    <t>APIDRA VIALS 10ML 1</t>
  </si>
  <si>
    <t>51183614-00013</t>
  </si>
  <si>
    <t>2d5e6bb2-47e2-404a-9821-e68382257bc4</t>
  </si>
  <si>
    <t>222000181</t>
  </si>
  <si>
    <t>Insulin, Analogue, Human, Ultrafast-Acting; 100IU/ml; pen, prefilled; 3 ml</t>
  </si>
  <si>
    <t>APIDRA SOLOSTAR 100IU/ML 3 ML 5</t>
  </si>
  <si>
    <t>51183614-00012</t>
  </si>
  <si>
    <t>6574f5f8-6242-4bba-8c46-6ccab291daa1</t>
  </si>
  <si>
    <t>189710587</t>
  </si>
  <si>
    <t>Insulin, Biosynthetic,  Human, Isophane; 100IU/ml; injection; 10 ml</t>
  </si>
  <si>
    <t>Insulin, Biosynthetic,  Human, Isophane</t>
  </si>
  <si>
    <t>PROTAPHANE HM</t>
  </si>
  <si>
    <t>A10AD01</t>
  </si>
  <si>
    <t>51183614-00006</t>
  </si>
  <si>
    <t>6cfeae5a-7a8e-49fc-9173-8d5121415928</t>
  </si>
  <si>
    <t>180309126</t>
  </si>
  <si>
    <t>Insulin, Biosynthetic,  Human, Isophane; 100IU/ml; pen, prefilled; 3 ml</t>
  </si>
  <si>
    <t>A10AC01</t>
  </si>
  <si>
    <t>51183614-00005</t>
  </si>
  <si>
    <t>7285eb8b-5cb3-4713-bdca-ccfe25400f42</t>
  </si>
  <si>
    <t>189711634</t>
  </si>
  <si>
    <t>Insulin, Biosynthetic, Human, Biphasic 30/70; 100IU/ml; injection; 10 ml</t>
  </si>
  <si>
    <t>Insulin, Biosynthetic, Human, Biphasic 30/70</t>
  </si>
  <si>
    <t>ACTRAPHANE HM</t>
  </si>
  <si>
    <t>51183614-00015</t>
  </si>
  <si>
    <t>62507336-bd78-4853-be72-7e51de4f4bfb</t>
  </si>
  <si>
    <t>180309129</t>
  </si>
  <si>
    <t>Insulin, Biosynthetic, Human, Biphasic 30/70; 100IU/ml; pen, prefilled; 3 ml</t>
  </si>
  <si>
    <t>51183614-00014</t>
  </si>
  <si>
    <t>b9e2534b-b8dd-44a4-9e1e-d3769c2fdd84</t>
  </si>
  <si>
    <t>189710585</t>
  </si>
  <si>
    <t>Insulin, Biosynthetic, Human, Soluble; 100IU/ml; injection; 10 ml</t>
  </si>
  <si>
    <t>Insulin, Biosynthetic, Human, Soluble</t>
  </si>
  <si>
    <t>ACTRAPID HM</t>
  </si>
  <si>
    <t>51183614-00003</t>
  </si>
  <si>
    <t>7693c2b8-f582-4202-9b11-5ae632d9ae26</t>
  </si>
  <si>
    <t>180309128</t>
  </si>
  <si>
    <t>Insulin, Biosynthetic, Human, Soluble; 100IU/ml; pen, prefilled; 3 ml</t>
  </si>
  <si>
    <t>51183614-00000</t>
  </si>
  <si>
    <t>1abe15b8-33e5-4068-aa9f-d335845549c0</t>
  </si>
  <si>
    <t>181810858</t>
  </si>
  <si>
    <t>Interferon Beta-1a; 6MIU; injection; 1 Injection</t>
  </si>
  <si>
    <t>Interferon Beta-1a</t>
  </si>
  <si>
    <t>Rebif 44</t>
  </si>
  <si>
    <t>Merck (pty) Ltd</t>
  </si>
  <si>
    <t>V3018</t>
  </si>
  <si>
    <t>L03AB07</t>
  </si>
  <si>
    <t>51342709-00000</t>
  </si>
  <si>
    <t>MAAA0022370</t>
  </si>
  <si>
    <t>5a61be5c-3159-4a98-81cf-168a11a0dd67</t>
  </si>
  <si>
    <t>222001070</t>
  </si>
  <si>
    <t>Interferon Beta-1b; 8MIU; injection; 1 Injection</t>
  </si>
  <si>
    <t>Interferon Beta-1b</t>
  </si>
  <si>
    <t>Betaferon</t>
  </si>
  <si>
    <t>L03AB08</t>
  </si>
  <si>
    <t>51342710-00000</t>
  </si>
  <si>
    <t>d3c1bb6e-83ed-4322-9a48-2f992cbe391f</t>
  </si>
  <si>
    <t>189711690</t>
  </si>
  <si>
    <t>Iohexol; 300mg/ml; injection; 100 ml</t>
  </si>
  <si>
    <t>Iohexol</t>
  </si>
  <si>
    <t>Omnipaque300MGI/ML 100ML</t>
  </si>
  <si>
    <t>GE Healthcare Pty Ltd</t>
  </si>
  <si>
    <t>VZR39</t>
  </si>
  <si>
    <t>V08AB02</t>
  </si>
  <si>
    <t>10 vials</t>
  </si>
  <si>
    <t>51442421-00000</t>
  </si>
  <si>
    <t>MAAA0005475</t>
  </si>
  <si>
    <t>7b71b2dd-8151-4e2c-a563-21e0ec6b4830</t>
  </si>
  <si>
    <t>189712720</t>
  </si>
  <si>
    <t>Iohexol; 300mg/ml; injection; 20 ml</t>
  </si>
  <si>
    <t>Omnipaque 300MGI/ML 20ML</t>
  </si>
  <si>
    <t>51442421-00002</t>
  </si>
  <si>
    <t>189715375</t>
  </si>
  <si>
    <t>Iohexol; 300mg/ml; injection; 50 ml</t>
  </si>
  <si>
    <t>Omnipaque 300MGI/ML 50ML</t>
  </si>
  <si>
    <t>51442421-00001</t>
  </si>
  <si>
    <t>189711691</t>
  </si>
  <si>
    <t>Iohexol; 350mg/ml; injection; 100 ml</t>
  </si>
  <si>
    <t>Omnipaque 350MGI/ML 100ML</t>
  </si>
  <si>
    <t>51442421-00006</t>
  </si>
  <si>
    <t>fc9f035a-4fed-4bac-af71-9753f324f238</t>
  </si>
  <si>
    <t>189709118</t>
  </si>
  <si>
    <t>Iohexol; 350mg/ml; injection; 50 ml</t>
  </si>
  <si>
    <t>Omnipaque 350MGI/ML 50ML</t>
  </si>
  <si>
    <t>51442421-00005</t>
  </si>
  <si>
    <t>222000033</t>
  </si>
  <si>
    <t>Iomeprol; 400mg/ml; injection; 100 ml</t>
  </si>
  <si>
    <t>Iomeprol</t>
  </si>
  <si>
    <t>Imeron 400 100ML</t>
  </si>
  <si>
    <t>V08AB10</t>
  </si>
  <si>
    <t>51442422-00000</t>
  </si>
  <si>
    <t>896a530c-fb5f-46fe-8f9f-bef96b666d4a</t>
  </si>
  <si>
    <t>222000031</t>
  </si>
  <si>
    <t>Iopamidol; 370mg/ml; injection; 100 ml</t>
  </si>
  <si>
    <t>Iopamidol</t>
  </si>
  <si>
    <t>JOPAMIRON 370 (100ML)</t>
  </si>
  <si>
    <t>V08AB04</t>
  </si>
  <si>
    <t>51442423-00004</t>
  </si>
  <si>
    <t>7e44d447-0287-4a70-8b40-6fec7bb04642</t>
  </si>
  <si>
    <t>222000030</t>
  </si>
  <si>
    <t>Iopamidol; 370mg/ml; injection; 50 ml</t>
  </si>
  <si>
    <t>JOPAMIRON 370 (50ML)</t>
  </si>
  <si>
    <t>51442423-00003</t>
  </si>
  <si>
    <t>222000028</t>
  </si>
  <si>
    <t>Iopromide; 300mg/ml; injection; 50 ml</t>
  </si>
  <si>
    <t>Iopromide</t>
  </si>
  <si>
    <t>Ultravist 300 50ml</t>
  </si>
  <si>
    <t>V08AB05</t>
  </si>
  <si>
    <t>51442427-00000</t>
  </si>
  <si>
    <t>764d2fd8-f716-404f-98e6-d32e9f529c81</t>
  </si>
  <si>
    <t>222000032</t>
  </si>
  <si>
    <t>Iopromide; 370mg/ml; injection; 100 ml</t>
  </si>
  <si>
    <t>Ultravist 370 100ml</t>
  </si>
  <si>
    <t>51442427-00002</t>
  </si>
  <si>
    <t>43945e2d-6c47-4811-a91b-cc8dbc10ed5b</t>
  </si>
  <si>
    <t>222001019</t>
  </si>
  <si>
    <t>Ipratropium Bromide; 20mcg; Inhaler; 200 Doses</t>
  </si>
  <si>
    <t>Ipratropium Bromide</t>
  </si>
  <si>
    <t>Atrovent HFA</t>
  </si>
  <si>
    <t>R03BB01</t>
  </si>
  <si>
    <t>51161705-00010</t>
  </si>
  <si>
    <t>391f39df-20d4-4613-99f2-8367a32aa828</t>
  </si>
  <si>
    <t>180114760</t>
  </si>
  <si>
    <t>Ipratropium Bromide; 250mcg/2ml; solution, inhalation; 60 UDVs (2ml)</t>
  </si>
  <si>
    <t>Adco Ipatropium 0,25mg/2ml</t>
  </si>
  <si>
    <t>51161705-00001</t>
  </si>
  <si>
    <t>6afb74ca-dd92-4149-a4f7-43f65529b787</t>
  </si>
  <si>
    <t>180008212</t>
  </si>
  <si>
    <t>Ipratropium Bromide; 500mcg/2ml; solution, inhalation; 60 UDVs (2ml)</t>
  </si>
  <si>
    <t>Adco Ipatropium 0,5mg/2 ml</t>
  </si>
  <si>
    <t>51161705-00002</t>
  </si>
  <si>
    <t>fa597a0e-e950-4413-ac94-dab27abdf283</t>
  </si>
  <si>
    <t>180281234</t>
  </si>
  <si>
    <t>Irinotecan; 100mg/5ml; injection; 5 ml</t>
  </si>
  <si>
    <t>Irinotecan</t>
  </si>
  <si>
    <t>Irinotecan 100 Oethmaan</t>
  </si>
  <si>
    <t>L01XX19</t>
  </si>
  <si>
    <t>51111642-00001</t>
  </si>
  <si>
    <t>737cd635-dc1b-4d72-91a3-7df9d7228c49</t>
  </si>
  <si>
    <t>180347574</t>
  </si>
  <si>
    <t>Irinotecan; 40mg/2ml; injection; 2 ml</t>
  </si>
  <si>
    <t>Irinotecan 40 Oethmaan</t>
  </si>
  <si>
    <t>51111642-00000</t>
  </si>
  <si>
    <t>1274e368-52a1-43c7-8775-66cd31dfcabe</t>
  </si>
  <si>
    <t>181891028</t>
  </si>
  <si>
    <t>Iron (III) Hydroxide Dextran Complex; 100mg/2ml; injection; 2 ml</t>
  </si>
  <si>
    <t>Iron (III) Hydroxide Dextran Complex</t>
  </si>
  <si>
    <t>COSMOFER</t>
  </si>
  <si>
    <t>B03AC</t>
  </si>
  <si>
    <t>1 x 5</t>
  </si>
  <si>
    <t>51131911-00001</t>
  </si>
  <si>
    <t>ad3cb6aa-263a-4a1e-b7e7-bef2bdd43611</t>
  </si>
  <si>
    <t>181871852</t>
  </si>
  <si>
    <t>Iron (III) Hydroxide Dextran Complex; 500mg/10ml; injection; 10 ml</t>
  </si>
  <si>
    <t>1 x 2</t>
  </si>
  <si>
    <t>51131911-00002</t>
  </si>
  <si>
    <t>1e1a558b-26c4-4f99-80c8-90cedb249034</t>
  </si>
  <si>
    <t>180185678</t>
  </si>
  <si>
    <t>Iron Sucrose Co; 100mg/5ml; injection; 5 ml</t>
  </si>
  <si>
    <t>Iron Sucrose Co</t>
  </si>
  <si>
    <t>RAUTEVENE INJ</t>
  </si>
  <si>
    <t>51191919-00000</t>
  </si>
  <si>
    <t>fb1f40f7-d306-48b0-a1d9-c57b973936ed</t>
  </si>
  <si>
    <t>180199767</t>
  </si>
  <si>
    <t>Isoflurane; Liquid; 250 ml</t>
  </si>
  <si>
    <t>Isoflurane</t>
  </si>
  <si>
    <t>ISOFLURANE U.S.P.,250ml</t>
  </si>
  <si>
    <t>N01AB06</t>
  </si>
  <si>
    <t>51272406-00001</t>
  </si>
  <si>
    <t>4e9e2d5f-3a92-40c8-b0fa-33a7589d9908</t>
  </si>
  <si>
    <t>181879044</t>
  </si>
  <si>
    <t>Isoniazid; 100mg; Tablet; 28 Tablets</t>
  </si>
  <si>
    <t>Isoniazid</t>
  </si>
  <si>
    <t>Lennon Isoniazid 100mg 28's</t>
  </si>
  <si>
    <t>J04AC01</t>
  </si>
  <si>
    <t>51281502-00000</t>
  </si>
  <si>
    <t>bdf6936e-ffd3-4998-a0a4-a21e90810be3</t>
  </si>
  <si>
    <t>Solonex 100</t>
  </si>
  <si>
    <t>181879045</t>
  </si>
  <si>
    <t>Isoniazid; 300mg; Tablet; 28 Tablets</t>
  </si>
  <si>
    <t>WINTHROP-ISONIAZID 300MG TAB 28</t>
  </si>
  <si>
    <t>51281502-00001</t>
  </si>
  <si>
    <t>acb30324-451a-4f72-9c1b-1545dd01f185</t>
  </si>
  <si>
    <t>ISONIAZID MYLAN 300</t>
  </si>
  <si>
    <t>Solonex 300</t>
  </si>
  <si>
    <t>172</t>
  </si>
  <si>
    <t>180146434</t>
  </si>
  <si>
    <t>Isosorbide Dinitrate; 10mg; Tablet; 84 Tablets</t>
  </si>
  <si>
    <t>Isosorbide Dinitrate</t>
  </si>
  <si>
    <t>Isosorbide Dinitrate 10 KIARA (Formerly Sandoz Isosorbide Dinitrate 10mg)</t>
  </si>
  <si>
    <t>C01DA08</t>
  </si>
  <si>
    <t>51191554-00000</t>
  </si>
  <si>
    <t>c799df9d-383b-462c-a947-e225bcf5298a</t>
  </si>
  <si>
    <t>173</t>
  </si>
  <si>
    <t>189710453</t>
  </si>
  <si>
    <t>Isosorbide Dinitrate; 5mg; Tablet; 50 Tablets</t>
  </si>
  <si>
    <t>Isosorbide Dinitrate 5 KIARA (Formerly Sandoz Isosorbide Dinitrate 5mg)</t>
  </si>
  <si>
    <t>51191554-00001</t>
  </si>
  <si>
    <t>eb95916c-ddfe-4ec3-a9e0-8f6dc533738f</t>
  </si>
  <si>
    <t>175</t>
  </si>
  <si>
    <t>189712676</t>
  </si>
  <si>
    <t>Isotretinoin; 10mg; Capsule; 60 Capsules</t>
  </si>
  <si>
    <t>Isotretinoin</t>
  </si>
  <si>
    <t>Oratane 10mg</t>
  </si>
  <si>
    <t>D10BA01</t>
  </si>
  <si>
    <t>51241232-00000</t>
  </si>
  <si>
    <t>a0771985-864e-4abc-8ca0-c5c93c8a11dc</t>
  </si>
  <si>
    <t>176</t>
  </si>
  <si>
    <t>189712688</t>
  </si>
  <si>
    <t>Isotretinoin; 20mg; Capsule; 60 Capsules</t>
  </si>
  <si>
    <t>Oratane 20mg</t>
  </si>
  <si>
    <t>51241232-00001</t>
  </si>
  <si>
    <t>40038fc9-2c64-4940-a2c5-6898cd27935a</t>
  </si>
  <si>
    <t>189753751</t>
  </si>
  <si>
    <t>IUD, Copper; Implant; 1 Device</t>
  </si>
  <si>
    <t>IUD, Copper</t>
  </si>
  <si>
    <t>Nova T 380</t>
  </si>
  <si>
    <t>G02BA02</t>
  </si>
  <si>
    <t>42143102-00000</t>
  </si>
  <si>
    <t>7c392a5e-26c5-4a52-8350-c297a5970bd9</t>
  </si>
  <si>
    <t>180359299</t>
  </si>
  <si>
    <t>IUD, Levonorgestrel; 52mg; Implant; 1 Device</t>
  </si>
  <si>
    <t>IUD, Levonorgestrel</t>
  </si>
  <si>
    <t>Mirena</t>
  </si>
  <si>
    <t>G02BA03</t>
  </si>
  <si>
    <t>42143102-00001</t>
  </si>
  <si>
    <t>fad03f3d-b3f7-4316-a308-42c28a38d461</t>
  </si>
  <si>
    <t>189706747</t>
  </si>
  <si>
    <t>Ketamine; 1000mg/10ml; injection; 10 ml</t>
  </si>
  <si>
    <t>Ketamine</t>
  </si>
  <si>
    <t>KETAMINE FRESENIUS 100 mg/1 ml</t>
  </si>
  <si>
    <t>N01AX03</t>
  </si>
  <si>
    <t>51272204-00003</t>
  </si>
  <si>
    <t>42dab69b-22a5-4483-9925-ba0af6b3bb76</t>
  </si>
  <si>
    <t>189710933</t>
  </si>
  <si>
    <t>Ketamine; 200mg/20ml; injection; 20 ml</t>
  </si>
  <si>
    <t>KETAMINE FRESENIUS 10 mg/1 ml</t>
  </si>
  <si>
    <t>51272204-00001</t>
  </si>
  <si>
    <t>7865bf45-a3bd-42fa-8c83-0343e3d0765c</t>
  </si>
  <si>
    <t>83</t>
  </si>
  <si>
    <t>189710574</t>
  </si>
  <si>
    <t>Ketamine; 500mg/10ml; injection; 10 ml</t>
  </si>
  <si>
    <t>KETAMINE FRESENIUS 50 mg/1 ml</t>
  </si>
  <si>
    <t>51272204-00002</t>
  </si>
  <si>
    <t>0171f171-0701-4613-9b21-ffc2e46d41c7</t>
  </si>
  <si>
    <t>189710228</t>
  </si>
  <si>
    <t>Ketoconazole; 200mg; Tablet; 30 Tablets</t>
  </si>
  <si>
    <t>Ketoconazole</t>
  </si>
  <si>
    <t>Ketazol Tabs 200mg Tabs 30's</t>
  </si>
  <si>
    <t>J02AB02</t>
  </si>
  <si>
    <t>51302318-00000</t>
  </si>
  <si>
    <t>2282b51e-f917-403b-8660-015c1916e7bd</t>
  </si>
  <si>
    <t>180306324</t>
  </si>
  <si>
    <t>Ketorolac; 5mg/ml; Drop, Eye; 5 ml</t>
  </si>
  <si>
    <t>Ketorolac</t>
  </si>
  <si>
    <t xml:space="preserve">Kelopt </t>
  </si>
  <si>
    <t>S01BC05</t>
  </si>
  <si>
    <t>51383504-00000</t>
  </si>
  <si>
    <t>7e099999-fd62-4e26-a5a5-7e629ff3c98b</t>
  </si>
  <si>
    <t>189707998</t>
  </si>
  <si>
    <t>Lactulose; 3.35g/5ml; Syrup; 150 ml</t>
  </si>
  <si>
    <t>Lactulose</t>
  </si>
  <si>
    <t>LACSON SYRUP 150ML</t>
  </si>
  <si>
    <t>A06AD11</t>
  </si>
  <si>
    <t>51171605-00000</t>
  </si>
  <si>
    <t>dee2474e-36b4-4075-8334-72513a1ab3da</t>
  </si>
  <si>
    <t>189711239</t>
  </si>
  <si>
    <t>Lactulose; 3.35g/5ml; Syrup; 500 ml</t>
  </si>
  <si>
    <t xml:space="preserve">LACSON SYRUP 500ML </t>
  </si>
  <si>
    <t>51171605-00001</t>
  </si>
  <si>
    <t>177</t>
  </si>
  <si>
    <t>222001417</t>
  </si>
  <si>
    <t>Lamotrigine; 100mg; Tablet; 56 Tablets</t>
  </si>
  <si>
    <t>Lamotrigine</t>
  </si>
  <si>
    <t>LAMOROLA 100</t>
  </si>
  <si>
    <t>Strides Pharma SA (Pty) Ltd</t>
  </si>
  <si>
    <t>VSSS4</t>
  </si>
  <si>
    <t>N03AX09</t>
  </si>
  <si>
    <t>51141504-00000</t>
  </si>
  <si>
    <t>MAAA1236261</t>
  </si>
  <si>
    <t>dbea9ba1-a47f-4176-bc51-840b3b9bfb52</t>
  </si>
  <si>
    <t>178</t>
  </si>
  <si>
    <t>222001418</t>
  </si>
  <si>
    <t>Lamotrigine; 200mg; Tablet; 56 Tablets</t>
  </si>
  <si>
    <t>LAMOROLA 200</t>
  </si>
  <si>
    <t>51141504-00001</t>
  </si>
  <si>
    <t>d0f90f29-5116-41ca-b2f1-e07d33a53ec9</t>
  </si>
  <si>
    <t>179</t>
  </si>
  <si>
    <t>222001419</t>
  </si>
  <si>
    <t>Lamotrigine; 25mg; Tablet; 56 Tablets</t>
  </si>
  <si>
    <t>LAMOROLA 25</t>
  </si>
  <si>
    <t>51141504-00002</t>
  </si>
  <si>
    <t>5b62794d-6a4f-4232-9f2a-7484d763a82a</t>
  </si>
  <si>
    <t>180</t>
  </si>
  <si>
    <t>222001420</t>
  </si>
  <si>
    <t>Lamotrigine; 50mg; Tablet; 56 Tablets</t>
  </si>
  <si>
    <t>LAMOROLA 50</t>
  </si>
  <si>
    <t>51141504-00003</t>
  </si>
  <si>
    <t>61eab2c1-6292-46b4-a7ff-5d0d160d1c5c</t>
  </si>
  <si>
    <t>189711449</t>
  </si>
  <si>
    <t>Lanolin; 3%; ointment, eye; 3.5 g</t>
  </si>
  <si>
    <t>Lanolin</t>
  </si>
  <si>
    <t>Duratears Preservative Free 3.5g</t>
  </si>
  <si>
    <t>51241920-00000</t>
  </si>
  <si>
    <t>1564c062-e277-48b4-8def-090b7f6fd76b</t>
  </si>
  <si>
    <t>185</t>
  </si>
  <si>
    <t>181781164</t>
  </si>
  <si>
    <t>Leflunomide; 10mg; Tablet; 30 Tablets</t>
  </si>
  <si>
    <t>Leflunomide</t>
  </si>
  <si>
    <t>Rheumalef 10MG Tablets 30's</t>
  </si>
  <si>
    <t>L04AA13</t>
  </si>
  <si>
    <t>51202501-00001</t>
  </si>
  <si>
    <t>da4a6baa-e1f8-4b8c-b165-ebd44af70a2a</t>
  </si>
  <si>
    <t>186</t>
  </si>
  <si>
    <t>181753191</t>
  </si>
  <si>
    <t>Leflunomide; 20mg; Tablet; 30 Tablets</t>
  </si>
  <si>
    <t>Rheumalef 20MG Tablets 30's</t>
  </si>
  <si>
    <t>51202501-00000</t>
  </si>
  <si>
    <t>3cc5574c-6089-4eb6-a00b-a68d7736e5d8</t>
  </si>
  <si>
    <t>222001260</t>
  </si>
  <si>
    <t>Letrozole; 2.5mg; Tablet; 28 Tablets</t>
  </si>
  <si>
    <t>Letrozole</t>
  </si>
  <si>
    <t xml:space="preserve">Letrozole 2.5 mg Hetero </t>
  </si>
  <si>
    <t>L02BG04</t>
  </si>
  <si>
    <t>51111820-00000</t>
  </si>
  <si>
    <t>27c3f26e-75ee-449c-8524-b9ee05180833</t>
  </si>
  <si>
    <t>187</t>
  </si>
  <si>
    <t>181934912</t>
  </si>
  <si>
    <t>Levetiracetam; 250mg; Tablet; 30 Tablets</t>
  </si>
  <si>
    <t>Levetiracetam</t>
  </si>
  <si>
    <t>Redilev 250</t>
  </si>
  <si>
    <t>Dr Reddy's Laboratories (pty) Ltd</t>
  </si>
  <si>
    <t>V1A08</t>
  </si>
  <si>
    <t>N03AX14</t>
  </si>
  <si>
    <t>51141518-00001</t>
  </si>
  <si>
    <t>MAAA0007549</t>
  </si>
  <si>
    <t>b17eab5c-07c6-45b4-8a86-8b3427f47e09</t>
  </si>
  <si>
    <t>188</t>
  </si>
  <si>
    <t>222001100</t>
  </si>
  <si>
    <t>Levetiracetam; 500mg; Tablet; 30 Tablets</t>
  </si>
  <si>
    <t>Redilev 500</t>
  </si>
  <si>
    <t>51141518-00003</t>
  </si>
  <si>
    <t>0768769c-e8f0-426e-8507-24cbe659d923</t>
  </si>
  <si>
    <t>189</t>
  </si>
  <si>
    <t>181934915</t>
  </si>
  <si>
    <t>Levetiracetam; 750mg; Tablet; 30 Tablets</t>
  </si>
  <si>
    <t>Redilev 750</t>
  </si>
  <si>
    <t>51141518-00002</t>
  </si>
  <si>
    <t>f6602c9d-2388-4a78-96e4-1bec7c5b8dcb</t>
  </si>
  <si>
    <t>189710283</t>
  </si>
  <si>
    <t>Levodopa, Carbidopa; 100mg, 25mg; Tablet; 100 Tablets</t>
  </si>
  <si>
    <t>Levodopa, Carbidopa</t>
  </si>
  <si>
    <t>Lecardop 25/100</t>
  </si>
  <si>
    <t>N04BA02</t>
  </si>
  <si>
    <t>51143502-00000</t>
  </si>
  <si>
    <t>50622cd9-e08b-468f-89dc-224ab8760b9e</t>
  </si>
  <si>
    <t>189710383</t>
  </si>
  <si>
    <t>Levodopa, Carbidopa; 250mg, 25mg; Tablet; 100 Tablets</t>
  </si>
  <si>
    <t>LECARDOP 25/250</t>
  </si>
  <si>
    <t>51143502-00001</t>
  </si>
  <si>
    <t>d610af7f-a239-4398-bcc0-f859a603bc7e</t>
  </si>
  <si>
    <t>181914508</t>
  </si>
  <si>
    <t>Levofloxacin; 250mg; Tablet; 28 Tablets</t>
  </si>
  <si>
    <t>Levofloxacin</t>
  </si>
  <si>
    <t>Austell Levofloxacin 250mg 28's</t>
  </si>
  <si>
    <t>J01MA12</t>
  </si>
  <si>
    <t>51282926-00003</t>
  </si>
  <si>
    <t>be4aea61-9744-40fb-b30c-96b77fbb17f1</t>
  </si>
  <si>
    <t>181925747</t>
  </si>
  <si>
    <t>Levofloxacin; 500mg; Tablet; 28 Tablets</t>
  </si>
  <si>
    <t>Austell Levofloxacin 500mg</t>
  </si>
  <si>
    <t>51282926-00002</t>
  </si>
  <si>
    <t>57ca248b-0575-4660-bd7e-13d548bf2217</t>
  </si>
  <si>
    <t>189707391</t>
  </si>
  <si>
    <t>Levonorgestrel, Ethinylestradiol, Triphasic; Tablet; 28 Tablets</t>
  </si>
  <si>
    <t>Levonorgestrel, Ethinylestradiol, Triphasic</t>
  </si>
  <si>
    <t>Triphasil Tabs</t>
  </si>
  <si>
    <t>G03AB03</t>
  </si>
  <si>
    <t>51352006-00002</t>
  </si>
  <si>
    <t>0b94762d-396d-4dc2-9756-b1f0c7e6bc46</t>
  </si>
  <si>
    <t>189705223</t>
  </si>
  <si>
    <t>Levonorgestrel, Ethinylestradiol; 0.15mg, 0.03mg; Tablet (Monophasic); 28 Tablets</t>
  </si>
  <si>
    <t>Levonorgestrel, Ethinylestradiol</t>
  </si>
  <si>
    <t>Nordette</t>
  </si>
  <si>
    <t>G03AA07</t>
  </si>
  <si>
    <t>51352006-00005</t>
  </si>
  <si>
    <t>218bc4cb-5b31-4193-a546-297595bc4933</t>
  </si>
  <si>
    <t>189703093</t>
  </si>
  <si>
    <t>Levonorgestrel; 0.03mg; Tablet; 28 Tablets</t>
  </si>
  <si>
    <t>Levonorgestrel</t>
  </si>
  <si>
    <t>Microval</t>
  </si>
  <si>
    <t>G03AC03</t>
  </si>
  <si>
    <t>51352006-00003</t>
  </si>
  <si>
    <t>2a2f4bc0-5939-4004-afaf-36e8ae9bba32</t>
  </si>
  <si>
    <t>181901862</t>
  </si>
  <si>
    <t>Levonorgestrel; 1.5mg; Tablet; 1 Tablet</t>
  </si>
  <si>
    <t>ESCAPELLE</t>
  </si>
  <si>
    <t>51352006-00000</t>
  </si>
  <si>
    <t>0b8d90f4-72b6-41c8-944d-adcd188daaed</t>
  </si>
  <si>
    <t>180076312</t>
  </si>
  <si>
    <t>Lidocaine, Epinephrine (Adrenaline); 2%, 12.5mg; dental cartridge; 1.8 ml</t>
  </si>
  <si>
    <t>dental cartridge</t>
  </si>
  <si>
    <t>Lidocaine, Epinephrine (Adrenaline)</t>
  </si>
  <si>
    <t>Xylotox E80A</t>
  </si>
  <si>
    <t>N01BB52</t>
  </si>
  <si>
    <t>1 x 100 x 1.8ml</t>
  </si>
  <si>
    <t>51211808-00005</t>
  </si>
  <si>
    <t>cd8b9395-f713-4073-a120-a10f5a974244</t>
  </si>
  <si>
    <t>180076306</t>
  </si>
  <si>
    <t>Lidocaine; 1%; injection (not for iv use); 20 ml</t>
  </si>
  <si>
    <t>Lidocaine</t>
  </si>
  <si>
    <t>Lignocaine-HCI B. Braun 1% 20ml</t>
  </si>
  <si>
    <t>C01BB01</t>
  </si>
  <si>
    <t>51211808-00000</t>
  </si>
  <si>
    <t>7e9b995e-88db-42e2-9bd8-bdecbca56088</t>
  </si>
  <si>
    <t>180076360</t>
  </si>
  <si>
    <t>Lidocaine; 10%; injection; 5 ml</t>
  </si>
  <si>
    <t>LIGNOCAINE HCI FRESENIUS 10% (AMPOULES)</t>
  </si>
  <si>
    <t>51211808-00003</t>
  </si>
  <si>
    <t>890c12cf-6d1a-4be2-abed-b1dc0aa85bd2</t>
  </si>
  <si>
    <t>180076343</t>
  </si>
  <si>
    <t>Lidocaine; 2%; dental cartridge; 1.8 ml</t>
  </si>
  <si>
    <t>Xylotox 2% SE Plain</t>
  </si>
  <si>
    <t>N01BB02</t>
  </si>
  <si>
    <t>51211808-00004</t>
  </si>
  <si>
    <t>c4791376-d606-4e9e-a539-a3530eb5f9f3</t>
  </si>
  <si>
    <t>189703157</t>
  </si>
  <si>
    <t>Lidocaine; 2%; injection (not for iv use); 20 ml</t>
  </si>
  <si>
    <t>Lignocaine-HCL B.Braun 2% 20ml (Product Code: 3659089)</t>
  </si>
  <si>
    <t>51211808-00001</t>
  </si>
  <si>
    <t>b9953cbb-fd46-4de3-8162-51239ef8ac26</t>
  </si>
  <si>
    <t>180076308</t>
  </si>
  <si>
    <t>Lidocaine; 2%; injection (not for iv use); 5 ml</t>
  </si>
  <si>
    <t>Lignocaine-HCI B. Braun 2% 5ml</t>
  </si>
  <si>
    <t>51211808-00002</t>
  </si>
  <si>
    <t>181756711</t>
  </si>
  <si>
    <t>Linezolid; 100mg/5ml; Suspension; 150 ml</t>
  </si>
  <si>
    <t>Linezolid</t>
  </si>
  <si>
    <t>Zyvoxid 20 mg/ml</t>
  </si>
  <si>
    <t>J01XX08</t>
  </si>
  <si>
    <t>51283303-00001</t>
  </si>
  <si>
    <t>61b7c64e-bc94-4b25-826a-bd3ee0f7b016</t>
  </si>
  <si>
    <t>181749810</t>
  </si>
  <si>
    <t>Linezolid; 600mg/300ml; Infusion (parenteral); 300 ml</t>
  </si>
  <si>
    <t>Zyvoxid 600 mg/300 ml</t>
  </si>
  <si>
    <t>51283303-00000</t>
  </si>
  <si>
    <t>a282672c-bfe6-42c9-89f6-e0484867c8d8</t>
  </si>
  <si>
    <t>181756696</t>
  </si>
  <si>
    <t>Linezolid; 600mg; Tablet; 10 Tablets</t>
  </si>
  <si>
    <t>ELTURIN 600</t>
  </si>
  <si>
    <t>51283303-00002</t>
  </si>
  <si>
    <t>ba6919d7-9cce-4a15-8a3d-364fa8f6ac15</t>
  </si>
  <si>
    <t>189714770</t>
  </si>
  <si>
    <t>Liquid Paraffin;  BP; Liquid; 200 ml</t>
  </si>
  <si>
    <t>Liquid Paraffin</t>
  </si>
  <si>
    <t>Barrs Liquid Paraffin BP</t>
  </si>
  <si>
    <t>A06AA01</t>
  </si>
  <si>
    <t>51173232-00001</t>
  </si>
  <si>
    <t>e927d111-83fe-43f3-b3c8-650f7827e875</t>
  </si>
  <si>
    <t>199</t>
  </si>
  <si>
    <t>189710479</t>
  </si>
  <si>
    <t>Loperamide; 2mg; Tablet; 6 Tablets</t>
  </si>
  <si>
    <t>Loperamide</t>
  </si>
  <si>
    <t>ADCO-Loperamide 2MG Tablets 6's</t>
  </si>
  <si>
    <t>A07DA03</t>
  </si>
  <si>
    <t>51171702-00000</t>
  </si>
  <si>
    <t>a36197fb-64c2-4769-8bcb-f1b7887f6e93</t>
  </si>
  <si>
    <t>Cipla Loperamide</t>
  </si>
  <si>
    <t>200</t>
  </si>
  <si>
    <t>189710157</t>
  </si>
  <si>
    <t>Lorazepam; 1mg; Tablet; 100 Tablets</t>
  </si>
  <si>
    <t>Lorazepam</t>
  </si>
  <si>
    <t>TRANQIPAM 1MG TAB 100 ZA</t>
  </si>
  <si>
    <t>N05BA06</t>
  </si>
  <si>
    <t>51401533-00002</t>
  </si>
  <si>
    <t>6d4b2ac7-a9e9-4ec8-81ea-e489faf0705b</t>
  </si>
  <si>
    <t>201</t>
  </si>
  <si>
    <t>189714603</t>
  </si>
  <si>
    <t>Lorazepam; 2.5mg; Tablet; 100 Tablets</t>
  </si>
  <si>
    <t>TRANQIPAM 2.5MG TAB 100 ZA</t>
  </si>
  <si>
    <t>51401533-00001</t>
  </si>
  <si>
    <t>8ac0f50e-db86-427f-bbe3-e79f7ce34ac4</t>
  </si>
  <si>
    <t>202</t>
  </si>
  <si>
    <t>181936085</t>
  </si>
  <si>
    <t>Losartan; 100mg; Tablet; 28 Tablets</t>
  </si>
  <si>
    <t>Losartan</t>
  </si>
  <si>
    <t>Austell Losartan 100 mg 28's</t>
  </si>
  <si>
    <t>C09CA01</t>
  </si>
  <si>
    <t>51432305-00001</t>
  </si>
  <si>
    <t>5058dc78-5634-41bf-ad6a-0f3e7241c2c0</t>
  </si>
  <si>
    <t>203</t>
  </si>
  <si>
    <t>181936086</t>
  </si>
  <si>
    <t>Losartan; 50mg; Tablet; 28 Tablets</t>
  </si>
  <si>
    <t>Austell Losartan 50 mg 28's</t>
  </si>
  <si>
    <t>51432305-00000</t>
  </si>
  <si>
    <t>60ddfcfb-f346-4997-9731-5c805fd5c49d</t>
  </si>
  <si>
    <t>180162159</t>
  </si>
  <si>
    <t>Lubricant And Cleaner; Solution; 5 L</t>
  </si>
  <si>
    <t>Lubricant And Cleaner</t>
  </si>
  <si>
    <t>SaniGlide</t>
  </si>
  <si>
    <t>42281706-00000</t>
  </si>
  <si>
    <t>7a6339cb-c899-415e-a0b3-6b580bb5072c</t>
  </si>
  <si>
    <t>180086460</t>
  </si>
  <si>
    <t>Lubricant, Jelly; Gel; 1 sachet (2.5g)</t>
  </si>
  <si>
    <t>sachet (2.5g) (sachets (2.5g))</t>
  </si>
  <si>
    <t>Lubricant, Jelly</t>
  </si>
  <si>
    <t>LUBRI-A -&gt; LU-02</t>
  </si>
  <si>
    <t>Electro Spyres Medical (Pty) Ltd</t>
  </si>
  <si>
    <t>V6362</t>
  </si>
  <si>
    <t>2000 Sachets</t>
  </si>
  <si>
    <t>51241912-00000</t>
  </si>
  <si>
    <t>MAAA0003023</t>
  </si>
  <si>
    <t>495875ed-9119-4d2d-a9fd-a7f8247e06f1</t>
  </si>
  <si>
    <t>189700662</t>
  </si>
  <si>
    <t>Lubricant, Jelly; Gel; 50 g</t>
  </si>
  <si>
    <t>Clinica Lubricating Jelly 50g</t>
  </si>
  <si>
    <t>51241912-00001</t>
  </si>
  <si>
    <t>180351552</t>
  </si>
  <si>
    <t>Lyophilised Plasma; Infusion (parenteral); 200 ml</t>
  </si>
  <si>
    <t>Lyophilised Plasma</t>
  </si>
  <si>
    <t>Bioplasma FDP 200 ml</t>
  </si>
  <si>
    <t>B05AX03</t>
  </si>
  <si>
    <t>51131904-00001</t>
  </si>
  <si>
    <t>15c0eac3-9e53-4e06-b8ca-82e5b927f721</t>
  </si>
  <si>
    <t>181746097</t>
  </si>
  <si>
    <t>Lyophilised Plasma; Infusion (parenteral); 50 ml</t>
  </si>
  <si>
    <t>Bioplasma FDP 50 ml</t>
  </si>
  <si>
    <t>51131904-00000</t>
  </si>
  <si>
    <t>189712093</t>
  </si>
  <si>
    <t>Magnesium Sulfate;  BP; Powder; 500 g</t>
  </si>
  <si>
    <t>Magnesium Sulfate</t>
  </si>
  <si>
    <t xml:space="preserve">Magnesium Sulphate </t>
  </si>
  <si>
    <t>A12CC02</t>
  </si>
  <si>
    <t>51141566-00001</t>
  </si>
  <si>
    <t>ddccd31a-a2e6-4077-ac9d-9ab9f8a20ee2</t>
  </si>
  <si>
    <t>189710942</t>
  </si>
  <si>
    <t>Magnesium Sulfate; 50%; injection; 2 ml</t>
  </si>
  <si>
    <t>ADCO MAGNESIUM SULPHATE 50% 2ML AMP</t>
  </si>
  <si>
    <t>51141566-00000</t>
  </si>
  <si>
    <t>97cdf7c1-1bf4-44b9-93a9-418a065e5961</t>
  </si>
  <si>
    <t>189704505</t>
  </si>
  <si>
    <t>Mannitol; 25%; injection; 50 ml</t>
  </si>
  <si>
    <t>Mannitol</t>
  </si>
  <si>
    <t>MANNITOL FRESENIUS 25 % INJECTION</t>
  </si>
  <si>
    <t>B05BC01</t>
  </si>
  <si>
    <t>51191509-00100</t>
  </si>
  <si>
    <t>6b3911d1-14b3-462b-b294-52d565761f31</t>
  </si>
  <si>
    <t>189761561</t>
  </si>
  <si>
    <t>Mannitol; 5%; Infusion (parenteral); 3 L</t>
  </si>
  <si>
    <t>Sabax Osmitrol (Mannitol) 5%</t>
  </si>
  <si>
    <t>51191509-00001</t>
  </si>
  <si>
    <t>14c5cd58-ba14-4a9f-bca8-b5f2e748189e</t>
  </si>
  <si>
    <t>102</t>
  </si>
  <si>
    <t>189708035</t>
  </si>
  <si>
    <t>Mebendazole; 100mg/5ml; Suspension; 30 ml</t>
  </si>
  <si>
    <t>Mebendazole</t>
  </si>
  <si>
    <t>Wormstop Suspension</t>
  </si>
  <si>
    <t>P02CA01</t>
  </si>
  <si>
    <t>51452401-00100</t>
  </si>
  <si>
    <t>041f9ab2-8d62-46fc-8349-9d949b91f52a</t>
  </si>
  <si>
    <t>180339466</t>
  </si>
  <si>
    <t>Mebendazole; 100mg; Tablet; 6 Tablets</t>
  </si>
  <si>
    <t>Wormstop 100</t>
  </si>
  <si>
    <t>51452401-00000</t>
  </si>
  <si>
    <t>9703cfe4-f43c-48ef-a891-22102cb5a41a</t>
  </si>
  <si>
    <t>180146448</t>
  </si>
  <si>
    <t>Mebendazole; 500mg; Tablet; 1 Tablet</t>
  </si>
  <si>
    <t>Wormstop 500</t>
  </si>
  <si>
    <t>51452401-00001</t>
  </si>
  <si>
    <t>2dc7eb27-7bf8-4b64-b021-dc594781a2bb</t>
  </si>
  <si>
    <t>189711677</t>
  </si>
  <si>
    <t>Medroxyprogesterone; 100mg; Tablet; 100 Tablets</t>
  </si>
  <si>
    <t>Medroxyprogesterone</t>
  </si>
  <si>
    <t>Provera 100mg</t>
  </si>
  <si>
    <t>L02AB02</t>
  </si>
  <si>
    <t>51351509-00001</t>
  </si>
  <si>
    <t>12529e2f-364b-4ccb-b8de-cea00e2e4254</t>
  </si>
  <si>
    <t>180108150</t>
  </si>
  <si>
    <t>Medroxyprogesterone; 10mg; Tablet; 30 Tablets</t>
  </si>
  <si>
    <t>Provera 10mg</t>
  </si>
  <si>
    <t>G03DA02</t>
  </si>
  <si>
    <t>51351509-00003</t>
  </si>
  <si>
    <t>0f3b5d77-6539-45dc-8a49-7021510ab45e</t>
  </si>
  <si>
    <t>189762873</t>
  </si>
  <si>
    <t>Medroxyprogesterone; 150mg; injection; 1 Injection</t>
  </si>
  <si>
    <t>Depo-Provera 150mg</t>
  </si>
  <si>
    <t>1x 25</t>
  </si>
  <si>
    <t>51351509-00000</t>
  </si>
  <si>
    <t>cd489d6c-8a0c-410d-9f75-68046d7dd9e9</t>
  </si>
  <si>
    <t>189710263</t>
  </si>
  <si>
    <t>Medroxyprogesterone; 5mg; Tablet; 30 Tablets</t>
  </si>
  <si>
    <t>Provera 5mg</t>
  </si>
  <si>
    <t>131 351</t>
  </si>
  <si>
    <t>51351509-00004</t>
  </si>
  <si>
    <t>9eab912c-816e-466e-820e-5394023f9b6d</t>
  </si>
  <si>
    <t>189712139</t>
  </si>
  <si>
    <t>Meglumine Amidotrizoate, Sodium Amidotrizoate; 660mg/ml, 100mg/ml; injection; 100 ml</t>
  </si>
  <si>
    <t>Meglumine Amidotrizoate, Sodium Amidotrizoate</t>
  </si>
  <si>
    <t>Gastrografin</t>
  </si>
  <si>
    <t>V08AA01</t>
  </si>
  <si>
    <t>51442432-00000</t>
  </si>
  <si>
    <t>f665a8fd-0618-47e5-941f-300bb689d706</t>
  </si>
  <si>
    <t>189710989</t>
  </si>
  <si>
    <t>Meglumine Diatrizoate, Sodium Diatrizoate; 26.1%, 3.9%; injection; 250 ml</t>
  </si>
  <si>
    <t>Meglumine Diatrizoate, Sodium Diatrizoate</t>
  </si>
  <si>
    <t>Urografin 30%</t>
  </si>
  <si>
    <t>51442412-00001</t>
  </si>
  <si>
    <t>89f07e3f-9300-4143-bea6-62ad126a3091</t>
  </si>
  <si>
    <t>189711548</t>
  </si>
  <si>
    <t>Meglumine Diatrizoate, Sodium Diatrizoate; 52.1%, 7.9%; injection; 20 ml</t>
  </si>
  <si>
    <t>Urografin 60%</t>
  </si>
  <si>
    <t>51441705-00000</t>
  </si>
  <si>
    <t>27a96cfe-d14b-4c64-9b60-4519db5ab259</t>
  </si>
  <si>
    <t>189712268</t>
  </si>
  <si>
    <t>Melphalan; 2mg; Tablet; 25 Tablets</t>
  </si>
  <si>
    <t>Melphalan</t>
  </si>
  <si>
    <t xml:space="preserve">ALKERAN 2MG TABS 25`S   </t>
  </si>
  <si>
    <t>L01AA03</t>
  </si>
  <si>
    <t>51112513-00001</t>
  </si>
  <si>
    <t>1f434159-aebd-4e11-82ef-8f2b559af5c4</t>
  </si>
  <si>
    <t>180185781</t>
  </si>
  <si>
    <t>Melphalan; 50mg; injection; 1 Injection</t>
  </si>
  <si>
    <t>ALKERAN 50MG INJ 1'S</t>
  </si>
  <si>
    <t>51112513-00000</t>
  </si>
  <si>
    <t>24671c18-3ada-44d8-88e0-b2eb0ccc1edc</t>
  </si>
  <si>
    <t>189710669</t>
  </si>
  <si>
    <t>Mercaptopurine; 50mg; Tablet; 25 Tablets</t>
  </si>
  <si>
    <t>Mercaptopurine</t>
  </si>
  <si>
    <t>PURI-NETHOL 50MG TABS 25`S</t>
  </si>
  <si>
    <t>L01BB02</t>
  </si>
  <si>
    <t>51203403-00000</t>
  </si>
  <si>
    <t>d32c958f-4c5a-45f4-b518-559f902a984f</t>
  </si>
  <si>
    <t>222000944</t>
  </si>
  <si>
    <t>Meropenem; 1g; injection; 30 ml</t>
  </si>
  <si>
    <t>Meropenem</t>
  </si>
  <si>
    <t>Mercide 1 g</t>
  </si>
  <si>
    <t>J01DH02</t>
  </si>
  <si>
    <t>HU000082</t>
  </si>
  <si>
    <t>51284605-00001</t>
  </si>
  <si>
    <t>1f890b75-6a6b-4c61-8212-25acb97dfa28</t>
  </si>
  <si>
    <t>222000945</t>
  </si>
  <si>
    <t>Meropenem; 500mg; injection; 20 ml</t>
  </si>
  <si>
    <t>Mercide 500</t>
  </si>
  <si>
    <t>HU000081</t>
  </si>
  <si>
    <t>51284605-00000</t>
  </si>
  <si>
    <t>f602d42e-c0c7-4efe-9323-16898e53f4f6</t>
  </si>
  <si>
    <t>205</t>
  </si>
  <si>
    <t>189762990</t>
  </si>
  <si>
    <t>Mesalazine; 400mg; Tablet; 90 Tablets</t>
  </si>
  <si>
    <t>Mesalazine</t>
  </si>
  <si>
    <t>Asacol Tablets</t>
  </si>
  <si>
    <t>A07EC02</t>
  </si>
  <si>
    <t>783668-007</t>
  </si>
  <si>
    <t>51381505-00001</t>
  </si>
  <si>
    <t>df8dbebb-1d11-4c81-9082-0eff89873d26</t>
  </si>
  <si>
    <t>189711688</t>
  </si>
  <si>
    <t>Mesna; 400mg; injection; 1 Injection</t>
  </si>
  <si>
    <t>Mesna</t>
  </si>
  <si>
    <t>Uromitexan 400 mg Injection</t>
  </si>
  <si>
    <t>V03AF01</t>
  </si>
  <si>
    <t>1 x 15</t>
  </si>
  <si>
    <t>51172324-00000</t>
  </si>
  <si>
    <t>fb218126-cbef-48ad-8ec8-d259e186e279</t>
  </si>
  <si>
    <t>206</t>
  </si>
  <si>
    <t>222001105</t>
  </si>
  <si>
    <t>Metformin; 500mg; Tablet; 112 Tablets</t>
  </si>
  <si>
    <t>Metformin</t>
  </si>
  <si>
    <t>Macloglymin 500 mg</t>
  </si>
  <si>
    <t>A10BA02</t>
  </si>
  <si>
    <t>108 x 112</t>
  </si>
  <si>
    <t>51183505-00003</t>
  </si>
  <si>
    <t>7a03b808-1323-4c0d-acc3-32270541594e</t>
  </si>
  <si>
    <t>Diamin-500</t>
  </si>
  <si>
    <t>207</t>
  </si>
  <si>
    <t>180670492</t>
  </si>
  <si>
    <t>Metformin; 500mg; Tablet; 56 Tablets</t>
  </si>
  <si>
    <t>Austell Metformin 500 mg 56's</t>
  </si>
  <si>
    <t>51183505-00000</t>
  </si>
  <si>
    <t>MYLAN METFORMIN 500</t>
  </si>
  <si>
    <t>Metformin Ascendis 500</t>
  </si>
  <si>
    <t>208</t>
  </si>
  <si>
    <t>180339480</t>
  </si>
  <si>
    <t>Metformin; 500mg; Tablet; 84 Tablets</t>
  </si>
  <si>
    <t>144 x 84</t>
  </si>
  <si>
    <t>51183505-00002</t>
  </si>
  <si>
    <t>209</t>
  </si>
  <si>
    <t>189711806</t>
  </si>
  <si>
    <t>Metformin; 850mg; Tablet; 28 Tablets</t>
  </si>
  <si>
    <t>Metformin Ascendis 850</t>
  </si>
  <si>
    <t>51183505-00004</t>
  </si>
  <si>
    <t>76efa4d0-e3d1-4cbb-9cb0-bf06447d7629</t>
  </si>
  <si>
    <t>MYLAN METFORMIN 850</t>
  </si>
  <si>
    <t>210</t>
  </si>
  <si>
    <t>180670494</t>
  </si>
  <si>
    <t>Metformin; 850mg; Tablet; 56 Tablets</t>
  </si>
  <si>
    <t>Austell Metformin 850 mg 56's</t>
  </si>
  <si>
    <t>51183505-00006</t>
  </si>
  <si>
    <t>211</t>
  </si>
  <si>
    <t>189711808</t>
  </si>
  <si>
    <t>Metformin; 850mg; Tablet; 84 Tablets</t>
  </si>
  <si>
    <t>51183505-00007</t>
  </si>
  <si>
    <t>Macloglymin 850 mg</t>
  </si>
  <si>
    <t>75 x 84</t>
  </si>
  <si>
    <t>222000194</t>
  </si>
  <si>
    <t>Methadone; 2mg; Solution; 60 ml</t>
  </si>
  <si>
    <t>Methadone</t>
  </si>
  <si>
    <t>Equity Methadone</t>
  </si>
  <si>
    <t>N07BC02</t>
  </si>
  <si>
    <t>659566e1-2c9e-45da-adde-6b31d91e5cfd</t>
  </si>
  <si>
    <t>189715286</t>
  </si>
  <si>
    <t>Methotrexate; 1g/10ml; injection; 10 ml</t>
  </si>
  <si>
    <t>Methotrexate</t>
  </si>
  <si>
    <t>Abitrexate 1g</t>
  </si>
  <si>
    <t>L01BA01</t>
  </si>
  <si>
    <t>51111610-00000</t>
  </si>
  <si>
    <t>de6b7431-9cd3-4e82-b7da-cbedfc0e0b36</t>
  </si>
  <si>
    <t>189752693</t>
  </si>
  <si>
    <t>Methotrexate; 2.5mg; Tablet; 100 Tablets</t>
  </si>
  <si>
    <t>Abitrexate 2.5mg tablets</t>
  </si>
  <si>
    <t>L04AX03</t>
  </si>
  <si>
    <t>51111610-00004</t>
  </si>
  <si>
    <t>51973c5a-1221-42cf-bb78-5804cfde026a</t>
  </si>
  <si>
    <t>181767289</t>
  </si>
  <si>
    <t>Methotrexate; 50mg/2ml; injection; 2 ml</t>
  </si>
  <si>
    <t>Abitrexate 50</t>
  </si>
  <si>
    <t>51111610-00001</t>
  </si>
  <si>
    <t>ecf2e416-e4b2-4867-b411-41d30788b854</t>
  </si>
  <si>
    <t>189714911</t>
  </si>
  <si>
    <t>Methotrexate; 5g/50ml; injection; 50 ml</t>
  </si>
  <si>
    <t>Abitrexate 5g</t>
  </si>
  <si>
    <t>51111610-00003</t>
  </si>
  <si>
    <t>009a3ba0-4aa7-4145-8486-b2d743fedd5f</t>
  </si>
  <si>
    <t>189711948</t>
  </si>
  <si>
    <t>Methyl Salicylate; 10%; Ointment; 25 g</t>
  </si>
  <si>
    <t>Methyl Salicylate</t>
  </si>
  <si>
    <t>Ung Methyl Sal-VH</t>
  </si>
  <si>
    <t>M02AC</t>
  </si>
  <si>
    <t>51241827-00000</t>
  </si>
  <si>
    <t>bf9e9d7f-16bf-4763-8dbd-390e0c72c68a</t>
  </si>
  <si>
    <t>Methyl Salicylate 10% ointment</t>
  </si>
  <si>
    <t>212</t>
  </si>
  <si>
    <t>189711810</t>
  </si>
  <si>
    <t>Methyldopa; 250mg; Tablet; 56 Tablets</t>
  </si>
  <si>
    <t>Methyldopa</t>
  </si>
  <si>
    <t>Methyldopa Ascendis 250</t>
  </si>
  <si>
    <t>C02AB01</t>
  </si>
  <si>
    <t>51431803-00002</t>
  </si>
  <si>
    <t>86a1c8f7-d776-497f-9869-3c16e9e6817d</t>
  </si>
  <si>
    <t>TIMUCEN 250</t>
  </si>
  <si>
    <t>213</t>
  </si>
  <si>
    <t>189710812</t>
  </si>
  <si>
    <t>Methyldopa; 250mg; Tablet; 84 Tablets</t>
  </si>
  <si>
    <t>51431803-00001</t>
  </si>
  <si>
    <t>214</t>
  </si>
  <si>
    <t>189710452</t>
  </si>
  <si>
    <t>Methylphenidate; 10mg; Tablet; 30 Tablets</t>
  </si>
  <si>
    <t>Methylphenidate</t>
  </si>
  <si>
    <t>Methylphenidate 10mg BIOTECH 30 tablets</t>
  </si>
  <si>
    <t>N06BA04</t>
  </si>
  <si>
    <t>51144014-00000</t>
  </si>
  <si>
    <t>6d88141c-afd8-4078-ab70-9823c0330c2d</t>
  </si>
  <si>
    <t>215</t>
  </si>
  <si>
    <t>222001106</t>
  </si>
  <si>
    <t>Methylphenidate; 18-20mg; Tablet (Methylphenidate 18 - 20mg modified release tablet/capsule); 30 Tablets</t>
  </si>
  <si>
    <t>Mefedinel 18mg 30s</t>
  </si>
  <si>
    <t>51144014-00004</t>
  </si>
  <si>
    <t>410c49e3-040d-4174-93ef-64a800845b14</t>
  </si>
  <si>
    <t>216</t>
  </si>
  <si>
    <t>222001107</t>
  </si>
  <si>
    <t>Methylphenidate; 27-30mg; Tablet, MR; 30 Tablets</t>
  </si>
  <si>
    <t>Tablet, MR</t>
  </si>
  <si>
    <t>Mefedinel 27mg 30s</t>
  </si>
  <si>
    <t>51144014-00005</t>
  </si>
  <si>
    <t>c369c279-f6c8-4e8a-9585-4d74c0d2fd72</t>
  </si>
  <si>
    <t>217</t>
  </si>
  <si>
    <t>222001108</t>
  </si>
  <si>
    <t>Methylphenidate; 36-40mg; Tablet (Methylphenidate 36 - 40mg modified release tablet/capsule); 30 Tablets</t>
  </si>
  <si>
    <t>Mefedinel 36mg 30s</t>
  </si>
  <si>
    <t>51144014-00006</t>
  </si>
  <si>
    <t>0a64b362-58a9-47ed-852a-320c720ba441</t>
  </si>
  <si>
    <t>189710776</t>
  </si>
  <si>
    <t>Methylprednisolone Acetate; 40mg/ml; injection; 2 ml</t>
  </si>
  <si>
    <t>Methylprednisolone Acetate</t>
  </si>
  <si>
    <t>Depo-Medrol 40mg/ml INJ 2ml</t>
  </si>
  <si>
    <t>H02AB04</t>
  </si>
  <si>
    <t>51422312-00005</t>
  </si>
  <si>
    <t>dbcf1d3c-c60c-4b16-889b-ce2f528b1113</t>
  </si>
  <si>
    <t>189710775</t>
  </si>
  <si>
    <t>Methylprednisolone Acetate; 40mg/ml; injection; 5 ml</t>
  </si>
  <si>
    <t>Depo-Medrol 40mg/ml INJ 5ml</t>
  </si>
  <si>
    <t>51422312-00006</t>
  </si>
  <si>
    <t>189714224</t>
  </si>
  <si>
    <t>Methylprednisolone Sodium Succinate; 40mg/ml; injection; 1 ml</t>
  </si>
  <si>
    <t>Methylprednisolone Sodium Succinate</t>
  </si>
  <si>
    <t>Mylan Methylprednisolone 40</t>
  </si>
  <si>
    <t>51422356-00004</t>
  </si>
  <si>
    <t>a5a97ca7-c26e-42a4-957a-e6dfc75d3a2f</t>
  </si>
  <si>
    <t>96</t>
  </si>
  <si>
    <t>189710955</t>
  </si>
  <si>
    <t>Methylprednisolone Sodium Succinate; 500mg/8ml; injection; 8 ml</t>
  </si>
  <si>
    <t>Solu-medrol 500mg, Inj 8ml</t>
  </si>
  <si>
    <t>51422312-00004</t>
  </si>
  <si>
    <t>a0150c46-8afb-4e68-a93c-dcdb4ec38e28</t>
  </si>
  <si>
    <t>180076396</t>
  </si>
  <si>
    <t>Metoclopramide; 10mg/2ml; injection; 2 ml</t>
  </si>
  <si>
    <t>Metoclopramide</t>
  </si>
  <si>
    <t>Pharma-Q Metoclopramide Inj 10mg/2ml</t>
  </si>
  <si>
    <t>A03FA01</t>
  </si>
  <si>
    <t>51171806-00000</t>
  </si>
  <si>
    <t>8c4890a9-ac8b-4d53-93f9-edea7b785d27</t>
  </si>
  <si>
    <t>218</t>
  </si>
  <si>
    <t>181798176</t>
  </si>
  <si>
    <t>Metoclopramide; 10mg; Tablet; 10 Tablets</t>
  </si>
  <si>
    <t>ADCO-Contromet 10MG Tablets 10's</t>
  </si>
  <si>
    <t>51171806-00003</t>
  </si>
  <si>
    <t>333fecce-3133-4b3a-8dba-13cf919e9943</t>
  </si>
  <si>
    <t>Metoclopramide 10 Oethmaan</t>
  </si>
  <si>
    <t>219</t>
  </si>
  <si>
    <t>189711057</t>
  </si>
  <si>
    <t>Metoclopramide; 10mg; Tablet; 100 Tablets</t>
  </si>
  <si>
    <t>ADCO-Contromet 10MG Tablet 100's</t>
  </si>
  <si>
    <t>51171806-00004</t>
  </si>
  <si>
    <t>189707039</t>
  </si>
  <si>
    <t>Metoclopramide; 5mg/5ml; Syrup; 100 ml</t>
  </si>
  <si>
    <t>Clopamon 5mg Syrup 100ml</t>
  </si>
  <si>
    <t>51171806-00005</t>
  </si>
  <si>
    <t>8808053d-1254-4b10-bd1a-01e717e50f0f</t>
  </si>
  <si>
    <t>189706001</t>
  </si>
  <si>
    <t>Metronidazole; 200mg/5ml; Suspension; 100 ml</t>
  </si>
  <si>
    <t>Metronidazole</t>
  </si>
  <si>
    <t>Flagyl Suspension 100ml</t>
  </si>
  <si>
    <t>P01AB01</t>
  </si>
  <si>
    <t>51282808-00001</t>
  </si>
  <si>
    <t>7a2be8fb-7084-43ca-9226-caf7efea10ef</t>
  </si>
  <si>
    <t>189750013</t>
  </si>
  <si>
    <t>Metronidazole; 200mg; Tablet; 21 Tablets</t>
  </si>
  <si>
    <t>Anaerobyl 200</t>
  </si>
  <si>
    <t>51282808-00005</t>
  </si>
  <si>
    <t>a35ee4c9-c406-4dfe-b5a9-8765f1581173</t>
  </si>
  <si>
    <t>Bio-Metronidazole 200 Tablets  21`s PRP</t>
  </si>
  <si>
    <t>107</t>
  </si>
  <si>
    <t>189710264</t>
  </si>
  <si>
    <t>Metronidazole; 200mg; Tablet; 250 Tablets</t>
  </si>
  <si>
    <t>Nidasall</t>
  </si>
  <si>
    <t>51282808-00007</t>
  </si>
  <si>
    <t>181859997</t>
  </si>
  <si>
    <t>Metronidazole; 200mg; Tablet; 28 Tablets</t>
  </si>
  <si>
    <t>51282808-00008</t>
  </si>
  <si>
    <t>189711051</t>
  </si>
  <si>
    <t>Metronidazole; 400mg; Tablet; 100 Tablets</t>
  </si>
  <si>
    <t>Amzole 400 mg</t>
  </si>
  <si>
    <t>51282808-00000</t>
  </si>
  <si>
    <t>66113da5-8746-4ace-9f6a-002e21e9f667</t>
  </si>
  <si>
    <t>181798177</t>
  </si>
  <si>
    <t>Metronidazole; 400mg; Tablet; 14 Tablets</t>
  </si>
  <si>
    <t>51282808-00003</t>
  </si>
  <si>
    <t>Bio-Metronidazole 400 Tablets  14`s PRP</t>
  </si>
  <si>
    <t>181798178</t>
  </si>
  <si>
    <t>Metronidazole; 400mg; Tablet; 21 Tablets</t>
  </si>
  <si>
    <t>51282808-00006</t>
  </si>
  <si>
    <t>180282750</t>
  </si>
  <si>
    <t>Metronidazole; 400mg; Tablet; 5 Tablets</t>
  </si>
  <si>
    <t>Anaerobyl 400</t>
  </si>
  <si>
    <t>51282808-00009</t>
  </si>
  <si>
    <t>BIO-METRONIDAZOLE 400 Tablets  5's PRP</t>
  </si>
  <si>
    <t>114</t>
  </si>
  <si>
    <t>189707172</t>
  </si>
  <si>
    <t>Metronidazole; 500mg/100ml; injection; 100 ml</t>
  </si>
  <si>
    <t>Trichazole</t>
  </si>
  <si>
    <t>J01XD01</t>
  </si>
  <si>
    <t>51282808-00015</t>
  </si>
  <si>
    <t>0fa03542-7fa1-49f6-a107-adb0e2beff71</t>
  </si>
  <si>
    <t>BIO METRONIDAZOLE IV 500 mg 100 ml INJ</t>
  </si>
  <si>
    <t>115</t>
  </si>
  <si>
    <t>222000936</t>
  </si>
  <si>
    <t>Micafungin; 100mg; injection; 1 Injection</t>
  </si>
  <si>
    <t>Micafungin</t>
  </si>
  <si>
    <t>Mycamine 100</t>
  </si>
  <si>
    <t>Astellas Pharma (Pty) Ltd</t>
  </si>
  <si>
    <t>V0L15</t>
  </si>
  <si>
    <t>J02AX05</t>
  </si>
  <si>
    <t>721409-001</t>
  </si>
  <si>
    <t>51283109-00000</t>
  </si>
  <si>
    <t>MAAA0006887</t>
  </si>
  <si>
    <t>fa438694-d550-40b4-b287-592c180fce0b</t>
  </si>
  <si>
    <t>222000937</t>
  </si>
  <si>
    <t>Micafungin; 50mg; injection; 1 Injection</t>
  </si>
  <si>
    <t>Mycamine 50</t>
  </si>
  <si>
    <t>721410-001</t>
  </si>
  <si>
    <t>51283109-00001</t>
  </si>
  <si>
    <t>4f161233-a951-415f-872a-6494c8a8a570</t>
  </si>
  <si>
    <t>189708022</t>
  </si>
  <si>
    <t>Miconazole; 2%; Gel, Oral; 30 g</t>
  </si>
  <si>
    <t>Gel, Oral</t>
  </si>
  <si>
    <t>Miconazole</t>
  </si>
  <si>
    <t>Vari Miconazole 2% Oral Gel</t>
  </si>
  <si>
    <t>A01AB09</t>
  </si>
  <si>
    <t>51302337-00001</t>
  </si>
  <si>
    <t>49975963-7d13-4744-bbc2-37068736bd04</t>
  </si>
  <si>
    <t>180076404</t>
  </si>
  <si>
    <t>Midazolam; 15mg/3ml; injection; 3 ml</t>
  </si>
  <si>
    <t>Midazolam</t>
  </si>
  <si>
    <t>ADCO MIDAZOLAM INJECTION 15MG/3ML</t>
  </si>
  <si>
    <t>N05CD08</t>
  </si>
  <si>
    <t>51401538-00002</t>
  </si>
  <si>
    <t>f0dbda23-4b1a-48b2-879d-e3e68910c065</t>
  </si>
  <si>
    <t>Pharma-Q Midazolam 15mg/3ml</t>
  </si>
  <si>
    <t>180018352</t>
  </si>
  <si>
    <t>Midazolam; 50mg/10ml; injection; 10 ml</t>
  </si>
  <si>
    <t>Pharma-Q Midazolam Inj. 50mg/10ml</t>
  </si>
  <si>
    <t>51401538-00001</t>
  </si>
  <si>
    <t>718d5355-61fa-44b3-b7d3-1ef75e8c9450</t>
  </si>
  <si>
    <t>180076401</t>
  </si>
  <si>
    <t>Midazolam; 5mg/5ml; injection; 5 ml</t>
  </si>
  <si>
    <t>ADCO MIDAZOLAM INJECTION 5MG/5ML</t>
  </si>
  <si>
    <t>51401538-00000</t>
  </si>
  <si>
    <t>c9e1b395-d266-4f68-86c4-ddd8a2f0171b</t>
  </si>
  <si>
    <t>Accord Midazolam 5mg/5ml</t>
  </si>
  <si>
    <t>181830030</t>
  </si>
  <si>
    <t>Mifepristone; 200mg; Tablet; 3 Tablets</t>
  </si>
  <si>
    <t>Mifepristone</t>
  </si>
  <si>
    <t>Mifegyne 200mg</t>
  </si>
  <si>
    <t>Medi Challenge (Pty) Ltd</t>
  </si>
  <si>
    <t>VVP11</t>
  </si>
  <si>
    <t>G03XB01</t>
  </si>
  <si>
    <t>01189060221100261723010010CP-6462180389</t>
  </si>
  <si>
    <t>10 boxes of 3 tablets</t>
  </si>
  <si>
    <t>51351613-00000</t>
  </si>
  <si>
    <t>MAAA0217731</t>
  </si>
  <si>
    <t>078d428f-c537-4555-bab0-5d8e0f6d5703</t>
  </si>
  <si>
    <t>180339642</t>
  </si>
  <si>
    <t>Misoprostol; 200mcg; Tablet; 60 Tablets</t>
  </si>
  <si>
    <t>Misoprostol</t>
  </si>
  <si>
    <t xml:space="preserve">Cytotec 200mcg </t>
  </si>
  <si>
    <t>G02AD06</t>
  </si>
  <si>
    <t>51182214-00000</t>
  </si>
  <si>
    <t>7682731b-b911-47e6-b073-5b6cdae7d662</t>
  </si>
  <si>
    <t>226</t>
  </si>
  <si>
    <t>180344233</t>
  </si>
  <si>
    <t>Montelukast; 10mg; Tablet; 28 Tablets</t>
  </si>
  <si>
    <t>Montelukast</t>
  </si>
  <si>
    <t>Maclutek 10 mg</t>
  </si>
  <si>
    <t>R03DC03</t>
  </si>
  <si>
    <t>120 x 28</t>
  </si>
  <si>
    <t>51161515-00000</t>
  </si>
  <si>
    <t>2ba0215f-f229-487e-9efd-5a4abdba30d4</t>
  </si>
  <si>
    <t>227</t>
  </si>
  <si>
    <t>181789304</t>
  </si>
  <si>
    <t>Montelukast; 4mg; Tablet, chew; 28 Tablets</t>
  </si>
  <si>
    <t>Tablet, chew</t>
  </si>
  <si>
    <t>Maclutek 4 mg Chewable tablets</t>
  </si>
  <si>
    <t>51161515-00001</t>
  </si>
  <si>
    <t>ae23f864-c9ea-474d-b4df-dd2fe29d9656</t>
  </si>
  <si>
    <t>228</t>
  </si>
  <si>
    <t>180344234</t>
  </si>
  <si>
    <t>Montelukast; 5mg; Tablet; 28 Tablets</t>
  </si>
  <si>
    <t>Maclutek 5 mg Chewable Tablets</t>
  </si>
  <si>
    <t>51161515-00002</t>
  </si>
  <si>
    <t>354e77e8-759a-4be4-a96a-9454d3516db5</t>
  </si>
  <si>
    <t>189715464</t>
  </si>
  <si>
    <t>Morphine;  BP; Powder; 10 g</t>
  </si>
  <si>
    <t>Morphine</t>
  </si>
  <si>
    <t>Barrs Morphine Hydrochloride BP</t>
  </si>
  <si>
    <t>N02AA01</t>
  </si>
  <si>
    <t>51372031-00000</t>
  </si>
  <si>
    <t>7a945b3f-bc35-428e-a796-22f027c22204</t>
  </si>
  <si>
    <t>189703413</t>
  </si>
  <si>
    <t>Morphine; 10mg/ml; injection; 1 ml</t>
  </si>
  <si>
    <t>MORPHINE SULPHATE FRESENIUS PF 10 mg/1 ml</t>
  </si>
  <si>
    <t>51372015-00000</t>
  </si>
  <si>
    <t>10338f09-9f76-4482-813e-110d53477b30</t>
  </si>
  <si>
    <t>Pharma-Q Morphine 10mg/1ml</t>
  </si>
  <si>
    <t>189700425</t>
  </si>
  <si>
    <t>Morphine; 15mg/ml; injection; 1 ml</t>
  </si>
  <si>
    <t>Pharma-Q Morphine 15mg/1ml</t>
  </si>
  <si>
    <t>51372015-00001</t>
  </si>
  <si>
    <t>e8b2034d-1452-4db8-b9b6-5cd3c67afd42</t>
  </si>
  <si>
    <t xml:space="preserve">MORPHINE SULPHATE FRESENIUS PF 15 mg/1 ml </t>
  </si>
  <si>
    <t>181767779</t>
  </si>
  <si>
    <t>Moxifloxacin; 400mg/250ml; injection; 250 ml</t>
  </si>
  <si>
    <t>Moxifloxacin</t>
  </si>
  <si>
    <t>Austell Moxifloxacin  IV</t>
  </si>
  <si>
    <t>J01MA14</t>
  </si>
  <si>
    <t>51282931-00002</t>
  </si>
  <si>
    <t>5238628c-ed94-4a7c-be27-a7ced46d61eb</t>
  </si>
  <si>
    <t>120</t>
  </si>
  <si>
    <t>180965259</t>
  </si>
  <si>
    <t>Moxifloxacin; 400mg; Tablet; 10 Tablets</t>
  </si>
  <si>
    <t>Lonxave 400</t>
  </si>
  <si>
    <t>51282931-00000</t>
  </si>
  <si>
    <t>50709f5f-5071-46f0-82bc-c6de4b9c16d1</t>
  </si>
  <si>
    <t>222000928</t>
  </si>
  <si>
    <t>Moxifloxacin; 400mg; Tablet; 28 Tablets</t>
  </si>
  <si>
    <t>51282931-00001</t>
  </si>
  <si>
    <t>181878933</t>
  </si>
  <si>
    <t>Moxifloxacin; 400mg; Tablet; 5 Tablets</t>
  </si>
  <si>
    <t>LONXAVE 400</t>
  </si>
  <si>
    <t xml:space="preserve"> 721 160 001 </t>
  </si>
  <si>
    <t>51282931-00003</t>
  </si>
  <si>
    <t>222001056</t>
  </si>
  <si>
    <t>Multichamber TPN for Adults: High volume bag with electrolytes, Very high protein, Very high calorie for central line; Infusion (parenteral); 2 L</t>
  </si>
  <si>
    <t>Multichamber TPN for Adults: High volume bag with electrolytes, Very high protein, Very high calorie for central line</t>
  </si>
  <si>
    <t>Triomel N9-840E 2000 ml</t>
  </si>
  <si>
    <t>B05BA</t>
  </si>
  <si>
    <t>07dbb910-8941-4d04-9f19-285126340927</t>
  </si>
  <si>
    <t>222001058</t>
  </si>
  <si>
    <t>Multichamber TPN for Adults: High volume bag with electrolytes: high protein, very high calorie for central line; Infusion (parenteral); 2 L</t>
  </si>
  <si>
    <t>Multichamber TPN for Adults: High volume bag with electrolytes: high protein, very high calorie for central line</t>
  </si>
  <si>
    <t>Nutriflex Lipid Special 1875ml (3659890)</t>
  </si>
  <si>
    <t>716318-001</t>
  </si>
  <si>
    <t>e6f2d4ce-c8e8-4e05-9b09-9f0f95a2cdb0</t>
  </si>
  <si>
    <t>222001059</t>
  </si>
  <si>
    <t>Multichamber TPN for Adults: High volume bag with electrolytes: Moderate protein, high calorie through central line; Infusion (parenteral); 2 L</t>
  </si>
  <si>
    <t>Multichamber TPN for Adults: High volume bag with electrolytes: Moderate protein, high calorie through central line</t>
  </si>
  <si>
    <t>Nutriflex Lipid Plus 1875ml (3659915)</t>
  </si>
  <si>
    <t>716312-001</t>
  </si>
  <si>
    <t>8b22d0b3-d8d4-43ff-b335-6a508334dfc2</t>
  </si>
  <si>
    <t>222001060</t>
  </si>
  <si>
    <t>Multichamber TPN for Adults: Low volume bag with electrolytes: low protein, moderate calorie through central line; Infusion (parenteral); 1.5 L</t>
  </si>
  <si>
    <t>Multichamber TPN for Adults: Low volume bag with electrolytes: low protein, moderate calorie through central line</t>
  </si>
  <si>
    <t>Triomel N9-840E 1000 ml</t>
  </si>
  <si>
    <t>0a3c66bc-098e-4788-8cd9-0a891e09db2a</t>
  </si>
  <si>
    <t>222001061</t>
  </si>
  <si>
    <t>Multichamber TPN for Adults: Moderate volume bag with electrolytes: Moderate protein, high calorie through central line; Infusion (parenteral); 1.5 L</t>
  </si>
  <si>
    <t>Multichamber TPN for Adults: Moderate volume bag with electrolytes: Moderate protein, high calorie through central line</t>
  </si>
  <si>
    <t>Nutriflex Lipid Special 1250ml (3659940)</t>
  </si>
  <si>
    <t>716316-001</t>
  </si>
  <si>
    <t>b0093ec6-7175-4493-b0c3-49585cc5431a</t>
  </si>
  <si>
    <t>222001063</t>
  </si>
  <si>
    <t>Multichamber TPN for Adults: Moderate volume bag without electrolytes: Moderate protein, high calorie through central line; Infusion (parenteral); 1 L</t>
  </si>
  <si>
    <t>Multichamber TPN for Adults: Moderate volume bag without electrolytes: Moderate protein, high calorie through central line</t>
  </si>
  <si>
    <t>Triomel N9-840 1000 ml</t>
  </si>
  <si>
    <t>df48ab9e-d076-4fb4-b456-920bfcfbf2fa</t>
  </si>
  <si>
    <t>222001054</t>
  </si>
  <si>
    <t>Multichamber TPN for Adults: Very low volume weaning bag with electrolytes: very low protein, low calorie for central line; Infusion (parenteral); 1 L</t>
  </si>
  <si>
    <t>Multichamber TPN for Adults: Very low volume weaning bag with electrolytes: very low protein, low calorie for central line</t>
  </si>
  <si>
    <t>Nutriflex Lipid Special 625ml (3659935)</t>
  </si>
  <si>
    <t>B05BA10</t>
  </si>
  <si>
    <t>716315-001</t>
  </si>
  <si>
    <t>7f06a6a0-f2bd-464c-bc88-f9cab850deae</t>
  </si>
  <si>
    <t>181932695</t>
  </si>
  <si>
    <t>Mycophenolate Mofetil; 200mg/ml; Suspension; 175 ml</t>
  </si>
  <si>
    <t>Mycophenolate Mofetil</t>
  </si>
  <si>
    <t>Cellcept OS Suspension</t>
  </si>
  <si>
    <t>L04AA06</t>
  </si>
  <si>
    <t>51203203-00002</t>
  </si>
  <si>
    <t>819ccd71-9030-4c72-9aec-c1f42e80a91c</t>
  </si>
  <si>
    <t>180300085</t>
  </si>
  <si>
    <t>Mycophenolate Mofetil; 250mg; Capsule; 100 Capsules</t>
  </si>
  <si>
    <t>Mycokem 250</t>
  </si>
  <si>
    <t>Ascend Laboratories (Pty) Ltd</t>
  </si>
  <si>
    <t>VQ9V1</t>
  </si>
  <si>
    <t>51203203-00003</t>
  </si>
  <si>
    <t>MAAA1120849</t>
  </si>
  <si>
    <t>2e7ce476-d8ce-428a-9492-40f5334a4bd2</t>
  </si>
  <si>
    <t>181820031</t>
  </si>
  <si>
    <t>Mycophenolate Mofetil; 500mg; Tablet; 50 Tablets</t>
  </si>
  <si>
    <t>Mycokem 500</t>
  </si>
  <si>
    <t>51203203-00004</t>
  </si>
  <si>
    <t>f98eca15-c553-408e-a7ab-d7ba06ea0d93</t>
  </si>
  <si>
    <t>181835259</t>
  </si>
  <si>
    <t>Mycophenolic Acid; 180mg; Tablet; 120 Tablets</t>
  </si>
  <si>
    <t>Mycophenolic Acid</t>
  </si>
  <si>
    <t xml:space="preserve">Myfortic 180mg </t>
  </si>
  <si>
    <t>51203203-00000</t>
  </si>
  <si>
    <t>73bb7e28-6d60-43ba-a639-9079e994767b</t>
  </si>
  <si>
    <t>181813273</t>
  </si>
  <si>
    <t>Mycophenolic Acid; 360mg; Tablet; 120 Tablets</t>
  </si>
  <si>
    <t>Myfortic 360mg</t>
  </si>
  <si>
    <t>51203203-00001</t>
  </si>
  <si>
    <t>652f3d1f-62c9-4162-b573-5886db9b9937</t>
  </si>
  <si>
    <t>189705061</t>
  </si>
  <si>
    <t>Naloxone; 400mcg/ml; injection; 1 ml</t>
  </si>
  <si>
    <t>Naloxone</t>
  </si>
  <si>
    <t>NALOXONE HCI FRESENIUS 0.4 mg/1 ml</t>
  </si>
  <si>
    <t>V03AB15</t>
  </si>
  <si>
    <t>51142302-00001</t>
  </si>
  <si>
    <t>f9f971d4-b5b0-4490-93e8-05b35512ebc2</t>
  </si>
  <si>
    <t>189708068</t>
  </si>
  <si>
    <t>Naloxone; 40mcg/2ml; injection; 2 ml</t>
  </si>
  <si>
    <t>NALOXONE HCI NEONATAL FRESENIUS 0.02 mg/1 ml</t>
  </si>
  <si>
    <t>51142302-00000</t>
  </si>
  <si>
    <t>f7a117c6-ac85-4458-af5b-1c2a0d040b83</t>
  </si>
  <si>
    <t>181915212</t>
  </si>
  <si>
    <t>Needle, Insulin, 31G x 5mm; needle; 100 Units</t>
  </si>
  <si>
    <t>needle</t>
  </si>
  <si>
    <t>Needle, Insulin, 31G x 5mm</t>
  </si>
  <si>
    <t>INSUPEN 31G X 5MM</t>
  </si>
  <si>
    <t>42142523-00004</t>
  </si>
  <si>
    <t>c769774d-fc47-455a-bc56-ca1cf8631866</t>
  </si>
  <si>
    <t>181915214</t>
  </si>
  <si>
    <t>Needle, Insulin, 31G x 8mm; needle; 100 Units</t>
  </si>
  <si>
    <t>Needle, Insulin, 31G x 8mm</t>
  </si>
  <si>
    <t>INSUPEN 31G X 8MM</t>
  </si>
  <si>
    <t>42142523-00005</t>
  </si>
  <si>
    <t>5b690063-77b4-40e3-bfeb-62d52b4b819d</t>
  </si>
  <si>
    <t>180056346</t>
  </si>
  <si>
    <t>Neonatal Maintenance, Dextrose (Potassium Free); 33,5,33,100mmol; Infusion (parenteral); 200 ml</t>
  </si>
  <si>
    <t>Neonatal Maintenance, Dextrose (Potassium Free)</t>
  </si>
  <si>
    <t>Sabax Potassium free Neonatel Maintenance 200ml</t>
  </si>
  <si>
    <t>51191704-00000</t>
  </si>
  <si>
    <t>c06e94e4-1d6c-4b0a-9366-0597e51a36f0</t>
  </si>
  <si>
    <t>189711064</t>
  </si>
  <si>
    <t>Neonatal Maintenance, Dextrose; 20,15,2.5,0.5,21,2mmol, 10%; Infusion (parenteral); 200 ml</t>
  </si>
  <si>
    <t>Neonatal Maintenance, Dextrose</t>
  </si>
  <si>
    <t>Sabax Neonatalyte with Glucose 10%</t>
  </si>
  <si>
    <t>51191704-00001</t>
  </si>
  <si>
    <t>d4979112-7ae1-4664-8d48-c4367d0ca298</t>
  </si>
  <si>
    <t>180089506</t>
  </si>
  <si>
    <t>Neostigmine; 2.5mg/ml; injection; 1 ml</t>
  </si>
  <si>
    <t>Neostigmine</t>
  </si>
  <si>
    <t>Pharma-Q Neostigmine Methyl Sulphate Inj. 2.5mg/1ml</t>
  </si>
  <si>
    <t>N07AA01</t>
  </si>
  <si>
    <t>51151512-00001</t>
  </si>
  <si>
    <t>6349c52e-f64e-4bb2-8434-34d128016bd1</t>
  </si>
  <si>
    <t>234</t>
  </si>
  <si>
    <t>189710326</t>
  </si>
  <si>
    <t>Nifedipine; 10mg; Capsule; 100 Capsules</t>
  </si>
  <si>
    <t>Nifedipine</t>
  </si>
  <si>
    <t>BIO-NIFEDIPINE 10 CAPS 100's</t>
  </si>
  <si>
    <t>C08CA05</t>
  </si>
  <si>
    <t>51433903-00002</t>
  </si>
  <si>
    <t>74f98e85-b2f8-47d8-8848-e74fffbec0e7</t>
  </si>
  <si>
    <t>236</t>
  </si>
  <si>
    <t>189710364</t>
  </si>
  <si>
    <t>Nifedipine; 5mg; Capsule; 100 Capsules</t>
  </si>
  <si>
    <t>BIO-NIFEDIPINE 5 CAPS 100's</t>
  </si>
  <si>
    <t>51433903-00001</t>
  </si>
  <si>
    <t>e71e3f1d-0a80-41cf-a37c-0e671d8cd8c8</t>
  </si>
  <si>
    <t>222001413</t>
  </si>
  <si>
    <t>Nilotinib; 150mg; Capsule; 112 Capsules</t>
  </si>
  <si>
    <t>Nilotinib</t>
  </si>
  <si>
    <t xml:space="preserve">Tasigna 150mg </t>
  </si>
  <si>
    <t>L01XE08</t>
  </si>
  <si>
    <t>58a379cd-d073-417b-a4a9-092987a56b07</t>
  </si>
  <si>
    <t>181866360</t>
  </si>
  <si>
    <t>Nilotinib; 200mg; Capsule; 112 Capsules</t>
  </si>
  <si>
    <t>Tasigna 200mg</t>
  </si>
  <si>
    <t>51111862-00000</t>
  </si>
  <si>
    <t>3db0fa96-f8b8-4862-ac92-f345a1749564</t>
  </si>
  <si>
    <t>238</t>
  </si>
  <si>
    <t>189763128</t>
  </si>
  <si>
    <t>Nimodipine; 30mg; Tablet; 100 Tablets</t>
  </si>
  <si>
    <t>Nimodipine</t>
  </si>
  <si>
    <t>Nimotop 30mg</t>
  </si>
  <si>
    <t>C08CA06</t>
  </si>
  <si>
    <t>1 x 100</t>
  </si>
  <si>
    <t>51413504-00000</t>
  </si>
  <si>
    <t>ed38824a-3540-4aa3-b3e5-f06a3b51388a</t>
  </si>
  <si>
    <t>189714357</t>
  </si>
  <si>
    <t>Nitrofurantoin; 100mg; Capsule; 50 Capsules</t>
  </si>
  <si>
    <t>Nitrofurantoin</t>
  </si>
  <si>
    <t>Macrodantin 100mg Caps 50's</t>
  </si>
  <si>
    <t>J01XE01</t>
  </si>
  <si>
    <t>51285307-00000</t>
  </si>
  <si>
    <t>d0aecf54-6169-4c8f-a880-8a70c5f921cc</t>
  </si>
  <si>
    <t>189714135</t>
  </si>
  <si>
    <t>Norethisterone Acetate; 5mg; Tablet; 30 Tablets</t>
  </si>
  <si>
    <t>Norethisterone Acetate</t>
  </si>
  <si>
    <t>Primolut-N</t>
  </si>
  <si>
    <t>G03DC02</t>
  </si>
  <si>
    <t>51352008-00001</t>
  </si>
  <si>
    <t>d5d4f3ad-36ab-4b07-98fd-ab0f112a98f8</t>
  </si>
  <si>
    <t>189705261</t>
  </si>
  <si>
    <t>Norethisterone Enanthate; 200mg/ml; injection; 1 ml</t>
  </si>
  <si>
    <t>Norethisterone Enanthate</t>
  </si>
  <si>
    <t xml:space="preserve">Nur-Isterate  </t>
  </si>
  <si>
    <t>G03AC01</t>
  </si>
  <si>
    <t>51352008-00000</t>
  </si>
  <si>
    <t>1568c45c-98b1-4f71-a226-d6ae4c0a4c15</t>
  </si>
  <si>
    <t>189702739</t>
  </si>
  <si>
    <t>Norgestrel, Ethinylestradiol; 0.5mg, 0.05mg; Tablet; 28 Tablets</t>
  </si>
  <si>
    <t>Norgestrel, Ethinylestradiol</t>
  </si>
  <si>
    <t>Ovral</t>
  </si>
  <si>
    <t>G03AA06</t>
  </si>
  <si>
    <t>51352413-00000</t>
  </si>
  <si>
    <t>4f326cdd-dbf9-4598-8793-053f671ee1c8</t>
  </si>
  <si>
    <t>127</t>
  </si>
  <si>
    <t>189712135</t>
  </si>
  <si>
    <t>Nystatin; 100000IU/ml; Drop, Oral; 20 ml</t>
  </si>
  <si>
    <t>Drop, Oral</t>
  </si>
  <si>
    <t>Nystatin</t>
  </si>
  <si>
    <t>Candacide Oral Suspension</t>
  </si>
  <si>
    <t>D01AA01</t>
  </si>
  <si>
    <t>51302404-00001</t>
  </si>
  <si>
    <t>75d02dc9-7132-4d75-91c8-c38088348e58</t>
  </si>
  <si>
    <t>180076442</t>
  </si>
  <si>
    <t>Octreotide; 0.05mg/ml; injection; 1 Injection</t>
  </si>
  <si>
    <t>Octreotide</t>
  </si>
  <si>
    <t>Sandostatin 0.05mg</t>
  </si>
  <si>
    <t>H01CB02</t>
  </si>
  <si>
    <t>51111863-00000</t>
  </si>
  <si>
    <t>8ad632f9-112f-47b6-af4d-2900d3baa528</t>
  </si>
  <si>
    <t>180076445</t>
  </si>
  <si>
    <t>Octreotide; 0.1mg/ml; injection; 1 Injection</t>
  </si>
  <si>
    <t>Sandostatin 0.1mg</t>
  </si>
  <si>
    <t>51111863-00001</t>
  </si>
  <si>
    <t>1c97d907-aceb-41a5-bdb1-d046c2a12beb</t>
  </si>
  <si>
    <t>239</t>
  </si>
  <si>
    <t>180142326</t>
  </si>
  <si>
    <t>Olanzapine; 10mg; Tablet; 28 Tablets</t>
  </si>
  <si>
    <t>Olanzapine</t>
  </si>
  <si>
    <t>Nezolap 10 mg</t>
  </si>
  <si>
    <t>N05AH03</t>
  </si>
  <si>
    <t>80 x 28</t>
  </si>
  <si>
    <t>51401705-00002</t>
  </si>
  <si>
    <t>bc5c1609-236b-41e8-bab7-8c598ea06098</t>
  </si>
  <si>
    <t>240</t>
  </si>
  <si>
    <t>180959585</t>
  </si>
  <si>
    <t>Olanzapine; 2.5mg; Tablet; 28 Tablets</t>
  </si>
  <si>
    <t xml:space="preserve">Nezolap 2.5 mg </t>
  </si>
  <si>
    <t>51401705-00001</t>
  </si>
  <si>
    <t>b677df76-8cf2-4047-8650-5c04bb11fb41</t>
  </si>
  <si>
    <t>241</t>
  </si>
  <si>
    <t>180142318</t>
  </si>
  <si>
    <t>Olanzapine; 5mg; Tablet; 28 Tablets</t>
  </si>
  <si>
    <t>Nezolap 5 mg</t>
  </si>
  <si>
    <t>90 x 28</t>
  </si>
  <si>
    <t>51401705-00000</t>
  </si>
  <si>
    <t>32df10e7-a4af-49b1-8b3f-e4285b591c16</t>
  </si>
  <si>
    <t>181779872</t>
  </si>
  <si>
    <t>Olopatadine; 1mg/ml; Drop, Eye; 5 ml</t>
  </si>
  <si>
    <t>Olopatadine</t>
  </si>
  <si>
    <t xml:space="preserve">Patanol Eye Drops </t>
  </si>
  <si>
    <t>S01GX09</t>
  </si>
  <si>
    <t>51312103-00000</t>
  </si>
  <si>
    <t>80158b9a-2697-4a5c-a146-ae825579d442</t>
  </si>
  <si>
    <t>242</t>
  </si>
  <si>
    <t>181868887</t>
  </si>
  <si>
    <t>Omeprazole; 10mg; Tablet, dispersible; 28 Tablets</t>
  </si>
  <si>
    <t>Omeprazole</t>
  </si>
  <si>
    <t>Losec Mups 10mg</t>
  </si>
  <si>
    <t>A02BC01</t>
  </si>
  <si>
    <t>51171909-00003</t>
  </si>
  <si>
    <t>85cbe311-0322-40d1-8ea0-8d6c0bff1f4b</t>
  </si>
  <si>
    <t>180073817</t>
  </si>
  <si>
    <t>Ondansetron; 4mg/2ml; injection; 2 ml</t>
  </si>
  <si>
    <t>Ondansetron</t>
  </si>
  <si>
    <t>ONDANSETRON HEXAL 4 mg INJECTION</t>
  </si>
  <si>
    <t>A04AA01</t>
  </si>
  <si>
    <t>51171816-00003</t>
  </si>
  <si>
    <t>9614d410-8e88-4d75-bfc5-be5be8c75898</t>
  </si>
  <si>
    <t>180954155</t>
  </si>
  <si>
    <t>Ondansetron; 4mg; Tablet, dispersible; 10 Tablets</t>
  </si>
  <si>
    <t>Zofer Rapitab 4</t>
  </si>
  <si>
    <t>51171816-00000</t>
  </si>
  <si>
    <t>3ee3352e-11b2-4a6e-860b-3820319318ee</t>
  </si>
  <si>
    <t>180073819</t>
  </si>
  <si>
    <t>Ondansetron; 8mg/4ml; injection; 4 ml</t>
  </si>
  <si>
    <t>ONDANSETRON HEXAL 8 mg INJECTION</t>
  </si>
  <si>
    <t>51171816-00004</t>
  </si>
  <si>
    <t>86fd1a26-5b5a-47c2-96c3-836e9a63414b</t>
  </si>
  <si>
    <t>181858255</t>
  </si>
  <si>
    <t>Ondansetron; 8mg; Tablet; 10 Tablets</t>
  </si>
  <si>
    <t>Zofer 8</t>
  </si>
  <si>
    <t>51171816-00005</t>
  </si>
  <si>
    <t>22bb1508-5498-43c4-9575-304f4704f886</t>
  </si>
  <si>
    <t>222000966</t>
  </si>
  <si>
    <t>Oral Rehydration; Powder; 1 Sachet</t>
  </si>
  <si>
    <t>Oral Rehydration</t>
  </si>
  <si>
    <t>Hydrol for Rehydration</t>
  </si>
  <si>
    <t>Specpharm (Pty) Ltd</t>
  </si>
  <si>
    <t>V3EQ1</t>
  </si>
  <si>
    <t>A07CA</t>
  </si>
  <si>
    <t>51191602-00004</t>
  </si>
  <si>
    <t>MAAA0009737</t>
  </si>
  <si>
    <t>52621378-1ecb-46da-bebb-6bd73d3289d2</t>
  </si>
  <si>
    <t>181899908</t>
  </si>
  <si>
    <t>Organic N-Chloro Comp; 30g; Powder; 50 Sachets</t>
  </si>
  <si>
    <t>Organic N-Chloro Comp</t>
  </si>
  <si>
    <t>QualiClean 30g</t>
  </si>
  <si>
    <t>Qualipharm Cc</t>
  </si>
  <si>
    <t>V1P16</t>
  </si>
  <si>
    <t>51472103-00005</t>
  </si>
  <si>
    <t>MAAA0002307</t>
  </si>
  <si>
    <t>8a6c9ee5-d394-4b9b-baf3-b34cc98e50bd</t>
  </si>
  <si>
    <t>181916855</t>
  </si>
  <si>
    <t>Organic N-Chloro Comp; 3g; Powder; 50 Sachets</t>
  </si>
  <si>
    <t>QualiClean 3g</t>
  </si>
  <si>
    <t>51472103-00006</t>
  </si>
  <si>
    <t>87a6e88f-d4a9-4d84-88b0-5de276c94688</t>
  </si>
  <si>
    <t>189715466</t>
  </si>
  <si>
    <t>Organic N-Chloro Comp; 6g; Powder; 100 Sachets</t>
  </si>
  <si>
    <t>QualiClean 6g</t>
  </si>
  <si>
    <t>51472103-00007</t>
  </si>
  <si>
    <t>9173029b-5d1e-4bce-8e24-ef5f5371d8fd</t>
  </si>
  <si>
    <t>246</t>
  </si>
  <si>
    <t>180339583</t>
  </si>
  <si>
    <t>Orphenadrine; 50mg; Tablet; 28 Tablets</t>
  </si>
  <si>
    <t>Orphenadrine</t>
  </si>
  <si>
    <t>PHENERINE 50MG TAB B/BAG 28</t>
  </si>
  <si>
    <t>N04AB02</t>
  </si>
  <si>
    <t>51152041-00000</t>
  </si>
  <si>
    <t>64ace467-0b65-40b9-9ca5-527df124ea81</t>
  </si>
  <si>
    <t>247</t>
  </si>
  <si>
    <t>180339585</t>
  </si>
  <si>
    <t>Orphenadrine; 50mg; Tablet; 56 Tablets</t>
  </si>
  <si>
    <t>PHENERINE 50MG TAB B/B 56</t>
  </si>
  <si>
    <t>51152041-00001</t>
  </si>
  <si>
    <t>248</t>
  </si>
  <si>
    <t>180339586</t>
  </si>
  <si>
    <t>Orphenadrine; 50mg; Tablet; 84 Tablets</t>
  </si>
  <si>
    <t>PHENERINE 50MG TAB B/BAG 84</t>
  </si>
  <si>
    <t>51152041-00002</t>
  </si>
  <si>
    <t>181804852</t>
  </si>
  <si>
    <t>Oxaliplatin; 100mg; injection; 1 Injection</t>
  </si>
  <si>
    <t>Oxaliplatin</t>
  </si>
  <si>
    <t>Oplaxin 100mg RTU</t>
  </si>
  <si>
    <t>L01XA03</t>
  </si>
  <si>
    <t>723390-001</t>
  </si>
  <si>
    <t>51112705-00000</t>
  </si>
  <si>
    <t>4ffa8357-9fed-4039-aa28-c77d99970887</t>
  </si>
  <si>
    <t>181804849</t>
  </si>
  <si>
    <t>Oxaliplatin; 50mg; injection; 1 Injection</t>
  </si>
  <si>
    <t>Oplaxin 50mg RTU</t>
  </si>
  <si>
    <t>723389-001</t>
  </si>
  <si>
    <t>51112705-00001</t>
  </si>
  <si>
    <t>d48488ff-9df7-40c0-ba37-cd076f9ffe71</t>
  </si>
  <si>
    <t>249</t>
  </si>
  <si>
    <t>189712225</t>
  </si>
  <si>
    <t>Oxazepam; 10mg; Tablet; 100 Tablets</t>
  </si>
  <si>
    <t>Oxazepam</t>
  </si>
  <si>
    <t>PURATA 10MG TAB BL 100</t>
  </si>
  <si>
    <t>N05BA04</t>
  </si>
  <si>
    <t>51401542-00000</t>
  </si>
  <si>
    <t>e810627d-2b45-4efa-908a-fa997f9d2b5a</t>
  </si>
  <si>
    <t>250</t>
  </si>
  <si>
    <t>222001432</t>
  </si>
  <si>
    <t>Oxazepam; 15mg; Tablet; 100 Tablets</t>
  </si>
  <si>
    <t>ZIMTEC 15</t>
  </si>
  <si>
    <t>51401542-00003</t>
  </si>
  <si>
    <t>3450c57a-33d6-4361-a2a6-523f76209083</t>
  </si>
  <si>
    <t>251</t>
  </si>
  <si>
    <t>189714612</t>
  </si>
  <si>
    <t>Oxazepam; 30mg; Tablet; 100 Tablets</t>
  </si>
  <si>
    <t>ZIMTEC 30</t>
  </si>
  <si>
    <t>51401542-00001</t>
  </si>
  <si>
    <t>991376da-097a-4434-bddd-afb251fb2e9f</t>
  </si>
  <si>
    <t>189703838</t>
  </si>
  <si>
    <t>Oxybuprocaine; 0.4%; Drop, Eye; 3 ml</t>
  </si>
  <si>
    <t>Oxybuprocaine</t>
  </si>
  <si>
    <t>Novesin Wander 0,4% 3ml</t>
  </si>
  <si>
    <t>S01HA02</t>
  </si>
  <si>
    <t>51271919-00000</t>
  </si>
  <si>
    <t>efcafc31-a4d2-4bda-9200-0028229d9832</t>
  </si>
  <si>
    <t>252</t>
  </si>
  <si>
    <t>222001116</t>
  </si>
  <si>
    <t>Oxybutynin; 5mg; Tablet; 84 Tablets</t>
  </si>
  <si>
    <t>Oxybutynin</t>
  </si>
  <si>
    <t>Oxybutynin 5 Oethmaan</t>
  </si>
  <si>
    <t>G04BD04</t>
  </si>
  <si>
    <t>51151657-00001</t>
  </si>
  <si>
    <t>7f53363c-1f84-407a-bc9a-45b90bff1d2b</t>
  </si>
  <si>
    <t>180139617</t>
  </si>
  <si>
    <t>Oxymetazoline; 0.025%; Drop, Eye; 15 ml</t>
  </si>
  <si>
    <t>Oxymetazoline</t>
  </si>
  <si>
    <t>ALLERGEX EYE DROPS 15ML</t>
  </si>
  <si>
    <t>S01GA04</t>
  </si>
  <si>
    <t>51162732-00000</t>
  </si>
  <si>
    <t>dfdb64f9-056a-4381-aa15-3cb417ca0476</t>
  </si>
  <si>
    <t>189707390</t>
  </si>
  <si>
    <t>Oxymetazoline; 0.025%; Drop, Nasal; 10 ml</t>
  </si>
  <si>
    <t>Drop, Nasal</t>
  </si>
  <si>
    <t>Iliadin Kids Nose Drops</t>
  </si>
  <si>
    <t>P and G South African Trading (Pty) Ltd</t>
  </si>
  <si>
    <t>VJDY7</t>
  </si>
  <si>
    <t>R01AA05</t>
  </si>
  <si>
    <t>732281-008</t>
  </si>
  <si>
    <t>51162732-00001</t>
  </si>
  <si>
    <t>MAAA0913191</t>
  </si>
  <si>
    <t>02bcb3b6-1dcc-40fe-822f-1126a87898b0</t>
  </si>
  <si>
    <t>189705181</t>
  </si>
  <si>
    <t>Oxymetazoline; 0.05%; Drop, Nasal; 10 ml</t>
  </si>
  <si>
    <t>Iliadin Nose Drops</t>
  </si>
  <si>
    <t>732257-018</t>
  </si>
  <si>
    <t>51162732-00002</t>
  </si>
  <si>
    <t>660289c3-3159-4604-b9b7-a3c31a66a484</t>
  </si>
  <si>
    <t>189707389</t>
  </si>
  <si>
    <t>Oxymetazoline; 0.05%; Spray, Nasal; 15 ml</t>
  </si>
  <si>
    <t>Nazene Z Nasal Spray</t>
  </si>
  <si>
    <t>"208 units  (1 shipper)"</t>
  </si>
  <si>
    <t>51162732-00003</t>
  </si>
  <si>
    <t>b153f253-8c3d-42a3-952b-a819884ada4e</t>
  </si>
  <si>
    <t>180076472</t>
  </si>
  <si>
    <t>Oxytocin; 10IU/ml; injection; 1 ml</t>
  </si>
  <si>
    <t>Oxytocin</t>
  </si>
  <si>
    <t>Syntocinon 10 IU</t>
  </si>
  <si>
    <t>H01BB02</t>
  </si>
  <si>
    <t>1 x 120</t>
  </si>
  <si>
    <t>51182203-00000</t>
  </si>
  <si>
    <t>a1536a90-baf5-451f-830f-06b3fe90d54d</t>
  </si>
  <si>
    <t>Spec Oxytocin 10iu, injection, 1ml</t>
  </si>
  <si>
    <t>117</t>
  </si>
  <si>
    <t>180076470</t>
  </si>
  <si>
    <t>Oxytocin; 5IU/ml; injection; 1 ml</t>
  </si>
  <si>
    <t>Spec Oxytocin 5iu, injection, 1ml</t>
  </si>
  <si>
    <t>51182203-00002</t>
  </si>
  <si>
    <t>ca95101b-1c6d-4b50-a608-88f6c49d7bc3</t>
  </si>
  <si>
    <t>222001261</t>
  </si>
  <si>
    <t>Paclitaxel, Vented Intravenous Giving Set;  BP; device; 1 Kit</t>
  </si>
  <si>
    <t>device</t>
  </si>
  <si>
    <t>Paclitaxel, Vented Intravenous Giving Set</t>
  </si>
  <si>
    <t>OB Paclitaxel Injection set</t>
  </si>
  <si>
    <t>L01CD01</t>
  </si>
  <si>
    <t>51111904-00002</t>
  </si>
  <si>
    <t>63f2f80d-f76b-4ae8-8ed0-f662666942a4</t>
  </si>
  <si>
    <t>180270223</t>
  </si>
  <si>
    <t>Paclitaxel; 100mg/16.7ml; injection; 16.7 ml</t>
  </si>
  <si>
    <t>Paclitaxel</t>
  </si>
  <si>
    <t>Loxat 100</t>
  </si>
  <si>
    <t>51111904-00000</t>
  </si>
  <si>
    <t>76fd914f-d81c-4caa-bdec-63acf61cbe6b</t>
  </si>
  <si>
    <t>180138165</t>
  </si>
  <si>
    <t>Paclitaxel; 30mg/5ml; injection; 5 ml</t>
  </si>
  <si>
    <t>Loxat 30</t>
  </si>
  <si>
    <t>51111904-00001</t>
  </si>
  <si>
    <t>3c81d07a-e98e-4e00-ad18-aa0a4c3320a4</t>
  </si>
  <si>
    <t>253</t>
  </si>
  <si>
    <t>181747895</t>
  </si>
  <si>
    <t>Pancreatin: Lipase, Amylase, Protease; 150mg; Capsule; 100 Capsules</t>
  </si>
  <si>
    <t>Pancreatin: Lipase, Amylase, Protease</t>
  </si>
  <si>
    <t>Creon 10000</t>
  </si>
  <si>
    <t>A09AA02</t>
  </si>
  <si>
    <t>51171910-00000</t>
  </si>
  <si>
    <t>38940fe7-50a5-4949-89b2-ef2ff0ca2a0d</t>
  </si>
  <si>
    <t>254</t>
  </si>
  <si>
    <t>180231590</t>
  </si>
  <si>
    <t>Pancreatin: Lipase, Amylase, Protease; 300mg; Capsule; 100 Capsules</t>
  </si>
  <si>
    <t>Creon 25000</t>
  </si>
  <si>
    <t>51171910-00001</t>
  </si>
  <si>
    <t>ec2559c8-8795-4ec5-aaec-5d63b3af4626</t>
  </si>
  <si>
    <t>255</t>
  </si>
  <si>
    <t>222001421</t>
  </si>
  <si>
    <t>Pantoprazole; 20mg; Tablet; 28 Tablets</t>
  </si>
  <si>
    <t>Pantoprazole</t>
  </si>
  <si>
    <t xml:space="preserve">Praztek 20 mg </t>
  </si>
  <si>
    <t>A02BC02</t>
  </si>
  <si>
    <t>216 x 28</t>
  </si>
  <si>
    <t>51171915-00001</t>
  </si>
  <si>
    <t>329c5f3e-5b9e-4854-9caf-f5bbc181aaac</t>
  </si>
  <si>
    <t>181753528</t>
  </si>
  <si>
    <t>Pantoprazole; 40mg; injection; 1 Injection</t>
  </si>
  <si>
    <t>PANTOCID 40MG INJECTION 10ML</t>
  </si>
  <si>
    <t>51171915-00000</t>
  </si>
  <si>
    <t>edb0cb49-7f03-4f72-9e6c-5b8c8a28ca3c</t>
  </si>
  <si>
    <t>256</t>
  </si>
  <si>
    <t>180132385</t>
  </si>
  <si>
    <t>Pantoprazole; 40mg; Tablet; 14 Tablets</t>
  </si>
  <si>
    <t>Praztek 40 mg</t>
  </si>
  <si>
    <t>216 x 14</t>
  </si>
  <si>
    <t>51171915-00004</t>
  </si>
  <si>
    <t>dddbd2a2-8833-46cf-8361-bae3e2eec865</t>
  </si>
  <si>
    <t>257</t>
  </si>
  <si>
    <t>180132386</t>
  </si>
  <si>
    <t>Pantoprazole; 40mg; Tablet; 28 Tablets</t>
  </si>
  <si>
    <t>Topraflux 40mg 28s</t>
  </si>
  <si>
    <t>51171915-00005</t>
  </si>
  <si>
    <t>181783743</t>
  </si>
  <si>
    <t>Paracetamol; 120mg/5ml; Syrup; 100 ml</t>
  </si>
  <si>
    <t>Paracetamol</t>
  </si>
  <si>
    <t>Barrs Paracetamol Syrup</t>
  </si>
  <si>
    <t>N02BE01</t>
  </si>
  <si>
    <t>51381701-00013</t>
  </si>
  <si>
    <t>2d762688-f8f0-4d2d-94d5-2db8edc8ea94</t>
  </si>
  <si>
    <t>189712404</t>
  </si>
  <si>
    <t>Paracetamol; 120mg/5ml; Syrup; 50 ml</t>
  </si>
  <si>
    <t>51381701-00014</t>
  </si>
  <si>
    <t>181783747</t>
  </si>
  <si>
    <t>Paracetamol; 120mg/5ml; Syrup; 500 ml</t>
  </si>
  <si>
    <t>51381701-00015</t>
  </si>
  <si>
    <t>181818827</t>
  </si>
  <si>
    <t>Paracetamol; 1g/100ml; Infusion (parenteral); 100 ml</t>
  </si>
  <si>
    <t>PARACETAMOL BIOTECH IV</t>
  </si>
  <si>
    <t>51381701-00001</t>
  </si>
  <si>
    <t>68160799-0453-4bb0-9eff-9ba724fa9827</t>
  </si>
  <si>
    <t>258</t>
  </si>
  <si>
    <t>189753434</t>
  </si>
  <si>
    <t>Paracetamol; 500mg; Tablet; 100 Tablets</t>
  </si>
  <si>
    <t>Cetapon 500mg</t>
  </si>
  <si>
    <t>51381701-00007</t>
  </si>
  <si>
    <t>f12af7e7-a2b3-4ac4-9d1e-685e42bb0c9a</t>
  </si>
  <si>
    <t>ADCO-Napamol 500MG Tablets 100's</t>
  </si>
  <si>
    <t>PAINOGESIC TABLETS</t>
  </si>
  <si>
    <t>74 x 100</t>
  </si>
  <si>
    <t>259</t>
  </si>
  <si>
    <t>180155484</t>
  </si>
  <si>
    <t>Paracetamol; 500mg; Tablet; 20 Tablets</t>
  </si>
  <si>
    <t>DYNADOL TABLETS</t>
  </si>
  <si>
    <t>51381701-00010</t>
  </si>
  <si>
    <t>300 x 20</t>
  </si>
  <si>
    <t>ADCO-Napamol 500MG Tablets 20's</t>
  </si>
  <si>
    <t>Donapan 500 Tablets</t>
  </si>
  <si>
    <t>180076540</t>
  </si>
  <si>
    <t>Pethidine; 100mg/2ml; injection; 2 ml</t>
  </si>
  <si>
    <t>Pethidine</t>
  </si>
  <si>
    <t>PETHIDINE HCI FRESENIUS PF 100 mg/2 ml</t>
  </si>
  <si>
    <t>N02AB02</t>
  </si>
  <si>
    <t>51371803-00001</t>
  </si>
  <si>
    <t>656bf71c-093b-4991-8f1d-09128eb40b92</t>
  </si>
  <si>
    <t>Pharma-Q Pethidine 100mg/2ml</t>
  </si>
  <si>
    <t>189703124</t>
  </si>
  <si>
    <t>Pethidine; 25mg/ml; injection; 1 ml</t>
  </si>
  <si>
    <t>Pharma-Q Pethidine 25mg/1ml</t>
  </si>
  <si>
    <t>51371803-00000</t>
  </si>
  <si>
    <t>98ddcb5a-170f-46f7-8402-daa9f9145100</t>
  </si>
  <si>
    <t>180076519</t>
  </si>
  <si>
    <t>Pethidine; 50mg/ml; injection; 1 ml</t>
  </si>
  <si>
    <t>Pharma-Q Pethidine 50mg/1ml</t>
  </si>
  <si>
    <t>51371803-00002</t>
  </si>
  <si>
    <t>c5f8878a-bdd4-4354-ba8c-5c7e35f05090</t>
  </si>
  <si>
    <t xml:space="preserve">PETHIDINE HCI FRESENIUS PF 50 mg/1 ml </t>
  </si>
  <si>
    <t>189708072</t>
  </si>
  <si>
    <t>Phenobarbital, Vitamin B3 (Nicotinamide), Vitamin B6 (Pyridoxine), Vitamin B2 (Riboflavin), Vitamin B1 (Thiamine); 16mg/5ml, 10mg/5ml, 0.25mg/5ml, 1mg/5ml, 3mg/5ml; Syrup; 100 ml</t>
  </si>
  <si>
    <t>Phenobarbital, Vitamin B3 (Nicotinamide), Vitamin B6 (Pyridoxine), Vitamin B2 (Riboflavin), Vitamin B1 (Thiamine)</t>
  </si>
  <si>
    <t>Adco-Phenobarbitone 100ml</t>
  </si>
  <si>
    <t>N03AA02</t>
  </si>
  <si>
    <t>1 Shipper</t>
  </si>
  <si>
    <t>51361918-00000</t>
  </si>
  <si>
    <t>106d9b60-eb52-4c83-af5a-4544534effc3</t>
  </si>
  <si>
    <t>262</t>
  </si>
  <si>
    <t>180190436</t>
  </si>
  <si>
    <t>Phenobarbital; 30mg; Tablet; 28 Tablets</t>
  </si>
  <si>
    <t>Phenobarbital</t>
  </si>
  <si>
    <t>SEDABARB</t>
  </si>
  <si>
    <t>51361918-00001</t>
  </si>
  <si>
    <t>45aee36b-9a0e-4e1d-aad9-05a87ccd3cbb</t>
  </si>
  <si>
    <t>263</t>
  </si>
  <si>
    <t>180339595</t>
  </si>
  <si>
    <t>Phenobarbital; 30mg; Tablet; 56 Tablets</t>
  </si>
  <si>
    <t>51361918-00002</t>
  </si>
  <si>
    <t>264</t>
  </si>
  <si>
    <t>180155499</t>
  </si>
  <si>
    <t>Phenobarbital; 30mg; Tablet; 84 Tablets</t>
  </si>
  <si>
    <t>51361918-00003</t>
  </si>
  <si>
    <t>189703675</t>
  </si>
  <si>
    <t>Phenoxymethylpenicillin; 125mg/5ml; Suspension; 100 ml</t>
  </si>
  <si>
    <t>Phenoxymethylpenicillin</t>
  </si>
  <si>
    <t>Athlone Phenoxymethylpenicillin 125/5mg</t>
  </si>
  <si>
    <t>J01CE02</t>
  </si>
  <si>
    <t>51283406-00000</t>
  </si>
  <si>
    <t>beb64e99-6cae-460a-8a06-536fbe8a96e4</t>
  </si>
  <si>
    <t>132</t>
  </si>
  <si>
    <t>189706020</t>
  </si>
  <si>
    <t>Phenoxymethylpenicillin; 250mg/5ml; Suspension; 100 ml</t>
  </si>
  <si>
    <t>Betapen 250 mg Granules</t>
  </si>
  <si>
    <t>51283406-00001</t>
  </si>
  <si>
    <t>2114a0c6-ed2f-4981-9798-895e20698323</t>
  </si>
  <si>
    <t>180237100</t>
  </si>
  <si>
    <t>Phenoxymethylpenicillin; 250mg; Tablet; 100 Tablets</t>
  </si>
  <si>
    <t>Pen VK 250 Austell 100</t>
  </si>
  <si>
    <t>51283406-00003</t>
  </si>
  <si>
    <t>2219c7eb-d403-4263-abf4-717abd4fec83</t>
  </si>
  <si>
    <t>180292357</t>
  </si>
  <si>
    <t>Phenoxymethylpenicillin; 250mg; Tablet; 40 Tablets</t>
  </si>
  <si>
    <t>Pen VK 250 Austell 40</t>
  </si>
  <si>
    <t>51283406-00002</t>
  </si>
  <si>
    <t>180076556</t>
  </si>
  <si>
    <t>Phenylephrine; 10mg/ml; injection; 1 ml</t>
  </si>
  <si>
    <t>Phenylephrine</t>
  </si>
  <si>
    <t>Phenylephrine 10mg Injection</t>
  </si>
  <si>
    <t>C01CA06</t>
  </si>
  <si>
    <t>51391734-00000</t>
  </si>
  <si>
    <t>db27426f-6e5c-4aee-9ec8-1c764cde4d16</t>
  </si>
  <si>
    <t>266</t>
  </si>
  <si>
    <t>189715312</t>
  </si>
  <si>
    <t>Phenytoin; 100mg; Capsule; 100 Capsules</t>
  </si>
  <si>
    <t>Phenytoin</t>
  </si>
  <si>
    <t>PHENYTOIN SOD 100MG CAPSEC 100</t>
  </si>
  <si>
    <t>N03AB02</t>
  </si>
  <si>
    <t>51141507-00002</t>
  </si>
  <si>
    <t>4057e017-22b0-4fb2-abc2-61223354abf6</t>
  </si>
  <si>
    <t>265</t>
  </si>
  <si>
    <t>180342249</t>
  </si>
  <si>
    <t>Phenytoin; 100mg; Tablet; 84 Tablets</t>
  </si>
  <si>
    <t>PHENYTOIN SOD 100MGTAB B/BAG84</t>
  </si>
  <si>
    <t>50739e69-7147-4498-a0e1-2895f8e766eb</t>
  </si>
  <si>
    <t>189708084</t>
  </si>
  <si>
    <t>Phenytoin; 250mg/5ml; injection; 5 ml</t>
  </si>
  <si>
    <t>Phlexy 250 mg/5ml</t>
  </si>
  <si>
    <t>51141507-00000</t>
  </si>
  <si>
    <t>e1e6c539-5e95-4d8a-ab09-ce9f00bcbbe8</t>
  </si>
  <si>
    <t>181828236</t>
  </si>
  <si>
    <t>Pholcodine; 15mg/5ml; Syrup; 100 ml</t>
  </si>
  <si>
    <t>Pholcodine</t>
  </si>
  <si>
    <t>Pholtex Forte</t>
  </si>
  <si>
    <t>R05DA08</t>
  </si>
  <si>
    <t>51372017-00000</t>
  </si>
  <si>
    <t>72723a3b-f5ad-4d59-b820-0a289b6681ad</t>
  </si>
  <si>
    <t>181772157</t>
  </si>
  <si>
    <t>Phospholipids, Total; 100mg/4ml; injection; 4 ml</t>
  </si>
  <si>
    <t>Phospholipids, Total</t>
  </si>
  <si>
    <t>Survanta</t>
  </si>
  <si>
    <t>R07AA02</t>
  </si>
  <si>
    <t>51191904-00000</t>
  </si>
  <si>
    <t>4978aa20-b846-488b-aef6-1c3c17446291</t>
  </si>
  <si>
    <t>128</t>
  </si>
  <si>
    <t>189753628</t>
  </si>
  <si>
    <t>Phospholipids, Total; 200mg/8ml; injection; 8 ml</t>
  </si>
  <si>
    <t>51191904-00001</t>
  </si>
  <si>
    <t>2894b3c0-0028-4495-9cae-5ce73bb111a8</t>
  </si>
  <si>
    <t>189714725</t>
  </si>
  <si>
    <t>Pilocarpine; 1%; Drop, Eye; 15 ml</t>
  </si>
  <si>
    <t>Pilocarpine</t>
  </si>
  <si>
    <t>Isopto Carpine 1%</t>
  </si>
  <si>
    <t>S01EB01</t>
  </si>
  <si>
    <t>51151544-00000</t>
  </si>
  <si>
    <t>22527429-0d93-41b7-93a7-6d3021739cfc</t>
  </si>
  <si>
    <t>133</t>
  </si>
  <si>
    <t>222001396</t>
  </si>
  <si>
    <t>Piperacillin, Tazobactam; 4g, 500mg; injection; 30 ml</t>
  </si>
  <si>
    <t>Piperacillin, Tazobactam</t>
  </si>
  <si>
    <t>CINOTAZ</t>
  </si>
  <si>
    <t>J01CR05</t>
  </si>
  <si>
    <t>51285003-00001</t>
  </si>
  <si>
    <t>0a7b239e-3b39-4c35-861a-6a5f910d68d3</t>
  </si>
  <si>
    <t>180031056</t>
  </si>
  <si>
    <t>Plasmalyte B; 130,4,110,1.5,27mmol; Infusion (parenteral) (balsol); 1 L</t>
  </si>
  <si>
    <t>Plasmalyte B</t>
  </si>
  <si>
    <t>Sabax Plasmalyte B 1000ml</t>
  </si>
  <si>
    <t>B05BB01</t>
  </si>
  <si>
    <t>51191704-00009</t>
  </si>
  <si>
    <t>432dc7bf-43c3-47b0-a425-6a497db79d08</t>
  </si>
  <si>
    <t>189712704</t>
  </si>
  <si>
    <t>Polystyrene Sulfonate; Powder; 454 g</t>
  </si>
  <si>
    <t>Polystyrene Sulfonate</t>
  </si>
  <si>
    <t xml:space="preserve">Kexelate </t>
  </si>
  <si>
    <t>V03AE01</t>
  </si>
  <si>
    <t>51172306-00000</t>
  </si>
  <si>
    <t>75e53946-bff7-4d4d-a03f-a42e5fac095f</t>
  </si>
  <si>
    <t>180035581</t>
  </si>
  <si>
    <t>Potassium Chloride;  BP; Powder; 500 g</t>
  </si>
  <si>
    <t>Potassium Chloride</t>
  </si>
  <si>
    <t>Resmed Potassium Chloride BP</t>
  </si>
  <si>
    <t>A12BA01</t>
  </si>
  <si>
    <t>51192313-00001</t>
  </si>
  <si>
    <t>ca00dd1a-c4f6-4576-bea9-cc15a8798bc3</t>
  </si>
  <si>
    <t>189710612</t>
  </si>
  <si>
    <t>Potassium Chloride; 15%; injection; 10 ml</t>
  </si>
  <si>
    <t>POTASSIUM CHLORIDE FRESENIUS 15 % "FLEXIVIAL"</t>
  </si>
  <si>
    <t>B05XA01</t>
  </si>
  <si>
    <t>20 Flexi Vials</t>
  </si>
  <si>
    <t>51191802-00000</t>
  </si>
  <si>
    <t>e0cc98c0-038a-4424-a1c3-90c96580e079</t>
  </si>
  <si>
    <t>267</t>
  </si>
  <si>
    <t>181917399</t>
  </si>
  <si>
    <t>Potassium Chloride; 600mg; Tablet; 100 Tablets</t>
  </si>
  <si>
    <t>PLENISH-K 600MG SR TAB SEC 100</t>
  </si>
  <si>
    <t>51191802-00001</t>
  </si>
  <si>
    <t>53757c51-a767-4fc8-ad1f-df0c820272a9</t>
  </si>
  <si>
    <t>189705099</t>
  </si>
  <si>
    <t>Potassium Citrate;  BP; Suspension; 200 ml</t>
  </si>
  <si>
    <t>Potassium Citrate</t>
  </si>
  <si>
    <t>Resmed Potassium citrate mixture 30%</t>
  </si>
  <si>
    <t>A12BA02</t>
  </si>
  <si>
    <t>51191805-00000</t>
  </si>
  <si>
    <t>a44dcb62-490f-4d7d-a90b-b13c3f3bd140</t>
  </si>
  <si>
    <t>180076573</t>
  </si>
  <si>
    <t>Potassium Phosphate; 1g/10ml; injection; 10 ml</t>
  </si>
  <si>
    <t>Potassium Phosphate</t>
  </si>
  <si>
    <t>Sabax Potassium Phosphate solution for injection after dilution</t>
  </si>
  <si>
    <t>B05XA06</t>
  </si>
  <si>
    <t>51171628-00000</t>
  </si>
  <si>
    <t>cfad07be-af30-4d6b-83ca-9c371709a916</t>
  </si>
  <si>
    <t>181861436</t>
  </si>
  <si>
    <t>Povidone Iodine; 1%; Liquid; 100 ml</t>
  </si>
  <si>
    <t>Povidone Iodine</t>
  </si>
  <si>
    <t>Peviderm</t>
  </si>
  <si>
    <t>D08AG02</t>
  </si>
  <si>
    <t>51471505-00006</t>
  </si>
  <si>
    <t>8a2f138f-722e-4c29-84a2-7b522edbdad1</t>
  </si>
  <si>
    <t>189712302</t>
  </si>
  <si>
    <t>Povidone Iodine; 10%; Liquid; 1 L</t>
  </si>
  <si>
    <t>51471505-00007</t>
  </si>
  <si>
    <t>68ecd892-3e47-4a39-b627-d4b3225e6256</t>
  </si>
  <si>
    <t>189703515</t>
  </si>
  <si>
    <t>Povidone Iodine; 10%; Ointment; 25 g</t>
  </si>
  <si>
    <t>Barrs Povidone Iodine 10%  ointment</t>
  </si>
  <si>
    <t>51471505-00001</t>
  </si>
  <si>
    <t>5c7b07b6-c2a4-444e-8092-d45597803375</t>
  </si>
  <si>
    <t>189707388</t>
  </si>
  <si>
    <t>Povidone Iodine; 10%; Ointment; 500 g</t>
  </si>
  <si>
    <t>51471505-00000</t>
  </si>
  <si>
    <t>180119662</t>
  </si>
  <si>
    <t>Povidone Iodine; 5%; Cream; 25 g</t>
  </si>
  <si>
    <t xml:space="preserve">Biocream 25g (0501398T) </t>
  </si>
  <si>
    <t>51471505-00003</t>
  </si>
  <si>
    <t>bb6bc931-ead7-4bd6-a86a-8008532cbe63</t>
  </si>
  <si>
    <t>189708213</t>
  </si>
  <si>
    <t>Povidone Iodine; 5%; Cream; 500 g</t>
  </si>
  <si>
    <t>Biocream 500g (0501388)</t>
  </si>
  <si>
    <t>51471505-00004</t>
  </si>
  <si>
    <t>268</t>
  </si>
  <si>
    <t>181758021</t>
  </si>
  <si>
    <t>Pramipexole; 0.25mg; Tablet; 100 Tablets</t>
  </si>
  <si>
    <t>Pramipexole</t>
  </si>
  <si>
    <t>PEXASP 0.25MG TAB 100 ZA</t>
  </si>
  <si>
    <t>N04BC05</t>
  </si>
  <si>
    <t>51142508-00002</t>
  </si>
  <si>
    <t>dbdd6cce-4269-471f-b2f0-92dd885af6e7</t>
  </si>
  <si>
    <t>269</t>
  </si>
  <si>
    <t>180230824</t>
  </si>
  <si>
    <t>Pravastatin; 20mg; Tablet; 30 Tablets</t>
  </si>
  <si>
    <t>Pravastatin</t>
  </si>
  <si>
    <t>Pixeta 20mg</t>
  </si>
  <si>
    <t>C10AA03</t>
  </si>
  <si>
    <t>51322703-00001</t>
  </si>
  <si>
    <t>d1b9de69-8813-49bd-bef4-79eab9ba7269</t>
  </si>
  <si>
    <t>270</t>
  </si>
  <si>
    <t>222001118</t>
  </si>
  <si>
    <t>Pravastatin; 40mg; Tablet; 30 Tablets</t>
  </si>
  <si>
    <t>Pixeta 40mg</t>
  </si>
  <si>
    <t>51322703-00002</t>
  </si>
  <si>
    <t>c8b750df-96c2-4a04-8cb7-8a16c2fbb29f</t>
  </si>
  <si>
    <t>189712366</t>
  </si>
  <si>
    <t>Praziquantel; 500mg; Tablet; 100 Tablets</t>
  </si>
  <si>
    <t>Praziquantel</t>
  </si>
  <si>
    <t>Cysticide</t>
  </si>
  <si>
    <t>P02BA01</t>
  </si>
  <si>
    <t>51452701-00001</t>
  </si>
  <si>
    <t>353ff39f-c471-40fb-8f63-d08bb04142d5</t>
  </si>
  <si>
    <t>180966026</t>
  </si>
  <si>
    <t>Prednisolone Caproate, Cinchocaine; 1.3mg, 1mg; Suppository; 12 Suppositories</t>
  </si>
  <si>
    <t>Prednisolone Caproate, Cinchocaine</t>
  </si>
  <si>
    <t>Scheriprocht Suppositories</t>
  </si>
  <si>
    <t>C05AA04</t>
  </si>
  <si>
    <t>51271626-00000</t>
  </si>
  <si>
    <t>4ed5a00f-166b-473c-a630-f93c3e58e1d6</t>
  </si>
  <si>
    <t>222001027</t>
  </si>
  <si>
    <t>Prednisolone Caproate, Cinchocaine; 1.9mg/g, 5mg/g; Ointment; 15 g</t>
  </si>
  <si>
    <t xml:space="preserve">Scheriprocht Ointment 30g (Spec Deviation) </t>
  </si>
  <si>
    <t>51271626-00001</t>
  </si>
  <si>
    <t>1fe9a231-b82c-474a-bb9c-56870973fdf6</t>
  </si>
  <si>
    <t>189712345</t>
  </si>
  <si>
    <t>Prednisolone; 1%; Drop, Eye; 5 ml</t>
  </si>
  <si>
    <t>Prednisolone</t>
  </si>
  <si>
    <t>Pred Forte</t>
  </si>
  <si>
    <t>S01BA04</t>
  </si>
  <si>
    <t>51422315-00000</t>
  </si>
  <si>
    <t>c7b4a1f2-e310-4c41-9ebe-e61c749f10a0</t>
  </si>
  <si>
    <t>272</t>
  </si>
  <si>
    <t>189714134</t>
  </si>
  <si>
    <t>Prednisone; 5mg; Tablet; 100 Tablets</t>
  </si>
  <si>
    <t>Prednisone</t>
  </si>
  <si>
    <t>BE-TABS PREDNISONE 5MG</t>
  </si>
  <si>
    <t>H02AB07</t>
  </si>
  <si>
    <t>51422101-00002</t>
  </si>
  <si>
    <t>40e8f751-9b88-4187-a940-637d8a86cd88</t>
  </si>
  <si>
    <t>273</t>
  </si>
  <si>
    <t>181798179</t>
  </si>
  <si>
    <t>Prednisone; 5mg; Tablet; 28 Tablets</t>
  </si>
  <si>
    <t>51422101-00000</t>
  </si>
  <si>
    <t>TROLIC</t>
  </si>
  <si>
    <t>274</t>
  </si>
  <si>
    <t>181892395</t>
  </si>
  <si>
    <t>Prednisone; 5mg; Tablet; 40 Tablets</t>
  </si>
  <si>
    <t>51422101-00005</t>
  </si>
  <si>
    <t>275</t>
  </si>
  <si>
    <t>181860002</t>
  </si>
  <si>
    <t>Prednisone; 5mg; Tablet; 56 Tablets</t>
  </si>
  <si>
    <t>51422101-00001</t>
  </si>
  <si>
    <t>276</t>
  </si>
  <si>
    <t>181836131</t>
  </si>
  <si>
    <t>Pregabalin; 150mg; Tablet; 56 Capsules</t>
  </si>
  <si>
    <t>Pregabalin</t>
  </si>
  <si>
    <t>Avertz 150</t>
  </si>
  <si>
    <t>N03AX16</t>
  </si>
  <si>
    <t>91097491-cd75-4d28-87e8-0b27e3e7825a</t>
  </si>
  <si>
    <t>277</t>
  </si>
  <si>
    <t>222001424</t>
  </si>
  <si>
    <t>Pregabalin; 25mg; Capsule; 60 Capsules</t>
  </si>
  <si>
    <t>Glovireg 25</t>
  </si>
  <si>
    <t>196 x 60</t>
  </si>
  <si>
    <t>51141534-00000</t>
  </si>
  <si>
    <t>3c7d4dee-ece7-48d2-b7c4-fd156048783b</t>
  </si>
  <si>
    <t>278</t>
  </si>
  <si>
    <t>181831898</t>
  </si>
  <si>
    <t>Pregabalin; 75mg; Capsule; 56 Capsules</t>
  </si>
  <si>
    <t>TIMIRIL 75 mg</t>
  </si>
  <si>
    <t>51141534-00001</t>
  </si>
  <si>
    <t>c84b1014-76fb-4501-a383-ce3fad4a3e4c</t>
  </si>
  <si>
    <t>189703419</t>
  </si>
  <si>
    <t>Promethazine; 25mg/ml; injection; 1 ml</t>
  </si>
  <si>
    <t>Promethazine</t>
  </si>
  <si>
    <t>PROMETHAZINE HCI FRESENIUS 25 mg</t>
  </si>
  <si>
    <t>R06AD02</t>
  </si>
  <si>
    <t>51313301-00000</t>
  </si>
  <si>
    <t>7a3cad32-058f-4f30-8c00-4a13365f7766</t>
  </si>
  <si>
    <t>189703420</t>
  </si>
  <si>
    <t>Promethazine; 50mg/2ml; injection; 2 ml</t>
  </si>
  <si>
    <t>PROMETHAZINE HCI FRESENIUS 50 mg</t>
  </si>
  <si>
    <t>51313301-00001</t>
  </si>
  <si>
    <t>41a86b7b-38fd-4862-81b4-9e6fe5c66fb2</t>
  </si>
  <si>
    <t>189702847</t>
  </si>
  <si>
    <t>Promethazine; 5mg/5ml; Elixir; 100 ml</t>
  </si>
  <si>
    <t>Elixir</t>
  </si>
  <si>
    <t>Triomethazine 100ml</t>
  </si>
  <si>
    <t>51313305-00004</t>
  </si>
  <si>
    <t>aa28f620-affd-44d9-b1f0-658ea7dc6288</t>
  </si>
  <si>
    <t>180076590</t>
  </si>
  <si>
    <t>Propofol; 10mg/ml; injection; 20 ml</t>
  </si>
  <si>
    <t>Propofol</t>
  </si>
  <si>
    <t>MILSIA 1 % 20 ml</t>
  </si>
  <si>
    <t>N01AX10</t>
  </si>
  <si>
    <t>51272901-00000</t>
  </si>
  <si>
    <t>7c6f9c9d-ea75-438f-8968-c289deb80cbd</t>
  </si>
  <si>
    <t>189763039</t>
  </si>
  <si>
    <t>Propofol; 10mg/ml; injection; 50 ml</t>
  </si>
  <si>
    <t>MILSIA 1 % 50 ml</t>
  </si>
  <si>
    <t>51272901-00001</t>
  </si>
  <si>
    <t>282</t>
  </si>
  <si>
    <t>181798180</t>
  </si>
  <si>
    <t>Propranolol; 10mg; Tablet; 28 Tablets</t>
  </si>
  <si>
    <t>Propranolol</t>
  </si>
  <si>
    <t>Prodorol 10 mg</t>
  </si>
  <si>
    <t>C07AA05</t>
  </si>
  <si>
    <t>51262907-00000</t>
  </si>
  <si>
    <t>0360a290-3a27-4055-9517-09e6aa554770</t>
  </si>
  <si>
    <t>283</t>
  </si>
  <si>
    <t>189716004</t>
  </si>
  <si>
    <t>Propranolol; 10mg; Tablet; 50 Tablets</t>
  </si>
  <si>
    <t>51262907-00008</t>
  </si>
  <si>
    <t>284</t>
  </si>
  <si>
    <t>181798181</t>
  </si>
  <si>
    <t>Propranolol; 10mg; Tablet; 84 Tablets</t>
  </si>
  <si>
    <t>51262907-00001</t>
  </si>
  <si>
    <t>285</t>
  </si>
  <si>
    <t>189711802</t>
  </si>
  <si>
    <t>Propranolol; 40mg; Tablet; 56 Tablets</t>
  </si>
  <si>
    <t>Prodorol 40 mg</t>
  </si>
  <si>
    <t>51262907-00004</t>
  </si>
  <si>
    <t>175b021e-8afa-42b0-a3fc-62aa4a1232d3</t>
  </si>
  <si>
    <t>286</t>
  </si>
  <si>
    <t>180190493</t>
  </si>
  <si>
    <t>Propranolol; 40mg; Tablet; 84 Tablets</t>
  </si>
  <si>
    <t>51262907-00005</t>
  </si>
  <si>
    <t>189714878</t>
  </si>
  <si>
    <t>Propylene Glycol;  BP; Liquid; 2.5 L</t>
  </si>
  <si>
    <t>Propylene Glycol</t>
  </si>
  <si>
    <t>Propylene Glycol 2.5l</t>
  </si>
  <si>
    <t>12352135-00000</t>
  </si>
  <si>
    <t>0c833e2b-6a8f-42fd-a2e4-1631a871e49e</t>
  </si>
  <si>
    <t>180076593</t>
  </si>
  <si>
    <t>Protamine; 10mg/ml; injection; 5 ml</t>
  </si>
  <si>
    <t>Protamine</t>
  </si>
  <si>
    <t>Protamine Sulphate 50mg Inj 5ml</t>
  </si>
  <si>
    <t>V03AB14</t>
  </si>
  <si>
    <t>2 x 10</t>
  </si>
  <si>
    <t>51172305-00000</t>
  </si>
  <si>
    <t>538c9cd9-7df8-4a5d-a47b-695d0d9e7489</t>
  </si>
  <si>
    <t>181817496</t>
  </si>
  <si>
    <t>Pyrazinamide; 500mg; Tablet; 28 Tablets</t>
  </si>
  <si>
    <t>Pyrazinamide</t>
  </si>
  <si>
    <t>Macleods Pyrazinamide 500</t>
  </si>
  <si>
    <t>J04AK01</t>
  </si>
  <si>
    <t>51281504-00000</t>
  </si>
  <si>
    <t>1d05eca7-eb37-4994-99a2-2b9ca8a19213</t>
  </si>
  <si>
    <t>181817499</t>
  </si>
  <si>
    <t>Pyrazinamide; 500mg; Tablet; 56 Tablets</t>
  </si>
  <si>
    <t>51281504-00001</t>
  </si>
  <si>
    <t>HP01-2021TB/01</t>
  </si>
  <si>
    <t>181901581</t>
  </si>
  <si>
    <t>Pyrazinamide; 500mg; Tablet; 84 Tablets</t>
  </si>
  <si>
    <t>Macleods Pyrazinamide  500</t>
  </si>
  <si>
    <t>1 x 84</t>
  </si>
  <si>
    <t>51281504-00003</t>
  </si>
  <si>
    <t>287</t>
  </si>
  <si>
    <t>180000607</t>
  </si>
  <si>
    <t>Pyridostigmine; 10mg; Tablet; 50 Tablets</t>
  </si>
  <si>
    <t>Pyridostigmine</t>
  </si>
  <si>
    <t>MESTINON 10 MG</t>
  </si>
  <si>
    <t>N07AA02</t>
  </si>
  <si>
    <t>51151514-00000</t>
  </si>
  <si>
    <t>4d0edcb1-2102-458b-9381-945288806a92</t>
  </si>
  <si>
    <t>288</t>
  </si>
  <si>
    <t>189710277</t>
  </si>
  <si>
    <t>Pyridostigmine; 60mg; Tablet; 150 Tablets</t>
  </si>
  <si>
    <t>MESTINON 60 MG</t>
  </si>
  <si>
    <t>51151514-00001</t>
  </si>
  <si>
    <t>765fa36a-b8ad-4888-bfb1-4976ac6f88fd</t>
  </si>
  <si>
    <t>292</t>
  </si>
  <si>
    <t>180351237</t>
  </si>
  <si>
    <t>Quetiapine; 100mg; Tablet; 90 Tablets</t>
  </si>
  <si>
    <t>Quetiapine</t>
  </si>
  <si>
    <t>Quesara  100 mg</t>
  </si>
  <si>
    <t>N05AH04</t>
  </si>
  <si>
    <t>126 x 90</t>
  </si>
  <si>
    <t>51334204-00006</t>
  </si>
  <si>
    <t>368bff25-2257-4a0b-bd2f-8826ced25f40</t>
  </si>
  <si>
    <t>294</t>
  </si>
  <si>
    <t>180351239</t>
  </si>
  <si>
    <t>Quetiapine; 200mg; Tablet; 60 Tablets</t>
  </si>
  <si>
    <t>Quesara 200 mg</t>
  </si>
  <si>
    <t>192 x 60</t>
  </si>
  <si>
    <t>51334204-00002</t>
  </si>
  <si>
    <t>0b2eeb60-3280-45f7-a3f8-9fd8a3b4d3c0</t>
  </si>
  <si>
    <t>295</t>
  </si>
  <si>
    <t>180350983</t>
  </si>
  <si>
    <t>Quetiapine; 25mg; Tablet; 100 Tablets</t>
  </si>
  <si>
    <t>Quesara 25 mg</t>
  </si>
  <si>
    <t>51334204-00003</t>
  </si>
  <si>
    <t>4369ebf3-fad7-40e6-98b5-f2debd5be49f</t>
  </si>
  <si>
    <t>297</t>
  </si>
  <si>
    <t>181772178</t>
  </si>
  <si>
    <t>Quetiapine; 300mg; Tablet; 60 Tablets</t>
  </si>
  <si>
    <t>Quesara 300 mg</t>
  </si>
  <si>
    <t>90 x 60</t>
  </si>
  <si>
    <t>51334204-00005</t>
  </si>
  <si>
    <t>dffed88d-23b6-4157-afe5-405b3f3ded8d</t>
  </si>
  <si>
    <t>189706315</t>
  </si>
  <si>
    <t>Quinine; 300mg/ml; injection; 1 ml</t>
  </si>
  <si>
    <t>Quinine</t>
  </si>
  <si>
    <t>QUININE DIHYDROCHLORIDE FRESENIUS 300 mg/1 ml</t>
  </si>
  <si>
    <t>P01BC01</t>
  </si>
  <si>
    <t>51101904-00003</t>
  </si>
  <si>
    <t>5a3e57d0-758f-4512-8010-d6f78746da42</t>
  </si>
  <si>
    <t>180076594</t>
  </si>
  <si>
    <t>Ranitidine; 50mg/2ml; injection; 2 ml</t>
  </si>
  <si>
    <t>Ranitidine</t>
  </si>
  <si>
    <t>CPL Alliance Ranitadine 50mg/2ml</t>
  </si>
  <si>
    <t>A02BA02</t>
  </si>
  <si>
    <t>51171917-00004</t>
  </si>
  <si>
    <t>52f5967f-795d-496c-b924-c0403dccdc28</t>
  </si>
  <si>
    <t>222001066</t>
  </si>
  <si>
    <t>Recombinant Anthihaemophilic Factor VIII; 1000IU; injection; 1 Dose</t>
  </si>
  <si>
    <t>Recombinant Anthihaemophilic Factor VIII</t>
  </si>
  <si>
    <t>Kovaltry 1000</t>
  </si>
  <si>
    <t>2c1e783c-b8a4-4233-9b84-81e3f64d2137</t>
  </si>
  <si>
    <t>222001067</t>
  </si>
  <si>
    <t>Recombinant Anthihaemophilic Factor VIII; 250IU; injection; 1 Dose</t>
  </si>
  <si>
    <t>Kovaltry 250</t>
  </si>
  <si>
    <t>f28228ec-c13e-4115-b00b-6d33d87344e5</t>
  </si>
  <si>
    <t>222001068</t>
  </si>
  <si>
    <t>Recombinant Anthihaemophilic Factor VIII; 500IU; injection; 1 Dose</t>
  </si>
  <si>
    <t>Kovaltry 500</t>
  </si>
  <si>
    <t>51131821-00012</t>
  </si>
  <si>
    <t>c4e3d83f-21c3-41d1-909e-b83d7abfbd9e</t>
  </si>
  <si>
    <t>181757213</t>
  </si>
  <si>
    <t>Remifentanil; 2mg; injection; 1 Injection</t>
  </si>
  <si>
    <t>Remifentanil</t>
  </si>
  <si>
    <t xml:space="preserve">FORTIVA 2MG INJ FD VIL 5X5ML ZA    </t>
  </si>
  <si>
    <t>N01AH06</t>
  </si>
  <si>
    <t>51273009-00000</t>
  </si>
  <si>
    <t>94818229-603c-4e46-8ae2-ac2651dd93f6</t>
  </si>
  <si>
    <t>181817633</t>
  </si>
  <si>
    <t>Rifampicin, Isoniazid; 150mg, 75mg; Tablet; 56 Tablets</t>
  </si>
  <si>
    <t>Rifampicin, Isoniazid</t>
  </si>
  <si>
    <t>RIFINAH 150+75 MG TAB 56</t>
  </si>
  <si>
    <t>J04AM02</t>
  </si>
  <si>
    <t>51162103-00001</t>
  </si>
  <si>
    <t>ed5c3a05-f4b6-4db1-98dd-f2ea5b604eac</t>
  </si>
  <si>
    <t>Afaris FC 150/75</t>
  </si>
  <si>
    <t>181817634</t>
  </si>
  <si>
    <t>Rifampicin, Isoniazid; 150mg, 75mg; Tablet; 84 Tablets</t>
  </si>
  <si>
    <t>RIFINAH 150+75 MG TAB 84</t>
  </si>
  <si>
    <t>51162103-00002</t>
  </si>
  <si>
    <t>181817575</t>
  </si>
  <si>
    <t>Rifampicin, Isoniazid; 300mg, 150mg; Tablet; 56 Tablets</t>
  </si>
  <si>
    <t>RIFINAH 300 FC  300+150 MG TAB 56</t>
  </si>
  <si>
    <t>51162103-00003</t>
  </si>
  <si>
    <t>4c3cfc8a-4ebc-4865-88f3-e66a785b043a</t>
  </si>
  <si>
    <t>Afaris FC 300/150</t>
  </si>
  <si>
    <t>181879047</t>
  </si>
  <si>
    <t>Rifampicin, Isoniazid; 60mg, 60mg; Tablet; 28 Tablets</t>
  </si>
  <si>
    <t>Rimactazid 60/60 28s</t>
  </si>
  <si>
    <t>51162103-00004</t>
  </si>
  <si>
    <t>76cf61c5-22b0-43d5-9601-d800f3087c88</t>
  </si>
  <si>
    <t>181879049</t>
  </si>
  <si>
    <t>Rifampicin, Isoniazid; 60mg, 60mg; Tablet; 56 Tablets</t>
  </si>
  <si>
    <t>Rimactazid 60/60 56's</t>
  </si>
  <si>
    <t>51162103-00005</t>
  </si>
  <si>
    <t>222000932</t>
  </si>
  <si>
    <t>Rifampicin, Isoniazid; 75mg, 50mg; Tablet; 84 Tablets</t>
  </si>
  <si>
    <t>Afaris Paed 75/50</t>
  </si>
  <si>
    <t>51283601-00003</t>
  </si>
  <si>
    <t>39a5e08b-9756-4cc1-8520-fa25a445061f</t>
  </si>
  <si>
    <t>181817608</t>
  </si>
  <si>
    <t>Rifampicin, Pyrazinamide, Ethambutol, Isoniazid; 150mg, 400mg, 275mg, 75mg; Tablet; 112 Tablets</t>
  </si>
  <si>
    <t>Rifampicin, Pyrazinamide, Ethambutol, Isoniazid</t>
  </si>
  <si>
    <t>Risopet</t>
  </si>
  <si>
    <t>Pharma Dynamics (pty) Ltd</t>
  </si>
  <si>
    <t>V03R0</t>
  </si>
  <si>
    <t>J04AM06</t>
  </si>
  <si>
    <t>51162101-00005</t>
  </si>
  <si>
    <t>MAAA0025631</t>
  </si>
  <si>
    <t>86873140-dab4-4564-a979-2f90dd46719e</t>
  </si>
  <si>
    <t>Rimtib Tablets</t>
  </si>
  <si>
    <t>181817624</t>
  </si>
  <si>
    <t>Rifampicin, Pyrazinamide, Ethambutol, Isoniazid; 150mg, 400mg, 275mg, 75mg; Tablet; 28 Tablets</t>
  </si>
  <si>
    <t>51162101-00001</t>
  </si>
  <si>
    <t>181817626</t>
  </si>
  <si>
    <t>Rifampicin, Pyrazinamide, Ethambutol, Isoniazid; 150mg, 400mg, 275mg, 75mg; Tablet; 56 Tablets</t>
  </si>
  <si>
    <t>51162101-00002</t>
  </si>
  <si>
    <t>181817627</t>
  </si>
  <si>
    <t>Rifampicin, Pyrazinamide, Ethambutol, Isoniazid; 150mg, 400mg, 275mg, 75mg; Tablet; 84 Tablets</t>
  </si>
  <si>
    <t>51162101-00003</t>
  </si>
  <si>
    <t>222000933</t>
  </si>
  <si>
    <t>Rifampicin, Pyrazinamide, Isoniazid; 75mg, 150mg, 50mg; Tablet; 84 Tablets</t>
  </si>
  <si>
    <t>Rifampicin, Pyrazinamide, Isoniazid</t>
  </si>
  <si>
    <t>Co-Afaris Paed 75/50/150</t>
  </si>
  <si>
    <t>J04AM05</t>
  </si>
  <si>
    <t>51162101-00006</t>
  </si>
  <si>
    <t>9992d509-6564-4eb3-aa49-436f13353514</t>
  </si>
  <si>
    <t>189710391</t>
  </si>
  <si>
    <t>Rifampicin; 150mg; Capsule; 100 Capsules</t>
  </si>
  <si>
    <t>Rifampicin</t>
  </si>
  <si>
    <t>Rimactane 150mg 100s</t>
  </si>
  <si>
    <t>J04AB02</t>
  </si>
  <si>
    <t>51283601-00000</t>
  </si>
  <si>
    <t>77153584-88f1-4454-8696-af59f9a668f1</t>
  </si>
  <si>
    <t>222000931</t>
  </si>
  <si>
    <t>Rifapentine; 150mg; Tablet; 24 Tablets</t>
  </si>
  <si>
    <t>Rifapentine</t>
  </si>
  <si>
    <t>PRIFTIN 150 MG TAB 24</t>
  </si>
  <si>
    <t>J04AB05</t>
  </si>
  <si>
    <t>51283603-00000</t>
  </si>
  <si>
    <t>0657bb13-6352-4f65-aeca-e6d4fb3c1bbb</t>
  </si>
  <si>
    <t>180145945</t>
  </si>
  <si>
    <t>Ring, fallopian tube; Medical device; 1 Device</t>
  </si>
  <si>
    <t>Ring, fallopian tube</t>
  </si>
  <si>
    <t>TUBAL RINGS - WHO-GMP REGISTRATION</t>
  </si>
  <si>
    <t>50 pairs</t>
  </si>
  <si>
    <t>e9722ac8-d4a2-4ed4-b60a-186f5712a765</t>
  </si>
  <si>
    <t>180018948</t>
  </si>
  <si>
    <t>Ringer Lactate; Infusion (parenteral); 1 L</t>
  </si>
  <si>
    <t>Ringer Lactate</t>
  </si>
  <si>
    <t>Sabax Ringer-Lactate (1000ml)</t>
  </si>
  <si>
    <t>51191604-00002</t>
  </si>
  <si>
    <t>91c562f7-c35f-41cd-9fc4-ddd2de078b57</t>
  </si>
  <si>
    <t>189761537</t>
  </si>
  <si>
    <t>Ringer Lactate; Infusion (parenteral); 200 ml</t>
  </si>
  <si>
    <t>Autosterile Ringer-Lactate Injection BP 200ml (FIG1036)</t>
  </si>
  <si>
    <t>713615-001</t>
  </si>
  <si>
    <t>51191604-00003</t>
  </si>
  <si>
    <t>309</t>
  </si>
  <si>
    <t>181786131</t>
  </si>
  <si>
    <t>Risedronic Acid; 35mg; Tablet; 4 Tablets</t>
  </si>
  <si>
    <t>Risedronic Acid</t>
  </si>
  <si>
    <t>Bontelvia 35 mg</t>
  </si>
  <si>
    <t>M05BA07</t>
  </si>
  <si>
    <t>180 x 4</t>
  </si>
  <si>
    <t>51182417-00000</t>
  </si>
  <si>
    <t>0fdbb88b-f3b8-4bf6-9a3b-b93bf462cc66</t>
  </si>
  <si>
    <t>311</t>
  </si>
  <si>
    <t>181799554</t>
  </si>
  <si>
    <t>Risperidone; 0.5mg; Tablet; 30 Tablets</t>
  </si>
  <si>
    <t>Risperidone</t>
  </si>
  <si>
    <t xml:space="preserve">Risnia 0.5 mg </t>
  </si>
  <si>
    <t>N05AX08</t>
  </si>
  <si>
    <t>51333601-00000</t>
  </si>
  <si>
    <t>889340ec-e08e-4fd2-857d-94439716d2b2</t>
  </si>
  <si>
    <t>180968975</t>
  </si>
  <si>
    <t>Risperidone; 1mg/ml; Solution; 30 ml</t>
  </si>
  <si>
    <t>Risperdal 1mg/ml</t>
  </si>
  <si>
    <t>51333601-00005</t>
  </si>
  <si>
    <t>54a1f5fa-b03c-486e-9b53-722c3dcd5805</t>
  </si>
  <si>
    <t>312</t>
  </si>
  <si>
    <t>180339003</t>
  </si>
  <si>
    <t>Risperidone; 1mg; Tablet; 30 Tablets</t>
  </si>
  <si>
    <t xml:space="preserve">Risnia 1 mg </t>
  </si>
  <si>
    <t>51333601-00006</t>
  </si>
  <si>
    <t>cd8205d7-afba-4e63-91ac-345c0775d111</t>
  </si>
  <si>
    <t>313</t>
  </si>
  <si>
    <t>180965107</t>
  </si>
  <si>
    <t>Risperidone; 2mg; Tablet; 30 Tablets</t>
  </si>
  <si>
    <t xml:space="preserve">Risnia 2mg </t>
  </si>
  <si>
    <t>51333601-00007</t>
  </si>
  <si>
    <t>4a043917-47d4-47ac-b192-46dd6985c98a</t>
  </si>
  <si>
    <t>314</t>
  </si>
  <si>
    <t>180964999</t>
  </si>
  <si>
    <t>Risperidone; 3mg; Tablet; 30 Tablets</t>
  </si>
  <si>
    <t>Risnia 3mg</t>
  </si>
  <si>
    <t>51333601-00008</t>
  </si>
  <si>
    <t>0bf4fbe5-9f3b-49c7-b684-4bd10daa8ff9</t>
  </si>
  <si>
    <t>181752974</t>
  </si>
  <si>
    <t>Rituximab; 100mg/10ml; injection; 10 ml</t>
  </si>
  <si>
    <t>Rituximab</t>
  </si>
  <si>
    <t>Mabthera 100mg</t>
  </si>
  <si>
    <t>L01XC02</t>
  </si>
  <si>
    <t>51111716-00000</t>
  </si>
  <si>
    <t>c833856f-04a9-4e4f-9291-0bcd1f21562f</t>
  </si>
  <si>
    <t>180669542</t>
  </si>
  <si>
    <t>Rituximab; 500mg/50ml; injection; 50 ml</t>
  </si>
  <si>
    <t>Mabthera 500mg</t>
  </si>
  <si>
    <t>51111716-00001</t>
  </si>
  <si>
    <t>c70dfcb7-8a20-4628-ad10-355489fa03e7</t>
  </si>
  <si>
    <t>315</t>
  </si>
  <si>
    <t>181870433</t>
  </si>
  <si>
    <t>Rivaroxaban; 10mg; Tablet; 30 Tablets</t>
  </si>
  <si>
    <t>Rivaroxaban</t>
  </si>
  <si>
    <t>Xarelto 10mg</t>
  </si>
  <si>
    <t>B01AF01</t>
  </si>
  <si>
    <t>1 x 30</t>
  </si>
  <si>
    <t>51131650-00000</t>
  </si>
  <si>
    <t>e41dffad-d23d-4b68-8583-a718426b5742</t>
  </si>
  <si>
    <t>316</t>
  </si>
  <si>
    <t>222001163</t>
  </si>
  <si>
    <t>Rivaroxaban; 15mg; Tablet; 30 Tablets</t>
  </si>
  <si>
    <t>Xarelto 15mg</t>
  </si>
  <si>
    <t>1 X 42</t>
  </si>
  <si>
    <t>51131650-00001</t>
  </si>
  <si>
    <t>adb89f62-ea97-49ed-8dc9-2459b25aa42b</t>
  </si>
  <si>
    <t>317</t>
  </si>
  <si>
    <t>222001433</t>
  </si>
  <si>
    <t>Rivaroxaban; 20mg; Tablet; 30 Tablets</t>
  </si>
  <si>
    <t>Xarelto 20mg</t>
  </si>
  <si>
    <t>1 X 28</t>
  </si>
  <si>
    <t>51131650-00002</t>
  </si>
  <si>
    <t>cdc6e59c-5338-476c-9daf-8d91c8d1cabd</t>
  </si>
  <si>
    <t>180960252</t>
  </si>
  <si>
    <t>Rocuronium Bromide; 50mg/5ml; injection; 5 ml</t>
  </si>
  <si>
    <t>Rocuronium Bromide</t>
  </si>
  <si>
    <t>ROCURONIUM FRESENIUS 10 mg/ml (50 mg/5 ml)</t>
  </si>
  <si>
    <t>M03AC09</t>
  </si>
  <si>
    <t>51152003-00000</t>
  </si>
  <si>
    <t>73304af2-42e6-4f8d-af18-31bbb784f15a</t>
  </si>
  <si>
    <t>318</t>
  </si>
  <si>
    <t>222001127</t>
  </si>
  <si>
    <t>Rosuvastatin; 10mg; Tablet; 28 Tablets</t>
  </si>
  <si>
    <t>Rosuvastatin</t>
  </si>
  <si>
    <t xml:space="preserve">Vasrov 10 mg </t>
  </si>
  <si>
    <t>C10AA07</t>
  </si>
  <si>
    <t>198 X 28</t>
  </si>
  <si>
    <t>51322203-00000</t>
  </si>
  <si>
    <t>b5ed7bf3-0847-4c57-b290-d5176e4d1101</t>
  </si>
  <si>
    <t>319</t>
  </si>
  <si>
    <t>222001128</t>
  </si>
  <si>
    <t>Rosuvastatin; 5mg; Tablet; 28 Tablets</t>
  </si>
  <si>
    <t>Vasrov 5 mg</t>
  </si>
  <si>
    <t>120 X 28</t>
  </si>
  <si>
    <t>51322203-00001</t>
  </si>
  <si>
    <t>b3f8ab18-c442-4329-94b3-5bf880f1e12f</t>
  </si>
  <si>
    <t>180199137</t>
  </si>
  <si>
    <t>Rust And Stain Remover; Solution; 5 L</t>
  </si>
  <si>
    <t>Rust And Stain Remover</t>
  </si>
  <si>
    <t>42281706-00001</t>
  </si>
  <si>
    <t>873924bf-76f7-402a-b0e3-95bb9469798b</t>
  </si>
  <si>
    <t>180146017</t>
  </si>
  <si>
    <t>Salbutamol, Ipratropium Bromide; 2.5mg/2.5ml, 0.5mg/2.5ml; solution, inhalation; 60 UDVs (2.5ml)</t>
  </si>
  <si>
    <t>UDV (2.5ml) (UDVs (2.5ml))</t>
  </si>
  <si>
    <t>Salbutamol, Ipratropium Bromide</t>
  </si>
  <si>
    <t>Adco Combineb</t>
  </si>
  <si>
    <t>R03AL02</t>
  </si>
  <si>
    <t>51161705-00008</t>
  </si>
  <si>
    <t>ddd86ad8-ae08-4517-9452-37c5c617b9da</t>
  </si>
  <si>
    <t>189703618</t>
  </si>
  <si>
    <t>Salbutamol; 100mcg; Inhaler; 200 Doses</t>
  </si>
  <si>
    <t>Salbutamol</t>
  </si>
  <si>
    <t>Ventimax 100 CFC Free Inhaler (200 Doses) Complete</t>
  </si>
  <si>
    <t>R03AC02</t>
  </si>
  <si>
    <t>51391703-00001</t>
  </si>
  <si>
    <t>2a0163eb-1fc9-4bf3-bc67-c67f18f72a4d</t>
  </si>
  <si>
    <t>Venteze CFC free Inhaler</t>
  </si>
  <si>
    <t>181844131</t>
  </si>
  <si>
    <t>Salmeterol, Fluticasone; 25mcg, 250mcg; Inhaler; 120 Doses</t>
  </si>
  <si>
    <t>Salmeterol, Fluticasone</t>
  </si>
  <si>
    <t>Sereflo 25/250 HFA</t>
  </si>
  <si>
    <t>R03AK06</t>
  </si>
  <si>
    <t>51162030-00003</t>
  </si>
  <si>
    <t>cb9792da-aeea-43ce-82d6-816fda491dbb</t>
  </si>
  <si>
    <t>181776847</t>
  </si>
  <si>
    <t>Salmeterol, Fluticasone; 25mcg, 50mcg; Inhaler; 120 Doses</t>
  </si>
  <si>
    <t>ACTUATION (ACTUATIONS)</t>
  </si>
  <si>
    <t>Sereflo 25/50 HFA</t>
  </si>
  <si>
    <t>51162030-00004</t>
  </si>
  <si>
    <t>2212ab9b-9133-4a6a-9932-b8eeea9ba7ed</t>
  </si>
  <si>
    <t>189714836</t>
  </si>
  <si>
    <t>Selenium Sulfide; 2.5%; Suspension; 50 ml</t>
  </si>
  <si>
    <t>Selenium Sulfide</t>
  </si>
  <si>
    <t>Selsun 2.5</t>
  </si>
  <si>
    <t>Mentholatum South Africa (Pty) Ltd</t>
  </si>
  <si>
    <t>V0MG1</t>
  </si>
  <si>
    <t>D01AE13</t>
  </si>
  <si>
    <t>51192311-00100</t>
  </si>
  <si>
    <t>MAAA0106047</t>
  </si>
  <si>
    <t>4cd64656-ed5c-4af8-a4a8-8f6bbffd17e2</t>
  </si>
  <si>
    <t>320</t>
  </si>
  <si>
    <t>181826115</t>
  </si>
  <si>
    <t>Senna Glycosides; 13.5mg; Tablet; 20 Tablets</t>
  </si>
  <si>
    <t>Senna Glycosides</t>
  </si>
  <si>
    <t>Soflax Tablets</t>
  </si>
  <si>
    <t>A06AB06</t>
  </si>
  <si>
    <t>51171610-00000</t>
  </si>
  <si>
    <t>c6e4ab63-7cdb-4ea1-a931-ec78639fb418</t>
  </si>
  <si>
    <t>180190323</t>
  </si>
  <si>
    <t>Sevoflurane;  BP; Liquid; 250 ml</t>
  </si>
  <si>
    <t>Sevoflurane</t>
  </si>
  <si>
    <t>SEVOFLURANE 250ml</t>
  </si>
  <si>
    <t>N01AB08</t>
  </si>
  <si>
    <t>51272408-00000</t>
  </si>
  <si>
    <t>b2c68b12-8615-4138-832a-40b3ee533f52</t>
  </si>
  <si>
    <t>322</t>
  </si>
  <si>
    <t>181828390</t>
  </si>
  <si>
    <t>Sildenafil; 20mg; Tablet; 90 Tablets</t>
  </si>
  <si>
    <t>Sildenafil</t>
  </si>
  <si>
    <t>REVATIO</t>
  </si>
  <si>
    <t>G04BE03</t>
  </si>
  <si>
    <t>51413204-00000</t>
  </si>
  <si>
    <t>3343ab91-5fef-498c-a716-779c4f593fa6</t>
  </si>
  <si>
    <t>189711323</t>
  </si>
  <si>
    <t>Silver Sulfadiazine; 1%; Cream; 250 g</t>
  </si>
  <si>
    <t>Silver Sulfadiazine</t>
  </si>
  <si>
    <t>SILBECOR 1% Cream  250 g</t>
  </si>
  <si>
    <t>D06BA01</t>
  </si>
  <si>
    <t>836 664 027</t>
  </si>
  <si>
    <t>51283945-00000</t>
  </si>
  <si>
    <t>37a5414a-d784-4ecf-8d91-49f9ea3415f4</t>
  </si>
  <si>
    <t>189705116</t>
  </si>
  <si>
    <t>Silver Sulfadiazine; 1%; Cream; 50 g</t>
  </si>
  <si>
    <t>SILBECOR 1% Cream  50 g</t>
  </si>
  <si>
    <t>836 664 019</t>
  </si>
  <si>
    <t>51283945-00002</t>
  </si>
  <si>
    <t>189705115</t>
  </si>
  <si>
    <t>Silver Sulfadiazine; 1%; Cream; 500 g</t>
  </si>
  <si>
    <t>SILBECOR 1% Cream  500 g</t>
  </si>
  <si>
    <t>836 664 035</t>
  </si>
  <si>
    <t>51283945-00001</t>
  </si>
  <si>
    <t>324</t>
  </si>
  <si>
    <t>189762856</t>
  </si>
  <si>
    <t>Simvastatin; 10mg; Tablet; 28 Tablets</t>
  </si>
  <si>
    <t>Simvastatin</t>
  </si>
  <si>
    <t>ROLTESIM 10</t>
  </si>
  <si>
    <t>C10AA01</t>
  </si>
  <si>
    <t>51322704-00001</t>
  </si>
  <si>
    <t>642b7d78-c7db-44cc-906e-715d6a138b6c</t>
  </si>
  <si>
    <t xml:space="preserve">CIPLA SIMVASTATIN 10 </t>
  </si>
  <si>
    <t>Simvastatin 10 Oethmaan</t>
  </si>
  <si>
    <t>325</t>
  </si>
  <si>
    <t>189762970</t>
  </si>
  <si>
    <t>Simvastatin; 20mg; Tablet; 28 Tablets</t>
  </si>
  <si>
    <t>Simvastatin 20 Oethmaan</t>
  </si>
  <si>
    <t>51322704-00000</t>
  </si>
  <si>
    <t>153434e1-ae2c-4278-97c2-ddda56bcadc9</t>
  </si>
  <si>
    <t>Unisim 20</t>
  </si>
  <si>
    <t>ROLTESIM 20</t>
  </si>
  <si>
    <t>326</t>
  </si>
  <si>
    <t>222000166</t>
  </si>
  <si>
    <t>Simvastatin; 40mg; Tablet; 30 Tablets</t>
  </si>
  <si>
    <t>Simvastatin 40 Strides</t>
  </si>
  <si>
    <t>51322704-00002</t>
  </si>
  <si>
    <t>1c862dd6-371a-479c-ae3a-577e83333136</t>
  </si>
  <si>
    <t>181756276</t>
  </si>
  <si>
    <t>Sirolimus; 1mg; Tablet; 30 Tablets</t>
  </si>
  <si>
    <t>Sirolimus</t>
  </si>
  <si>
    <t>Rapamune 1mg</t>
  </si>
  <si>
    <t>L04AA10</t>
  </si>
  <si>
    <t>51202803-00000</t>
  </si>
  <si>
    <t>35bc1f40-ce0e-44d4-8fa5-037ea553d587</t>
  </si>
  <si>
    <t>189711288</t>
  </si>
  <si>
    <t>Sodium Bicarbonate;  BP; Powder; 500 g</t>
  </si>
  <si>
    <t>Sodium Bicarbonate</t>
  </si>
  <si>
    <t>Sodium Bicarbonate BP</t>
  </si>
  <si>
    <t>A02AH</t>
  </si>
  <si>
    <t>51172480-00003</t>
  </si>
  <si>
    <t>15dcd1c7-0688-498f-80bd-8d80dc682151</t>
  </si>
  <si>
    <t>180358064</t>
  </si>
  <si>
    <t>Sodium Bicarbonate; 4%; injection; 50 ml</t>
  </si>
  <si>
    <t>SODIUM BICARBONATE FRESENIUS 4 % INJECTION</t>
  </si>
  <si>
    <t>B05XA02</t>
  </si>
  <si>
    <t>51441802-00100</t>
  </si>
  <si>
    <t>3c834568-e1f7-4772-81b6-0dfb739fceef</t>
  </si>
  <si>
    <t>180106500</t>
  </si>
  <si>
    <t>Sodium Bicarbonate; 4.2%; Infusion (parenteral); 200 ml</t>
  </si>
  <si>
    <t>Sabax Sodium Bicarbonate 4,2% (200ml)</t>
  </si>
  <si>
    <t>B05CB04</t>
  </si>
  <si>
    <t>51191704-00017</t>
  </si>
  <si>
    <t>112e6799-2720-4766-aa6e-c4768ce03216</t>
  </si>
  <si>
    <t>180358068</t>
  </si>
  <si>
    <t>Sodium Bicarbonate; 8.5%; injection; 50 ml</t>
  </si>
  <si>
    <t>SODIUM BICARBONATE FRESENIUS 8.5 % INJECTION</t>
  </si>
  <si>
    <t>51441802-00101</t>
  </si>
  <si>
    <t>c08105bd-fc12-4ec1-bb17-ef0bea9bdc6d</t>
  </si>
  <si>
    <t>189761513</t>
  </si>
  <si>
    <t>Sodium Chloride, Dextrose; 0.2%, 5%; Infusion (parenteral); 200 ml</t>
  </si>
  <si>
    <t>Sodium Chloride, Dextrose</t>
  </si>
  <si>
    <t>Sabax Glucose 5% &amp; Sodium Chloride 0,2%</t>
  </si>
  <si>
    <t>51191602-00005</t>
  </si>
  <si>
    <t>d7a29a06-637b-448e-a9b3-a8634eb54443</t>
  </si>
  <si>
    <t>189761525</t>
  </si>
  <si>
    <t>Sodium Chloride, Dextrose; 0.45%, 5%; Infusion (parenteral); 1 L</t>
  </si>
  <si>
    <t>Sabax General Rehydration Solution with Glucose 5%</t>
  </si>
  <si>
    <t>51191602-00006</t>
  </si>
  <si>
    <t>cb989add-d096-4a63-8da1-25d13d4538de</t>
  </si>
  <si>
    <t>189711067</t>
  </si>
  <si>
    <t>Sodium Chloride, Dextrose; 0.9%, 5%; Infusion (parenteral); 1 L</t>
  </si>
  <si>
    <t>Sabax Glucose 5% &amp; Sodium Chloride 0,9%  (1 000ml)</t>
  </si>
  <si>
    <t>51191602-00007</t>
  </si>
  <si>
    <t>a0390d36-6e00-4515-8b8d-04421b32b4f6</t>
  </si>
  <si>
    <t>189761515</t>
  </si>
  <si>
    <t>Sodium Chloride, Dextrose; 0.9%, 5%; Infusion (parenteral); 200 ml</t>
  </si>
  <si>
    <t>Sabax Glucose 5% &amp; Sodium Chloride 0,9% (200ml)</t>
  </si>
  <si>
    <t>51191602-00008</t>
  </si>
  <si>
    <t>189753372</t>
  </si>
  <si>
    <t>Sodium Chloride;  BP; Powder; 500 g</t>
  </si>
  <si>
    <t>Sodium Chloride</t>
  </si>
  <si>
    <t>Sodium Chloride B.P.</t>
  </si>
  <si>
    <t>B05CB01</t>
  </si>
  <si>
    <t>51191602-00003</t>
  </si>
  <si>
    <t>f0f792cb-d24b-4cf5-9c8d-08c2f1115e93</t>
  </si>
  <si>
    <t>189761551</t>
  </si>
  <si>
    <t>Sodium Chloride; 0.45%; Infusion (parenteral); 1 L</t>
  </si>
  <si>
    <t>Sabax Sodium Chloride 0,45% (1000ml)</t>
  </si>
  <si>
    <t>B05XA03</t>
  </si>
  <si>
    <t>51191602-00023</t>
  </si>
  <si>
    <t>acd18f89-a644-49e8-9495-fa5d655321cc</t>
  </si>
  <si>
    <t>180031142</t>
  </si>
  <si>
    <t>Sodium Chloride; 0.9%; Infusion (parenteral); 1 L</t>
  </si>
  <si>
    <t>Sabax Sodium Chloride 0,9% (1000ml)</t>
  </si>
  <si>
    <t>51191602-00018</t>
  </si>
  <si>
    <t>815c5ee9-b90f-48e3-b022-581631542291</t>
  </si>
  <si>
    <t>189761560</t>
  </si>
  <si>
    <t>Sodium Chloride; 0.9%; Infusion (parenteral); 100 ml</t>
  </si>
  <si>
    <t>Autosterile 0,9% Sodium Chloride Injection BP 100ml (FIG1005)</t>
  </si>
  <si>
    <t>51191602-00021</t>
  </si>
  <si>
    <t>180031088</t>
  </si>
  <si>
    <t>Sodium Chloride; 0.9%; Infusion (parenteral); 200 ml</t>
  </si>
  <si>
    <t>Autosterile 0,9% Sodium Chloride Injection BP 200ml (FIG1006)</t>
  </si>
  <si>
    <t>893835-004</t>
  </si>
  <si>
    <t>51191602-00017</t>
  </si>
  <si>
    <t>180229547</t>
  </si>
  <si>
    <t>Sabax Sodium Chloride 0,9% (Vaco)</t>
  </si>
  <si>
    <t>51191602-00016</t>
  </si>
  <si>
    <t>180019342</t>
  </si>
  <si>
    <t>Sodium Chloride; 0.9%; Infusion (parenteral); 50 ml</t>
  </si>
  <si>
    <t>Autosterile 0,9% Sodium Chloride Injection BP 50ml (FIG1007)</t>
  </si>
  <si>
    <t>713610-001</t>
  </si>
  <si>
    <t>51191602-00020</t>
  </si>
  <si>
    <t>189700088</t>
  </si>
  <si>
    <t>Sodium Chloride; 0.9%; injection; 10 ml</t>
  </si>
  <si>
    <t>0,9% w/v Sodium Chloride Injection B. Braun</t>
  </si>
  <si>
    <t>51181907-00000</t>
  </si>
  <si>
    <t>a0dcc757-f291-41d1-8948-31fed0d9abaa</t>
  </si>
  <si>
    <t>SODIUM CHLORIDE 0.9% ADCO</t>
  </si>
  <si>
    <t>180238165</t>
  </si>
  <si>
    <t>Sodium Chloride; 0.9%; solution, irrigation, bag; 1 L</t>
  </si>
  <si>
    <t>solution, irrigation, bag</t>
  </si>
  <si>
    <t>Sabax Sodium Chloride 0,9% for Irrigation (1000ml)</t>
  </si>
  <si>
    <t>51191602-00011</t>
  </si>
  <si>
    <t>b0bb05bf-3c81-46a3-a074-f756b52ae959</t>
  </si>
  <si>
    <t>180037639</t>
  </si>
  <si>
    <t>Sodium Chloride; 0.9%; solution, irrigation, bag; 3 L</t>
  </si>
  <si>
    <t>Sabax Sodium Chloride 0,9% for Irrigation (3000ml)</t>
  </si>
  <si>
    <t>51191602-00012</t>
  </si>
  <si>
    <t>189761566</t>
  </si>
  <si>
    <t>Sodium Chloride; 0.9%; solution, irrigation, bottle; 1 L</t>
  </si>
  <si>
    <t>solution, irrigation, bottle</t>
  </si>
  <si>
    <t>Autosterile 0.9% Sodium Chloride for Irriigation</t>
  </si>
  <si>
    <t>714778-002</t>
  </si>
  <si>
    <t>51191602-00009</t>
  </si>
  <si>
    <t>a0914edc-fb3a-46bd-a35a-e7a262950413</t>
  </si>
  <si>
    <t>180301667</t>
  </si>
  <si>
    <t>Sodium Chloride; 0.9%; solution, irrigation; 30 ml</t>
  </si>
  <si>
    <t>solution, irrigation</t>
  </si>
  <si>
    <t>Adco Saline Irrigation 30ML</t>
  </si>
  <si>
    <t>51191602-00001</t>
  </si>
  <si>
    <t>8fb90e1d-1a11-45d0-a526-debfc2639143</t>
  </si>
  <si>
    <t>181932688</t>
  </si>
  <si>
    <t>Sodium Chloride; 5%; Infusion (parenteral); 200 ml</t>
  </si>
  <si>
    <t>SODIUM CHLORIDE FRESENIUS 5%</t>
  </si>
  <si>
    <t>868000/019</t>
  </si>
  <si>
    <t>51191602-00022</t>
  </si>
  <si>
    <t>269047b3-fb9d-42c4-afca-aa97ab323abb</t>
  </si>
  <si>
    <t>189715099</t>
  </si>
  <si>
    <t>Sodium Citrate;  BP; Powder; 500 g</t>
  </si>
  <si>
    <t>Sodium Citrate</t>
  </si>
  <si>
    <t>Sodium Citrate BP</t>
  </si>
  <si>
    <t>B05CB02</t>
  </si>
  <si>
    <t>51131628-00000</t>
  </si>
  <si>
    <t>340b36f8-d3c0-45ba-9a3c-90a67066b922</t>
  </si>
  <si>
    <t>189717326</t>
  </si>
  <si>
    <t>Sodium Citro-Tartrate; Granules; 60 g</t>
  </si>
  <si>
    <t>Sodium Citro-Tartrate</t>
  </si>
  <si>
    <t>Citro-Soda 60g</t>
  </si>
  <si>
    <t>G04BX</t>
  </si>
  <si>
    <t>51172480-00002</t>
  </si>
  <si>
    <t>433439ba-4009-4461-b8ba-ce5d8f561b11</t>
  </si>
  <si>
    <t>189712241</t>
  </si>
  <si>
    <t>Sodium Phosphate, Sodium Acid Phosphate; Enema; 135 ml</t>
  </si>
  <si>
    <t>Enema</t>
  </si>
  <si>
    <t>Sodium Phosphate, Sodium Acid Phosphate</t>
  </si>
  <si>
    <t>ADCO FOSENEMA 150ML</t>
  </si>
  <si>
    <t>A06AG01</t>
  </si>
  <si>
    <t>727202-006</t>
  </si>
  <si>
    <t>51171622-00000</t>
  </si>
  <si>
    <t>a63da818-9f42-4ed1-b406-36f5af62cc17</t>
  </si>
  <si>
    <t>180035962</t>
  </si>
  <si>
    <t>Sodium, Potassium, Calcium, Lactate; 131mmol, 5mmol, 108mmol, 29mmol; Infusion (parenteral) (Plasmalyte L); 1 L</t>
  </si>
  <si>
    <t>Sodium, Potassium, Calcium, Lactate</t>
  </si>
  <si>
    <t>Sabax Plasmalyte L 1000 ML</t>
  </si>
  <si>
    <t>51191704-00010</t>
  </si>
  <si>
    <t>de91e5ff-7655-4800-9b0c-7615c659ca74</t>
  </si>
  <si>
    <t>180031183</t>
  </si>
  <si>
    <t>Sodium, Potassium, Calcium, Lactate; 35mmol/L, 12mmol/L, 47mmol/L, 50g/L; Infusion (parenteral) (Paediatric Maintenance); 200 ml</t>
  </si>
  <si>
    <t>Sabax Paediatric Maintenance Solution (200ml)</t>
  </si>
  <si>
    <t>51191704-00011</t>
  </si>
  <si>
    <t>b952c9f8-7ff1-4307-95b7-5349ff611fd0</t>
  </si>
  <si>
    <t>180031184</t>
  </si>
  <si>
    <t>Sodium, Potassium, Calcium, Lactate; 35mmol/L, 12mmol/L, 47mmol/L, 50g/L; Infusion (parenteral) (Paediatric Maintenance); 500 ml</t>
  </si>
  <si>
    <t>Sabax Paediatric Maintenance Solution (500ML)</t>
  </si>
  <si>
    <t>51191704-00002</t>
  </si>
  <si>
    <t>189707435</t>
  </si>
  <si>
    <t>Soft Paraffin, White;  BP; Ointment; 500 g</t>
  </si>
  <si>
    <t>Soft Paraffin, White</t>
  </si>
  <si>
    <t>Barrs Soft Paraffin, White BP</t>
  </si>
  <si>
    <t>53131641-00000</t>
  </si>
  <si>
    <t>f94b3193-100a-478f-9885-8f684a9715ed</t>
  </si>
  <si>
    <t>181799365</t>
  </si>
  <si>
    <t>Somatropin; 10mg/1.5ml; cartridge; 1.5 ml</t>
  </si>
  <si>
    <t>Somatropin</t>
  </si>
  <si>
    <t>Omnitrope 10mg</t>
  </si>
  <si>
    <t>H01AC01</t>
  </si>
  <si>
    <t>51182302-00003</t>
  </si>
  <si>
    <t>a540bb83-64d3-4add-b5d4-df005e139086</t>
  </si>
  <si>
    <t>181808985</t>
  </si>
  <si>
    <t>Somatropin; 5mg/1.5ml; cartridge; 1.5 ml</t>
  </si>
  <si>
    <t>Norditropin Nordiflex 5 mg (prefilled pen)</t>
  </si>
  <si>
    <t>51182302-00000</t>
  </si>
  <si>
    <t>d1b83a24-0de9-4065-94ce-0e2a7eab7e03</t>
  </si>
  <si>
    <t>222001045</t>
  </si>
  <si>
    <t>Sorbitol; 70%; Solution; 500 ml</t>
  </si>
  <si>
    <t>Sorbitol</t>
  </si>
  <si>
    <t>Resmed Sorbitol 70%</t>
  </si>
  <si>
    <t>A06AD18</t>
  </si>
  <si>
    <t>51211613-00000</t>
  </si>
  <si>
    <t>ec9f85a6-ada8-494a-b750-1c0e8f2aef7d</t>
  </si>
  <si>
    <t>189750640</t>
  </si>
  <si>
    <t>Spacer With Mask For Adults; Medical device; 1 Device</t>
  </si>
  <si>
    <t>Spacer With Mask For Adults</t>
  </si>
  <si>
    <t>Cipla Zerostat VT Spacer and baby mask</t>
  </si>
  <si>
    <t>6 units</t>
  </si>
  <si>
    <t>42271807-00002</t>
  </si>
  <si>
    <t>02b5d8dd-8acd-47e8-893f-188cb5c178e2</t>
  </si>
  <si>
    <t>189750639</t>
  </si>
  <si>
    <t>Spacer With Mask For Children; Medical device; 1 Device</t>
  </si>
  <si>
    <t>Spacer With Mask For Children</t>
  </si>
  <si>
    <t>Cipla Huf-Puf Kit</t>
  </si>
  <si>
    <t>42271807-00001</t>
  </si>
  <si>
    <t>48c42a0c-c8e3-4360-a62e-365b1787b817</t>
  </si>
  <si>
    <t>189750638</t>
  </si>
  <si>
    <t>Spacer With Mask For Infants; Medical device; 1 Device</t>
  </si>
  <si>
    <t>Spacer With Mask For Infants</t>
  </si>
  <si>
    <t>UNIHALER</t>
  </si>
  <si>
    <t>Unitrade 1032 Cc</t>
  </si>
  <si>
    <t>VALB5</t>
  </si>
  <si>
    <t>42271807-00000</t>
  </si>
  <si>
    <t>MAAA0026259</t>
  </si>
  <si>
    <t>2cf36d1c-e0d9-4c5b-8ef8-7e2a734adb63</t>
  </si>
  <si>
    <t>327</t>
  </si>
  <si>
    <t>189711050</t>
  </si>
  <si>
    <t>Spironolactone; 100mg; Tablet; 60 Tablets</t>
  </si>
  <si>
    <t>Spironolactone</t>
  </si>
  <si>
    <t>SPIRACTIN 100MG TAB SEC 60 - T</t>
  </si>
  <si>
    <t>C03DA01</t>
  </si>
  <si>
    <t>51191507-00000</t>
  </si>
  <si>
    <t>4a942df6-65d3-46c1-ae29-b0d60dae59fc</t>
  </si>
  <si>
    <t>328</t>
  </si>
  <si>
    <t>181798184</t>
  </si>
  <si>
    <t>Spironolactone; 25mg; Tablet; 28 Tablets</t>
  </si>
  <si>
    <t>SPIRACTIN 25MG TAB B/BAG 28</t>
  </si>
  <si>
    <t>51191507-00002</t>
  </si>
  <si>
    <t>c20aceef-baf6-4e6a-bed4-b7117adb7494</t>
  </si>
  <si>
    <t>329</t>
  </si>
  <si>
    <t>181747912</t>
  </si>
  <si>
    <t>Spironolactone; 25mg; Tablet; 56 Tablets</t>
  </si>
  <si>
    <t>Spironolactone 25 KIARA (Formerly Sandoz Spironolactone 25mg)</t>
  </si>
  <si>
    <t>51191507-00003</t>
  </si>
  <si>
    <t>330</t>
  </si>
  <si>
    <t>181747914</t>
  </si>
  <si>
    <t>Spironolactone; 25mg; Tablet; 84 Tablets</t>
  </si>
  <si>
    <t>51191507-00004</t>
  </si>
  <si>
    <t>189711674</t>
  </si>
  <si>
    <t>Streptokinase; 1.5MIU; injection; 1 Injection</t>
  </si>
  <si>
    <t>Streptokinase</t>
  </si>
  <si>
    <t>FIBREAKER INJ</t>
  </si>
  <si>
    <t>B01AD01</t>
  </si>
  <si>
    <t>51131703-00100</t>
  </si>
  <si>
    <t>c9faae1d-52b3-4111-a6d9-803442a28b56</t>
  </si>
  <si>
    <t>189703514</t>
  </si>
  <si>
    <t>Sulfamethoxazole, Trimethoprim; 200mg/5ml, 40mg/5ml; Suspension; 100 ml</t>
  </si>
  <si>
    <t>Sulfamethoxazole, Trimethoprim</t>
  </si>
  <si>
    <t>Resmed Co-Trimoxazole Oral Suspension</t>
  </si>
  <si>
    <t>J01EE01</t>
  </si>
  <si>
    <t>51284911-00004</t>
  </si>
  <si>
    <t>a24c5fae-322b-427c-9b0a-f35581fcbc2a</t>
  </si>
  <si>
    <t>Novatrim Suspension</t>
  </si>
  <si>
    <t>189710380</t>
  </si>
  <si>
    <t>Sulfamethoxazole, Trimethoprim; 400mg, 80mg; Tablet (Co-trimoxazole); 100 Tablets</t>
  </si>
  <si>
    <t>Durobac</t>
  </si>
  <si>
    <t>51284911-00002</t>
  </si>
  <si>
    <t>c48b58c0-8f3b-4798-8023-96047c1cfc5d</t>
  </si>
  <si>
    <t>181860989</t>
  </si>
  <si>
    <t>Sulfamethoxazole, Trimethoprim; 400mg, 80mg; Tablet (Co-trimoxazole); 28 Tablets</t>
  </si>
  <si>
    <t>51284911-00000</t>
  </si>
  <si>
    <t>Novatrim</t>
  </si>
  <si>
    <t>181798147</t>
  </si>
  <si>
    <t>Sulfamethoxazole, Trimethoprim; 400mg, 80mg; Tablet (Co-trimoxazole); 56 Tablets</t>
  </si>
  <si>
    <t>51284911-00001</t>
  </si>
  <si>
    <t>Xeroprim</t>
  </si>
  <si>
    <t>189710893</t>
  </si>
  <si>
    <t>Sulfamethoxazole, Trimethoprim; 400mg/5ml, 80mg/5ml; injection; 5 ml</t>
  </si>
  <si>
    <t>Pharma-Q Co-trimoxazole</t>
  </si>
  <si>
    <t>51284911-00005</t>
  </si>
  <si>
    <t>086d660f-9986-4485-a11a-8b9ed73cd4ba</t>
  </si>
  <si>
    <t>331</t>
  </si>
  <si>
    <t>189714546</t>
  </si>
  <si>
    <t>Sulfasalazine; 500mg; Tablet; 100 Tablets</t>
  </si>
  <si>
    <t>Sulfasalazine</t>
  </si>
  <si>
    <t>Salazopyrin EN 500mg TAB</t>
  </si>
  <si>
    <t>A07EC01</t>
  </si>
  <si>
    <t>51202204-00000</t>
  </si>
  <si>
    <t>aba5c0c5-bf2c-4fc5-a859-1e9cb436addc</t>
  </si>
  <si>
    <t>181915443</t>
  </si>
  <si>
    <t>Sunscreen; 30SPF; Cream; 150 ml</t>
  </si>
  <si>
    <t>Sunscreen</t>
  </si>
  <si>
    <t>Bioearth Sunscreen Lotion 150ml</t>
  </si>
  <si>
    <t>D02BA</t>
  </si>
  <si>
    <t>53131609-00000</t>
  </si>
  <si>
    <t>0111240a-10e7-47b3-8ab4-6b96df77f13b</t>
  </si>
  <si>
    <t>180076785</t>
  </si>
  <si>
    <t>Suxamethonium; 100mg/2ml; injection; 2 ml</t>
  </si>
  <si>
    <t>Suxamethonium</t>
  </si>
  <si>
    <t>SUXAMETHONIUM CHLORIDE-FRESENIUS 100 mg/2 ml</t>
  </si>
  <si>
    <t>M03AB01</t>
  </si>
  <si>
    <t>51152046-00100</t>
  </si>
  <si>
    <t>ee58203a-99ac-43b7-84da-e9eada7b8d10</t>
  </si>
  <si>
    <t>181777984</t>
  </si>
  <si>
    <t>Syrup, Simplex;  BP; Syrup; 2.5 L</t>
  </si>
  <si>
    <t>Syrup, Simplex</t>
  </si>
  <si>
    <t>Syrup Simplex BP</t>
  </si>
  <si>
    <t>50161512-00000</t>
  </si>
  <si>
    <t>edd35ed8-b74a-4dce-bb54-347465f04cc2</t>
  </si>
  <si>
    <t>222000430</t>
  </si>
  <si>
    <t>Tacrolimus; 0.5mg; Capsule; 30 Capsules</t>
  </si>
  <si>
    <t>Tacrolimus</t>
  </si>
  <si>
    <t>Tarograf 0.5mg</t>
  </si>
  <si>
    <t>L04AD02</t>
  </si>
  <si>
    <t>51202804-00002</t>
  </si>
  <si>
    <t>6e22b0d7-b479-448e-819b-997dd1621ba2</t>
  </si>
  <si>
    <t>222000431</t>
  </si>
  <si>
    <t>Tacrolimus; 1mg; Capsule; 30 Capsules</t>
  </si>
  <si>
    <t>Tarograf 1mg</t>
  </si>
  <si>
    <t>51202804-00000</t>
  </si>
  <si>
    <t>92def5d8-9473-47b1-9cd7-0444da2df9f1</t>
  </si>
  <si>
    <t>222000432</t>
  </si>
  <si>
    <t>Tacrolimus; 5mg; Capsule; 30 Capsules</t>
  </si>
  <si>
    <t>Tarograf 5mg</t>
  </si>
  <si>
    <t>51202804-00001</t>
  </si>
  <si>
    <t>adf073a0-ebf7-4fa0-be8c-ece28137e7dd</t>
  </si>
  <si>
    <t>189714589</t>
  </si>
  <si>
    <t>Tamoxifen; 20mg; Tablet; 28 Tablets</t>
  </si>
  <si>
    <t>Tamoxifen</t>
  </si>
  <si>
    <t>TAMOPLEX 20 mg</t>
  </si>
  <si>
    <t>L02BA01</t>
  </si>
  <si>
    <t>51111873-00000</t>
  </si>
  <si>
    <t>e455037d-9d08-4646-9214-c3414036fc37</t>
  </si>
  <si>
    <t>222001184</t>
  </si>
  <si>
    <t>Teriflunomide; 14mg; Tablet; 28 Tablets</t>
  </si>
  <si>
    <t>Teriflunomide</t>
  </si>
  <si>
    <t>AUBAGIO 14MG 28 TABS</t>
  </si>
  <si>
    <t>L04AA31</t>
  </si>
  <si>
    <t>51201567-00000</t>
  </si>
  <si>
    <t>c6f7cfe9-df0c-4774-a382-f0bedbe197e7</t>
  </si>
  <si>
    <t>181774577</t>
  </si>
  <si>
    <t>Terizidone; 250mg; Capsule; 100 Capsules</t>
  </si>
  <si>
    <t>Terizidone</t>
  </si>
  <si>
    <t>Terizidone Macleods 250 mg Capsules</t>
  </si>
  <si>
    <t>J04AK03</t>
  </si>
  <si>
    <t>51281509-00000</t>
  </si>
  <si>
    <t>9c2119a6-ab58-4c0d-99ce-82e4c290f6ec</t>
  </si>
  <si>
    <t>222001178</t>
  </si>
  <si>
    <t>Test: Blood Glucose; test strip; 50 Test Strips</t>
  </si>
  <si>
    <t>Test Strip (Test Strips)</t>
  </si>
  <si>
    <t>test strip</t>
  </si>
  <si>
    <t>Test: Blood Glucose</t>
  </si>
  <si>
    <t>V04CA02</t>
  </si>
  <si>
    <t>41116205-00106</t>
  </si>
  <si>
    <t>e998c3af-e8e3-4585-b5ab-d8fe1953e488</t>
  </si>
  <si>
    <t>222001177</t>
  </si>
  <si>
    <t>Test: TB LAM AG; test kit; 25 Test Strips</t>
  </si>
  <si>
    <t>test kit</t>
  </si>
  <si>
    <t>Test: TB LAM AG</t>
  </si>
  <si>
    <t>ABT/ARDX/7D2741  / Determine TB Lam</t>
  </si>
  <si>
    <t>Obsidian Health (Pty) Ltd</t>
  </si>
  <si>
    <t>V3T77</t>
  </si>
  <si>
    <t>V04CF01</t>
  </si>
  <si>
    <t>1 x 25</t>
  </si>
  <si>
    <t>MAAA0097854</t>
  </si>
  <si>
    <t>33cf1250-06d6-47d1-a724-3208ad0a9ebb</t>
  </si>
  <si>
    <t>222001179</t>
  </si>
  <si>
    <t>Test: Urine, Gluc., Prot., Bl., pH, Ket., Leuc., Nit., Bilir., Urob.; test kit; 100 Test Strips</t>
  </si>
  <si>
    <t>Test: Urine, Gluc., Prot., Bl., pH, Ket., Leuc., Nit., Bilir., Urob.</t>
  </si>
  <si>
    <t>ALWAYS ACCURATE URS-10A</t>
  </si>
  <si>
    <t>V04B</t>
  </si>
  <si>
    <t>41116205-00107</t>
  </si>
  <si>
    <t>bf38095f-216a-425a-b87d-3879109dd8db</t>
  </si>
  <si>
    <t>189715427</t>
  </si>
  <si>
    <t>Tetracaine, Arnica, Salvia, Aluminium; Ointment; 10 g</t>
  </si>
  <si>
    <t>Tetracaine, Arnica, Salvia, Aluminium</t>
  </si>
  <si>
    <t>Dynexan 10g</t>
  </si>
  <si>
    <t>D04AB06</t>
  </si>
  <si>
    <t>51272115-00001</t>
  </si>
  <si>
    <t>ebce0582-9f9e-4ece-a8b2-2bc6fa115883</t>
  </si>
  <si>
    <t>181809032</t>
  </si>
  <si>
    <t>Thalidomide; 50mg; Capsule; 28 Capsules</t>
  </si>
  <si>
    <t>Thalidomide</t>
  </si>
  <si>
    <t>Thalidomide Celgene 50 mg</t>
  </si>
  <si>
    <t>L04AX02</t>
  </si>
  <si>
    <t>51201811-00000</t>
  </si>
  <si>
    <t>2a2d007b-918c-4cf2-bc0a-23b553207cbc</t>
  </si>
  <si>
    <t>334</t>
  </si>
  <si>
    <t>189762882</t>
  </si>
  <si>
    <t>Theophylline; 200mg; Tablet, MR; 60 Tablets</t>
  </si>
  <si>
    <t>Theophylline</t>
  </si>
  <si>
    <t>Theophylline Anhydrous 200 KIARA (Formerly Sandoz Theophylline 200mg)</t>
  </si>
  <si>
    <t>R03DA04</t>
  </si>
  <si>
    <t>51393405-00001</t>
  </si>
  <si>
    <t>cf2c0cb7-ac5f-4350-9ff5-49551cbc8368</t>
  </si>
  <si>
    <t>181885838</t>
  </si>
  <si>
    <t>Timolol, Bimatoprost; 5mg/ml, 0.3mg/ml; Drop, Eye; 3 ml</t>
  </si>
  <si>
    <t>Timolol, Bimatoprost</t>
  </si>
  <si>
    <t>Ganfort Eye Drops</t>
  </si>
  <si>
    <t>S01ED51</t>
  </si>
  <si>
    <t>51241103-00001</t>
  </si>
  <si>
    <t>be087641-dc18-416b-b720-1e807a189b6c</t>
  </si>
  <si>
    <t>181848373</t>
  </si>
  <si>
    <t>Timolol, Brimonidine; 5mg/ml, 2mg/ml; Drop, Eye; 5 ml</t>
  </si>
  <si>
    <t>Timolol, Brimonidine</t>
  </si>
  <si>
    <t>Combigan Eye Drops</t>
  </si>
  <si>
    <t>51241513-00000</t>
  </si>
  <si>
    <t>ae5aaca2-26e6-4696-a0f8-287558c77f39</t>
  </si>
  <si>
    <t>222000021</t>
  </si>
  <si>
    <t>Timolol, Dorzolamide; 5mg/ml, 20mg/ml; Drop, Eye; 5 ml</t>
  </si>
  <si>
    <t>Timolol, Dorzolamide</t>
  </si>
  <si>
    <t>Glaumide CO</t>
  </si>
  <si>
    <t>51241522-00000</t>
  </si>
  <si>
    <t>8ae55b57-7349-4b76-b11b-31f35059fbfe</t>
  </si>
  <si>
    <t>222000963</t>
  </si>
  <si>
    <t>Timolol, Travoprost; 5mg/ml, 40mcg/ml; Drop, Eye; 2.5 ml</t>
  </si>
  <si>
    <t>Timolol, Travoprost</t>
  </si>
  <si>
    <t>Duotrav Eye Drops</t>
  </si>
  <si>
    <t>51241500-00000</t>
  </si>
  <si>
    <t>45695674-26bf-4e70-9131-c8d1b706cc0f</t>
  </si>
  <si>
    <t>189712247</t>
  </si>
  <si>
    <t>Tioguanine; 40mg; Tablet; 25 Tablets</t>
  </si>
  <si>
    <t>Tioguanine</t>
  </si>
  <si>
    <t>LANVIS 40MG TABS 25'S</t>
  </si>
  <si>
    <t>L01BB03</t>
  </si>
  <si>
    <t>51111665-00000</t>
  </si>
  <si>
    <t>872e6fa3-10b7-4797-b52c-46168ca53b59</t>
  </si>
  <si>
    <t>189708681</t>
  </si>
  <si>
    <t>Tobramycin; 3mg/g; ointment, eye; 3.5 g</t>
  </si>
  <si>
    <t>Tobramycin</t>
  </si>
  <si>
    <t>Tobrex Eye Ointment</t>
  </si>
  <si>
    <t>S01AA12</t>
  </si>
  <si>
    <t>51281626-00000</t>
  </si>
  <si>
    <t>64c19789-3b29-4137-9918-e7243c5f2587</t>
  </si>
  <si>
    <t>189708042</t>
  </si>
  <si>
    <t>Tobramycin; 3mg/ml; Drop, Eye; 5 ml</t>
  </si>
  <si>
    <t>Tobrex Eye Drops</t>
  </si>
  <si>
    <t>51281626-00001</t>
  </si>
  <si>
    <t>8443dc0c-1e9a-4ddd-ab97-3e8128c139a5</t>
  </si>
  <si>
    <t>337</t>
  </si>
  <si>
    <t>180208573</t>
  </si>
  <si>
    <t>Topiramate; 100mg; Tablet; 60 Tablets</t>
  </si>
  <si>
    <t>Topiramate</t>
  </si>
  <si>
    <t>Toplep 100</t>
  </si>
  <si>
    <t>N03AX11</t>
  </si>
  <si>
    <t>51141528-00006</t>
  </si>
  <si>
    <t>626f8b82-6f03-4d18-bc21-87aabe13dd47</t>
  </si>
  <si>
    <t>339</t>
  </si>
  <si>
    <t>180208565</t>
  </si>
  <si>
    <t>Topiramate; 25mg; Tablet; 60 Tablets</t>
  </si>
  <si>
    <t>Toplep 25</t>
  </si>
  <si>
    <t>51141528-00004</t>
  </si>
  <si>
    <t>1fac5484-813c-4496-b8e9-6c71a8dd297e</t>
  </si>
  <si>
    <t>340</t>
  </si>
  <si>
    <t>180208570</t>
  </si>
  <si>
    <t>Topiramate; 50mg; Tablet; 60 Tablets</t>
  </si>
  <si>
    <t>Toplep 50</t>
  </si>
  <si>
    <t>51141528-00005</t>
  </si>
  <si>
    <t>a9f600c3-1747-469e-bcce-30639c56fb67</t>
  </si>
  <si>
    <t>222001057</t>
  </si>
  <si>
    <t>TPN for Adults: High volume bag with electrolytes: high protein, high calorie for central line; Infusion (parenteral); 2 L</t>
  </si>
  <si>
    <t>TPN for Adults: High volume bag with electrolytes: high protein, high calorie for central line</t>
  </si>
  <si>
    <t>57d21953-e855-4a3f-8f2c-ec67d218a204</t>
  </si>
  <si>
    <t>222001062</t>
  </si>
  <si>
    <t xml:space="preserve">TPN for Adults: Moderate volume bag without electrolytes: Moderate protein, high calorie For IV infusion through central line. Multichamber bag containing:  Amino Acids: a minimum of histidine, </t>
  </si>
  <si>
    <t xml:space="preserve">TPN for Adults: Moderate volume bag without electrolytes: Moderate protein, high calorie For IV infusion through central line. Multichamber bag </t>
  </si>
  <si>
    <t>Nutriflex Lipid Special without Electrolytes 1250ml (3659950)</t>
  </si>
  <si>
    <t>869923f3-2f7f-4fac-a5de-9e7aad80199c</t>
  </si>
  <si>
    <t>222001055</t>
  </si>
  <si>
    <t>TPN for Adults: Very low volume weaning bag with electrolytes: very low protein, low calorie for peripheral line; Infusion (parenteral); 1 L</t>
  </si>
  <si>
    <t>TPN for Adults: Very low volume weaning bag with electrolytes: very low protein, low calorie for peripheral line</t>
  </si>
  <si>
    <t>Triomel N4-600E 1000 ml</t>
  </si>
  <si>
    <t>e678eb9d-a954-4b41-bf3e-cdfe5bd9db9d</t>
  </si>
  <si>
    <t>180192775</t>
  </si>
  <si>
    <t>Trace Elements; injection; 10 ml</t>
  </si>
  <si>
    <t>Trace Elements</t>
  </si>
  <si>
    <t>ADDITRACE</t>
  </si>
  <si>
    <t>B05XA30</t>
  </si>
  <si>
    <t>820725/014</t>
  </si>
  <si>
    <t>50501802-00000</t>
  </si>
  <si>
    <t>280e2bf1-c0a1-4751-b893-58af23a8af7f</t>
  </si>
  <si>
    <t>180124495</t>
  </si>
  <si>
    <t>Tramadol; 100mg/2ml; injection; 2 ml</t>
  </si>
  <si>
    <t>Tramadol</t>
  </si>
  <si>
    <t>Tramazac Injection</t>
  </si>
  <si>
    <t>Zydus Healthcare SA (Pty) Ltd</t>
  </si>
  <si>
    <t>V61C7</t>
  </si>
  <si>
    <t>N02AX02</t>
  </si>
  <si>
    <t>51371601-00000</t>
  </si>
  <si>
    <t>MAAA0323967</t>
  </si>
  <si>
    <t>d2448fda-1a5c-4a45-badc-2a225e9770f2</t>
  </si>
  <si>
    <t>341</t>
  </si>
  <si>
    <t>181761190</t>
  </si>
  <si>
    <t>Tramadol; 100mg; Tablet, MR; 60 Tablets</t>
  </si>
  <si>
    <t>Tramadol SR 100MG Austell</t>
  </si>
  <si>
    <t>51371601-00002</t>
  </si>
  <si>
    <t>6530e140-ab7a-4080-bfab-ce3a3e34abcb</t>
  </si>
  <si>
    <t>342</t>
  </si>
  <si>
    <t>222001422</t>
  </si>
  <si>
    <t>Tramadol; 50mg; Tablet; 100 Tablets</t>
  </si>
  <si>
    <t>Austell Tramadol 50 mg</t>
  </si>
  <si>
    <t>51371601-00004</t>
  </si>
  <si>
    <t>4f838b37-8d94-4e22-85f5-0f5c95d9fc9f</t>
  </si>
  <si>
    <t>Maklodol 50 mg</t>
  </si>
  <si>
    <t>144 x 100</t>
  </si>
  <si>
    <t>343</t>
  </si>
  <si>
    <t>222001423</t>
  </si>
  <si>
    <t>Tramadol; 50mg; Tablet; 20 Tablets</t>
  </si>
  <si>
    <t>180 x 20</t>
  </si>
  <si>
    <t>51371601-00006</t>
  </si>
  <si>
    <t>Tramadol Unimed</t>
  </si>
  <si>
    <t>180076981</t>
  </si>
  <si>
    <t>Tranexamic Acid; 500mg/5ml; injection; 5 ml</t>
  </si>
  <si>
    <t>Tranexamic Acid</t>
  </si>
  <si>
    <t>Cyklokapron IV 500mg INJ 5ml</t>
  </si>
  <si>
    <t>B02AA02</t>
  </si>
  <si>
    <t>51131811-00000</t>
  </si>
  <si>
    <t>66e210a0-db09-4733-9c7d-d09f98370498</t>
  </si>
  <si>
    <t>347</t>
  </si>
  <si>
    <t>222000951</t>
  </si>
  <si>
    <t>Tranexamic Acid; 500mg; Tablet; 30 Tablets</t>
  </si>
  <si>
    <t>BIO TRANEXAMIC 500mg 30 TABLETS</t>
  </si>
  <si>
    <t>51131811-00002</t>
  </si>
  <si>
    <t>4337b1c3-0d85-4578-8800-698d05eff8db</t>
  </si>
  <si>
    <t>181776294</t>
  </si>
  <si>
    <t>Trastuzumab; 440mg; injection; 1 Injection</t>
  </si>
  <si>
    <t>Trastuzumab</t>
  </si>
  <si>
    <t>Trastuzumab Cipla 440mg</t>
  </si>
  <si>
    <t>L01XC03</t>
  </si>
  <si>
    <t>51111717-00100</t>
  </si>
  <si>
    <t>718870c0-aa94-450b-b007-3e954df1c3b4</t>
  </si>
  <si>
    <t>189715428</t>
  </si>
  <si>
    <t>Tretinoin; 0.025%; Gel; 20 g</t>
  </si>
  <si>
    <t>Tretinoin</t>
  </si>
  <si>
    <t>Ilotycin-A Gel 20g</t>
  </si>
  <si>
    <t>L01XX14</t>
  </si>
  <si>
    <t>51191923-00000</t>
  </si>
  <si>
    <t>2fe5278f-7d49-4159-86ae-0f2512b52c93</t>
  </si>
  <si>
    <t>180187764</t>
  </si>
  <si>
    <t>Tretinoin; 10mg; Capsule; 100 Capsules</t>
  </si>
  <si>
    <t>Vesanoid 10mg Capsules</t>
  </si>
  <si>
    <t>820008-001</t>
  </si>
  <si>
    <t>51191923-00002</t>
  </si>
  <si>
    <t>fc5fc934-f866-49e8-9f9f-0191cad3668c</t>
  </si>
  <si>
    <t>189714739</t>
  </si>
  <si>
    <t>Tropicamide; 1%; Drop, Eye; 15 ml</t>
  </si>
  <si>
    <t>Tropicamide</t>
  </si>
  <si>
    <t xml:space="preserve">Mydriacyl 1% </t>
  </si>
  <si>
    <t>S01FA06</t>
  </si>
  <si>
    <t>51151606-00000</t>
  </si>
  <si>
    <t>c4fe5ac0-b3c8-4dc5-a25d-2d036f660712</t>
  </si>
  <si>
    <t>189715112</t>
  </si>
  <si>
    <t>Ultrasound Gel, High Viscosity; Gel; 250 ml</t>
  </si>
  <si>
    <t>Ultrasound Gel, High Viscosity</t>
  </si>
  <si>
    <t>Crystal Ultrasound Gel</t>
  </si>
  <si>
    <t>42201708-00002</t>
  </si>
  <si>
    <t>42751d5f-23a5-41c1-8340-e3e1f76a3fc6</t>
  </si>
  <si>
    <t>181855762</t>
  </si>
  <si>
    <t>Ultrasound Gel, Medium Viscosity; Gel; 300 ml</t>
  </si>
  <si>
    <t>Ultrasound Gel, Medium Viscosity</t>
  </si>
  <si>
    <t>ULTRAGEL -&gt; UG50/300ml</t>
  </si>
  <si>
    <t>144 Bottles</t>
  </si>
  <si>
    <t>42201708-00003</t>
  </si>
  <si>
    <t>4986d52d-716b-4233-8563-1af7401ed9c1</t>
  </si>
  <si>
    <t>HP16-2020EPI</t>
  </si>
  <si>
    <t>180327653</t>
  </si>
  <si>
    <t>Vaccine: BCG; Injection; 20 Doses</t>
  </si>
  <si>
    <t>Vaccine: BCG</t>
  </si>
  <si>
    <t>BCG VACCINE SSI</t>
  </si>
  <si>
    <t>The Biologicals and Vaccines Institute SA (Pty)  Ltd</t>
  </si>
  <si>
    <t>V0SM1</t>
  </si>
  <si>
    <t>L03AX03</t>
  </si>
  <si>
    <t>51201647-00000</t>
  </si>
  <si>
    <t>MAAA0070728</t>
  </si>
  <si>
    <t>421297b9-0aee-46b1-a129-5d986b36d2ac</t>
  </si>
  <si>
    <t>HP16-2020EPI/01</t>
  </si>
  <si>
    <t>181825242</t>
  </si>
  <si>
    <t>Vaccine: Diphtheria, Tetanus; 2IU/20IU; injection; 10 Doses</t>
  </si>
  <si>
    <t>Vaccine: Diphtheria, Tetanus</t>
  </si>
  <si>
    <t>Diftavex</t>
  </si>
  <si>
    <t>J07AM51</t>
  </si>
  <si>
    <t>51201629-00000</t>
  </si>
  <si>
    <t>40804f18-a1ed-4a16-8c8f-a94417969b1c</t>
  </si>
  <si>
    <t>181922609</t>
  </si>
  <si>
    <t>Vaccine: Diptheria, Haemophilus Influenzae B, Pertussis, Polio, Tetanus, Hepatitis B; Syringe, Prefilled; 1 Dose</t>
  </si>
  <si>
    <t>Vaccine: Diptheria, Haemophilus Influenzae B, Pertussis, Polio, Tetanus, Hepatitis B</t>
  </si>
  <si>
    <t>HEXAXIM</t>
  </si>
  <si>
    <t>J07CA09</t>
  </si>
  <si>
    <t>51201634-00000</t>
  </si>
  <si>
    <t>538211e8-d0d6-4364-88f0-a2a82ba69599</t>
  </si>
  <si>
    <t>222001069</t>
  </si>
  <si>
    <t>Vaccine: Hepatitis B Adult; 20mcg/ml; injection; 1 Dose</t>
  </si>
  <si>
    <t>Vaccine: Hepatitis B Adult</t>
  </si>
  <si>
    <t>HEP B VACCINE ADULT CIPLA</t>
  </si>
  <si>
    <t>J07BC01</t>
  </si>
  <si>
    <t>51201607-00000</t>
  </si>
  <si>
    <t>b84ab289-988b-4dfc-895b-3e811f220691</t>
  </si>
  <si>
    <t>180323312</t>
  </si>
  <si>
    <t>Vaccine: Hepatitis B Peadiatric; 10mcg/0.5ml; injection; 10 Doses</t>
  </si>
  <si>
    <t>Vaccine: Hepatitis B Peadiatric</t>
  </si>
  <si>
    <t>HEBERBIO HBV PMD</t>
  </si>
  <si>
    <t>51201607-00001</t>
  </si>
  <si>
    <t>fb70b789-de14-4c1a-8526-833d2fc9e23e</t>
  </si>
  <si>
    <t>222001064</t>
  </si>
  <si>
    <t>Vaccine: Human Papillomavirus, Bivalent; injection; 2 Doses</t>
  </si>
  <si>
    <t>Vaccine: Human Papillomavirus, Bivalent</t>
  </si>
  <si>
    <t>CERVARIX</t>
  </si>
  <si>
    <t>GlaxoSmithkline South Africa (Pty) Ltd</t>
  </si>
  <si>
    <t>V2154</t>
  </si>
  <si>
    <t>J07BM02</t>
  </si>
  <si>
    <t>51201649-00000</t>
  </si>
  <si>
    <t>MAAA0390095</t>
  </si>
  <si>
    <t>3bca1d5a-36cb-4265-b575-4c6b0aa8c866</t>
  </si>
  <si>
    <t>189714663</t>
  </si>
  <si>
    <t>Vaccine: Influenza; Syringe, Prefilled; 1 Dose</t>
  </si>
  <si>
    <t>Vaccine: Influenza</t>
  </si>
  <si>
    <t>Influvac subunit</t>
  </si>
  <si>
    <t>J07BB02</t>
  </si>
  <si>
    <t>51201608-00001</t>
  </si>
  <si>
    <t>4749bd52-3e62-4bd6-9e50-408643128032</t>
  </si>
  <si>
    <t>189706269</t>
  </si>
  <si>
    <t>Vaccine: Measles; injection; 10 Doses</t>
  </si>
  <si>
    <t>Vaccine: Measles</t>
  </si>
  <si>
    <t>Measbio</t>
  </si>
  <si>
    <t>J07BD01</t>
  </si>
  <si>
    <t>51201609-00000</t>
  </si>
  <si>
    <t>a3c96642-18b2-4bed-a3a3-46f55539ae32</t>
  </si>
  <si>
    <t>222000434</t>
  </si>
  <si>
    <t>Vaccine: Meningococcal Polysaccharide Diphtheria Toxoid Conjugate; injection; 1 Dose</t>
  </si>
  <si>
    <t>Vaccine: Meningococcal Polysaccharide Diphtheria Toxoid Conjugate</t>
  </si>
  <si>
    <t>MENACTRA</t>
  </si>
  <si>
    <t>J07AH08</t>
  </si>
  <si>
    <t>51201610-00001</t>
  </si>
  <si>
    <t>33d067b1-4116-4923-b1c7-0c23d4307c1b</t>
  </si>
  <si>
    <t>189715733</t>
  </si>
  <si>
    <t>Vaccine: Pneumococcal, 23-Valent Polysaccharide; injection; 1 Dose</t>
  </si>
  <si>
    <t>Vaccine: Pneumococcal, 23-Valent Polysaccharide</t>
  </si>
  <si>
    <t>Pneumovax 23</t>
  </si>
  <si>
    <t>J07AL01</t>
  </si>
  <si>
    <t>51201615-00002</t>
  </si>
  <si>
    <t>8f5944f6-cea0-4536-bc7c-0ba4158f8d6c</t>
  </si>
  <si>
    <t>181872565</t>
  </si>
  <si>
    <t>Vaccine: Pneumococcal, Conjugated; Syringe, Prefilled; 1 Dose</t>
  </si>
  <si>
    <t>Vaccine: Pneumococcal, Conjugated</t>
  </si>
  <si>
    <t>PREVENAR 13</t>
  </si>
  <si>
    <t>J07AL02</t>
  </si>
  <si>
    <t>51201615-00000</t>
  </si>
  <si>
    <t>2f3a45b6-8840-4779-b6ca-51b6459ab644</t>
  </si>
  <si>
    <t>189707156</t>
  </si>
  <si>
    <t>Vaccine: Rabies; injection; 1 Dose</t>
  </si>
  <si>
    <t>Vaccine: Rabies</t>
  </si>
  <si>
    <t>VERORAB</t>
  </si>
  <si>
    <t>J07BG01</t>
  </si>
  <si>
    <t>51201617-00000</t>
  </si>
  <si>
    <t>31bec13c-c3d6-4e04-9a4b-a10b7a2f61a7</t>
  </si>
  <si>
    <t>181810302</t>
  </si>
  <si>
    <t>Vaccine: Rotavirus; Drop, Oral; 1 Dose</t>
  </si>
  <si>
    <t>Vaccine: Rotavirus</t>
  </si>
  <si>
    <t>ROTARIX LIQUID ORAL VACCINE</t>
  </si>
  <si>
    <t>J07BH01</t>
  </si>
  <si>
    <t>51201618-00000</t>
  </si>
  <si>
    <t>7965e1a0-1460-4680-8cb8-9bdb4576040a</t>
  </si>
  <si>
    <t>181767326</t>
  </si>
  <si>
    <t>Vaccine: Tetanus Toxoid; injection; 10 Doses</t>
  </si>
  <si>
    <t>Vaccine: Tetanus Toxoid</t>
  </si>
  <si>
    <t>Tetanus Vaccine Cipla</t>
  </si>
  <si>
    <t>J07AM01</t>
  </si>
  <si>
    <t>51201621-00000</t>
  </si>
  <si>
    <t>c7a44cd0-b24a-4ee7-af60-415f147dbb23</t>
  </si>
  <si>
    <t>180141704</t>
  </si>
  <si>
    <t>Vaccine: Yellow Fever; injection; 1 Dose</t>
  </si>
  <si>
    <t>Vaccine: Yellow Fever</t>
  </si>
  <si>
    <t>STAMARIL</t>
  </si>
  <si>
    <t>J07BL01</t>
  </si>
  <si>
    <t>51201625-00001</t>
  </si>
  <si>
    <t>3293b96d-635f-46a1-a8e9-4d13941ca2a7</t>
  </si>
  <si>
    <t>181804520</t>
  </si>
  <si>
    <t>Valganciclovir; 450mg; Tablet; 60 Tablets</t>
  </si>
  <si>
    <t>Valganciclovir</t>
  </si>
  <si>
    <t>Valhet 450mg 60's</t>
  </si>
  <si>
    <t>J05AB14</t>
  </si>
  <si>
    <t>51342308-00000</t>
  </si>
  <si>
    <t>24f8ec9c-0a7b-4dcc-b036-0486b42df39b</t>
  </si>
  <si>
    <t>349</t>
  </si>
  <si>
    <t>181808859</t>
  </si>
  <si>
    <t>Valproate Sodium; 100mg; Tablet, dispersible; 100 Tablets</t>
  </si>
  <si>
    <t>Valproate Sodium</t>
  </si>
  <si>
    <t>EPILIM CRUSHABLE 100MG TAB 100</t>
  </si>
  <si>
    <t>N03AG01</t>
  </si>
  <si>
    <t>241188315104W0226</t>
  </si>
  <si>
    <t>51141530-00001</t>
  </si>
  <si>
    <t>0677cd86-30e7-435d-9047-d757cb5d6fb9</t>
  </si>
  <si>
    <t>354</t>
  </si>
  <si>
    <t>180223205</t>
  </si>
  <si>
    <t>Valproic Acid, Valproate Sodium; 145mg, 333mg; Tablet, MR; 100 Tablets</t>
  </si>
  <si>
    <t>Valproic Acid, Valproate Sodium</t>
  </si>
  <si>
    <t>EPILIM CR 500MG TAB 100</t>
  </si>
  <si>
    <t>51141531-00004</t>
  </si>
  <si>
    <t>d08d69d6-836c-4434-a570-088c5995c44f</t>
  </si>
  <si>
    <t>355</t>
  </si>
  <si>
    <t>181813974</t>
  </si>
  <si>
    <t>Valproic Acid, Valproate Sodium; 145mg, 333mg; Tablet, MR; 56 Tablets</t>
  </si>
  <si>
    <t>EPILIM CR 500MG TAB 56</t>
  </si>
  <si>
    <t>51141531-00005</t>
  </si>
  <si>
    <t>350</t>
  </si>
  <si>
    <t>180145714</t>
  </si>
  <si>
    <t>Valproic Acid, Valproate Sodium; 58mg, 133.2mg; Tablet, MR; 100 Tablets</t>
  </si>
  <si>
    <t>EPILIM CR 200MG TAB 100</t>
  </si>
  <si>
    <t>51141531-00010</t>
  </si>
  <si>
    <t>ea48d9f5-9fda-4879-bb76-1fe45d8f3eee</t>
  </si>
  <si>
    <t>351</t>
  </si>
  <si>
    <t>181813970</t>
  </si>
  <si>
    <t>Valproic Acid, Valproate Sodium; 58mg, 133.2mg; Tablet, MR; 56 Tablets</t>
  </si>
  <si>
    <t>EPILIM CR 200MG TAB 56</t>
  </si>
  <si>
    <t>51141531-00001</t>
  </si>
  <si>
    <t>352</t>
  </si>
  <si>
    <t>180145716</t>
  </si>
  <si>
    <t>Valproic Acid, Valproate Sodium; 87mg, 199.8mg; Tablet, MR; 100 Tablets</t>
  </si>
  <si>
    <t>EPILIM CR 300MG TAB 100</t>
  </si>
  <si>
    <t>51141531-00002</t>
  </si>
  <si>
    <t>b7dc6a39-f14c-424a-ad25-c530c619da0a</t>
  </si>
  <si>
    <t>353</t>
  </si>
  <si>
    <t>181813972</t>
  </si>
  <si>
    <t>Valproic Acid, Valproate Sodium; 87mg, 199.8mg; Tablet, MR; 56 Tablets</t>
  </si>
  <si>
    <t>EPILIM CR 300MG TAB 56</t>
  </si>
  <si>
    <t>51141531-00003</t>
  </si>
  <si>
    <t>189709032</t>
  </si>
  <si>
    <t>Valproic Acid; 200mg/5ml; Syrup; 300 ml</t>
  </si>
  <si>
    <t>Valproic Acid</t>
  </si>
  <si>
    <t>Epilim Liquid Sugar Free</t>
  </si>
  <si>
    <t>51141531-00008</t>
  </si>
  <si>
    <t>98a44814-bfb6-4d69-ba8b-bfbcb90a76e6</t>
  </si>
  <si>
    <t>189713767</t>
  </si>
  <si>
    <t>Valproic Acid; 250mg/5ml; Syrup; 100 ml</t>
  </si>
  <si>
    <t>Convulex syrup</t>
  </si>
  <si>
    <t>TAKEDA (PTY) LTD</t>
  </si>
  <si>
    <t>V6300</t>
  </si>
  <si>
    <t>51141531-00007</t>
  </si>
  <si>
    <t>MAAA0023041</t>
  </si>
  <si>
    <t>92122c81-c3b9-4c42-b6cc-2b529d7957d4</t>
  </si>
  <si>
    <t>150</t>
  </si>
  <si>
    <t>180002810</t>
  </si>
  <si>
    <t>Vancomycin; 1g; injection; 1 Injection</t>
  </si>
  <si>
    <t>Vancomycin</t>
  </si>
  <si>
    <t>GULF VANCOMYCIN 1g</t>
  </si>
  <si>
    <t>J01XA01</t>
  </si>
  <si>
    <t>719677-001</t>
  </si>
  <si>
    <t>51282702-00000</t>
  </si>
  <si>
    <t>73ab184c-adda-45a7-bcf1-1121ed6876b5</t>
  </si>
  <si>
    <t>189708886</t>
  </si>
  <si>
    <t>Vancomycin; 500mg; injection; 1 Injection</t>
  </si>
  <si>
    <t>GULF VANCOMYCIN 0,5g</t>
  </si>
  <si>
    <t>719675-001</t>
  </si>
  <si>
    <t>51282702-00001</t>
  </si>
  <si>
    <t>05542764-4f35-4227-bfb2-7ecc99221b21</t>
  </si>
  <si>
    <t>222000188</t>
  </si>
  <si>
    <t>Vecuronium; 4mg/2ml; injection; 2 ml</t>
  </si>
  <si>
    <t>Vecuronium</t>
  </si>
  <si>
    <t>MUSCURON</t>
  </si>
  <si>
    <t>M03AC03</t>
  </si>
  <si>
    <t>51152004-00001</t>
  </si>
  <si>
    <t>6267aa3e-0072-4888-9875-36bf2d76b060</t>
  </si>
  <si>
    <t>358</t>
  </si>
  <si>
    <t>181775584</t>
  </si>
  <si>
    <t>Venlafaxine; 150mg; Tablet; 28 Tablets</t>
  </si>
  <si>
    <t>Venlafaxine</t>
  </si>
  <si>
    <t xml:space="preserve">Maclafax XR 150 mg </t>
  </si>
  <si>
    <t>N06AX16</t>
  </si>
  <si>
    <t>180 X 28</t>
  </si>
  <si>
    <t>51291701-00005</t>
  </si>
  <si>
    <t>c4b1463c-4b1e-49a7-91ca-b798f4c77b62</t>
  </si>
  <si>
    <t>359</t>
  </si>
  <si>
    <t>181851983</t>
  </si>
  <si>
    <t>Venlafaxine; 37.5mg; Tablet; 30 Capsules</t>
  </si>
  <si>
    <t>ADCO-Venlafaxine 37.5MG Capsule 30's</t>
  </si>
  <si>
    <t>51291701-00000</t>
  </si>
  <si>
    <t>6ce5c38b-7151-42ac-82cb-449acfa2786a</t>
  </si>
  <si>
    <t>360</t>
  </si>
  <si>
    <t>181775582</t>
  </si>
  <si>
    <t>Venlafaxine; 75mg; Tablet; 28 Tablets</t>
  </si>
  <si>
    <t>Maclafax XR 75 mg</t>
  </si>
  <si>
    <t>51291701-00004</t>
  </si>
  <si>
    <t>6747d18d-b0d6-481f-a347-ddc315c84cd1</t>
  </si>
  <si>
    <t>361</t>
  </si>
  <si>
    <t>189709075</t>
  </si>
  <si>
    <t>Verapamil; 240mg; Tablet, MR; 30 Tablets</t>
  </si>
  <si>
    <t>Verapamil</t>
  </si>
  <si>
    <t>Verahexal 240 SR 30's</t>
  </si>
  <si>
    <t>C08DA01</t>
  </si>
  <si>
    <t>51431609-00003</t>
  </si>
  <si>
    <t>f32c423e-9f15-47a6-9c37-aaef120e79f0</t>
  </si>
  <si>
    <t>362</t>
  </si>
  <si>
    <t>180339609</t>
  </si>
  <si>
    <t>Verapamil; 40mg; Tablet; 84 Tablets</t>
  </si>
  <si>
    <t>Verapamil 40 Oethmaan</t>
  </si>
  <si>
    <t>51431609-00001</t>
  </si>
  <si>
    <t>63d732a1-6ec0-45c9-82d2-a60144bc3ed9</t>
  </si>
  <si>
    <t>154</t>
  </si>
  <si>
    <t>180076998</t>
  </si>
  <si>
    <t>Verapamil; 5mg/2ml; injection; 2 ml</t>
  </si>
  <si>
    <t>Pharma-Q Verapamil 5mg/2ml</t>
  </si>
  <si>
    <t>51431609-00000</t>
  </si>
  <si>
    <t>84e556b7-d43e-409d-8593-c8746cca7a62</t>
  </si>
  <si>
    <t>180969693</t>
  </si>
  <si>
    <t>Vinblastine; 10mg/10ml; injection; 1 Injection</t>
  </si>
  <si>
    <t>Vinblastine</t>
  </si>
  <si>
    <t>Vinblastine Teva 10</t>
  </si>
  <si>
    <t>L01CA01</t>
  </si>
  <si>
    <t>51111766-00000</t>
  </si>
  <si>
    <t>140db31c-e6bb-43a2-a287-12c2f2f55223</t>
  </si>
  <si>
    <t>189710632</t>
  </si>
  <si>
    <t>Vincristine; 2mg/2ml; injection; 2 ml</t>
  </si>
  <si>
    <t>Vincristine</t>
  </si>
  <si>
    <t xml:space="preserve">Accord-Vincristine 1mg/ml </t>
  </si>
  <si>
    <t>L01CA02</t>
  </si>
  <si>
    <t>713432-001</t>
  </si>
  <si>
    <t>51111767-00001</t>
  </si>
  <si>
    <t>741efa0d-4d1f-4be5-b20e-5aa08252f91b</t>
  </si>
  <si>
    <t>305</t>
  </si>
  <si>
    <t>181798187</t>
  </si>
  <si>
    <t>Vitamin A (Retinol); 100,000IU; Capsule; 50 Capsules</t>
  </si>
  <si>
    <t>Vitamin A (Retinol)</t>
  </si>
  <si>
    <t>VITAFORCE A100 000IU CAPS 50's</t>
  </si>
  <si>
    <t>A11CA01</t>
  </si>
  <si>
    <t>50501515-00004</t>
  </si>
  <si>
    <t>0408bf64-1d10-4a1a-b20c-7e82197635d9</t>
  </si>
  <si>
    <t>306</t>
  </si>
  <si>
    <t>181798190</t>
  </si>
  <si>
    <t>Vitamin A (Retinol); 200,000IU; Capsule; 50 Capsules</t>
  </si>
  <si>
    <t>VITAFORCE A200 000IU CAPS 50's</t>
  </si>
  <si>
    <t>50501515-00005</t>
  </si>
  <si>
    <t>d40c86bd-f459-42f1-9e25-ed5209e49928</t>
  </si>
  <si>
    <t>307</t>
  </si>
  <si>
    <t>181798191</t>
  </si>
  <si>
    <t>Vitamin A (Retinol); 50,000IU; Capsule; 50 Capsules</t>
  </si>
  <si>
    <t>VITAFORCE A50 000IU CAPS 50's</t>
  </si>
  <si>
    <t>50501515-00003</t>
  </si>
  <si>
    <t>a60e8db3-bb02-4da6-bd35-bdec6ee19ebd</t>
  </si>
  <si>
    <t>189700006</t>
  </si>
  <si>
    <t>Vitamin B1 (Thiamine); 100mg/ml; injection; 10 ml</t>
  </si>
  <si>
    <t>Vitamin B1 (Thiamine)</t>
  </si>
  <si>
    <t>LITHA THIAMINE INJECTION</t>
  </si>
  <si>
    <t>A11DA01</t>
  </si>
  <si>
    <t>50501502-00001</t>
  </si>
  <si>
    <t>aa02b724-5f58-4a8c-95da-653a6d23d8cd</t>
  </si>
  <si>
    <t>335</t>
  </si>
  <si>
    <t>181798189</t>
  </si>
  <si>
    <t>Vitamin B1 (Thiamine); 100mg; Tablet; 28 Tablets</t>
  </si>
  <si>
    <t>Vitamin B1 100MG Tablets 28's</t>
  </si>
  <si>
    <t>50501502-00004</t>
  </si>
  <si>
    <t>8cff4c2d-7ccc-48a1-9dcd-5f6067b13377</t>
  </si>
  <si>
    <t>Thiamine (Vitamin B1) 100mg tablet, 28 tablets</t>
  </si>
  <si>
    <t>336</t>
  </si>
  <si>
    <t>181917416</t>
  </si>
  <si>
    <t>Vitamin B1 (Thiamine); 100mg; Tablet; 84 Tablets</t>
  </si>
  <si>
    <t>Vitamin B1 100MG Tablets 84's</t>
  </si>
  <si>
    <t>50501502-00005</t>
  </si>
  <si>
    <t>189715773</t>
  </si>
  <si>
    <t>Vitamin B12 (Cyanocobalamin); 1mg/ml; injection; 1 ml</t>
  </si>
  <si>
    <t>Vitamin B12 (Cyanocobalamin)</t>
  </si>
  <si>
    <t>Neurobion Ampoules</t>
  </si>
  <si>
    <t>B03BA01</t>
  </si>
  <si>
    <t>50501509-00000</t>
  </si>
  <si>
    <t>90e19e50-2d78-42b8-84a6-ab77e4290b5a</t>
  </si>
  <si>
    <t>232</t>
  </si>
  <si>
    <t>180339515</t>
  </si>
  <si>
    <t>Vitamin B3 (Nicotinamide); 100mg; Tablet; 28 Tablets</t>
  </si>
  <si>
    <t>Vitamin B3 (Nicotinamide)</t>
  </si>
  <si>
    <t>Unimed Nicotinamide 100 mg tablets</t>
  </si>
  <si>
    <t>A11HA01</t>
  </si>
  <si>
    <t>51191920-00000</t>
  </si>
  <si>
    <t>10416e6e-77f0-4450-95e2-91c0cf0303d8</t>
  </si>
  <si>
    <t>233</t>
  </si>
  <si>
    <t>181917398</t>
  </si>
  <si>
    <t>Vitamin B3 (Nicotinamide); 100mg; Tablet; 84 Tablets</t>
  </si>
  <si>
    <t>51191920-00001</t>
  </si>
  <si>
    <t>289</t>
  </si>
  <si>
    <t>189710278</t>
  </si>
  <si>
    <t>Vitamin B6 (Pyridoxine); 25mg; Tablet; 100 Tablets</t>
  </si>
  <si>
    <t>Vitamin B6 (Pyridoxine)</t>
  </si>
  <si>
    <t>Pyridoxine (Vitamin B6) 25mg tablet, 100 tablets</t>
  </si>
  <si>
    <t>A11HA02</t>
  </si>
  <si>
    <t>50501506-00002</t>
  </si>
  <si>
    <t>51ebb6c0-6920-4d69-a306-45485d851e18</t>
  </si>
  <si>
    <t>290</t>
  </si>
  <si>
    <t>180339610</t>
  </si>
  <si>
    <t>Vitamin B6 (Pyridoxine); 25mg; Tablet; 28 Tablets</t>
  </si>
  <si>
    <t>EVO Pyridoxine 25mg tablet</t>
  </si>
  <si>
    <t>50501506-00001</t>
  </si>
  <si>
    <t>Pyridoxine 25mg</t>
  </si>
  <si>
    <t>189712166</t>
  </si>
  <si>
    <t>Vitamin D (Alfacalcidol); 0.25mcg; Capsule; 30 Capsules</t>
  </si>
  <si>
    <t>Vitamin D (Alfacalcidol)</t>
  </si>
  <si>
    <t>ZODORAY 0,25 µg</t>
  </si>
  <si>
    <t>A11CC03</t>
  </si>
  <si>
    <t>50501511-00004</t>
  </si>
  <si>
    <t>1c1b2547-da6b-408a-adb1-9c10a2b00e42</t>
  </si>
  <si>
    <t>189714139</t>
  </si>
  <si>
    <t>Vitamin D (Alfacalcidol); 1mcg; Capsule; 30 Capsules</t>
  </si>
  <si>
    <t>ZODORAY 1 µg</t>
  </si>
  <si>
    <t>50501511-00005</t>
  </si>
  <si>
    <t>6f9cb984-d5e5-40d4-a621-074d8ab91623</t>
  </si>
  <si>
    <t>189712409</t>
  </si>
  <si>
    <t>Vitamin D2 (Ergocalciferol); 5,000IU/ml; Drop, Oral; 15 ml</t>
  </si>
  <si>
    <t>Vitamin D2 (Ergocalciferol)</t>
  </si>
  <si>
    <t>CALCIFEROL OILY SOLUTION - LENNON 15ML</t>
  </si>
  <si>
    <t>A11CC01</t>
  </si>
  <si>
    <t>50501511-00003</t>
  </si>
  <si>
    <t>0c5bfe1b-836f-47fc-ba13-8b1cfdea577e</t>
  </si>
  <si>
    <t>189759820</t>
  </si>
  <si>
    <t>Vitamin D2 (Ergocalciferol); 50,000IU; Tablet; 100 Tablets</t>
  </si>
  <si>
    <t>A-LENNON CALCIFEROL TAB SEC100</t>
  </si>
  <si>
    <t>50501516-00000</t>
  </si>
  <si>
    <t>dc9271c2-b83e-49de-87e9-8885bb80de5d</t>
  </si>
  <si>
    <t>180146851</t>
  </si>
  <si>
    <t>Vitamin K1 (Phytomenadione); 10mg; injection; 1 ml</t>
  </si>
  <si>
    <t>Vitamin K1 (Phytomenadione)</t>
  </si>
  <si>
    <t>KONAKION</t>
  </si>
  <si>
    <t>B02BA01</t>
  </si>
  <si>
    <t>50501513-00000</t>
  </si>
  <si>
    <t>f0e03c8f-d46e-4823-9d15-61dec2fb2b84</t>
  </si>
  <si>
    <t>180953330</t>
  </si>
  <si>
    <t>Vitamin K1 (Phytomenadione); 2mg; injection; 0.2 ml</t>
  </si>
  <si>
    <t>50501513-00001</t>
  </si>
  <si>
    <t>5b75b305-844b-44af-ac5b-79104a70c960</t>
  </si>
  <si>
    <t>180192703</t>
  </si>
  <si>
    <t>Vitamin, Fat Soluble, Vitamin E; injection; 10 ml</t>
  </si>
  <si>
    <t>Vitamin, Fat Soluble, Vitamin E</t>
  </si>
  <si>
    <t>VITALIPID NOVUM ADULT</t>
  </si>
  <si>
    <t>B05XC</t>
  </si>
  <si>
    <t>846716/004</t>
  </si>
  <si>
    <t>50501801-00009</t>
  </si>
  <si>
    <t>de983c28-5406-4852-9643-84ce1abae184</t>
  </si>
  <si>
    <t>189700483</t>
  </si>
  <si>
    <t>Vitamin, Multi; Drop, Oral; 25 ml</t>
  </si>
  <si>
    <t>Vitamin, Multi</t>
  </si>
  <si>
    <t>Kiddyvit</t>
  </si>
  <si>
    <t>A11BA</t>
  </si>
  <si>
    <t>50501801-00001</t>
  </si>
  <si>
    <t>64591339-f893-4734-b041-ef601637bb4c</t>
  </si>
  <si>
    <t>181830445</t>
  </si>
  <si>
    <t>Vitamin, Multi; injection; 10 ml</t>
  </si>
  <si>
    <t>Cernevit</t>
  </si>
  <si>
    <t>50501801-00003</t>
  </si>
  <si>
    <t>c1942802-2897-4bcc-be35-9a89e451007a</t>
  </si>
  <si>
    <t>189718286</t>
  </si>
  <si>
    <t>Vitamin, Multi; Syrup; 100 ml</t>
  </si>
  <si>
    <t>Gulf Mulitvitamin Syrup</t>
  </si>
  <si>
    <t>50501801-00000</t>
  </si>
  <si>
    <t>f9195d46-22c2-4d71-8566-270f76e2a801</t>
  </si>
  <si>
    <t>180055706</t>
  </si>
  <si>
    <t>Vitamin, Water Soluble; injection (for intravenous use in adults); 10 ml</t>
  </si>
  <si>
    <t>Vitamin, Water Soluble</t>
  </si>
  <si>
    <t>SOLUVIT NOVUM</t>
  </si>
  <si>
    <t>869198/010</t>
  </si>
  <si>
    <t>50501801-00002</t>
  </si>
  <si>
    <t>a78ec50f-351f-442a-9d02-c97ae6ca08f4</t>
  </si>
  <si>
    <t>364</t>
  </si>
  <si>
    <t>189759084</t>
  </si>
  <si>
    <t>Warfarin; 5mg; Tablet; 100 Tablets</t>
  </si>
  <si>
    <t>Warfarin</t>
  </si>
  <si>
    <t>SEGAVIN</t>
  </si>
  <si>
    <t>B01AA03</t>
  </si>
  <si>
    <t>51131604-00000</t>
  </si>
  <si>
    <t>bd03e8a3-5483-465e-9661-5f98f27aab2d</t>
  </si>
  <si>
    <t>189710871</t>
  </si>
  <si>
    <t>Water For Injection; injection; 10 ml</t>
  </si>
  <si>
    <t>Water For Injection</t>
  </si>
  <si>
    <t>Water for Injections B. Braun 10ml</t>
  </si>
  <si>
    <t>51191605-00000</t>
  </si>
  <si>
    <t>51af9872-8570-424a-a3fb-95817074ddec</t>
  </si>
  <si>
    <t>189710862</t>
  </si>
  <si>
    <t>Water For Injection; injection; 20 ml</t>
  </si>
  <si>
    <t>WATER FOR INJECTIONS FRESENIUS "FLEXIVIAL" (20 ml)</t>
  </si>
  <si>
    <t>51191605-00003</t>
  </si>
  <si>
    <t>180006415</t>
  </si>
  <si>
    <t>Water For Irrigation; Liquid (Pour Water); 1 L</t>
  </si>
  <si>
    <t>Water For Irrigation</t>
  </si>
  <si>
    <t>Autosterile  Sterile Water for Irrigation USP</t>
  </si>
  <si>
    <t>895730-003</t>
  </si>
  <si>
    <t>51473504-00014</t>
  </si>
  <si>
    <t>f6d772c9-e28c-4e05-b836-23a81e393f07</t>
  </si>
  <si>
    <t>189761562</t>
  </si>
  <si>
    <t>Water For Irrigation; Liquid; 1 L</t>
  </si>
  <si>
    <t>Sabax Sterile Water for Irrigation (1000ml)</t>
  </si>
  <si>
    <t>51473504-00013</t>
  </si>
  <si>
    <t>fafd8fd2-ddf2-4f1d-bdf1-71357d083c8f</t>
  </si>
  <si>
    <t>189761563</t>
  </si>
  <si>
    <t>Water For Irrigation; Liquid; 3 L</t>
  </si>
  <si>
    <t>Sabax Sterile Water for Irrigation (3000ml)</t>
  </si>
  <si>
    <t>51473504-00015</t>
  </si>
  <si>
    <t>189715429</t>
  </si>
  <si>
    <t>Zinc Oxide, Castor Oil; Ointment; 25 g</t>
  </si>
  <si>
    <t>Zinc Oxide, Castor Oil</t>
  </si>
  <si>
    <t>Barrs Zinc and Castor Oil Ointment BP</t>
  </si>
  <si>
    <t>D02AB</t>
  </si>
  <si>
    <t>51241885-00000</t>
  </si>
  <si>
    <t>88d6207e-1b26-4430-8a05-589aca64ad04</t>
  </si>
  <si>
    <t>181919467</t>
  </si>
  <si>
    <t>Zinc Sulfate; 10mg/5ml; Syrup; 150 ml</t>
  </si>
  <si>
    <t>Zinc Sulfate</t>
  </si>
  <si>
    <t>Resmed Elemental Zinc Syrup</t>
  </si>
  <si>
    <t>A12CB01</t>
  </si>
  <si>
    <t>50501613-00003</t>
  </si>
  <si>
    <t>feebaef0-5a28-4465-a1ca-c5642aff25bb</t>
  </si>
  <si>
    <t>365</t>
  </si>
  <si>
    <t>181896936</t>
  </si>
  <si>
    <t>Zinc Sulfate; 20mg; Tablet; 10 Tablets</t>
  </si>
  <si>
    <t>EVO Zinc 20mg - 10 Tablets</t>
  </si>
  <si>
    <t>50501613-00001</t>
  </si>
  <si>
    <t>e1fde45e-13fc-4b0d-8e6e-086688c2089f</t>
  </si>
  <si>
    <t>366</t>
  </si>
  <si>
    <t>181862059</t>
  </si>
  <si>
    <t>Zinc Sulfate; 20mg; Tablet; 100 Tablets</t>
  </si>
  <si>
    <t>Zinc 20mg Unimed</t>
  </si>
  <si>
    <t>50501613-00002</t>
  </si>
  <si>
    <t>189753243</t>
  </si>
  <si>
    <t>Zuclopentixol Acetate; 50mg/ml; injection; 1 ml</t>
  </si>
  <si>
    <t>Zuclopentixol Acetate</t>
  </si>
  <si>
    <t>Clopixol Acuphase 50mg/ml inj, 1ml ampoule</t>
  </si>
  <si>
    <t>N05AF05</t>
  </si>
  <si>
    <t>51334315-00000</t>
  </si>
  <si>
    <t>06fa53ed-b46f-4418-94ba-316b064ffd3f</t>
  </si>
  <si>
    <t>180057631</t>
  </si>
  <si>
    <t>Zuclopentixol Decanoate; 200mg/ml; injection; 1 ml</t>
  </si>
  <si>
    <t>Zuclopentixol Decanoate</t>
  </si>
  <si>
    <t>Clopixol Depot 200mg/ml, 1ml inj</t>
  </si>
  <si>
    <t>51334306-00001</t>
  </si>
  <si>
    <t>f08cd9c1-c010-4d77-8088-23459f5b12a6</t>
  </si>
  <si>
    <t>Inpatient care per event (pre-ART; &lt;100 cells/microl)</t>
  </si>
  <si>
    <t>Inpatient care per event (pre-ART; 100-199 cells/microl)</t>
  </si>
  <si>
    <t>Inpatient care per event (pre-ART; 200-349 cells/microl)</t>
  </si>
  <si>
    <t>Inpatient care per event (pre-ART; &gt;350 cells/microl)</t>
  </si>
  <si>
    <t>Inpatient care per event (pre-ART; &lt;200 cells/microl)</t>
  </si>
  <si>
    <t>Inpatient care per event (pre-ART; 350-500 cells/microl)</t>
  </si>
  <si>
    <t>Inpatient care per event (pre-ART; &gt;500 cells/microl)</t>
  </si>
  <si>
    <t>Inpatient care per event (ART; &lt;100 cells/microl)</t>
  </si>
  <si>
    <t>Inpatient care per event (ART; 100-199 cells/microl)</t>
  </si>
  <si>
    <t>Inpatient care per event (ART; 200-349 cells/microl)</t>
  </si>
  <si>
    <t>Inpatient care per event (ART; &gt;350 cells/microl)</t>
  </si>
  <si>
    <t>Inpatient care per event (ART; &lt;200 cells/microl)</t>
  </si>
  <si>
    <t>Inpatient care per event (ART; 350-500 cells/microl)</t>
  </si>
  <si>
    <t>Inpatient care per event (ART; &gt;500 cells/microl)</t>
  </si>
  <si>
    <t>Meyer Rath 2013, mean length of stay</t>
  </si>
  <si>
    <t>Number of inpatients on ART at CD4&lt;200</t>
  </si>
  <si>
    <t>Number of inpatients on ART at CD4 200-349</t>
  </si>
  <si>
    <t>Number of inpatients on ART at CD4 350-499</t>
  </si>
  <si>
    <t>Number of inpatients on ART at CD4&gt;=500</t>
  </si>
  <si>
    <t>ART naïve and defaulters, inpatients (CD4 &lt;200)</t>
  </si>
  <si>
    <t>ART naïve and defaulters, inpatients (CD4 200-349)</t>
  </si>
  <si>
    <t>ART naïve and defaulters, inpatients (CD4 350-499)</t>
  </si>
  <si>
    <t>ART naïve and defaulters, inpatients (CD4 &gt;=500)</t>
  </si>
  <si>
    <t>per patient admitted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</si>
</sst>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3">
    <numFmt numFmtId="43" formatCode="_(* #,##0.00_);_(* \(#,##0.00\);_(* &quot;-&quot;??_);_(@_)"/>
    <numFmt numFmtId="164" formatCode="_ * #,##0.00_ ;_ * \-#,##0.00_ ;_ * &quot;-&quot;??_ ;_ @_ "/>
    <numFmt numFmtId="165" formatCode="&quot;R&quot;#,##0;[Red]\-&quot;R&quot;#,##0"/>
    <numFmt numFmtId="166" formatCode="&quot;R&quot;#,##0.00;[Red]\-&quot;R&quot;#,##0.00"/>
    <numFmt numFmtId="167" formatCode="_-&quot;R&quot;* #,##0.00_-;\-&quot;R&quot;* #,##0.00_-;_-&quot;R&quot;* &quot;-&quot;??_-;_-@_-"/>
    <numFmt numFmtId="168" formatCode="_-* #,##0.00_-;\-* #,##0.00_-;_-* &quot;-&quot;??_-;_-@_-"/>
    <numFmt numFmtId="169" formatCode="_ &quot;R&quot;\ * #,##0.00_ ;_ &quot;R&quot;\ * \-#,##0.00_ ;_ &quot;R&quot;\ * &quot;-&quot;??_ ;_ @_ "/>
    <numFmt numFmtId="170" formatCode="_(* #,##0_);_(* \(#,##0\);_(* &quot;-&quot;??_);_(@_)"/>
    <numFmt numFmtId="171" formatCode="0.0%"/>
    <numFmt numFmtId="172" formatCode="[$R-1C09]\ #,##0.00"/>
    <numFmt numFmtId="173" formatCode="&quot;R&quot;\ #,##0.00"/>
    <numFmt numFmtId="174" formatCode="_(* #,##0.000_);_(* \(#,##0.000\);_(* &quot;-&quot;??_);_(@_)"/>
    <numFmt numFmtId="175" formatCode="[$R-1C09]\ #,##0"/>
    <numFmt numFmtId="176" formatCode="0.0000%"/>
    <numFmt numFmtId="177" formatCode="_ * #,##0_ ;_ * \-#,##0_ ;_ * &quot;-&quot;??_ ;_ @_ "/>
    <numFmt numFmtId="178" formatCode="&quot;R&quot;\ #,##0"/>
    <numFmt numFmtId="179" formatCode="0.0"/>
    <numFmt numFmtId="180" formatCode="\ \ \ \ \ @"/>
    <numFmt numFmtId="181" formatCode="&quot;£&quot;#,##0_);[Red]\(&quot;£&quot;#,##0\)"/>
    <numFmt numFmtId="182" formatCode="#,##0.00\ &quot;Pts&quot;;[Red]\-#,##0.00\ &quot;Pts&quot;"/>
    <numFmt numFmtId="183" formatCode="_-&quot;L.&quot;\ * #,##0_-;\-&quot;L.&quot;\ * #,##0_-;_-&quot;L.&quot;\ * &quot;-&quot;_-;_-@_-"/>
    <numFmt numFmtId="184" formatCode="_-[$€-2]* #,##0.00_-;\-[$€-2]* #,##0.00_-;_-[$€-2]* &quot;-&quot;??_-"/>
    <numFmt numFmtId="185" formatCode="_-* #,##0\ _F_-;\-* #,##0\ _F_-;_-* &quot;-&quot;\ _F_-;_-@_-"/>
    <numFmt numFmtId="186" formatCode="_-* #,##0.00\ _F_-;\-* #,##0.00\ _F_-;_-* &quot;-&quot;??\ _F_-;_-@_-"/>
    <numFmt numFmtId="187" formatCode="_-* #,##0\ &quot;F&quot;_-;\-* #,##0\ &quot;F&quot;_-;_-* &quot;-&quot;\ &quot;F&quot;_-;_-@_-"/>
    <numFmt numFmtId="188" formatCode="_-* #,##0.00\ &quot;F&quot;_-;\-* #,##0.00\ &quot;F&quot;_-;_-* &quot;-&quot;??\ &quot;F&quot;_-;_-@_-"/>
    <numFmt numFmtId="189" formatCode="&quot;R&quot;#,##0.00_-;[Red]&quot;R&quot;#,##0.00\-"/>
    <numFmt numFmtId="190" formatCode="#,##0\ &quot;DM&quot;;[Red]\-#,##0\ &quot;DM&quot;"/>
    <numFmt numFmtId="191" formatCode="_-* #,##0_-;_-* #,##0\-;_-* &quot;-&quot;_-;_-@_-"/>
    <numFmt numFmtId="192" formatCode="&quot;R&quot;#,##0.00_-;&quot;R&quot;#,##0.00\-"/>
    <numFmt numFmtId="193" formatCode="_ * #,##0_)\ _F_ ;_ * \(#,##0\)\ _F_ ;_ * &quot;-&quot;_)\ _F_ ;_ @_ "/>
    <numFmt numFmtId="194" formatCode="_ &quot;SFr.&quot;\ * #,##0.00_ ;_ &quot;SFr.&quot;\ * \-#,##0.00_ ;_ &quot;SFr.&quot;\ * &quot;-&quot;??_ ;_ @_ "/>
    <numFmt numFmtId="195" formatCode="[$$-409]#,##0"/>
    <numFmt numFmtId="196" formatCode="[$R-1C09]\ #,##0;[$R-1C09]\ \-#,##0"/>
    <numFmt numFmtId="197" formatCode="_ * #,##0.000000_ ;_ * \-#,##0.000000_ ;_ * &quot;-&quot;??_ ;_ @_ "/>
    <numFmt numFmtId="198" formatCode="_ * #,##0.0000_ ;_ * \-#,##0.0000_ ;_ * &quot;-&quot;??_ ;_ @_ "/>
    <numFmt numFmtId="199" formatCode="&quot;R&quot;\ #,##0.000"/>
    <numFmt numFmtId="200" formatCode="0.0000"/>
    <numFmt numFmtId="201" formatCode="_-* #,##0.0000_-;\-* #,##0.0000_-;_-* &quot;-&quot;??_-;_-@_-"/>
    <numFmt numFmtId="202" formatCode="yyyy/mm/dd\ h:mm\ \a"/>
    <numFmt numFmtId="203" formatCode="[$$-C09]#,##0.00"/>
    <numFmt numFmtId="204" formatCode="#,##0.00000"/>
    <numFmt numFmtId="205" formatCode="_-* #,##0_-;\-* #,##0_-;_-* &quot;-&quot;??_-;_-@_-"/>
    <numFmt numFmtId="206" formatCode="#,##0.0000"/>
    <numFmt numFmtId="207" formatCode="&quot;R&quot;#,##0.00"/>
    <numFmt numFmtId="208" formatCode="_-[$$-409]* #,##0.00_ ;_-[$$-409]* \-#,##0.00\ ;_-[$$-409]* &quot;-&quot;??_ ;_-@_ "/>
    <numFmt numFmtId="209" formatCode="[$$-409]#,##0_ ;\-[$$-409]#,##0\ "/>
    <numFmt numFmtId="210" formatCode="_-[$R-1C09]* #,##0.00_-;\-[$R-1C09]* #,##0.00_-;_-[$R-1C09]* &quot;-&quot;??_-;_-@_-"/>
    <numFmt numFmtId="211" formatCode="_ * #,##0.0000000_ ;_ * \-#,##0.0000000_ ;_ * &quot;-&quot;??_ ;_ @_ "/>
    <numFmt numFmtId="212" formatCode="[$R-1C09]#,##0.00;\-[$R-1C09]#,##0.00"/>
    <numFmt numFmtId="213" formatCode="_-[$R-1C09]* #,##0_-;\-[$R-1C09]* #,##0_-;_-[$R-1C09]* &quot;-&quot;??_-;_-@_-"/>
    <numFmt numFmtId="214" formatCode="mm/dd/yyyy"/>
    <numFmt numFmtId="215" formatCode="[$$-45C]#,##0.00"/>
  </numFmts>
  <fonts count="9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5"/>
      <color indexed="56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1111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0"/>
      <name val="Arial"/>
      <family val="2"/>
    </font>
    <font>
      <sz val="11"/>
      <color theme="9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3"/>
      <color indexed="56"/>
      <name val="Calibri"/>
      <family val="2"/>
      <scheme val="minor"/>
    </font>
    <font>
      <b/>
      <sz val="11"/>
      <color indexed="56"/>
      <name val="Calibri"/>
      <family val="2"/>
      <scheme val="minor"/>
    </font>
    <font>
      <sz val="10"/>
      <color indexed="8"/>
      <name val="Arial"/>
      <family val="2"/>
    </font>
    <font>
      <sz val="10"/>
      <name val="MS Sans Serif"/>
      <family val="2"/>
    </font>
    <font>
      <sz val="10"/>
      <name val="Times New Roman"/>
      <family val="1"/>
    </font>
    <font>
      <sz val="10"/>
      <name val="Helv"/>
    </font>
    <font>
      <shadow/>
      <sz val="8"/>
      <color indexed="12"/>
      <name val="Times New Roman"/>
      <family val="1"/>
    </font>
    <font>
      <sz val="12"/>
      <name val="Times New Roman"/>
      <family val="1"/>
    </font>
    <font>
      <b/>
      <sz val="12"/>
      <name val="Univers (WN)"/>
    </font>
    <font>
      <sz val="10"/>
      <name val="Univers (E1)"/>
    </font>
    <font>
      <sz val="10"/>
      <color indexed="8"/>
      <name val="MS Sans Serif"/>
      <family val="2"/>
    </font>
    <font>
      <u/>
      <sz val="10"/>
      <color indexed="12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1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8"/>
      <color indexed="62"/>
      <name val="Cambria"/>
      <family val="2"/>
    </font>
    <font>
      <b/>
      <sz val="18"/>
      <color theme="3"/>
      <name val="Calibri Light"/>
      <family val="2"/>
      <scheme val="major"/>
    </font>
    <font>
      <sz val="11"/>
      <color rgb="FF000000"/>
      <name val="Calibri"/>
      <family val="2"/>
      <scheme val="minor"/>
    </font>
    <font>
      <u/>
      <sz val="9.9"/>
      <color theme="10"/>
      <name val="Calibri"/>
      <family val="2"/>
    </font>
    <font>
      <u/>
      <sz val="11"/>
      <color theme="10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u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name val="Calibri"/>
      <family val="2"/>
    </font>
    <font>
      <sz val="10"/>
      <color rgb="FF000000"/>
      <name val="Calibri"/>
      <family val="2"/>
    </font>
    <font>
      <b/>
      <sz val="11"/>
      <color rgb="FF656565"/>
      <name val="Calibri"/>
      <family val="2"/>
    </font>
    <font>
      <b/>
      <sz val="11"/>
      <color rgb="FFC00000"/>
      <name val="Calibri"/>
      <family val="2"/>
    </font>
    <font>
      <b/>
      <sz val="9"/>
      <color rgb="FF3F3F3F"/>
      <name val="Arial"/>
      <family val="2"/>
    </font>
    <font>
      <sz val="9"/>
      <color rgb="FF3F3F3F"/>
      <name val="Arial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8"/>
      <color rgb="FF000000"/>
      <name val="SansSerif"/>
      <family val="2"/>
    </font>
    <font>
      <sz val="8"/>
      <color rgb="FF000000"/>
      <name val="SansSerif"/>
      <family val="2"/>
    </font>
  </fonts>
  <fills count="8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3ED73B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B4C6E7"/>
        <bgColor rgb="FFB4C6E7"/>
      </patternFill>
    </fill>
    <fill>
      <patternFill patternType="solid">
        <fgColor theme="0"/>
        <bgColor theme="0"/>
      </patternFill>
    </fill>
    <fill>
      <patternFill patternType="solid">
        <fgColor rgb="FF9CC2E5"/>
        <bgColor rgb="FF9CC2E5"/>
      </patternFill>
    </fill>
    <fill>
      <patternFill patternType="solid">
        <fgColor rgb="FFDEEAF6"/>
        <bgColor rgb="FFDEEAF6"/>
      </patternFill>
    </fill>
    <fill>
      <patternFill patternType="solid">
        <fgColor theme="9" tint="0.79998168889431442"/>
        <bgColor indexed="64"/>
      </patternFill>
    </fill>
  </fills>
  <borders count="5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indexed="62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844">
    <xf numFmtId="0" fontId="0" fillId="0" borderId="0"/>
    <xf numFmtId="0" fontId="2" fillId="0" borderId="0"/>
    <xf numFmtId="0" fontId="7" fillId="0" borderId="5" applyNumberFormat="0" applyFill="0" applyAlignment="0" applyProtection="0"/>
    <xf numFmtId="9" fontId="8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" fillId="0" borderId="0"/>
    <xf numFmtId="0" fontId="2" fillId="0" borderId="0"/>
    <xf numFmtId="0" fontId="26" fillId="0" borderId="0"/>
    <xf numFmtId="0" fontId="9" fillId="0" borderId="0"/>
    <xf numFmtId="0" fontId="29" fillId="0" borderId="16" applyNumberFormat="0" applyFill="0" applyAlignment="0" applyProtection="0"/>
    <xf numFmtId="0" fontId="30" fillId="9" borderId="0" applyNumberFormat="0" applyBorder="0" applyAlignment="0" applyProtection="0"/>
    <xf numFmtId="0" fontId="31" fillId="10" borderId="0" applyNumberFormat="0" applyBorder="0" applyAlignment="0" applyProtection="0"/>
    <xf numFmtId="0" fontId="32" fillId="11" borderId="0" applyNumberFormat="0" applyBorder="0" applyAlignment="0" applyProtection="0"/>
    <xf numFmtId="0" fontId="33" fillId="12" borderId="17" applyNumberFormat="0" applyAlignment="0" applyProtection="0"/>
    <xf numFmtId="0" fontId="34" fillId="13" borderId="18" applyNumberFormat="0" applyAlignment="0" applyProtection="0"/>
    <xf numFmtId="0" fontId="35" fillId="13" borderId="17" applyNumberFormat="0" applyAlignment="0" applyProtection="0"/>
    <xf numFmtId="0" fontId="36" fillId="0" borderId="19" applyNumberFormat="0" applyFill="0" applyAlignment="0" applyProtection="0"/>
    <xf numFmtId="0" fontId="10" fillId="14" borderId="20" applyNumberFormat="0" applyAlignment="0" applyProtection="0"/>
    <xf numFmtId="0" fontId="11" fillId="0" borderId="0" applyNumberFormat="0" applyFill="0" applyBorder="0" applyAlignment="0" applyProtection="0"/>
    <xf numFmtId="0" fontId="9" fillId="15" borderId="21" applyNumberFormat="0" applyFont="0" applyAlignment="0" applyProtection="0"/>
    <xf numFmtId="0" fontId="37" fillId="0" borderId="0" applyNumberFormat="0" applyFill="0" applyBorder="0" applyAlignment="0" applyProtection="0"/>
    <xf numFmtId="0" fontId="1" fillId="0" borderId="22" applyNumberFormat="0" applyFill="0" applyAlignment="0" applyProtection="0"/>
    <xf numFmtId="0" fontId="12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12" fillId="27" borderId="0" applyNumberFormat="0" applyBorder="0" applyAlignment="0" applyProtection="0"/>
    <xf numFmtId="0" fontId="12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12" fillId="35" borderId="0" applyNumberFormat="0" applyBorder="0" applyAlignment="0" applyProtection="0"/>
    <xf numFmtId="0" fontId="12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12" fillId="39" borderId="0" applyNumberFormat="0" applyBorder="0" applyAlignment="0" applyProtection="0"/>
    <xf numFmtId="0" fontId="38" fillId="0" borderId="15" applyNumberFormat="0" applyFill="0" applyAlignment="0" applyProtection="0"/>
    <xf numFmtId="0" fontId="39" fillId="0" borderId="0" applyNumberFormat="0" applyFill="0" applyBorder="0" applyAlignment="0" applyProtection="0"/>
    <xf numFmtId="0" fontId="41" fillId="0" borderId="0"/>
    <xf numFmtId="164" fontId="41" fillId="0" borderId="0" applyFont="0" applyFill="0" applyBorder="0" applyAlignment="0" applyProtection="0"/>
    <xf numFmtId="180" fontId="2" fillId="0" borderId="0" applyNumberFormat="0" applyFill="0" applyBorder="0" applyAlignment="0"/>
    <xf numFmtId="181" fontId="2" fillId="0" borderId="0" applyFont="0" applyFill="0" applyBorder="0" applyAlignment="0" applyProtection="0"/>
    <xf numFmtId="182" fontId="42" fillId="0" borderId="0" applyFont="0" applyFill="0" applyBorder="0" applyAlignment="0" applyProtection="0">
      <protection locked="0"/>
    </xf>
    <xf numFmtId="39" fontId="43" fillId="0" borderId="0" applyFont="0" applyFill="0" applyBorder="0" applyAlignment="0" applyProtection="0"/>
    <xf numFmtId="183" fontId="2" fillId="0" borderId="0" applyFont="0" applyFill="0" applyBorder="0" applyAlignment="0"/>
    <xf numFmtId="184" fontId="41" fillId="0" borderId="0" applyFont="0" applyFill="0" applyBorder="0" applyAlignment="0" applyProtection="0"/>
    <xf numFmtId="171" fontId="44" fillId="0" borderId="8" applyFill="0" applyBorder="0" applyAlignment="0">
      <alignment horizontal="center"/>
      <protection locked="0"/>
    </xf>
    <xf numFmtId="182" fontId="42" fillId="0" borderId="0" applyFill="0" applyBorder="0" applyAlignment="0">
      <protection locked="0"/>
    </xf>
    <xf numFmtId="183" fontId="2" fillId="0" borderId="0" applyFill="0" applyBorder="0" applyAlignment="0" applyProtection="0">
      <protection locked="0"/>
    </xf>
    <xf numFmtId="185" fontId="2" fillId="0" borderId="0" applyFont="0" applyFill="0" applyBorder="0" applyAlignment="0" applyProtection="0"/>
    <xf numFmtId="186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9" fontId="2" fillId="0" borderId="0" applyFont="0" applyFill="0" applyBorder="0" applyAlignment="0" applyProtection="0"/>
    <xf numFmtId="0" fontId="45" fillId="0" borderId="0"/>
    <xf numFmtId="180" fontId="2" fillId="0" borderId="0" applyFill="0" applyBorder="0" applyAlignment="0"/>
    <xf numFmtId="190" fontId="2" fillId="0" borderId="10" applyFont="0" applyFill="0" applyBorder="0" applyAlignment="0" applyProtection="0">
      <alignment horizontal="right"/>
    </xf>
    <xf numFmtId="191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38" fontId="46" fillId="0" borderId="0" applyFill="0" applyBorder="0" applyAlignment="0" applyProtection="0"/>
    <xf numFmtId="191" fontId="2" fillId="0" borderId="0" applyFill="0" applyBorder="0" applyAlignment="0" applyProtection="0"/>
    <xf numFmtId="193" fontId="42" fillId="0" borderId="0" applyFont="0" applyFill="0" applyBorder="0" applyAlignment="0" applyProtection="0">
      <alignment horizontal="left"/>
    </xf>
    <xf numFmtId="10" fontId="47" fillId="0" borderId="25" applyNumberFormat="0" applyFont="0" applyFill="0" applyAlignment="0" applyProtection="0"/>
    <xf numFmtId="194" fontId="2" fillId="0" borderId="24" applyFont="0" applyFill="0" applyBorder="0" applyAlignment="0" applyProtection="0"/>
    <xf numFmtId="9" fontId="41" fillId="0" borderId="0" applyFont="0" applyFill="0" applyBorder="0" applyAlignment="0" applyProtection="0"/>
    <xf numFmtId="9" fontId="8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9" fillId="0" borderId="0"/>
    <xf numFmtId="0" fontId="41" fillId="0" borderId="0"/>
    <xf numFmtId="164" fontId="41" fillId="0" borderId="0" applyFont="0" applyFill="0" applyBorder="0" applyAlignment="0" applyProtection="0"/>
    <xf numFmtId="192" fontId="2" fillId="0" borderId="0" applyFont="0" applyFill="0" applyBorder="0" applyAlignment="0" applyProtection="0"/>
    <xf numFmtId="0" fontId="41" fillId="0" borderId="0"/>
    <xf numFmtId="0" fontId="9" fillId="0" borderId="0"/>
    <xf numFmtId="0" fontId="9" fillId="0" borderId="0"/>
    <xf numFmtId="0" fontId="41" fillId="0" borderId="0"/>
    <xf numFmtId="164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9" fontId="8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27" fillId="0" borderId="14" applyNumberFormat="0" applyFill="0" applyAlignment="0" applyProtection="0"/>
    <xf numFmtId="0" fontId="7" fillId="0" borderId="5" applyNumberFormat="0" applyFill="0" applyAlignment="0" applyProtection="0"/>
    <xf numFmtId="0" fontId="7" fillId="0" borderId="5" applyNumberFormat="0" applyFill="0" applyAlignment="0" applyProtection="0"/>
    <xf numFmtId="0" fontId="7" fillId="0" borderId="5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41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92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48" fillId="0" borderId="0"/>
    <xf numFmtId="0" fontId="2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0" fontId="9" fillId="0" borderId="0"/>
    <xf numFmtId="164" fontId="9" fillId="0" borderId="0" applyFont="0" applyFill="0" applyBorder="0" applyAlignment="0" applyProtection="0"/>
    <xf numFmtId="164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48" fillId="0" borderId="0"/>
    <xf numFmtId="0" fontId="2" fillId="0" borderId="0"/>
    <xf numFmtId="0" fontId="2" fillId="0" borderId="0"/>
    <xf numFmtId="0" fontId="2" fillId="0" borderId="0"/>
    <xf numFmtId="0" fontId="41" fillId="0" borderId="0"/>
    <xf numFmtId="0" fontId="41" fillId="0" borderId="0"/>
    <xf numFmtId="0" fontId="2" fillId="0" borderId="0"/>
    <xf numFmtId="0" fontId="2" fillId="0" borderId="0"/>
    <xf numFmtId="0" fontId="2" fillId="0" borderId="0"/>
    <xf numFmtId="0" fontId="49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1" fillId="0" borderId="0"/>
    <xf numFmtId="164" fontId="9" fillId="0" borderId="0" applyFont="0" applyFill="0" applyBorder="0" applyAlignment="0" applyProtection="0"/>
    <xf numFmtId="0" fontId="9" fillId="0" borderId="0"/>
    <xf numFmtId="0" fontId="49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0" fontId="41" fillId="0" borderId="0"/>
    <xf numFmtId="0" fontId="41" fillId="0" borderId="0"/>
    <xf numFmtId="0" fontId="2" fillId="0" borderId="0"/>
    <xf numFmtId="0" fontId="41" fillId="0" borderId="0"/>
    <xf numFmtId="0" fontId="41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9" fillId="0" borderId="0"/>
    <xf numFmtId="195" fontId="49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41" fillId="0" borderId="0"/>
    <xf numFmtId="0" fontId="41" fillId="0" borderId="0"/>
    <xf numFmtId="0" fontId="41" fillId="0" borderId="0"/>
    <xf numFmtId="0" fontId="2" fillId="0" borderId="0"/>
    <xf numFmtId="0" fontId="41" fillId="0" borderId="0"/>
    <xf numFmtId="0" fontId="49" fillId="0" borderId="0" applyNumberFormat="0" applyFill="0" applyBorder="0" applyAlignment="0" applyProtection="0">
      <alignment vertical="top"/>
      <protection locked="0"/>
    </xf>
    <xf numFmtId="0" fontId="41" fillId="0" borderId="0"/>
    <xf numFmtId="0" fontId="2" fillId="0" borderId="0"/>
    <xf numFmtId="0" fontId="41" fillId="0" borderId="0"/>
    <xf numFmtId="0" fontId="2" fillId="0" borderId="0"/>
    <xf numFmtId="0" fontId="49" fillId="0" borderId="0" applyNumberFormat="0" applyFill="0" applyBorder="0" applyAlignment="0" applyProtection="0">
      <alignment vertical="top"/>
      <protection locked="0"/>
    </xf>
    <xf numFmtId="0" fontId="41" fillId="0" borderId="0"/>
    <xf numFmtId="0" fontId="41" fillId="0" borderId="0"/>
    <xf numFmtId="0" fontId="2" fillId="0" borderId="0"/>
    <xf numFmtId="0" fontId="41" fillId="0" borderId="0"/>
    <xf numFmtId="0" fontId="41" fillId="0" borderId="0"/>
    <xf numFmtId="0" fontId="41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49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41" fillId="0" borderId="0"/>
    <xf numFmtId="0" fontId="41" fillId="0" borderId="0"/>
    <xf numFmtId="0" fontId="2" fillId="0" borderId="0"/>
    <xf numFmtId="0" fontId="2" fillId="0" borderId="0"/>
    <xf numFmtId="195" fontId="49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1" fillId="0" borderId="0"/>
    <xf numFmtId="0" fontId="41" fillId="0" borderId="0"/>
    <xf numFmtId="0" fontId="40" fillId="0" borderId="0"/>
    <xf numFmtId="0" fontId="2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0" fontId="9" fillId="0" borderId="0"/>
    <xf numFmtId="164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9" fillId="0" borderId="0"/>
    <xf numFmtId="164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40" fillId="0" borderId="0"/>
    <xf numFmtId="164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0" fontId="9" fillId="0" borderId="0"/>
    <xf numFmtId="0" fontId="9" fillId="0" borderId="0"/>
    <xf numFmtId="0" fontId="48" fillId="0" borderId="0"/>
    <xf numFmtId="0" fontId="9" fillId="0" borderId="0"/>
    <xf numFmtId="0" fontId="40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2" fillId="0" borderId="0"/>
    <xf numFmtId="0" fontId="50" fillId="47" borderId="0" applyNumberFormat="0" applyBorder="0" applyAlignment="0" applyProtection="0"/>
    <xf numFmtId="9" fontId="2" fillId="0" borderId="0" applyFont="0" applyFill="0" applyBorder="0" applyAlignment="0" applyProtection="0"/>
    <xf numFmtId="0" fontId="8" fillId="61" borderId="23" applyNumberFormat="0" applyFont="0" applyAlignment="0" applyProtection="0"/>
    <xf numFmtId="0" fontId="50" fillId="51" borderId="0" applyNumberFormat="0" applyBorder="0" applyAlignment="0" applyProtection="0"/>
    <xf numFmtId="0" fontId="50" fillId="48" borderId="0" applyNumberFormat="0" applyBorder="0" applyAlignment="0" applyProtection="0"/>
    <xf numFmtId="0" fontId="8" fillId="0" borderId="0"/>
    <xf numFmtId="0" fontId="62" fillId="58" borderId="31" applyNumberFormat="0" applyAlignment="0" applyProtection="0"/>
    <xf numFmtId="0" fontId="61" fillId="60" borderId="0" applyNumberFormat="0" applyBorder="0" applyAlignment="0" applyProtection="0"/>
    <xf numFmtId="0" fontId="60" fillId="0" borderId="30" applyNumberFormat="0" applyFill="0" applyAlignment="0" applyProtection="0"/>
    <xf numFmtId="0" fontId="51" fillId="41" borderId="0" applyNumberFormat="0" applyBorder="0" applyAlignment="0" applyProtection="0"/>
    <xf numFmtId="0" fontId="50" fillId="57" borderId="0" applyNumberFormat="0" applyBorder="0" applyAlignment="0" applyProtection="0"/>
    <xf numFmtId="0" fontId="50" fillId="52" borderId="0" applyNumberFormat="0" applyBorder="0" applyAlignment="0" applyProtection="0"/>
    <xf numFmtId="0" fontId="50" fillId="55" borderId="0" applyNumberFormat="0" applyBorder="0" applyAlignment="0" applyProtection="0"/>
    <xf numFmtId="0" fontId="50" fillId="54" borderId="0" applyNumberFormat="0" applyBorder="0" applyAlignment="0" applyProtection="0"/>
    <xf numFmtId="0" fontId="50" fillId="53" borderId="0" applyNumberFormat="0" applyBorder="0" applyAlignment="0" applyProtection="0"/>
    <xf numFmtId="0" fontId="50" fillId="52" borderId="0" applyNumberFormat="0" applyBorder="0" applyAlignment="0" applyProtection="0"/>
    <xf numFmtId="0" fontId="50" fillId="51" borderId="0" applyNumberFormat="0" applyBorder="0" applyAlignment="0" applyProtection="0"/>
    <xf numFmtId="0" fontId="8" fillId="45" borderId="0" applyNumberFormat="0" applyBorder="0" applyAlignment="0" applyProtection="0"/>
    <xf numFmtId="0" fontId="8" fillId="44" borderId="0" applyNumberFormat="0" applyBorder="0" applyAlignment="0" applyProtection="0"/>
    <xf numFmtId="0" fontId="8" fillId="43" borderId="0" applyNumberFormat="0" applyBorder="0" applyAlignment="0" applyProtection="0"/>
    <xf numFmtId="0" fontId="8" fillId="42" borderId="0" applyNumberFormat="0" applyBorder="0" applyAlignment="0" applyProtection="0"/>
    <xf numFmtId="0" fontId="8" fillId="41" borderId="0" applyNumberFormat="0" applyBorder="0" applyAlignment="0" applyProtection="0"/>
    <xf numFmtId="0" fontId="8" fillId="40" borderId="0" applyNumberFormat="0" applyBorder="0" applyAlignment="0" applyProtection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50" fillId="50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59" fillId="45" borderId="26" applyNumberFormat="0" applyAlignment="0" applyProtection="0"/>
    <xf numFmtId="0" fontId="8" fillId="49" borderId="0" applyNumberFormat="0" applyBorder="0" applyAlignment="0" applyProtection="0"/>
    <xf numFmtId="0" fontId="57" fillId="0" borderId="28" applyNumberFormat="0" applyFill="0" applyAlignment="0" applyProtection="0"/>
    <xf numFmtId="0" fontId="41" fillId="0" borderId="0"/>
    <xf numFmtId="0" fontId="9" fillId="0" borderId="0"/>
    <xf numFmtId="0" fontId="8" fillId="47" borderId="0" applyNumberFormat="0" applyBorder="0" applyAlignment="0" applyProtection="0"/>
    <xf numFmtId="0" fontId="2" fillId="0" borderId="0"/>
    <xf numFmtId="0" fontId="8" fillId="46" borderId="0" applyNumberFormat="0" applyBorder="0" applyAlignment="0" applyProtection="0"/>
    <xf numFmtId="0" fontId="2" fillId="0" borderId="0"/>
    <xf numFmtId="0" fontId="8" fillId="43" borderId="0" applyNumberFormat="0" applyBorder="0" applyAlignment="0" applyProtection="0"/>
    <xf numFmtId="9" fontId="2" fillId="0" borderId="0" applyFont="0" applyFill="0" applyBorder="0" applyAlignment="0" applyProtection="0"/>
    <xf numFmtId="0" fontId="9" fillId="0" borderId="0"/>
    <xf numFmtId="0" fontId="8" fillId="48" borderId="0" applyNumberFormat="0" applyBorder="0" applyAlignment="0" applyProtection="0"/>
    <xf numFmtId="0" fontId="8" fillId="46" borderId="0" applyNumberFormat="0" applyBorder="0" applyAlignment="0" applyProtection="0"/>
    <xf numFmtId="0" fontId="52" fillId="58" borderId="26" applyNumberFormat="0" applyAlignment="0" applyProtection="0"/>
    <xf numFmtId="0" fontId="50" fillId="56" borderId="0" applyNumberFormat="0" applyBorder="0" applyAlignment="0" applyProtection="0"/>
    <xf numFmtId="0" fontId="9" fillId="0" borderId="0"/>
    <xf numFmtId="0" fontId="54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6" fillId="0" borderId="5" applyNumberFormat="0" applyFill="0" applyAlignment="0" applyProtection="0"/>
    <xf numFmtId="0" fontId="9" fillId="0" borderId="0"/>
    <xf numFmtId="164" fontId="9" fillId="0" borderId="0" applyFont="0" applyFill="0" applyBorder="0" applyAlignment="0" applyProtection="0"/>
    <xf numFmtId="0" fontId="9" fillId="0" borderId="0"/>
    <xf numFmtId="0" fontId="9" fillId="0" borderId="0"/>
    <xf numFmtId="0" fontId="53" fillId="59" borderId="27" applyNumberFormat="0" applyAlignment="0" applyProtection="0"/>
    <xf numFmtId="0" fontId="58" fillId="0" borderId="29" applyNumberFormat="0" applyFill="0" applyAlignment="0" applyProtection="0"/>
    <xf numFmtId="0" fontId="55" fillId="42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0" fontId="2" fillId="0" borderId="0"/>
    <xf numFmtId="0" fontId="63" fillId="0" borderId="0" applyNumberFormat="0" applyFill="0" applyBorder="0" applyAlignment="0" applyProtection="0"/>
    <xf numFmtId="0" fontId="64" fillId="0" borderId="32" applyNumberFormat="0" applyFill="0" applyAlignment="0" applyProtection="0"/>
    <xf numFmtId="0" fontId="65" fillId="0" borderId="0" applyNumberFormat="0" applyFill="0" applyBorder="0" applyAlignment="0" applyProtection="0"/>
    <xf numFmtId="168" fontId="9" fillId="0" borderId="0" applyFont="0" applyFill="0" applyBorder="0" applyAlignment="0" applyProtection="0"/>
    <xf numFmtId="0" fontId="8" fillId="46" borderId="0" applyNumberFormat="0" applyBorder="0" applyAlignment="0" applyProtection="0"/>
    <xf numFmtId="0" fontId="8" fillId="47" borderId="0" applyNumberFormat="0" applyBorder="0" applyAlignment="0" applyProtection="0"/>
    <xf numFmtId="0" fontId="8" fillId="61" borderId="0" applyNumberFormat="0" applyBorder="0" applyAlignment="0" applyProtection="0"/>
    <xf numFmtId="0" fontId="8" fillId="45" borderId="0" applyNumberFormat="0" applyBorder="0" applyAlignment="0" applyProtection="0"/>
    <xf numFmtId="0" fontId="8" fillId="61" borderId="0" applyNumberFormat="0" applyBorder="0" applyAlignment="0" applyProtection="0"/>
    <xf numFmtId="0" fontId="8" fillId="44" borderId="0" applyNumberFormat="0" applyBorder="0" applyAlignment="0" applyProtection="0"/>
    <xf numFmtId="0" fontId="8" fillId="60" borderId="0" applyNumberFormat="0" applyBorder="0" applyAlignment="0" applyProtection="0"/>
    <xf numFmtId="0" fontId="8" fillId="41" borderId="0" applyNumberFormat="0" applyBorder="0" applyAlignment="0" applyProtection="0"/>
    <xf numFmtId="0" fontId="8" fillId="44" borderId="0" applyNumberFormat="0" applyBorder="0" applyAlignment="0" applyProtection="0"/>
    <xf numFmtId="0" fontId="8" fillId="61" borderId="0" applyNumberFormat="0" applyBorder="0" applyAlignment="0" applyProtection="0"/>
    <xf numFmtId="0" fontId="50" fillId="44" borderId="0" applyNumberFormat="0" applyBorder="0" applyAlignment="0" applyProtection="0"/>
    <xf numFmtId="0" fontId="50" fillId="57" borderId="0" applyNumberFormat="0" applyBorder="0" applyAlignment="0" applyProtection="0"/>
    <xf numFmtId="0" fontId="50" fillId="49" borderId="0" applyNumberFormat="0" applyBorder="0" applyAlignment="0" applyProtection="0"/>
    <xf numFmtId="0" fontId="50" fillId="41" borderId="0" applyNumberFormat="0" applyBorder="0" applyAlignment="0" applyProtection="0"/>
    <xf numFmtId="0" fontId="50" fillId="44" borderId="0" applyNumberFormat="0" applyBorder="0" applyAlignment="0" applyProtection="0"/>
    <xf numFmtId="0" fontId="50" fillId="47" borderId="0" applyNumberFormat="0" applyBorder="0" applyAlignment="0" applyProtection="0"/>
    <xf numFmtId="0" fontId="50" fillId="62" borderId="0" applyNumberFormat="0" applyBorder="0" applyAlignment="0" applyProtection="0"/>
    <xf numFmtId="0" fontId="50" fillId="57" borderId="0" applyNumberFormat="0" applyBorder="0" applyAlignment="0" applyProtection="0"/>
    <xf numFmtId="0" fontId="50" fillId="49" borderId="0" applyNumberFormat="0" applyBorder="0" applyAlignment="0" applyProtection="0"/>
    <xf numFmtId="0" fontId="50" fillId="63" borderId="0" applyNumberFormat="0" applyBorder="0" applyAlignment="0" applyProtection="0"/>
    <xf numFmtId="0" fontId="50" fillId="55" borderId="0" applyNumberFormat="0" applyBorder="0" applyAlignment="0" applyProtection="0"/>
    <xf numFmtId="0" fontId="51" fillId="43" borderId="0" applyNumberFormat="0" applyBorder="0" applyAlignment="0" applyProtection="0"/>
    <xf numFmtId="0" fontId="66" fillId="64" borderId="26" applyNumberFormat="0" applyAlignment="0" applyProtection="0"/>
    <xf numFmtId="0" fontId="55" fillId="44" borderId="0" applyNumberFormat="0" applyBorder="0" applyAlignment="0" applyProtection="0"/>
    <xf numFmtId="0" fontId="67" fillId="0" borderId="33" applyNumberFormat="0" applyFill="0" applyAlignment="0" applyProtection="0"/>
    <xf numFmtId="0" fontId="68" fillId="0" borderId="34" applyNumberFormat="0" applyFill="0" applyAlignment="0" applyProtection="0"/>
    <xf numFmtId="0" fontId="69" fillId="0" borderId="35" applyNumberFormat="0" applyFill="0" applyAlignment="0" applyProtection="0"/>
    <xf numFmtId="0" fontId="69" fillId="0" borderId="0" applyNumberFormat="0" applyFill="0" applyBorder="0" applyAlignment="0" applyProtection="0"/>
    <xf numFmtId="0" fontId="59" fillId="60" borderId="26" applyNumberFormat="0" applyAlignment="0" applyProtection="0"/>
    <xf numFmtId="0" fontId="65" fillId="0" borderId="36" applyNumberFormat="0" applyFill="0" applyAlignment="0" applyProtection="0"/>
    <xf numFmtId="0" fontId="70" fillId="60" borderId="0" applyNumberFormat="0" applyBorder="0" applyAlignment="0" applyProtection="0"/>
    <xf numFmtId="0" fontId="2" fillId="61" borderId="23" applyNumberFormat="0" applyFont="0" applyAlignment="0" applyProtection="0"/>
    <xf numFmtId="0" fontId="62" fillId="64" borderId="31" applyNumberFormat="0" applyAlignment="0" applyProtection="0"/>
    <xf numFmtId="0" fontId="71" fillId="0" borderId="0" applyNumberFormat="0" applyFill="0" applyBorder="0" applyAlignment="0" applyProtection="0"/>
    <xf numFmtId="0" fontId="64" fillId="0" borderId="37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61" borderId="23" applyNumberFormat="0" applyFont="0" applyAlignment="0" applyProtection="0"/>
    <xf numFmtId="0" fontId="2" fillId="0" borderId="0"/>
    <xf numFmtId="9" fontId="2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59" fillId="60" borderId="26" applyNumberFormat="0" applyAlignment="0" applyProtection="0"/>
    <xf numFmtId="0" fontId="59" fillId="60" borderId="26" applyNumberFormat="0" applyAlignment="0" applyProtection="0"/>
    <xf numFmtId="0" fontId="59" fillId="60" borderId="26" applyNumberFormat="0" applyAlignment="0" applyProtection="0"/>
    <xf numFmtId="0" fontId="59" fillId="60" borderId="26" applyNumberFormat="0" applyAlignment="0" applyProtection="0"/>
    <xf numFmtId="0" fontId="59" fillId="60" borderId="26" applyNumberFormat="0" applyAlignment="0" applyProtection="0"/>
    <xf numFmtId="0" fontId="59" fillId="60" borderId="26" applyNumberFormat="0" applyAlignment="0" applyProtection="0"/>
    <xf numFmtId="0" fontId="2" fillId="0" borderId="0"/>
    <xf numFmtId="0" fontId="59" fillId="60" borderId="26" applyNumberFormat="0" applyAlignment="0" applyProtection="0"/>
    <xf numFmtId="0" fontId="2" fillId="0" borderId="0"/>
    <xf numFmtId="0" fontId="2" fillId="0" borderId="0"/>
    <xf numFmtId="0" fontId="59" fillId="60" borderId="26" applyNumberFormat="0" applyAlignment="0" applyProtection="0"/>
    <xf numFmtId="0" fontId="2" fillId="0" borderId="0"/>
    <xf numFmtId="0" fontId="2" fillId="0" borderId="0"/>
    <xf numFmtId="0" fontId="59" fillId="60" borderId="26" applyNumberFormat="0" applyAlignment="0" applyProtection="0"/>
    <xf numFmtId="0" fontId="2" fillId="0" borderId="0"/>
    <xf numFmtId="0" fontId="2" fillId="0" borderId="0"/>
    <xf numFmtId="0" fontId="2" fillId="0" borderId="0"/>
    <xf numFmtId="0" fontId="9" fillId="0" borderId="0"/>
    <xf numFmtId="168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2" fillId="0" borderId="0"/>
    <xf numFmtId="0" fontId="9" fillId="0" borderId="0"/>
    <xf numFmtId="164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9" fontId="2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9" fillId="0" borderId="0"/>
    <xf numFmtId="164" fontId="2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48" fillId="0" borderId="0"/>
    <xf numFmtId="0" fontId="9" fillId="0" borderId="0"/>
    <xf numFmtId="0" fontId="48" fillId="0" borderId="0"/>
    <xf numFmtId="0" fontId="9" fillId="0" borderId="0"/>
    <xf numFmtId="164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8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61" borderId="23" applyNumberFormat="0" applyFont="0" applyAlignment="0" applyProtection="0"/>
    <xf numFmtId="0" fontId="2" fillId="0" borderId="0"/>
    <xf numFmtId="9" fontId="2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8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8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2" fillId="0" borderId="0"/>
    <xf numFmtId="0" fontId="9" fillId="0" borderId="0"/>
    <xf numFmtId="164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168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8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164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8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8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8" fillId="0" borderId="0"/>
    <xf numFmtId="164" fontId="9" fillId="0" borderId="0" applyFont="0" applyFill="0" applyBorder="0" applyAlignment="0" applyProtection="0"/>
    <xf numFmtId="164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164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27" fillId="0" borderId="14" applyNumberFormat="0" applyFill="0" applyAlignment="0" applyProtection="0"/>
    <xf numFmtId="0" fontId="7" fillId="0" borderId="5" applyNumberFormat="0" applyFill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192" fontId="2" fillId="0" borderId="0" applyFont="0" applyFill="0" applyBorder="0" applyAlignment="0" applyProtection="0"/>
    <xf numFmtId="0" fontId="29" fillId="0" borderId="0" applyNumberForma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39" fillId="0" borderId="0" applyNumberFormat="0" applyFill="0" applyBorder="0" applyAlignment="0" applyProtection="0"/>
    <xf numFmtId="9" fontId="8" fillId="0" borderId="0" applyFont="0" applyFill="0" applyBorder="0" applyAlignment="0" applyProtection="0"/>
    <xf numFmtId="0" fontId="2" fillId="0" borderId="0"/>
    <xf numFmtId="180" fontId="2" fillId="0" borderId="0" applyNumberFormat="0" applyFill="0" applyBorder="0" applyAlignment="0"/>
    <xf numFmtId="164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2" fontId="42" fillId="0" borderId="0" applyFont="0" applyFill="0" applyBorder="0" applyAlignment="0" applyProtection="0">
      <protection locked="0"/>
    </xf>
    <xf numFmtId="9" fontId="2" fillId="0" borderId="0" applyFont="0" applyFill="0" applyBorder="0" applyAlignment="0" applyProtection="0"/>
    <xf numFmtId="183" fontId="2" fillId="0" borderId="0" applyFont="0" applyFill="0" applyBorder="0" applyAlignment="0"/>
    <xf numFmtId="37" fontId="44" fillId="0" borderId="0" applyFill="0" applyBorder="0" applyAlignment="0">
      <protection locked="0"/>
    </xf>
    <xf numFmtId="182" fontId="42" fillId="0" borderId="0" applyFill="0" applyBorder="0" applyAlignment="0">
      <protection locked="0"/>
    </xf>
    <xf numFmtId="183" fontId="2" fillId="0" borderId="0" applyFill="0" applyBorder="0" applyAlignment="0" applyProtection="0">
      <protection locked="0"/>
    </xf>
    <xf numFmtId="189" fontId="2" fillId="0" borderId="0" applyFont="0" applyFill="0" applyBorder="0" applyAlignment="0" applyProtection="0"/>
    <xf numFmtId="180" fontId="2" fillId="0" borderId="0" applyFill="0" applyBorder="0" applyAlignment="0"/>
    <xf numFmtId="9" fontId="2" fillId="0" borderId="0" applyFont="0" applyFill="0" applyBorder="0" applyAlignment="0" applyProtection="0"/>
    <xf numFmtId="190" fontId="2" fillId="0" borderId="10" applyFont="0" applyFill="0" applyBorder="0" applyAlignment="0" applyProtection="0">
      <alignment horizontal="right"/>
    </xf>
    <xf numFmtId="191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191" fontId="2" fillId="0" borderId="0" applyFill="0" applyBorder="0" applyAlignment="0" applyProtection="0"/>
    <xf numFmtId="193" fontId="42" fillId="0" borderId="0" applyFont="0" applyFill="0" applyBorder="0" applyAlignment="0" applyProtection="0">
      <alignment horizontal="left"/>
    </xf>
    <xf numFmtId="0" fontId="2" fillId="0" borderId="0"/>
    <xf numFmtId="194" fontId="2" fillId="0" borderId="24" applyFont="0" applyFill="0" applyBorder="0" applyAlignment="0" applyProtection="0"/>
    <xf numFmtId="37" fontId="44" fillId="0" borderId="0" applyFill="0" applyBorder="0" applyAlignment="0">
      <protection locked="0"/>
    </xf>
    <xf numFmtId="37" fontId="44" fillId="0" borderId="0" applyFill="0" applyBorder="0" applyAlignment="0">
      <protection locked="0"/>
    </xf>
    <xf numFmtId="9" fontId="2" fillId="0" borderId="0" applyFont="0" applyFill="0" applyBorder="0" applyAlignment="0" applyProtection="0"/>
    <xf numFmtId="180" fontId="2" fillId="0" borderId="0" applyNumberFormat="0" applyFill="0" applyBorder="0" applyAlignment="0"/>
    <xf numFmtId="164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2" fontId="42" fillId="0" borderId="0" applyFont="0" applyFill="0" applyBorder="0" applyAlignment="0" applyProtection="0">
      <protection locked="0"/>
    </xf>
    <xf numFmtId="183" fontId="2" fillId="0" borderId="0" applyFont="0" applyFill="0" applyBorder="0" applyAlignment="0"/>
    <xf numFmtId="182" fontId="42" fillId="0" borderId="0" applyFill="0" applyBorder="0" applyAlignment="0">
      <protection locked="0"/>
    </xf>
    <xf numFmtId="183" fontId="2" fillId="0" borderId="0" applyFill="0" applyBorder="0" applyAlignment="0" applyProtection="0">
      <protection locked="0"/>
    </xf>
    <xf numFmtId="189" fontId="2" fillId="0" borderId="0" applyFont="0" applyFill="0" applyBorder="0" applyAlignment="0" applyProtection="0"/>
    <xf numFmtId="180" fontId="2" fillId="0" borderId="0" applyFill="0" applyBorder="0" applyAlignment="0"/>
    <xf numFmtId="0" fontId="2" fillId="0" borderId="0"/>
    <xf numFmtId="0" fontId="2" fillId="0" borderId="0"/>
    <xf numFmtId="190" fontId="2" fillId="0" borderId="10" applyFont="0" applyFill="0" applyBorder="0" applyAlignment="0" applyProtection="0">
      <alignment horizontal="right"/>
    </xf>
    <xf numFmtId="191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91" fontId="2" fillId="0" borderId="0" applyFill="0" applyBorder="0" applyAlignment="0" applyProtection="0"/>
    <xf numFmtId="193" fontId="42" fillId="0" borderId="0" applyFont="0" applyFill="0" applyBorder="0" applyAlignment="0" applyProtection="0">
      <alignment horizontal="left"/>
    </xf>
    <xf numFmtId="194" fontId="2" fillId="0" borderId="24" applyFont="0" applyFill="0" applyBorder="0" applyAlignment="0" applyProtection="0"/>
    <xf numFmtId="178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41" fillId="0" borderId="0"/>
    <xf numFmtId="0" fontId="41" fillId="0" borderId="0"/>
    <xf numFmtId="164" fontId="9" fillId="0" borderId="0" applyFont="0" applyFill="0" applyBorder="0" applyAlignment="0" applyProtection="0"/>
    <xf numFmtId="0" fontId="9" fillId="0" borderId="0"/>
    <xf numFmtId="164" fontId="9" fillId="0" borderId="0" applyFont="0" applyFill="0" applyBorder="0" applyAlignment="0" applyProtection="0"/>
    <xf numFmtId="0" fontId="41" fillId="0" borderId="0"/>
    <xf numFmtId="0" fontId="41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9" fillId="45" borderId="26" applyNumberFormat="0" applyAlignment="0" applyProtection="0"/>
    <xf numFmtId="9" fontId="2" fillId="0" borderId="0" applyFont="0" applyFill="0" applyBorder="0" applyAlignment="0" applyProtection="0"/>
    <xf numFmtId="0" fontId="58" fillId="0" borderId="0" applyNumberFormat="0" applyFill="0" applyBorder="0" applyAlignment="0" applyProtection="0"/>
    <xf numFmtId="0" fontId="56" fillId="0" borderId="5" applyNumberFormat="0" applyFill="0" applyAlignment="0" applyProtection="0"/>
    <xf numFmtId="9" fontId="2" fillId="0" borderId="0" applyFont="0" applyFill="0" applyBorder="0" applyAlignment="0" applyProtection="0"/>
    <xf numFmtId="168" fontId="9" fillId="0" borderId="0" applyFont="0" applyFill="0" applyBorder="0" applyAlignment="0" applyProtection="0"/>
    <xf numFmtId="0" fontId="59" fillId="60" borderId="26" applyNumberFormat="0" applyAlignment="0" applyProtection="0"/>
    <xf numFmtId="9" fontId="2" fillId="0" borderId="0" applyFont="0" applyFill="0" applyBorder="0" applyAlignment="0" applyProtection="0"/>
    <xf numFmtId="0" fontId="59" fillId="60" borderId="26" applyNumberFormat="0" applyAlignment="0" applyProtection="0"/>
    <xf numFmtId="0" fontId="59" fillId="60" borderId="26" applyNumberFormat="0" applyAlignment="0" applyProtection="0"/>
    <xf numFmtId="168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2" fillId="0" borderId="0" applyFont="0" applyFill="0" applyBorder="0" applyAlignment="0" applyProtection="0"/>
    <xf numFmtId="168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27" fillId="0" borderId="14" applyNumberFormat="0" applyFill="0" applyAlignment="0" applyProtection="0"/>
    <xf numFmtId="0" fontId="7" fillId="0" borderId="5" applyNumberFormat="0" applyFill="0" applyAlignment="0" applyProtection="0"/>
    <xf numFmtId="0" fontId="38" fillId="0" borderId="15" applyNumberFormat="0" applyFill="0" applyAlignment="0" applyProtection="0"/>
    <xf numFmtId="0" fontId="41" fillId="0" borderId="0"/>
    <xf numFmtId="0" fontId="41" fillId="0" borderId="0"/>
    <xf numFmtId="0" fontId="41" fillId="0" borderId="0"/>
    <xf numFmtId="0" fontId="57" fillId="0" borderId="28" applyNumberFormat="0" applyFill="0" applyAlignment="0" applyProtection="0"/>
    <xf numFmtId="0" fontId="56" fillId="0" borderId="5" applyNumberFormat="0" applyFill="0" applyAlignment="0" applyProtection="0"/>
    <xf numFmtId="164" fontId="41" fillId="0" borderId="0" applyFont="0" applyFill="0" applyBorder="0" applyAlignment="0" applyProtection="0"/>
    <xf numFmtId="192" fontId="2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27" fillId="0" borderId="14" applyNumberFormat="0" applyFill="0" applyAlignment="0" applyProtection="0"/>
    <xf numFmtId="0" fontId="7" fillId="0" borderId="5" applyNumberFormat="0" applyFill="0" applyAlignment="0" applyProtection="0"/>
    <xf numFmtId="0" fontId="38" fillId="0" borderId="15" applyNumberFormat="0" applyFill="0" applyAlignment="0" applyProtection="0"/>
    <xf numFmtId="0" fontId="7" fillId="0" borderId="5" applyNumberFormat="0" applyFill="0" applyAlignment="0" applyProtection="0"/>
    <xf numFmtId="0" fontId="27" fillId="0" borderId="14" applyNumberFormat="0" applyFill="0" applyAlignment="0" applyProtection="0"/>
    <xf numFmtId="0" fontId="57" fillId="0" borderId="28" applyNumberFormat="0" applyFill="0" applyAlignment="0" applyProtection="0"/>
    <xf numFmtId="0" fontId="57" fillId="0" borderId="28" applyNumberFormat="0" applyFill="0" applyAlignment="0" applyProtection="0"/>
    <xf numFmtId="0" fontId="58" fillId="0" borderId="0" applyNumberFormat="0" applyFill="0" applyBorder="0" applyAlignment="0" applyProtection="0"/>
    <xf numFmtId="164" fontId="41" fillId="0" borderId="0" applyFont="0" applyFill="0" applyBorder="0" applyAlignment="0" applyProtection="0"/>
    <xf numFmtId="0" fontId="56" fillId="0" borderId="5" applyNumberFormat="0" applyFill="0" applyAlignment="0" applyProtection="0"/>
    <xf numFmtId="0" fontId="38" fillId="0" borderId="15" applyNumberFormat="0" applyFill="0" applyAlignment="0" applyProtection="0"/>
    <xf numFmtId="0" fontId="58" fillId="0" borderId="0" applyNumberFormat="0" applyFill="0" applyBorder="0" applyAlignment="0" applyProtection="0"/>
    <xf numFmtId="192" fontId="2" fillId="0" borderId="0" applyFont="0" applyFill="0" applyBorder="0" applyAlignment="0" applyProtection="0"/>
    <xf numFmtId="0" fontId="56" fillId="0" borderId="5" applyNumberFormat="0" applyFill="0" applyAlignment="0" applyProtection="0"/>
    <xf numFmtId="168" fontId="9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27" fillId="0" borderId="14" applyNumberFormat="0" applyFill="0" applyAlignment="0" applyProtection="0"/>
    <xf numFmtId="0" fontId="7" fillId="0" borderId="5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7" fillId="0" borderId="5" applyNumberFormat="0" applyFill="0" applyAlignment="0" applyProtection="0"/>
    <xf numFmtId="0" fontId="27" fillId="0" borderId="14" applyNumberFormat="0" applyFill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9" fontId="9" fillId="0" borderId="0" applyFont="0" applyFill="0" applyBorder="0" applyAlignment="0" applyProtection="0"/>
    <xf numFmtId="0" fontId="41" fillId="0" borderId="0"/>
    <xf numFmtId="0" fontId="57" fillId="0" borderId="28" applyNumberFormat="0" applyFill="0" applyAlignment="0" applyProtection="0"/>
    <xf numFmtId="0" fontId="7" fillId="0" borderId="5" applyNumberFormat="0" applyFill="0" applyAlignment="0" applyProtection="0"/>
    <xf numFmtId="0" fontId="7" fillId="0" borderId="5" applyNumberFormat="0" applyFill="0" applyAlignment="0" applyProtection="0"/>
    <xf numFmtId="0" fontId="41" fillId="0" borderId="0"/>
    <xf numFmtId="0" fontId="57" fillId="0" borderId="28" applyNumberFormat="0" applyFill="0" applyAlignment="0" applyProtection="0"/>
    <xf numFmtId="0" fontId="7" fillId="0" borderId="5" applyNumberFormat="0" applyFill="0" applyAlignment="0" applyProtection="0"/>
    <xf numFmtId="0" fontId="56" fillId="0" borderId="5" applyNumberFormat="0" applyFill="0" applyAlignment="0" applyProtection="0"/>
    <xf numFmtId="0" fontId="27" fillId="0" borderId="14" applyNumberFormat="0" applyFill="0" applyAlignment="0" applyProtection="0"/>
    <xf numFmtId="0" fontId="7" fillId="0" borderId="5" applyNumberFormat="0" applyFill="0" applyAlignment="0" applyProtection="0"/>
    <xf numFmtId="0" fontId="57" fillId="0" borderId="28" applyNumberFormat="0" applyFill="0" applyAlignment="0" applyProtection="0"/>
    <xf numFmtId="0" fontId="56" fillId="0" borderId="5" applyNumberFormat="0" applyFill="0" applyAlignment="0" applyProtection="0"/>
    <xf numFmtId="0" fontId="57" fillId="0" borderId="28" applyNumberFormat="0" applyFill="0" applyAlignment="0" applyProtection="0"/>
    <xf numFmtId="0" fontId="27" fillId="0" borderId="14" applyNumberFormat="0" applyFill="0" applyAlignment="0" applyProtection="0"/>
    <xf numFmtId="0" fontId="41" fillId="0" borderId="0"/>
    <xf numFmtId="0" fontId="56" fillId="0" borderId="5" applyNumberFormat="0" applyFill="0" applyAlignment="0" applyProtection="0"/>
    <xf numFmtId="0" fontId="27" fillId="0" borderId="14" applyNumberFormat="0" applyFill="0" applyAlignment="0" applyProtection="0"/>
    <xf numFmtId="0" fontId="56" fillId="0" borderId="5" applyNumberFormat="0" applyFill="0" applyAlignment="0" applyProtection="0"/>
    <xf numFmtId="0" fontId="57" fillId="0" borderId="28" applyNumberFormat="0" applyFill="0" applyAlignment="0" applyProtection="0"/>
    <xf numFmtId="0" fontId="41" fillId="0" borderId="0"/>
    <xf numFmtId="0" fontId="41" fillId="0" borderId="0"/>
    <xf numFmtId="0" fontId="38" fillId="0" borderId="15" applyNumberFormat="0" applyFill="0" applyAlignment="0" applyProtection="0"/>
    <xf numFmtId="0" fontId="41" fillId="0" borderId="0"/>
    <xf numFmtId="168" fontId="9" fillId="0" borderId="0" applyFont="0" applyFill="0" applyBorder="0" applyAlignment="0" applyProtection="0"/>
    <xf numFmtId="0" fontId="56" fillId="0" borderId="5" applyNumberFormat="0" applyFill="0" applyAlignment="0" applyProtection="0"/>
    <xf numFmtId="0" fontId="41" fillId="0" borderId="0"/>
    <xf numFmtId="164" fontId="9" fillId="0" borderId="0" applyFont="0" applyFill="0" applyBorder="0" applyAlignment="0" applyProtection="0"/>
    <xf numFmtId="0" fontId="7" fillId="0" borderId="5" applyNumberFormat="0" applyFill="0" applyAlignment="0" applyProtection="0"/>
    <xf numFmtId="164" fontId="9" fillId="0" borderId="0" applyFont="0" applyFill="0" applyBorder="0" applyAlignment="0" applyProtection="0"/>
    <xf numFmtId="0" fontId="38" fillId="0" borderId="15" applyNumberFormat="0" applyFill="0" applyAlignment="0" applyProtection="0"/>
    <xf numFmtId="164" fontId="9" fillId="0" borderId="0" applyFont="0" applyFill="0" applyBorder="0" applyAlignment="0" applyProtection="0"/>
    <xf numFmtId="0" fontId="7" fillId="0" borderId="5" applyNumberFormat="0" applyFill="0" applyAlignment="0" applyProtection="0"/>
    <xf numFmtId="0" fontId="41" fillId="0" borderId="0"/>
    <xf numFmtId="164" fontId="9" fillId="0" borderId="0" applyFont="0" applyFill="0" applyBorder="0" applyAlignment="0" applyProtection="0"/>
    <xf numFmtId="0" fontId="7" fillId="0" borderId="5" applyNumberFormat="0" applyFill="0" applyAlignment="0" applyProtection="0"/>
    <xf numFmtId="164" fontId="9" fillId="0" borderId="0" applyFont="0" applyFill="0" applyBorder="0" applyAlignment="0" applyProtection="0"/>
    <xf numFmtId="0" fontId="7" fillId="0" borderId="5" applyNumberFormat="0" applyFill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72" fillId="0" borderId="0" applyNumberFormat="0" applyFill="0" applyBorder="0" applyAlignment="0" applyProtection="0"/>
    <xf numFmtId="0" fontId="73" fillId="0" borderId="0"/>
    <xf numFmtId="0" fontId="73" fillId="0" borderId="0"/>
    <xf numFmtId="0" fontId="73" fillId="0" borderId="0"/>
    <xf numFmtId="0" fontId="28" fillId="0" borderId="15" applyNumberFormat="0" applyFill="0" applyAlignment="0" applyProtection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7" fillId="0" borderId="5" applyNumberFormat="0" applyFill="0" applyAlignment="0" applyProtection="0"/>
    <xf numFmtId="0" fontId="38" fillId="0" borderId="15" applyNumberFormat="0" applyFill="0" applyAlignment="0" applyProtection="0"/>
    <xf numFmtId="0" fontId="39" fillId="0" borderId="0" applyNumberFormat="0" applyFill="0" applyBorder="0" applyAlignment="0" applyProtection="0"/>
    <xf numFmtId="9" fontId="8" fillId="0" borderId="0" applyFont="0" applyFill="0" applyBorder="0" applyAlignment="0" applyProtection="0"/>
    <xf numFmtId="10" fontId="47" fillId="0" borderId="38" applyNumberFormat="0" applyFont="0" applyFill="0" applyAlignment="0" applyProtection="0"/>
    <xf numFmtId="194" fontId="2" fillId="0" borderId="24" applyFont="0" applyFill="0" applyBorder="0" applyAlignment="0" applyProtection="0"/>
    <xf numFmtId="164" fontId="9" fillId="0" borderId="0" applyFont="0" applyFill="0" applyBorder="0" applyAlignment="0" applyProtection="0"/>
    <xf numFmtId="194" fontId="2" fillId="0" borderId="24" applyFont="0" applyFill="0" applyBorder="0" applyAlignment="0" applyProtection="0"/>
    <xf numFmtId="194" fontId="2" fillId="0" borderId="24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61" borderId="23" applyNumberFormat="0" applyFont="0" applyAlignment="0" applyProtection="0"/>
    <xf numFmtId="0" fontId="62" fillId="58" borderId="31" applyNumberFormat="0" applyAlignment="0" applyProtection="0"/>
    <xf numFmtId="0" fontId="59" fillId="45" borderId="26" applyNumberFormat="0" applyAlignment="0" applyProtection="0"/>
    <xf numFmtId="0" fontId="52" fillId="58" borderId="26" applyNumberFormat="0" applyAlignment="0" applyProtection="0"/>
    <xf numFmtId="0" fontId="64" fillId="0" borderId="32" applyNumberFormat="0" applyFill="0" applyAlignment="0" applyProtection="0"/>
    <xf numFmtId="0" fontId="66" fillId="64" borderId="26" applyNumberFormat="0" applyAlignment="0" applyProtection="0"/>
    <xf numFmtId="0" fontId="59" fillId="60" borderId="26" applyNumberFormat="0" applyAlignment="0" applyProtection="0"/>
    <xf numFmtId="0" fontId="2" fillId="61" borderId="23" applyNumberFormat="0" applyFont="0" applyAlignment="0" applyProtection="0"/>
    <xf numFmtId="0" fontId="62" fillId="64" borderId="31" applyNumberFormat="0" applyAlignment="0" applyProtection="0"/>
    <xf numFmtId="0" fontId="64" fillId="0" borderId="37" applyNumberFormat="0" applyFill="0" applyAlignment="0" applyProtection="0"/>
    <xf numFmtId="0" fontId="2" fillId="61" borderId="23" applyNumberFormat="0" applyFont="0" applyAlignment="0" applyProtection="0"/>
    <xf numFmtId="0" fontId="59" fillId="60" borderId="26" applyNumberFormat="0" applyAlignment="0" applyProtection="0"/>
    <xf numFmtId="0" fontId="59" fillId="60" borderId="26" applyNumberFormat="0" applyAlignment="0" applyProtection="0"/>
    <xf numFmtId="0" fontId="59" fillId="60" borderId="26" applyNumberFormat="0" applyAlignment="0" applyProtection="0"/>
    <xf numFmtId="0" fontId="59" fillId="60" borderId="26" applyNumberFormat="0" applyAlignment="0" applyProtection="0"/>
    <xf numFmtId="0" fontId="59" fillId="60" borderId="26" applyNumberFormat="0" applyAlignment="0" applyProtection="0"/>
    <xf numFmtId="0" fontId="59" fillId="60" borderId="26" applyNumberFormat="0" applyAlignment="0" applyProtection="0"/>
    <xf numFmtId="0" fontId="59" fillId="60" borderId="26" applyNumberFormat="0" applyAlignment="0" applyProtection="0"/>
    <xf numFmtId="0" fontId="59" fillId="60" borderId="26" applyNumberFormat="0" applyAlignment="0" applyProtection="0"/>
    <xf numFmtId="0" fontId="59" fillId="60" borderId="26" applyNumberFormat="0" applyAlignment="0" applyProtection="0"/>
    <xf numFmtId="0" fontId="2" fillId="61" borderId="23" applyNumberFormat="0" applyFont="0" applyAlignment="0" applyProtection="0"/>
    <xf numFmtId="0" fontId="59" fillId="45" borderId="26" applyNumberFormat="0" applyAlignment="0" applyProtection="0"/>
    <xf numFmtId="0" fontId="59" fillId="60" borderId="26" applyNumberFormat="0" applyAlignment="0" applyProtection="0"/>
    <xf numFmtId="0" fontId="59" fillId="60" borderId="26" applyNumberFormat="0" applyAlignment="0" applyProtection="0"/>
    <xf numFmtId="0" fontId="59" fillId="60" borderId="26" applyNumberFormat="0" applyAlignment="0" applyProtection="0"/>
    <xf numFmtId="194" fontId="2" fillId="0" borderId="24" applyFont="0" applyFill="0" applyBorder="0" applyAlignment="0" applyProtection="0"/>
    <xf numFmtId="194" fontId="2" fillId="0" borderId="24" applyFont="0" applyFill="0" applyBorder="0" applyAlignment="0" applyProtection="0"/>
    <xf numFmtId="194" fontId="2" fillId="0" borderId="24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59" fillId="60" borderId="26" applyNumberFormat="0" applyAlignment="0" applyProtection="0"/>
    <xf numFmtId="0" fontId="59" fillId="60" borderId="26" applyNumberFormat="0" applyAlignment="0" applyProtection="0"/>
    <xf numFmtId="0" fontId="59" fillId="60" borderId="26" applyNumberFormat="0" applyAlignment="0" applyProtection="0"/>
    <xf numFmtId="0" fontId="59" fillId="60" borderId="26" applyNumberFormat="0" applyAlignment="0" applyProtection="0"/>
    <xf numFmtId="0" fontId="59" fillId="60" borderId="26" applyNumberFormat="0" applyAlignment="0" applyProtection="0"/>
    <xf numFmtId="0" fontId="59" fillId="60" borderId="26" applyNumberFormat="0" applyAlignment="0" applyProtection="0"/>
    <xf numFmtId="0" fontId="2" fillId="61" borderId="23" applyNumberFormat="0" applyFont="0" applyAlignment="0" applyProtection="0"/>
    <xf numFmtId="0" fontId="62" fillId="58" borderId="31" applyNumberFormat="0" applyAlignment="0" applyProtection="0"/>
    <xf numFmtId="0" fontId="59" fillId="60" borderId="26" applyNumberFormat="0" applyAlignment="0" applyProtection="0"/>
    <xf numFmtId="0" fontId="2" fillId="61" borderId="23" applyNumberFormat="0" applyFont="0" applyAlignment="0" applyProtection="0"/>
    <xf numFmtId="0" fontId="59" fillId="60" borderId="26" applyNumberFormat="0" applyAlignment="0" applyProtection="0"/>
    <xf numFmtId="9" fontId="8" fillId="0" borderId="0" applyFont="0" applyFill="0" applyBorder="0" applyAlignment="0" applyProtection="0"/>
    <xf numFmtId="0" fontId="59" fillId="60" borderId="26" applyNumberFormat="0" applyAlignment="0" applyProtection="0"/>
    <xf numFmtId="0" fontId="59" fillId="60" borderId="26" applyNumberFormat="0" applyAlignment="0" applyProtection="0"/>
    <xf numFmtId="0" fontId="59" fillId="60" borderId="26" applyNumberFormat="0" applyAlignment="0" applyProtection="0"/>
    <xf numFmtId="0" fontId="59" fillId="60" borderId="26" applyNumberFormat="0" applyAlignment="0" applyProtection="0"/>
    <xf numFmtId="0" fontId="52" fillId="58" borderId="26" applyNumberFormat="0" applyAlignment="0" applyProtection="0"/>
    <xf numFmtId="0" fontId="59" fillId="60" borderId="26" applyNumberFormat="0" applyAlignment="0" applyProtection="0"/>
    <xf numFmtId="0" fontId="2" fillId="61" borderId="23" applyNumberFormat="0" applyFont="0" applyAlignment="0" applyProtection="0"/>
    <xf numFmtId="0" fontId="59" fillId="60" borderId="26" applyNumberFormat="0" applyAlignment="0" applyProtection="0"/>
    <xf numFmtId="0" fontId="2" fillId="61" borderId="23" applyNumberFormat="0" applyFont="0" applyAlignment="0" applyProtection="0"/>
    <xf numFmtId="0" fontId="59" fillId="60" borderId="26" applyNumberFormat="0" applyAlignment="0" applyProtection="0"/>
    <xf numFmtId="0" fontId="59" fillId="60" borderId="26" applyNumberFormat="0" applyAlignment="0" applyProtection="0"/>
    <xf numFmtId="0" fontId="59" fillId="60" borderId="26" applyNumberFormat="0" applyAlignment="0" applyProtection="0"/>
    <xf numFmtId="0" fontId="64" fillId="0" borderId="32" applyNumberFormat="0" applyFill="0" applyAlignment="0" applyProtection="0"/>
    <xf numFmtId="0" fontId="2" fillId="61" borderId="23" applyNumberFormat="0" applyFont="0" applyAlignment="0" applyProtection="0"/>
    <xf numFmtId="0" fontId="59" fillId="60" borderId="26" applyNumberFormat="0" applyAlignment="0" applyProtection="0"/>
    <xf numFmtId="0" fontId="59" fillId="60" borderId="26" applyNumberFormat="0" applyAlignment="0" applyProtection="0"/>
    <xf numFmtId="0" fontId="59" fillId="60" borderId="26" applyNumberFormat="0" applyAlignment="0" applyProtection="0"/>
    <xf numFmtId="0" fontId="2" fillId="61" borderId="23" applyNumberFormat="0" applyFont="0" applyAlignment="0" applyProtection="0"/>
    <xf numFmtId="0" fontId="59" fillId="60" borderId="26" applyNumberFormat="0" applyAlignment="0" applyProtection="0"/>
    <xf numFmtId="0" fontId="2" fillId="61" borderId="23" applyNumberFormat="0" applyFont="0" applyAlignment="0" applyProtection="0"/>
    <xf numFmtId="0" fontId="8" fillId="61" borderId="23" applyNumberFormat="0" applyFont="0" applyAlignment="0" applyProtection="0"/>
    <xf numFmtId="0" fontId="59" fillId="45" borderId="26" applyNumberFormat="0" applyAlignment="0" applyProtection="0"/>
    <xf numFmtId="0" fontId="2" fillId="61" borderId="23" applyNumberFormat="0" applyFont="0" applyAlignment="0" applyProtection="0"/>
    <xf numFmtId="0" fontId="59" fillId="45" borderId="26" applyNumberFormat="0" applyAlignment="0" applyProtection="0"/>
    <xf numFmtId="0" fontId="59" fillId="60" borderId="26" applyNumberFormat="0" applyAlignment="0" applyProtection="0"/>
    <xf numFmtId="9" fontId="8" fillId="0" borderId="0" applyFont="0" applyFill="0" applyBorder="0" applyAlignment="0" applyProtection="0"/>
    <xf numFmtId="0" fontId="59" fillId="60" borderId="26" applyNumberFormat="0" applyAlignment="0" applyProtection="0"/>
    <xf numFmtId="0" fontId="59" fillId="60" borderId="26" applyNumberFormat="0" applyAlignment="0" applyProtection="0"/>
    <xf numFmtId="0" fontId="59" fillId="60" borderId="26" applyNumberFormat="0" applyAlignment="0" applyProtection="0"/>
    <xf numFmtId="0" fontId="59" fillId="60" borderId="26" applyNumberFormat="0" applyAlignment="0" applyProtection="0"/>
    <xf numFmtId="0" fontId="8" fillId="61" borderId="23" applyNumberFormat="0" applyFont="0" applyAlignment="0" applyProtection="0"/>
    <xf numFmtId="0" fontId="59" fillId="60" borderId="26" applyNumberFormat="0" applyAlignment="0" applyProtection="0"/>
    <xf numFmtId="0" fontId="62" fillId="58" borderId="31" applyNumberFormat="0" applyAlignment="0" applyProtection="0"/>
    <xf numFmtId="0" fontId="66" fillId="64" borderId="26" applyNumberFormat="0" applyAlignment="0" applyProtection="0"/>
    <xf numFmtId="0" fontId="64" fillId="0" borderId="32" applyNumberFormat="0" applyFill="0" applyAlignment="0" applyProtection="0"/>
    <xf numFmtId="0" fontId="2" fillId="61" borderId="23" applyNumberFormat="0" applyFont="0" applyAlignment="0" applyProtection="0"/>
    <xf numFmtId="194" fontId="2" fillId="0" borderId="3" applyFont="0" applyFill="0" applyBorder="0" applyAlignment="0" applyProtection="0"/>
    <xf numFmtId="0" fontId="62" fillId="64" borderId="31" applyNumberFormat="0" applyAlignment="0" applyProtection="0"/>
    <xf numFmtId="0" fontId="59" fillId="45" borderId="26" applyNumberFormat="0" applyAlignment="0" applyProtection="0"/>
    <xf numFmtId="0" fontId="64" fillId="0" borderId="37" applyNumberFormat="0" applyFill="0" applyAlignment="0" applyProtection="0"/>
    <xf numFmtId="0" fontId="59" fillId="60" borderId="26" applyNumberFormat="0" applyAlignment="0" applyProtection="0"/>
    <xf numFmtId="0" fontId="59" fillId="60" borderId="26" applyNumberFormat="0" applyAlignment="0" applyProtection="0"/>
    <xf numFmtId="0" fontId="64" fillId="0" borderId="37" applyNumberFormat="0" applyFill="0" applyAlignment="0" applyProtection="0"/>
    <xf numFmtId="0" fontId="64" fillId="0" borderId="37" applyNumberFormat="0" applyFill="0" applyAlignment="0" applyProtection="0"/>
    <xf numFmtId="0" fontId="59" fillId="45" borderId="26" applyNumberFormat="0" applyAlignment="0" applyProtection="0"/>
    <xf numFmtId="0" fontId="59" fillId="60" borderId="26" applyNumberFormat="0" applyAlignment="0" applyProtection="0"/>
    <xf numFmtId="0" fontId="64" fillId="0" borderId="32" applyNumberFormat="0" applyFill="0" applyAlignment="0" applyProtection="0"/>
    <xf numFmtId="0" fontId="59" fillId="60" borderId="26" applyNumberFormat="0" applyAlignment="0" applyProtection="0"/>
    <xf numFmtId="0" fontId="59" fillId="45" borderId="26" applyNumberFormat="0" applyAlignment="0" applyProtection="0"/>
    <xf numFmtId="0" fontId="59" fillId="60" borderId="26" applyNumberFormat="0" applyAlignment="0" applyProtection="0"/>
    <xf numFmtId="0" fontId="62" fillId="58" borderId="31" applyNumberFormat="0" applyAlignment="0" applyProtection="0"/>
    <xf numFmtId="0" fontId="59" fillId="60" borderId="26" applyNumberFormat="0" applyAlignment="0" applyProtection="0"/>
    <xf numFmtId="0" fontId="66" fillId="64" borderId="26" applyNumberFormat="0" applyAlignment="0" applyProtection="0"/>
    <xf numFmtId="0" fontId="59" fillId="60" borderId="26" applyNumberFormat="0" applyAlignment="0" applyProtection="0"/>
    <xf numFmtId="0" fontId="62" fillId="64" borderId="31" applyNumberFormat="0" applyAlignment="0" applyProtection="0"/>
    <xf numFmtId="0" fontId="59" fillId="60" borderId="26" applyNumberFormat="0" applyAlignment="0" applyProtection="0"/>
    <xf numFmtId="0" fontId="8" fillId="61" borderId="23" applyNumberFormat="0" applyFont="0" applyAlignment="0" applyProtection="0"/>
    <xf numFmtId="0" fontId="66" fillId="64" borderId="26" applyNumberFormat="0" applyAlignment="0" applyProtection="0"/>
    <xf numFmtId="0" fontId="59" fillId="60" borderId="26" applyNumberFormat="0" applyAlignment="0" applyProtection="0"/>
    <xf numFmtId="0" fontId="59" fillId="60" borderId="26" applyNumberFormat="0" applyAlignment="0" applyProtection="0"/>
    <xf numFmtId="0" fontId="52" fillId="58" borderId="26" applyNumberFormat="0" applyAlignment="0" applyProtection="0"/>
    <xf numFmtId="0" fontId="52" fillId="58" borderId="26" applyNumberFormat="0" applyAlignment="0" applyProtection="0"/>
    <xf numFmtId="9" fontId="8" fillId="0" borderId="0" applyFont="0" applyFill="0" applyBorder="0" applyAlignment="0" applyProtection="0"/>
    <xf numFmtId="0" fontId="59" fillId="60" borderId="26" applyNumberFormat="0" applyAlignment="0" applyProtection="0"/>
    <xf numFmtId="0" fontId="59" fillId="45" borderId="26" applyNumberFormat="0" applyAlignment="0" applyProtection="0"/>
    <xf numFmtId="0" fontId="59" fillId="60" borderId="26" applyNumberFormat="0" applyAlignment="0" applyProtection="0"/>
    <xf numFmtId="0" fontId="62" fillId="64" borderId="31" applyNumberFormat="0" applyAlignment="0" applyProtection="0"/>
    <xf numFmtId="194" fontId="2" fillId="0" borderId="24" applyFont="0" applyFill="0" applyBorder="0" applyAlignment="0" applyProtection="0"/>
    <xf numFmtId="194" fontId="2" fillId="0" borderId="24" applyFont="0" applyFill="0" applyBorder="0" applyAlignment="0" applyProtection="0"/>
    <xf numFmtId="194" fontId="2" fillId="0" borderId="24" applyFont="0" applyFill="0" applyBorder="0" applyAlignment="0" applyProtection="0"/>
    <xf numFmtId="194" fontId="2" fillId="0" borderId="3" applyFont="0" applyFill="0" applyBorder="0" applyAlignment="0" applyProtection="0"/>
    <xf numFmtId="194" fontId="2" fillId="0" borderId="3" applyFont="0" applyFill="0" applyBorder="0" applyAlignment="0" applyProtection="0"/>
    <xf numFmtId="194" fontId="2" fillId="0" borderId="3" applyFont="0" applyFill="0" applyBorder="0" applyAlignment="0" applyProtection="0"/>
    <xf numFmtId="194" fontId="2" fillId="0" borderId="3" applyFont="0" applyFill="0" applyBorder="0" applyAlignment="0" applyProtection="0"/>
    <xf numFmtId="194" fontId="2" fillId="0" borderId="3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38" fillId="0" borderId="15" applyNumberFormat="0" applyFill="0" applyAlignment="0" applyProtection="0"/>
    <xf numFmtId="164" fontId="9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90" fontId="2" fillId="0" borderId="10" applyFont="0" applyFill="0" applyBorder="0" applyAlignment="0" applyProtection="0">
      <alignment horizontal="right"/>
    </xf>
    <xf numFmtId="178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0" fontId="2" fillId="0" borderId="0"/>
    <xf numFmtId="196" fontId="2" fillId="0" borderId="0"/>
    <xf numFmtId="181" fontId="2" fillId="0" borderId="0" applyFont="0" applyFill="0" applyBorder="0" applyAlignment="0" applyProtection="0"/>
    <xf numFmtId="0" fontId="9" fillId="0" borderId="0"/>
    <xf numFmtId="164" fontId="41" fillId="0" borderId="0" applyFont="0" applyFill="0" applyBorder="0" applyAlignment="0" applyProtection="0"/>
    <xf numFmtId="183" fontId="2" fillId="0" borderId="0" applyFont="0" applyFill="0" applyBorder="0" applyAlignment="0"/>
    <xf numFmtId="0" fontId="2" fillId="0" borderId="0"/>
    <xf numFmtId="9" fontId="9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67" fillId="0" borderId="33" applyNumberFormat="0" applyFill="0" applyAlignment="0" applyProtection="0"/>
    <xf numFmtId="9" fontId="9" fillId="0" borderId="0" applyFont="0" applyFill="0" applyBorder="0" applyAlignment="0" applyProtection="0"/>
    <xf numFmtId="9" fontId="8" fillId="0" borderId="0" applyFont="0" applyFill="0" applyBorder="0" applyAlignment="0" applyProtection="0"/>
    <xf numFmtId="18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183" fontId="2" fillId="0" borderId="0" applyFont="0" applyFill="0" applyBorder="0" applyAlignment="0"/>
    <xf numFmtId="9" fontId="9" fillId="0" borderId="0" applyFont="0" applyFill="0" applyBorder="0" applyAlignment="0" applyProtection="0"/>
    <xf numFmtId="0" fontId="2" fillId="0" borderId="0"/>
    <xf numFmtId="0" fontId="9" fillId="0" borderId="0"/>
    <xf numFmtId="168" fontId="9" fillId="0" borderId="0" applyFont="0" applyFill="0" applyBorder="0" applyAlignment="0" applyProtection="0"/>
    <xf numFmtId="0" fontId="41" fillId="0" borderId="0"/>
    <xf numFmtId="164" fontId="9" fillId="0" borderId="0" applyFont="0" applyFill="0" applyBorder="0" applyAlignment="0" applyProtection="0"/>
    <xf numFmtId="191" fontId="2" fillId="0" borderId="0" applyFont="0" applyFill="0" applyBorder="0" applyAlignment="0" applyProtection="0"/>
    <xf numFmtId="182" fontId="42" fillId="0" borderId="0" applyFill="0" applyBorder="0" applyAlignment="0">
      <protection locked="0"/>
    </xf>
    <xf numFmtId="181" fontId="2" fillId="0" borderId="0" applyFont="0" applyFill="0" applyBorder="0" applyAlignment="0" applyProtection="0"/>
    <xf numFmtId="168" fontId="9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9" fillId="0" borderId="0"/>
    <xf numFmtId="180" fontId="2" fillId="0" borderId="0" applyNumberFormat="0" applyFill="0" applyBorder="0" applyAlignment="0"/>
    <xf numFmtId="9" fontId="2" fillId="0" borderId="0" applyFont="0" applyFill="0" applyBorder="0" applyAlignment="0" applyProtection="0"/>
    <xf numFmtId="190" fontId="2" fillId="0" borderId="10" applyFont="0" applyFill="0" applyBorder="0" applyAlignment="0" applyProtection="0">
      <alignment horizontal="right"/>
    </xf>
    <xf numFmtId="168" fontId="9" fillId="0" borderId="0" applyFont="0" applyFill="0" applyBorder="0" applyAlignment="0" applyProtection="0"/>
    <xf numFmtId="0" fontId="2" fillId="0" borderId="0"/>
    <xf numFmtId="0" fontId="2" fillId="0" borderId="0"/>
    <xf numFmtId="180" fontId="2" fillId="0" borderId="0" applyFill="0" applyBorder="0" applyAlignment="0"/>
    <xf numFmtId="9" fontId="2" fillId="0" borderId="0" applyFont="0" applyFill="0" applyBorder="0" applyAlignment="0" applyProtection="0"/>
    <xf numFmtId="0" fontId="41" fillId="0" borderId="0"/>
    <xf numFmtId="182" fontId="42" fillId="0" borderId="0" applyFill="0" applyBorder="0" applyAlignment="0">
      <protection locked="0"/>
    </xf>
    <xf numFmtId="164" fontId="41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57" fillId="0" borderId="28" applyNumberFormat="0" applyFill="0" applyAlignment="0" applyProtection="0"/>
    <xf numFmtId="9" fontId="9" fillId="0" borderId="0" applyFont="0" applyFill="0" applyBorder="0" applyAlignment="0" applyProtection="0"/>
    <xf numFmtId="182" fontId="42" fillId="0" borderId="0" applyFont="0" applyFill="0" applyBorder="0" applyAlignment="0" applyProtection="0">
      <protection locked="0"/>
    </xf>
    <xf numFmtId="0" fontId="41" fillId="0" borderId="0"/>
    <xf numFmtId="9" fontId="2" fillId="0" borderId="0" applyFont="0" applyFill="0" applyBorder="0" applyAlignment="0" applyProtection="0"/>
    <xf numFmtId="164" fontId="41" fillId="0" borderId="0" applyFont="0" applyFill="0" applyBorder="0" applyAlignment="0" applyProtection="0"/>
    <xf numFmtId="0" fontId="41" fillId="0" borderId="0"/>
    <xf numFmtId="178" fontId="2" fillId="0" borderId="0" applyFont="0" applyFill="0" applyBorder="0" applyAlignment="0" applyProtection="0"/>
    <xf numFmtId="168" fontId="9" fillId="0" borderId="0" applyFont="0" applyFill="0" applyBorder="0" applyAlignment="0" applyProtection="0"/>
    <xf numFmtId="0" fontId="2" fillId="0" borderId="0"/>
    <xf numFmtId="180" fontId="2" fillId="0" borderId="0" applyFill="0" applyBorder="0" applyAlignment="0"/>
    <xf numFmtId="182" fontId="42" fillId="0" borderId="0" applyFont="0" applyFill="0" applyBorder="0" applyAlignment="0" applyProtection="0">
      <protection locked="0"/>
    </xf>
    <xf numFmtId="168" fontId="9" fillId="0" borderId="0" applyFont="0" applyFill="0" applyBorder="0" applyAlignment="0" applyProtection="0"/>
    <xf numFmtId="0" fontId="2" fillId="0" borderId="0"/>
    <xf numFmtId="0" fontId="2" fillId="0" borderId="0"/>
    <xf numFmtId="164" fontId="41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191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74" fillId="0" borderId="0" applyNumberFormat="0" applyFill="0" applyBorder="0" applyAlignment="0" applyProtection="0">
      <alignment vertical="top"/>
      <protection locked="0"/>
    </xf>
    <xf numFmtId="9" fontId="9" fillId="0" borderId="0" applyFont="0" applyFill="0" applyBorder="0" applyAlignment="0" applyProtection="0"/>
    <xf numFmtId="196" fontId="2" fillId="0" borderId="0"/>
    <xf numFmtId="9" fontId="2" fillId="0" borderId="0" applyFont="0" applyFill="0" applyBorder="0" applyAlignment="0" applyProtection="0"/>
    <xf numFmtId="196" fontId="2" fillId="0" borderId="0"/>
    <xf numFmtId="189" fontId="2" fillId="0" borderId="0" applyFont="0" applyFill="0" applyBorder="0" applyAlignment="0" applyProtection="0"/>
    <xf numFmtId="0" fontId="67" fillId="0" borderId="33" applyNumberFormat="0" applyFill="0" applyAlignment="0" applyProtection="0"/>
    <xf numFmtId="180" fontId="2" fillId="0" borderId="0" applyNumberFormat="0" applyFill="0" applyBorder="0" applyAlignment="0"/>
    <xf numFmtId="196" fontId="9" fillId="0" borderId="0"/>
    <xf numFmtId="0" fontId="49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/>
    <xf numFmtId="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8" fontId="9" fillId="0" borderId="0" applyFont="0" applyFill="0" applyBorder="0" applyAlignment="0" applyProtection="0"/>
    <xf numFmtId="0" fontId="69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192" fontId="2" fillId="0" borderId="0" applyFont="0" applyFill="0" applyBorder="0" applyAlignment="0" applyProtection="0"/>
    <xf numFmtId="196" fontId="2" fillId="0" borderId="0"/>
    <xf numFmtId="0" fontId="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91" fontId="2" fillId="0" borderId="0" applyFill="0" applyBorder="0" applyAlignment="0" applyProtection="0"/>
    <xf numFmtId="191" fontId="2" fillId="0" borderId="0" applyFill="0" applyBorder="0" applyAlignment="0" applyProtection="0"/>
    <xf numFmtId="193" fontId="42" fillId="0" borderId="0" applyFont="0" applyFill="0" applyBorder="0" applyAlignment="0" applyProtection="0">
      <alignment horizontal="left"/>
    </xf>
    <xf numFmtId="193" fontId="42" fillId="0" borderId="0" applyFont="0" applyFill="0" applyBorder="0" applyAlignment="0" applyProtection="0">
      <alignment horizontal="left"/>
    </xf>
    <xf numFmtId="194" fontId="2" fillId="0" borderId="24" applyFont="0" applyFill="0" applyBorder="0" applyAlignment="0" applyProtection="0"/>
    <xf numFmtId="164" fontId="9" fillId="0" borderId="0" applyFont="0" applyFill="0" applyBorder="0" applyAlignment="0" applyProtection="0"/>
    <xf numFmtId="0" fontId="75" fillId="0" borderId="0" applyNumberForma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167" fontId="9" fillId="0" borderId="0" applyFont="0" applyFill="0" applyBorder="0" applyAlignment="0" applyProtection="0"/>
    <xf numFmtId="168" fontId="73" fillId="0" borderId="0" applyFont="0" applyFill="0" applyBorder="0" applyAlignment="0" applyProtection="0"/>
  </cellStyleXfs>
  <cellXfs count="463">
    <xf numFmtId="0" fontId="0" fillId="0" borderId="0" xfId="0"/>
    <xf numFmtId="0" fontId="1" fillId="0" borderId="0" xfId="0" applyFont="1"/>
    <xf numFmtId="0" fontId="1" fillId="0" borderId="1" xfId="0" applyFont="1" applyBorder="1"/>
    <xf numFmtId="0" fontId="6" fillId="0" borderId="0" xfId="0" applyFont="1"/>
    <xf numFmtId="0" fontId="0" fillId="2" borderId="0" xfId="0" applyFill="1"/>
    <xf numFmtId="0" fontId="3" fillId="0" borderId="0" xfId="0" applyFont="1"/>
    <xf numFmtId="0" fontId="14" fillId="0" borderId="0" xfId="0" applyFont="1"/>
    <xf numFmtId="0" fontId="0" fillId="6" borderId="0" xfId="0" applyFill="1"/>
    <xf numFmtId="0" fontId="5" fillId="0" borderId="0" xfId="0" applyFont="1"/>
    <xf numFmtId="172" fontId="1" fillId="6" borderId="0" xfId="0" applyNumberFormat="1" applyFont="1" applyFill="1" applyAlignment="1">
      <alignment horizontal="right"/>
    </xf>
    <xf numFmtId="173" fontId="5" fillId="6" borderId="0" xfId="0" applyNumberFormat="1" applyFont="1" applyFill="1"/>
    <xf numFmtId="172" fontId="1" fillId="6" borderId="0" xfId="0" applyNumberFormat="1" applyFont="1" applyFill="1"/>
    <xf numFmtId="173" fontId="3" fillId="0" borderId="0" xfId="0" applyNumberFormat="1" applyFont="1"/>
    <xf numFmtId="172" fontId="0" fillId="0" borderId="0" xfId="0" applyNumberFormat="1"/>
    <xf numFmtId="172" fontId="0" fillId="6" borderId="0" xfId="0" applyNumberFormat="1" applyFill="1"/>
    <xf numFmtId="0" fontId="5" fillId="6" borderId="0" xfId="0" applyFont="1" applyFill="1"/>
    <xf numFmtId="172" fontId="3" fillId="0" borderId="0" xfId="0" applyNumberFormat="1" applyFo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center" wrapText="1"/>
    </xf>
    <xf numFmtId="172" fontId="1" fillId="0" borderId="0" xfId="0" applyNumberFormat="1" applyFont="1" applyAlignment="1">
      <alignment vertical="top" wrapText="1"/>
    </xf>
    <xf numFmtId="0" fontId="1" fillId="0" borderId="0" xfId="0" applyFont="1" applyAlignment="1">
      <alignment vertical="top" wrapText="1"/>
    </xf>
    <xf numFmtId="172" fontId="17" fillId="0" borderId="0" xfId="0" applyNumberFormat="1" applyFont="1"/>
    <xf numFmtId="175" fontId="0" fillId="0" borderId="0" xfId="0" applyNumberFormat="1"/>
    <xf numFmtId="175" fontId="3" fillId="0" borderId="0" xfId="0" applyNumberFormat="1" applyFont="1"/>
    <xf numFmtId="2" fontId="0" fillId="0" borderId="0" xfId="0" applyNumberFormat="1"/>
    <xf numFmtId="177" fontId="0" fillId="0" borderId="0" xfId="4" applyNumberFormat="1" applyFont="1"/>
    <xf numFmtId="0" fontId="19" fillId="0" borderId="0" xfId="0" applyFont="1"/>
    <xf numFmtId="0" fontId="20" fillId="0" borderId="0" xfId="0" applyFont="1"/>
    <xf numFmtId="0" fontId="1" fillId="0" borderId="1" xfId="0" applyFont="1" applyBorder="1" applyAlignment="1">
      <alignment wrapText="1"/>
    </xf>
    <xf numFmtId="0" fontId="0" fillId="0" borderId="1" xfId="0" applyBorder="1"/>
    <xf numFmtId="0" fontId="21" fillId="0" borderId="1" xfId="0" applyFont="1" applyBorder="1" applyAlignment="1">
      <alignment wrapText="1"/>
    </xf>
    <xf numFmtId="0" fontId="0" fillId="7" borderId="1" xfId="0" applyFill="1" applyBorder="1"/>
    <xf numFmtId="0" fontId="21" fillId="0" borderId="0" xfId="0" applyFont="1" applyAlignment="1">
      <alignment wrapText="1"/>
    </xf>
    <xf numFmtId="2" fontId="0" fillId="0" borderId="1" xfId="0" applyNumberFormat="1" applyBorder="1" applyAlignment="1">
      <alignment horizontal="right"/>
    </xf>
    <xf numFmtId="0" fontId="4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0" fillId="8" borderId="1" xfId="0" applyFill="1" applyBorder="1"/>
    <xf numFmtId="0" fontId="6" fillId="0" borderId="1" xfId="0" applyFont="1" applyBorder="1"/>
    <xf numFmtId="2" fontId="0" fillId="8" borderId="1" xfId="0" applyNumberFormat="1" applyFill="1" applyBorder="1"/>
    <xf numFmtId="179" fontId="0" fillId="8" borderId="1" xfId="0" applyNumberFormat="1" applyFill="1" applyBorder="1"/>
    <xf numFmtId="0" fontId="4" fillId="0" borderId="1" xfId="0" applyFont="1" applyBorder="1"/>
    <xf numFmtId="170" fontId="0" fillId="8" borderId="1" xfId="7" applyNumberFormat="1" applyFont="1" applyFill="1" applyBorder="1"/>
    <xf numFmtId="170" fontId="0" fillId="8" borderId="1" xfId="6" applyNumberFormat="1" applyFont="1" applyFill="1" applyBorder="1"/>
    <xf numFmtId="0" fontId="1" fillId="0" borderId="10" xfId="0" applyFont="1" applyBorder="1" applyAlignment="1">
      <alignment wrapText="1"/>
    </xf>
    <xf numFmtId="0" fontId="5" fillId="0" borderId="12" xfId="0" applyFont="1" applyBorder="1" applyAlignment="1">
      <alignment wrapText="1"/>
    </xf>
    <xf numFmtId="0" fontId="1" fillId="0" borderId="9" xfId="0" applyFont="1" applyBorder="1" applyAlignment="1">
      <alignment horizontal="left" wrapText="1"/>
    </xf>
    <xf numFmtId="0" fontId="0" fillId="0" borderId="0" xfId="0" applyAlignment="1">
      <alignment wrapText="1"/>
    </xf>
    <xf numFmtId="0" fontId="0" fillId="0" borderId="4" xfId="0" applyBorder="1" applyAlignment="1">
      <alignment wrapText="1"/>
    </xf>
    <xf numFmtId="2" fontId="0" fillId="8" borderId="1" xfId="0" applyNumberFormat="1" applyFill="1" applyBorder="1" applyAlignment="1">
      <alignment horizontal="right"/>
    </xf>
    <xf numFmtId="0" fontId="0" fillId="3" borderId="2" xfId="0" applyFill="1" applyBorder="1"/>
    <xf numFmtId="0" fontId="0" fillId="0" borderId="4" xfId="0" applyBorder="1"/>
    <xf numFmtId="0" fontId="3" fillId="0" borderId="0" xfId="0" applyFont="1" applyAlignment="1">
      <alignment wrapText="1"/>
    </xf>
    <xf numFmtId="0" fontId="22" fillId="0" borderId="0" xfId="8" applyFont="1"/>
    <xf numFmtId="0" fontId="22" fillId="0" borderId="1" xfId="8" applyFont="1" applyBorder="1" applyAlignment="1">
      <alignment horizontal="center" vertical="center" wrapText="1"/>
    </xf>
    <xf numFmtId="0" fontId="22" fillId="0" borderId="1" xfId="8" applyFont="1" applyBorder="1" applyAlignment="1">
      <alignment horizontal="center" vertical="center"/>
    </xf>
    <xf numFmtId="9" fontId="22" fillId="0" borderId="1" xfId="8" applyNumberFormat="1" applyFont="1" applyBorder="1" applyAlignment="1">
      <alignment horizontal="center"/>
    </xf>
    <xf numFmtId="0" fontId="22" fillId="0" borderId="1" xfId="8" applyFont="1" applyBorder="1" applyAlignment="1">
      <alignment horizontal="center"/>
    </xf>
    <xf numFmtId="0" fontId="22" fillId="0" borderId="1" xfId="8" applyFont="1" applyBorder="1" applyAlignment="1">
      <alignment horizontal="center" wrapText="1"/>
    </xf>
    <xf numFmtId="0" fontId="2" fillId="0" borderId="0" xfId="8"/>
    <xf numFmtId="1" fontId="0" fillId="8" borderId="1" xfId="0" applyNumberFormat="1" applyFill="1" applyBorder="1"/>
    <xf numFmtId="10" fontId="0" fillId="0" borderId="0" xfId="5" applyNumberFormat="1" applyFont="1"/>
    <xf numFmtId="172" fontId="0" fillId="0" borderId="0" xfId="0" applyNumberFormat="1" applyAlignment="1">
      <alignment horizontal="right"/>
    </xf>
    <xf numFmtId="0" fontId="18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164" fontId="0" fillId="0" borderId="0" xfId="0" applyNumberFormat="1" applyAlignment="1">
      <alignment wrapText="1"/>
    </xf>
    <xf numFmtId="178" fontId="0" fillId="0" borderId="0" xfId="6" applyNumberFormat="1" applyFont="1" applyAlignment="1">
      <alignment horizontal="right"/>
    </xf>
    <xf numFmtId="0" fontId="5" fillId="6" borderId="0" xfId="0" applyFont="1" applyFill="1" applyAlignment="1">
      <alignment wrapText="1"/>
    </xf>
    <xf numFmtId="172" fontId="5" fillId="0" borderId="0" xfId="0" applyNumberFormat="1" applyFont="1"/>
    <xf numFmtId="171" fontId="0" fillId="0" borderId="0" xfId="0" applyNumberFormat="1"/>
    <xf numFmtId="0" fontId="22" fillId="0" borderId="2" xfId="8" applyFont="1" applyBorder="1"/>
    <xf numFmtId="0" fontId="22" fillId="0" borderId="3" xfId="8" applyFont="1" applyBorder="1"/>
    <xf numFmtId="0" fontId="22" fillId="0" borderId="4" xfId="8" applyFont="1" applyBorder="1"/>
    <xf numFmtId="0" fontId="0" fillId="0" borderId="8" xfId="0" applyBorder="1"/>
    <xf numFmtId="164" fontId="3" fillId="0" borderId="8" xfId="4" applyFont="1" applyFill="1" applyBorder="1" applyAlignment="1">
      <alignment vertical="center"/>
    </xf>
    <xf numFmtId="0" fontId="1" fillId="6" borderId="0" xfId="0" applyFont="1" applyFill="1"/>
    <xf numFmtId="3" fontId="2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164" fontId="3" fillId="0" borderId="0" xfId="4" applyFont="1" applyFill="1" applyBorder="1" applyAlignment="1">
      <alignment vertical="center"/>
    </xf>
    <xf numFmtId="177" fontId="0" fillId="0" borderId="0" xfId="4" applyNumberFormat="1" applyFont="1" applyFill="1"/>
    <xf numFmtId="0" fontId="75" fillId="0" borderId="0" xfId="1837"/>
    <xf numFmtId="171" fontId="0" fillId="0" borderId="0" xfId="5" applyNumberFormat="1" applyFont="1"/>
    <xf numFmtId="173" fontId="0" fillId="0" borderId="0" xfId="0" applyNumberFormat="1" applyAlignment="1">
      <alignment horizontal="right"/>
    </xf>
    <xf numFmtId="173" fontId="0" fillId="0" borderId="0" xfId="0" applyNumberFormat="1"/>
    <xf numFmtId="0" fontId="75" fillId="0" borderId="0" xfId="1837" applyFill="1"/>
    <xf numFmtId="173" fontId="1" fillId="0" borderId="0" xfId="0" applyNumberFormat="1" applyFont="1"/>
    <xf numFmtId="172" fontId="0" fillId="2" borderId="0" xfId="0" applyNumberFormat="1" applyFill="1"/>
    <xf numFmtId="0" fontId="1" fillId="2" borderId="0" xfId="0" applyFont="1" applyFill="1"/>
    <xf numFmtId="173" fontId="1" fillId="2" borderId="0" xfId="0" applyNumberFormat="1" applyFont="1" applyFill="1"/>
    <xf numFmtId="170" fontId="0" fillId="2" borderId="0" xfId="6" applyNumberFormat="1" applyFont="1" applyFill="1" applyBorder="1"/>
    <xf numFmtId="173" fontId="0" fillId="2" borderId="0" xfId="0" applyNumberFormat="1" applyFill="1"/>
    <xf numFmtId="172" fontId="14" fillId="0" borderId="0" xfId="0" applyNumberFormat="1" applyFont="1"/>
    <xf numFmtId="0" fontId="13" fillId="0" borderId="0" xfId="0" applyFont="1"/>
    <xf numFmtId="173" fontId="13" fillId="0" borderId="0" xfId="0" applyNumberFormat="1" applyFont="1"/>
    <xf numFmtId="4" fontId="0" fillId="0" borderId="0" xfId="0" applyNumberFormat="1"/>
    <xf numFmtId="43" fontId="0" fillId="0" borderId="0" xfId="6" applyFont="1" applyFill="1" applyBorder="1"/>
    <xf numFmtId="174" fontId="6" fillId="0" borderId="0" xfId="6" applyNumberFormat="1" applyFont="1" applyFill="1" applyBorder="1"/>
    <xf numFmtId="0" fontId="3" fillId="2" borderId="0" xfId="0" applyFont="1" applyFill="1"/>
    <xf numFmtId="172" fontId="1" fillId="2" borderId="0" xfId="0" applyNumberFormat="1" applyFont="1" applyFill="1"/>
    <xf numFmtId="197" fontId="0" fillId="0" borderId="0" xfId="4" applyNumberFormat="1" applyFont="1" applyFill="1"/>
    <xf numFmtId="177" fontId="1" fillId="2" borderId="0" xfId="4" applyNumberFormat="1" applyFont="1" applyFill="1"/>
    <xf numFmtId="0" fontId="18" fillId="2" borderId="0" xfId="0" applyFont="1" applyFill="1"/>
    <xf numFmtId="171" fontId="0" fillId="0" borderId="0" xfId="0" applyNumberFormat="1" applyAlignment="1">
      <alignment horizontal="right"/>
    </xf>
    <xf numFmtId="0" fontId="0" fillId="4" borderId="1" xfId="91" applyFont="1" applyFill="1" applyBorder="1"/>
    <xf numFmtId="2" fontId="0" fillId="8" borderId="39" xfId="0" applyNumberFormat="1" applyFill="1" applyBorder="1" applyAlignment="1">
      <alignment horizontal="right"/>
    </xf>
    <xf numFmtId="0" fontId="0" fillId="0" borderId="7" xfId="0" applyBorder="1" applyAlignment="1">
      <alignment wrapText="1"/>
    </xf>
    <xf numFmtId="2" fontId="0" fillId="8" borderId="13" xfId="0" applyNumberFormat="1" applyFill="1" applyBorder="1" applyAlignment="1">
      <alignment horizontal="right"/>
    </xf>
    <xf numFmtId="0" fontId="0" fillId="3" borderId="6" xfId="0" applyFill="1" applyBorder="1"/>
    <xf numFmtId="0" fontId="0" fillId="0" borderId="39" xfId="0" applyBorder="1"/>
    <xf numFmtId="177" fontId="3" fillId="2" borderId="39" xfId="4" applyNumberFormat="1" applyFont="1" applyFill="1" applyBorder="1" applyAlignment="1">
      <alignment horizontal="center" vertical="center"/>
    </xf>
    <xf numFmtId="177" fontId="9" fillId="0" borderId="1" xfId="4" applyNumberFormat="1" applyFont="1" applyFill="1" applyBorder="1" applyAlignment="1">
      <alignment horizontal="right"/>
    </xf>
    <xf numFmtId="164" fontId="9" fillId="0" borderId="1" xfId="4" applyFont="1" applyFill="1" applyBorder="1"/>
    <xf numFmtId="177" fontId="9" fillId="0" borderId="1" xfId="0" applyNumberFormat="1" applyFont="1" applyBorder="1"/>
    <xf numFmtId="177" fontId="9" fillId="0" borderId="1" xfId="4" applyNumberFormat="1" applyFont="1" applyFill="1" applyBorder="1"/>
    <xf numFmtId="2" fontId="3" fillId="8" borderId="13" xfId="0" applyNumberFormat="1" applyFont="1" applyFill="1" applyBorder="1" applyAlignment="1">
      <alignment wrapText="1"/>
    </xf>
    <xf numFmtId="0" fontId="3" fillId="3" borderId="6" xfId="0" applyFont="1" applyFill="1" applyBorder="1" applyAlignment="1">
      <alignment wrapText="1"/>
    </xf>
    <xf numFmtId="172" fontId="3" fillId="0" borderId="0" xfId="0" applyNumberFormat="1" applyFont="1" applyAlignment="1">
      <alignment horizontal="right"/>
    </xf>
    <xf numFmtId="0" fontId="3" fillId="0" borderId="0" xfId="1837" applyFont="1" applyFill="1"/>
    <xf numFmtId="0" fontId="1" fillId="0" borderId="2" xfId="0" applyFont="1" applyBorder="1"/>
    <xf numFmtId="0" fontId="1" fillId="0" borderId="3" xfId="0" applyFont="1" applyBorder="1"/>
    <xf numFmtId="173" fontId="0" fillId="0" borderId="0" xfId="0" applyNumberFormat="1" applyAlignment="1">
      <alignment horizontal="center"/>
    </xf>
    <xf numFmtId="177" fontId="0" fillId="0" borderId="0" xfId="4" applyNumberFormat="1" applyFont="1" applyFill="1" applyAlignment="1">
      <alignment horizontal="center"/>
    </xf>
    <xf numFmtId="173" fontId="0" fillId="2" borderId="0" xfId="0" applyNumberFormat="1" applyFill="1" applyAlignment="1">
      <alignment horizontal="left"/>
    </xf>
    <xf numFmtId="173" fontId="0" fillId="2" borderId="0" xfId="0" applyNumberFormat="1" applyFill="1" applyAlignment="1">
      <alignment horizontal="center"/>
    </xf>
    <xf numFmtId="176" fontId="0" fillId="2" borderId="0" xfId="5" applyNumberFormat="1" applyFont="1" applyFill="1"/>
    <xf numFmtId="0" fontId="0" fillId="65" borderId="0" xfId="0" applyFill="1"/>
    <xf numFmtId="10" fontId="0" fillId="0" borderId="0" xfId="0" applyNumberFormat="1" applyAlignment="1">
      <alignment horizontal="right"/>
    </xf>
    <xf numFmtId="10" fontId="0" fillId="0" borderId="0" xfId="0" applyNumberFormat="1"/>
    <xf numFmtId="9" fontId="0" fillId="0" borderId="0" xfId="5" applyFont="1" applyFill="1" applyAlignment="1">
      <alignment horizontal="center"/>
    </xf>
    <xf numFmtId="9" fontId="0" fillId="2" borderId="0" xfId="5" applyFont="1" applyFill="1" applyAlignment="1">
      <alignment horizontal="center"/>
    </xf>
    <xf numFmtId="0" fontId="0" fillId="5" borderId="0" xfId="0" applyFill="1"/>
    <xf numFmtId="0" fontId="0" fillId="0" borderId="0" xfId="0" applyAlignment="1">
      <alignment vertical="center"/>
    </xf>
    <xf numFmtId="198" fontId="0" fillId="0" borderId="0" xfId="0" applyNumberFormat="1"/>
    <xf numFmtId="199" fontId="0" fillId="0" borderId="0" xfId="0" applyNumberFormat="1"/>
    <xf numFmtId="0" fontId="1" fillId="0" borderId="0" xfId="0" applyFont="1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indent="1"/>
    </xf>
    <xf numFmtId="0" fontId="1" fillId="66" borderId="0" xfId="0" applyFont="1" applyFill="1" applyAlignment="1">
      <alignment horizontal="left"/>
    </xf>
    <xf numFmtId="0" fontId="0" fillId="66" borderId="0" xfId="0" applyFill="1"/>
    <xf numFmtId="172" fontId="0" fillId="66" borderId="0" xfId="0" applyNumberFormat="1" applyFill="1"/>
    <xf numFmtId="173" fontId="0" fillId="66" borderId="0" xfId="0" applyNumberFormat="1" applyFill="1"/>
    <xf numFmtId="0" fontId="1" fillId="66" borderId="0" xfId="0" applyFont="1" applyFill="1"/>
    <xf numFmtId="173" fontId="6" fillId="0" borderId="0" xfId="0" applyNumberFormat="1" applyFont="1"/>
    <xf numFmtId="0" fontId="1" fillId="0" borderId="0" xfId="0" applyFont="1" applyAlignment="1">
      <alignment horizontal="left" indent="2"/>
    </xf>
    <xf numFmtId="0" fontId="0" fillId="0" borderId="0" xfId="0" applyAlignment="1">
      <alignment horizontal="left" indent="3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200" fontId="3" fillId="0" borderId="0" xfId="0" applyNumberFormat="1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168" fontId="0" fillId="0" borderId="0" xfId="0" applyNumberFormat="1"/>
    <xf numFmtId="198" fontId="6" fillId="0" borderId="0" xfId="0" applyNumberFormat="1" applyFont="1"/>
    <xf numFmtId="201" fontId="0" fillId="0" borderId="0" xfId="0" applyNumberFormat="1"/>
    <xf numFmtId="0" fontId="4" fillId="0" borderId="0" xfId="0" applyFont="1"/>
    <xf numFmtId="0" fontId="3" fillId="0" borderId="0" xfId="0" applyFont="1" applyAlignment="1">
      <alignment horizontal="left" indent="3"/>
    </xf>
    <xf numFmtId="0" fontId="18" fillId="66" borderId="0" xfId="0" applyFont="1" applyFill="1"/>
    <xf numFmtId="9" fontId="1" fillId="0" borderId="0" xfId="5" applyFont="1" applyFill="1" applyBorder="1" applyAlignment="1">
      <alignment horizontal="center"/>
    </xf>
    <xf numFmtId="4" fontId="1" fillId="0" borderId="0" xfId="0" applyNumberFormat="1" applyFont="1"/>
    <xf numFmtId="0" fontId="6" fillId="0" borderId="0" xfId="0" applyFont="1" applyAlignment="1">
      <alignment horizontal="left" indent="1"/>
    </xf>
    <xf numFmtId="1" fontId="0" fillId="0" borderId="0" xfId="0" applyNumberFormat="1"/>
    <xf numFmtId="0" fontId="76" fillId="67" borderId="40" xfId="0" applyFont="1" applyFill="1" applyBorder="1" applyAlignment="1">
      <alignment horizontal="left" vertical="center"/>
    </xf>
    <xf numFmtId="0" fontId="76" fillId="67" borderId="40" xfId="0" applyFont="1" applyFill="1" applyBorder="1" applyAlignment="1">
      <alignment horizontal="right" vertical="center"/>
    </xf>
    <xf numFmtId="0" fontId="76" fillId="67" borderId="41" xfId="0" applyFont="1" applyFill="1" applyBorder="1" applyAlignment="1">
      <alignment horizontal="right" vertical="center"/>
    </xf>
    <xf numFmtId="0" fontId="76" fillId="67" borderId="41" xfId="0" applyFont="1" applyFill="1" applyBorder="1" applyAlignment="1">
      <alignment horizontal="left" vertical="center"/>
    </xf>
    <xf numFmtId="0" fontId="77" fillId="0" borderId="40" xfId="0" applyFont="1" applyBorder="1" applyAlignment="1">
      <alignment horizontal="left" vertical="center"/>
    </xf>
    <xf numFmtId="0" fontId="77" fillId="0" borderId="40" xfId="0" applyFont="1" applyBorder="1" applyAlignment="1">
      <alignment horizontal="right" vertical="center"/>
    </xf>
    <xf numFmtId="0" fontId="77" fillId="0" borderId="41" xfId="0" applyFont="1" applyBorder="1" applyAlignment="1">
      <alignment horizontal="right" vertical="center"/>
    </xf>
    <xf numFmtId="202" fontId="77" fillId="0" borderId="41" xfId="0" applyNumberFormat="1" applyFont="1" applyBorder="1" applyAlignment="1">
      <alignment horizontal="left" vertical="center"/>
    </xf>
    <xf numFmtId="0" fontId="77" fillId="0" borderId="41" xfId="0" applyFont="1" applyBorder="1" applyAlignment="1">
      <alignment horizontal="left" vertical="center"/>
    </xf>
    <xf numFmtId="1" fontId="1" fillId="0" borderId="0" xfId="0" applyNumberFormat="1" applyFont="1"/>
    <xf numFmtId="0" fontId="77" fillId="0" borderId="0" xfId="0" applyFont="1" applyAlignment="1">
      <alignment horizontal="left" vertical="center"/>
    </xf>
    <xf numFmtId="0" fontId="77" fillId="0" borderId="0" xfId="0" applyFont="1" applyAlignment="1">
      <alignment horizontal="right" vertical="center"/>
    </xf>
    <xf numFmtId="9" fontId="77" fillId="0" borderId="0" xfId="0" applyNumberFormat="1" applyFont="1" applyAlignment="1">
      <alignment horizontal="right" vertical="center"/>
    </xf>
    <xf numFmtId="0" fontId="77" fillId="0" borderId="43" xfId="0" applyFont="1" applyBorder="1" applyAlignment="1">
      <alignment horizontal="left" vertical="center"/>
    </xf>
    <xf numFmtId="0" fontId="3" fillId="0" borderId="0" xfId="0" applyFont="1" applyAlignment="1">
      <alignment horizontal="left" indent="1"/>
    </xf>
    <xf numFmtId="0" fontId="0" fillId="68" borderId="0" xfId="0" applyFill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69" borderId="0" xfId="0" applyFill="1"/>
    <xf numFmtId="173" fontId="0" fillId="69" borderId="0" xfId="0" applyNumberFormat="1" applyFill="1" applyAlignment="1">
      <alignment horizontal="left"/>
    </xf>
    <xf numFmtId="9" fontId="0" fillId="69" borderId="0" xfId="5" applyFont="1" applyFill="1" applyAlignment="1">
      <alignment horizontal="center"/>
    </xf>
    <xf numFmtId="1" fontId="3" fillId="69" borderId="0" xfId="1" applyNumberFormat="1" applyFont="1" applyFill="1"/>
    <xf numFmtId="173" fontId="0" fillId="69" borderId="0" xfId="0" applyNumberFormat="1" applyFill="1" applyAlignment="1">
      <alignment horizontal="center"/>
    </xf>
    <xf numFmtId="4" fontId="0" fillId="69" borderId="0" xfId="0" applyNumberFormat="1" applyFill="1"/>
    <xf numFmtId="0" fontId="0" fillId="70" borderId="0" xfId="0" applyFill="1"/>
    <xf numFmtId="173" fontId="0" fillId="70" borderId="0" xfId="0" applyNumberFormat="1" applyFill="1" applyAlignment="1">
      <alignment horizontal="center"/>
    </xf>
    <xf numFmtId="9" fontId="0" fillId="70" borderId="0" xfId="5" applyFont="1" applyFill="1" applyAlignment="1">
      <alignment horizontal="center"/>
    </xf>
    <xf numFmtId="4" fontId="0" fillId="70" borderId="0" xfId="0" applyNumberFormat="1" applyFill="1"/>
    <xf numFmtId="0" fontId="0" fillId="71" borderId="0" xfId="0" applyFill="1"/>
    <xf numFmtId="1" fontId="3" fillId="71" borderId="0" xfId="1" applyNumberFormat="1" applyFont="1" applyFill="1"/>
    <xf numFmtId="173" fontId="0" fillId="71" borderId="0" xfId="0" applyNumberFormat="1" applyFill="1" applyAlignment="1">
      <alignment horizontal="center"/>
    </xf>
    <xf numFmtId="9" fontId="0" fillId="71" borderId="0" xfId="5" applyFont="1" applyFill="1" applyAlignment="1">
      <alignment horizontal="center"/>
    </xf>
    <xf numFmtId="4" fontId="0" fillId="71" borderId="0" xfId="0" applyNumberFormat="1" applyFill="1"/>
    <xf numFmtId="1" fontId="3" fillId="66" borderId="0" xfId="1" applyNumberFormat="1" applyFont="1" applyFill="1"/>
    <xf numFmtId="173" fontId="0" fillId="66" borderId="0" xfId="0" applyNumberFormat="1" applyFill="1" applyAlignment="1">
      <alignment horizontal="center"/>
    </xf>
    <xf numFmtId="9" fontId="0" fillId="66" borderId="0" xfId="5" applyFont="1" applyFill="1" applyAlignment="1">
      <alignment horizontal="center"/>
    </xf>
    <xf numFmtId="4" fontId="0" fillId="66" borderId="0" xfId="0" applyNumberFormat="1" applyFill="1"/>
    <xf numFmtId="3" fontId="3" fillId="72" borderId="0" xfId="1" applyNumberFormat="1" applyFont="1" applyFill="1"/>
    <xf numFmtId="0" fontId="0" fillId="72" borderId="0" xfId="0" applyFill="1"/>
    <xf numFmtId="173" fontId="0" fillId="72" borderId="0" xfId="0" applyNumberFormat="1" applyFill="1" applyAlignment="1">
      <alignment horizontal="center"/>
    </xf>
    <xf numFmtId="9" fontId="0" fillId="72" borderId="0" xfId="5" applyFont="1" applyFill="1" applyAlignment="1">
      <alignment horizontal="center"/>
    </xf>
    <xf numFmtId="0" fontId="0" fillId="73" borderId="0" xfId="0" applyFill="1"/>
    <xf numFmtId="1" fontId="3" fillId="73" borderId="0" xfId="1" applyNumberFormat="1" applyFont="1" applyFill="1"/>
    <xf numFmtId="173" fontId="0" fillId="73" borderId="0" xfId="0" applyNumberFormat="1" applyFill="1" applyAlignment="1">
      <alignment horizontal="center"/>
    </xf>
    <xf numFmtId="9" fontId="0" fillId="73" borderId="0" xfId="5" applyFont="1" applyFill="1" applyAlignment="1">
      <alignment horizontal="center"/>
    </xf>
    <xf numFmtId="4" fontId="0" fillId="73" borderId="0" xfId="0" applyNumberFormat="1" applyFill="1"/>
    <xf numFmtId="173" fontId="0" fillId="68" borderId="0" xfId="0" applyNumberFormat="1" applyFill="1" applyAlignment="1">
      <alignment horizontal="center"/>
    </xf>
    <xf numFmtId="9" fontId="0" fillId="68" borderId="0" xfId="5" applyFont="1" applyFill="1" applyAlignment="1">
      <alignment horizontal="center"/>
    </xf>
    <xf numFmtId="0" fontId="3" fillId="8" borderId="0" xfId="0" applyFont="1" applyFill="1"/>
    <xf numFmtId="0" fontId="0" fillId="8" borderId="0" xfId="0" applyFill="1"/>
    <xf numFmtId="173" fontId="0" fillId="8" borderId="0" xfId="0" applyNumberFormat="1" applyFill="1" applyAlignment="1">
      <alignment horizontal="center"/>
    </xf>
    <xf numFmtId="9" fontId="0" fillId="8" borderId="0" xfId="5" applyFont="1" applyFill="1" applyAlignment="1">
      <alignment horizontal="center"/>
    </xf>
    <xf numFmtId="173" fontId="0" fillId="68" borderId="0" xfId="0" applyNumberFormat="1" applyFill="1"/>
    <xf numFmtId="173" fontId="0" fillId="8" borderId="0" xfId="0" applyNumberFormat="1" applyFill="1"/>
    <xf numFmtId="0" fontId="1" fillId="0" borderId="0" xfId="0" applyFont="1" applyAlignment="1">
      <alignment wrapText="1"/>
    </xf>
    <xf numFmtId="0" fontId="1" fillId="0" borderId="44" xfId="0" applyFont="1" applyBorder="1" applyAlignment="1">
      <alignment horizontal="center"/>
    </xf>
    <xf numFmtId="0" fontId="1" fillId="0" borderId="44" xfId="0" applyFont="1" applyBorder="1" applyAlignment="1">
      <alignment horizontal="center" wrapText="1"/>
    </xf>
    <xf numFmtId="0" fontId="0" fillId="0" borderId="7" xfId="0" applyBorder="1"/>
    <xf numFmtId="9" fontId="0" fillId="0" borderId="0" xfId="5" applyFont="1" applyBorder="1" applyAlignment="1">
      <alignment horizontal="center"/>
    </xf>
    <xf numFmtId="9" fontId="11" fillId="0" borderId="45" xfId="0" applyNumberFormat="1" applyFont="1" applyBorder="1"/>
    <xf numFmtId="0" fontId="0" fillId="0" borderId="9" xfId="0" applyBorder="1"/>
    <xf numFmtId="9" fontId="0" fillId="0" borderId="46" xfId="5" applyFont="1" applyBorder="1" applyAlignment="1">
      <alignment horizontal="center"/>
    </xf>
    <xf numFmtId="9" fontId="11" fillId="0" borderId="10" xfId="0" applyNumberFormat="1" applyFont="1" applyBorder="1"/>
    <xf numFmtId="0" fontId="1" fillId="0" borderId="6" xfId="0" applyFont="1" applyBorder="1"/>
    <xf numFmtId="9" fontId="0" fillId="0" borderId="0" xfId="5" applyFont="1" applyFill="1"/>
    <xf numFmtId="1" fontId="3" fillId="70" borderId="0" xfId="1" applyNumberFormat="1" applyFont="1" applyFill="1"/>
    <xf numFmtId="203" fontId="0" fillId="0" borderId="0" xfId="0" applyNumberFormat="1"/>
    <xf numFmtId="204" fontId="0" fillId="0" borderId="0" xfId="0" applyNumberFormat="1"/>
    <xf numFmtId="0" fontId="0" fillId="66" borderId="0" xfId="0" applyFill="1" applyAlignment="1">
      <alignment horizontal="left"/>
    </xf>
    <xf numFmtId="9" fontId="0" fillId="66" borderId="0" xfId="5" applyFont="1" applyFill="1" applyAlignment="1">
      <alignment horizontal="left"/>
    </xf>
    <xf numFmtId="177" fontId="1" fillId="0" borderId="0" xfId="4" applyNumberFormat="1" applyFont="1" applyFill="1"/>
    <xf numFmtId="197" fontId="0" fillId="0" borderId="0" xfId="150" applyNumberFormat="1" applyFont="1" applyFill="1"/>
    <xf numFmtId="0" fontId="0" fillId="74" borderId="0" xfId="0" applyFill="1"/>
    <xf numFmtId="173" fontId="0" fillId="74" borderId="0" xfId="0" applyNumberFormat="1" applyFill="1" applyAlignment="1">
      <alignment horizontal="center"/>
    </xf>
    <xf numFmtId="9" fontId="0" fillId="74" borderId="0" xfId="5" applyFont="1" applyFill="1" applyAlignment="1">
      <alignment horizontal="center"/>
    </xf>
    <xf numFmtId="0" fontId="0" fillId="75" borderId="0" xfId="0" applyFill="1"/>
    <xf numFmtId="1" fontId="3" fillId="75" borderId="0" xfId="1" applyNumberFormat="1" applyFont="1" applyFill="1"/>
    <xf numFmtId="173" fontId="0" fillId="75" borderId="0" xfId="0" applyNumberFormat="1" applyFill="1" applyAlignment="1">
      <alignment horizontal="center"/>
    </xf>
    <xf numFmtId="9" fontId="0" fillId="75" borderId="0" xfId="5" applyFont="1" applyFill="1" applyAlignment="1">
      <alignment horizontal="center"/>
    </xf>
    <xf numFmtId="0" fontId="0" fillId="0" borderId="47" xfId="0" applyBorder="1"/>
    <xf numFmtId="3" fontId="3" fillId="0" borderId="47" xfId="0" applyNumberFormat="1" applyFont="1" applyBorder="1" applyAlignment="1">
      <alignment horizontal="right"/>
    </xf>
    <xf numFmtId="164" fontId="9" fillId="0" borderId="47" xfId="4" applyFont="1" applyFill="1" applyBorder="1"/>
    <xf numFmtId="177" fontId="9" fillId="2" borderId="47" xfId="4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left"/>
    </xf>
    <xf numFmtId="1" fontId="3" fillId="2" borderId="0" xfId="1" applyNumberFormat="1" applyFont="1" applyFill="1"/>
    <xf numFmtId="4" fontId="0" fillId="2" borderId="0" xfId="0" applyNumberFormat="1" applyFill="1"/>
    <xf numFmtId="9" fontId="0" fillId="2" borderId="0" xfId="5" applyFont="1" applyFill="1" applyAlignment="1">
      <alignment horizontal="left"/>
    </xf>
    <xf numFmtId="173" fontId="24" fillId="0" borderId="0" xfId="0" applyNumberFormat="1" applyFont="1"/>
    <xf numFmtId="171" fontId="24" fillId="0" borderId="0" xfId="5" applyNumberFormat="1" applyFont="1"/>
    <xf numFmtId="171" fontId="18" fillId="0" borderId="0" xfId="0" applyNumberFormat="1" applyFont="1"/>
    <xf numFmtId="205" fontId="0" fillId="0" borderId="0" xfId="1384" applyNumberFormat="1" applyFont="1"/>
    <xf numFmtId="205" fontId="1" fillId="0" borderId="0" xfId="1384" applyNumberFormat="1" applyFont="1"/>
    <xf numFmtId="177" fontId="9" fillId="2" borderId="13" xfId="4" applyNumberFormat="1" applyFont="1" applyFill="1" applyBorder="1" applyAlignment="1">
      <alignment horizontal="center" vertical="center"/>
    </xf>
    <xf numFmtId="177" fontId="9" fillId="2" borderId="1" xfId="4" applyNumberFormat="1" applyFont="1" applyFill="1" applyBorder="1" applyAlignment="1">
      <alignment horizontal="center" vertical="center"/>
    </xf>
    <xf numFmtId="177" fontId="9" fillId="0" borderId="47" xfId="4" applyNumberFormat="1" applyFont="1" applyFill="1" applyBorder="1" applyAlignment="1">
      <alignment horizontal="right"/>
    </xf>
    <xf numFmtId="2" fontId="0" fillId="8" borderId="47" xfId="0" applyNumberFormat="1" applyFill="1" applyBorder="1" applyAlignment="1">
      <alignment horizontal="right"/>
    </xf>
    <xf numFmtId="177" fontId="0" fillId="3" borderId="1" xfId="4" applyNumberFormat="1" applyFont="1" applyFill="1" applyBorder="1"/>
    <xf numFmtId="177" fontId="3" fillId="0" borderId="1" xfId="4" applyNumberFormat="1" applyFont="1" applyFill="1" applyBorder="1" applyAlignment="1">
      <alignment wrapText="1"/>
    </xf>
    <xf numFmtId="177" fontId="0" fillId="0" borderId="1" xfId="4" applyNumberFormat="1" applyFont="1" applyFill="1" applyBorder="1"/>
    <xf numFmtId="177" fontId="3" fillId="0" borderId="1" xfId="4" applyNumberFormat="1" applyFont="1" applyFill="1" applyBorder="1"/>
    <xf numFmtId="177" fontId="3" fillId="0" borderId="47" xfId="4" applyNumberFormat="1" applyFont="1" applyFill="1" applyBorder="1"/>
    <xf numFmtId="177" fontId="0" fillId="0" borderId="39" xfId="4" applyNumberFormat="1" applyFont="1" applyFill="1" applyBorder="1"/>
    <xf numFmtId="177" fontId="0" fillId="0" borderId="47" xfId="4" applyNumberFormat="1" applyFont="1" applyFill="1" applyBorder="1"/>
    <xf numFmtId="177" fontId="0" fillId="0" borderId="13" xfId="4" applyNumberFormat="1" applyFont="1" applyFill="1" applyBorder="1"/>
    <xf numFmtId="2" fontId="3" fillId="0" borderId="0" xfId="0" applyNumberFormat="1" applyFont="1"/>
    <xf numFmtId="206" fontId="0" fillId="0" borderId="0" xfId="0" applyNumberFormat="1"/>
    <xf numFmtId="174" fontId="0" fillId="0" borderId="0" xfId="6" applyNumberFormat="1" applyFont="1" applyFill="1" applyBorder="1"/>
    <xf numFmtId="3" fontId="3" fillId="0" borderId="0" xfId="0" applyNumberFormat="1" applyFont="1" applyAlignment="1">
      <alignment horizontal="right"/>
    </xf>
    <xf numFmtId="177" fontId="9" fillId="0" borderId="0" xfId="4" applyNumberFormat="1" applyFont="1" applyFill="1" applyBorder="1" applyAlignment="1">
      <alignment horizontal="right"/>
    </xf>
    <xf numFmtId="0" fontId="0" fillId="4" borderId="47" xfId="91" applyFont="1" applyFill="1" applyBorder="1"/>
    <xf numFmtId="0" fontId="78" fillId="0" borderId="0" xfId="0" applyFont="1"/>
    <xf numFmtId="0" fontId="79" fillId="0" borderId="0" xfId="0" applyFont="1"/>
    <xf numFmtId="166" fontId="79" fillId="0" borderId="0" xfId="0" applyNumberFormat="1" applyFont="1"/>
    <xf numFmtId="173" fontId="0" fillId="65" borderId="0" xfId="0" applyNumberFormat="1" applyFill="1" applyAlignment="1">
      <alignment horizontal="center"/>
    </xf>
    <xf numFmtId="9" fontId="0" fillId="65" borderId="0" xfId="5" applyFont="1" applyFill="1" applyAlignment="1">
      <alignment horizontal="center"/>
    </xf>
    <xf numFmtId="4" fontId="0" fillId="65" borderId="0" xfId="0" applyNumberFormat="1" applyFill="1"/>
    <xf numFmtId="166" fontId="0" fillId="0" borderId="0" xfId="0" applyNumberFormat="1" applyAlignment="1">
      <alignment horizontal="right"/>
    </xf>
    <xf numFmtId="172" fontId="1" fillId="2" borderId="0" xfId="0" applyNumberFormat="1" applyFont="1" applyFill="1" applyAlignment="1">
      <alignment horizontal="right"/>
    </xf>
    <xf numFmtId="0" fontId="1" fillId="2" borderId="0" xfId="0" applyFont="1" applyFill="1" applyAlignment="1">
      <alignment wrapText="1"/>
    </xf>
    <xf numFmtId="172" fontId="1" fillId="2" borderId="0" xfId="0" applyNumberFormat="1" applyFont="1" applyFill="1" applyAlignment="1">
      <alignment wrapText="1"/>
    </xf>
    <xf numFmtId="0" fontId="5" fillId="2" borderId="0" xfId="0" applyFont="1" applyFill="1" applyAlignment="1">
      <alignment wrapText="1"/>
    </xf>
    <xf numFmtId="0" fontId="0" fillId="0" borderId="11" xfId="0" applyBorder="1"/>
    <xf numFmtId="3" fontId="3" fillId="0" borderId="1" xfId="0" applyNumberFormat="1" applyFont="1" applyBorder="1" applyAlignment="1">
      <alignment horizontal="center"/>
    </xf>
    <xf numFmtId="0" fontId="1" fillId="76" borderId="0" xfId="0" applyFont="1" applyFill="1" applyAlignment="1">
      <alignment wrapText="1"/>
    </xf>
    <xf numFmtId="172" fontId="1" fillId="76" borderId="0" xfId="0" applyNumberFormat="1" applyFont="1" applyFill="1" applyAlignment="1">
      <alignment wrapText="1"/>
    </xf>
    <xf numFmtId="173" fontId="1" fillId="76" borderId="0" xfId="0" applyNumberFormat="1" applyFont="1" applyFill="1" applyAlignment="1">
      <alignment wrapText="1"/>
    </xf>
    <xf numFmtId="0" fontId="0" fillId="0" borderId="0" xfId="0" applyAlignment="1">
      <alignment horizontal="left" indent="5"/>
    </xf>
    <xf numFmtId="207" fontId="1" fillId="2" borderId="0" xfId="0" applyNumberFormat="1" applyFont="1" applyFill="1"/>
    <xf numFmtId="4" fontId="76" fillId="67" borderId="42" xfId="0" applyNumberFormat="1" applyFont="1" applyFill="1" applyBorder="1" applyAlignment="1">
      <alignment horizontal="center" vertical="center"/>
    </xf>
    <xf numFmtId="0" fontId="77" fillId="5" borderId="40" xfId="0" applyFont="1" applyFill="1" applyBorder="1" applyAlignment="1">
      <alignment horizontal="left" vertical="center"/>
    </xf>
    <xf numFmtId="177" fontId="77" fillId="0" borderId="40" xfId="4" applyNumberFormat="1" applyFont="1" applyFill="1" applyBorder="1" applyAlignment="1">
      <alignment horizontal="right" vertical="center"/>
    </xf>
    <xf numFmtId="4" fontId="0" fillId="0" borderId="0" xfId="0" applyNumberFormat="1" applyAlignment="1">
      <alignment horizontal="center"/>
    </xf>
    <xf numFmtId="0" fontId="77" fillId="5" borderId="43" xfId="0" applyFont="1" applyFill="1" applyBorder="1" applyAlignment="1">
      <alignment horizontal="left" vertical="center"/>
    </xf>
    <xf numFmtId="0" fontId="77" fillId="0" borderId="43" xfId="0" applyFont="1" applyBorder="1" applyAlignment="1">
      <alignment horizontal="right" vertical="center"/>
    </xf>
    <xf numFmtId="177" fontId="77" fillId="0" borderId="43" xfId="4" applyNumberFormat="1" applyFont="1" applyFill="1" applyBorder="1" applyAlignment="1">
      <alignment horizontal="right" vertical="center"/>
    </xf>
    <xf numFmtId="0" fontId="77" fillId="0" borderId="48" xfId="0" applyFont="1" applyBorder="1" applyAlignment="1">
      <alignment horizontal="right" vertical="center"/>
    </xf>
    <xf numFmtId="202" fontId="77" fillId="0" borderId="48" xfId="0" applyNumberFormat="1" applyFont="1" applyBorder="1" applyAlignment="1">
      <alignment horizontal="left" vertical="center"/>
    </xf>
    <xf numFmtId="0" fontId="77" fillId="0" borderId="48" xfId="0" applyFont="1" applyBorder="1" applyAlignment="1">
      <alignment horizontal="left" vertical="center"/>
    </xf>
    <xf numFmtId="0" fontId="75" fillId="0" borderId="47" xfId="1837" applyFill="1" applyBorder="1" applyAlignment="1">
      <alignment horizontal="left" vertical="center"/>
    </xf>
    <xf numFmtId="0" fontId="77" fillId="0" borderId="47" xfId="0" applyFont="1" applyBorder="1" applyAlignment="1">
      <alignment horizontal="left" vertical="center"/>
    </xf>
    <xf numFmtId="0" fontId="77" fillId="0" borderId="47" xfId="0" applyFont="1" applyBorder="1" applyAlignment="1">
      <alignment horizontal="right" vertical="center"/>
    </xf>
    <xf numFmtId="177" fontId="77" fillId="0" borderId="47" xfId="4" applyNumberFormat="1" applyFont="1" applyFill="1" applyBorder="1" applyAlignment="1">
      <alignment horizontal="right" vertical="center"/>
    </xf>
    <xf numFmtId="202" fontId="77" fillId="0" borderId="47" xfId="0" applyNumberFormat="1" applyFont="1" applyBorder="1" applyAlignment="1">
      <alignment horizontal="left" vertical="center"/>
    </xf>
    <xf numFmtId="3" fontId="3" fillId="0" borderId="47" xfId="9" applyNumberFormat="1" applyFont="1" applyBorder="1" applyAlignment="1">
      <alignment horizontal="right"/>
    </xf>
    <xf numFmtId="3" fontId="3" fillId="0" borderId="0" xfId="9" applyNumberFormat="1" applyFont="1" applyAlignment="1">
      <alignment horizontal="right"/>
    </xf>
    <xf numFmtId="3" fontId="3" fillId="0" borderId="0" xfId="0" applyNumberFormat="1" applyFont="1" applyAlignment="1">
      <alignment horizontal="center"/>
    </xf>
    <xf numFmtId="0" fontId="75" fillId="4" borderId="47" xfId="1837" applyFill="1" applyBorder="1"/>
    <xf numFmtId="2" fontId="3" fillId="8" borderId="39" xfId="0" applyNumberFormat="1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0" fillId="4" borderId="39" xfId="91" applyFont="1" applyFill="1" applyBorder="1"/>
    <xf numFmtId="3" fontId="3" fillId="0" borderId="39" xfId="0" applyNumberFormat="1" applyFont="1" applyBorder="1" applyAlignment="1">
      <alignment horizontal="right"/>
    </xf>
    <xf numFmtId="177" fontId="9" fillId="0" borderId="39" xfId="4" applyNumberFormat="1" applyFont="1" applyFill="1" applyBorder="1"/>
    <xf numFmtId="177" fontId="0" fillId="0" borderId="0" xfId="4" applyNumberFormat="1" applyFont="1" applyFill="1" applyBorder="1"/>
    <xf numFmtId="178" fontId="0" fillId="0" borderId="0" xfId="0" applyNumberFormat="1" applyAlignment="1">
      <alignment horizontal="right"/>
    </xf>
    <xf numFmtId="2" fontId="3" fillId="0" borderId="0" xfId="0" applyNumberFormat="1" applyFont="1" applyAlignment="1">
      <alignment wrapText="1"/>
    </xf>
    <xf numFmtId="208" fontId="0" fillId="72" borderId="0" xfId="0" applyNumberFormat="1" applyFill="1"/>
    <xf numFmtId="0" fontId="80" fillId="0" borderId="0" xfId="0" applyFont="1"/>
    <xf numFmtId="9" fontId="0" fillId="0" borderId="0" xfId="5" applyFont="1"/>
    <xf numFmtId="3" fontId="3" fillId="71" borderId="0" xfId="1" applyNumberFormat="1" applyFont="1" applyFill="1"/>
    <xf numFmtId="173" fontId="0" fillId="72" borderId="0" xfId="0" applyNumberFormat="1" applyFill="1" applyAlignment="1">
      <alignment horizontal="left"/>
    </xf>
    <xf numFmtId="164" fontId="0" fillId="0" borderId="0" xfId="4" applyFont="1" applyFill="1"/>
    <xf numFmtId="165" fontId="0" fillId="0" borderId="0" xfId="0" applyNumberFormat="1"/>
    <xf numFmtId="209" fontId="0" fillId="0" borderId="45" xfId="0" applyNumberFormat="1" applyBorder="1"/>
    <xf numFmtId="0" fontId="0" fillId="0" borderId="46" xfId="0" applyBorder="1" applyAlignment="1">
      <alignment horizontal="center"/>
    </xf>
    <xf numFmtId="165" fontId="0" fillId="0" borderId="46" xfId="0" applyNumberFormat="1" applyBorder="1"/>
    <xf numFmtId="209" fontId="0" fillId="0" borderId="10" xfId="0" applyNumberFormat="1" applyBorder="1"/>
    <xf numFmtId="0" fontId="1" fillId="0" borderId="49" xfId="0" applyFont="1" applyBorder="1"/>
    <xf numFmtId="0" fontId="1" fillId="0" borderId="24" xfId="0" applyFont="1" applyBorder="1" applyAlignment="1">
      <alignment horizontal="center" wrapText="1"/>
    </xf>
    <xf numFmtId="0" fontId="1" fillId="0" borderId="24" xfId="0" applyFont="1" applyBorder="1" applyAlignment="1">
      <alignment wrapText="1"/>
    </xf>
    <xf numFmtId="0" fontId="1" fillId="0" borderId="50" xfId="0" applyFont="1" applyBorder="1" applyAlignment="1">
      <alignment wrapText="1"/>
    </xf>
    <xf numFmtId="0" fontId="0" fillId="0" borderId="6" xfId="0" applyBorder="1"/>
    <xf numFmtId="0" fontId="0" fillId="0" borderId="44" xfId="0" applyBorder="1" applyAlignment="1">
      <alignment horizontal="center"/>
    </xf>
    <xf numFmtId="165" fontId="0" fillId="0" borderId="44" xfId="0" applyNumberFormat="1" applyBorder="1"/>
    <xf numFmtId="209" fontId="0" fillId="0" borderId="7" xfId="0" applyNumberFormat="1" applyBorder="1"/>
    <xf numFmtId="1" fontId="0" fillId="0" borderId="0" xfId="4" applyNumberFormat="1" applyFont="1" applyFill="1"/>
    <xf numFmtId="208" fontId="3" fillId="0" borderId="0" xfId="1842" applyNumberFormat="1" applyFont="1" applyFill="1"/>
    <xf numFmtId="172" fontId="18" fillId="66" borderId="0" xfId="0" applyNumberFormat="1" applyFont="1" applyFill="1" applyAlignment="1">
      <alignment horizontal="right"/>
    </xf>
    <xf numFmtId="0" fontId="79" fillId="77" borderId="0" xfId="0" applyFont="1" applyFill="1"/>
    <xf numFmtId="0" fontId="79" fillId="78" borderId="0" xfId="0" applyFont="1" applyFill="1"/>
    <xf numFmtId="0" fontId="83" fillId="78" borderId="0" xfId="0" applyFont="1" applyFill="1"/>
    <xf numFmtId="0" fontId="84" fillId="77" borderId="0" xfId="0" applyFont="1" applyFill="1"/>
    <xf numFmtId="0" fontId="85" fillId="77" borderId="0" xfId="0" applyFont="1" applyFill="1"/>
    <xf numFmtId="0" fontId="86" fillId="79" borderId="0" xfId="0" applyFont="1" applyFill="1"/>
    <xf numFmtId="0" fontId="4" fillId="6" borderId="0" xfId="0" applyFont="1" applyFill="1"/>
    <xf numFmtId="0" fontId="21" fillId="0" borderId="0" xfId="0" applyFont="1"/>
    <xf numFmtId="178" fontId="0" fillId="71" borderId="0" xfId="0" applyNumberFormat="1" applyFill="1" applyAlignment="1">
      <alignment horizontal="center"/>
    </xf>
    <xf numFmtId="173" fontId="1" fillId="0" borderId="0" xfId="0" applyNumberFormat="1" applyFont="1" applyAlignment="1">
      <alignment horizontal="left"/>
    </xf>
    <xf numFmtId="173" fontId="0" fillId="65" borderId="0" xfId="0" applyNumberFormat="1" applyFill="1" applyAlignment="1">
      <alignment horizontal="left"/>
    </xf>
    <xf numFmtId="173" fontId="0" fillId="66" borderId="0" xfId="0" applyNumberFormat="1" applyFill="1" applyAlignment="1">
      <alignment horizontal="left"/>
    </xf>
    <xf numFmtId="173" fontId="0" fillId="74" borderId="0" xfId="0" applyNumberFormat="1" applyFill="1" applyAlignment="1">
      <alignment horizontal="left"/>
    </xf>
    <xf numFmtId="173" fontId="0" fillId="73" borderId="0" xfId="0" applyNumberFormat="1" applyFill="1" applyAlignment="1">
      <alignment horizontal="left"/>
    </xf>
    <xf numFmtId="173" fontId="0" fillId="71" borderId="0" xfId="0" applyNumberFormat="1" applyFill="1" applyAlignment="1">
      <alignment horizontal="left"/>
    </xf>
    <xf numFmtId="173" fontId="0" fillId="75" borderId="0" xfId="0" applyNumberFormat="1" applyFill="1" applyAlignment="1">
      <alignment horizontal="left"/>
    </xf>
    <xf numFmtId="173" fontId="0" fillId="70" borderId="0" xfId="0" applyNumberFormat="1" applyFill="1" applyAlignment="1">
      <alignment horizontal="left"/>
    </xf>
    <xf numFmtId="173" fontId="0" fillId="68" borderId="0" xfId="0" applyNumberFormat="1" applyFill="1" applyAlignment="1">
      <alignment horizontal="left"/>
    </xf>
    <xf numFmtId="173" fontId="0" fillId="8" borderId="0" xfId="0" applyNumberFormat="1" applyFill="1" applyAlignment="1">
      <alignment horizontal="left"/>
    </xf>
    <xf numFmtId="173" fontId="0" fillId="0" borderId="0" xfId="0" applyNumberFormat="1" applyAlignment="1">
      <alignment horizontal="left"/>
    </xf>
    <xf numFmtId="177" fontId="0" fillId="0" borderId="0" xfId="4" applyNumberFormat="1" applyFont="1" applyFill="1" applyAlignment="1">
      <alignment horizontal="left"/>
    </xf>
    <xf numFmtId="211" fontId="0" fillId="0" borderId="0" xfId="4" applyNumberFormat="1" applyFont="1" applyFill="1"/>
    <xf numFmtId="0" fontId="18" fillId="66" borderId="0" xfId="0" applyFont="1" applyFill="1" applyAlignment="1">
      <alignment horizontal="right"/>
    </xf>
    <xf numFmtId="0" fontId="1" fillId="0" borderId="24" xfId="0" applyFont="1" applyBorder="1"/>
    <xf numFmtId="3" fontId="0" fillId="2" borderId="0" xfId="0" applyNumberFormat="1" applyFill="1" applyAlignment="1">
      <alignment horizontal="left"/>
    </xf>
    <xf numFmtId="0" fontId="6" fillId="2" borderId="0" xfId="0" applyFont="1" applyFill="1"/>
    <xf numFmtId="173" fontId="6" fillId="2" borderId="0" xfId="0" applyNumberFormat="1" applyFont="1" applyFill="1" applyAlignment="1">
      <alignment horizontal="left"/>
    </xf>
    <xf numFmtId="3" fontId="6" fillId="2" borderId="0" xfId="0" applyNumberFormat="1" applyFont="1" applyFill="1" applyAlignment="1">
      <alignment horizontal="left"/>
    </xf>
    <xf numFmtId="9" fontId="6" fillId="2" borderId="0" xfId="5" applyFont="1" applyFill="1" applyAlignment="1">
      <alignment horizontal="center"/>
    </xf>
    <xf numFmtId="212" fontId="6" fillId="2" borderId="0" xfId="0" applyNumberFormat="1" applyFont="1" applyFill="1" applyAlignment="1">
      <alignment horizontal="center"/>
    </xf>
    <xf numFmtId="0" fontId="88" fillId="0" borderId="0" xfId="1497" applyFont="1"/>
    <xf numFmtId="213" fontId="73" fillId="0" borderId="0" xfId="1497" applyNumberFormat="1"/>
    <xf numFmtId="0" fontId="73" fillId="0" borderId="0" xfId="1497"/>
    <xf numFmtId="214" fontId="89" fillId="0" borderId="0" xfId="1497" applyNumberFormat="1" applyFont="1"/>
    <xf numFmtId="205" fontId="0" fillId="0" borderId="0" xfId="1843" applyNumberFormat="1" applyFont="1"/>
    <xf numFmtId="210" fontId="73" fillId="0" borderId="0" xfId="1497" applyNumberFormat="1"/>
    <xf numFmtId="0" fontId="88" fillId="0" borderId="51" xfId="1497" applyFont="1" applyBorder="1"/>
    <xf numFmtId="210" fontId="73" fillId="0" borderId="51" xfId="1497" applyNumberFormat="1" applyBorder="1"/>
    <xf numFmtId="2" fontId="88" fillId="0" borderId="0" xfId="1497" applyNumberFormat="1" applyFont="1"/>
    <xf numFmtId="2" fontId="5" fillId="0" borderId="0" xfId="1497" applyNumberFormat="1" applyFont="1"/>
    <xf numFmtId="2" fontId="73" fillId="0" borderId="0" xfId="1497" applyNumberFormat="1"/>
    <xf numFmtId="2" fontId="3" fillId="0" borderId="0" xfId="1497" applyNumberFormat="1" applyFont="1"/>
    <xf numFmtId="0" fontId="90" fillId="67" borderId="40" xfId="1497" applyFont="1" applyFill="1" applyBorder="1" applyAlignment="1">
      <alignment horizontal="left" vertical="center"/>
    </xf>
    <xf numFmtId="0" fontId="90" fillId="67" borderId="40" xfId="1497" applyFont="1" applyFill="1" applyBorder="1" applyAlignment="1">
      <alignment horizontal="right" vertical="center"/>
    </xf>
    <xf numFmtId="0" fontId="90" fillId="67" borderId="41" xfId="1497" applyFont="1" applyFill="1" applyBorder="1" applyAlignment="1">
      <alignment horizontal="right" vertical="center"/>
    </xf>
    <xf numFmtId="0" fontId="90" fillId="67" borderId="41" xfId="1497" applyFont="1" applyFill="1" applyBorder="1" applyAlignment="1">
      <alignment horizontal="left" vertical="center"/>
    </xf>
    <xf numFmtId="0" fontId="90" fillId="67" borderId="52" xfId="1497" applyFont="1" applyFill="1" applyBorder="1" applyAlignment="1">
      <alignment horizontal="left" vertical="center"/>
    </xf>
    <xf numFmtId="0" fontId="91" fillId="0" borderId="40" xfId="1497" applyFont="1" applyBorder="1" applyAlignment="1">
      <alignment horizontal="left" vertical="center"/>
    </xf>
    <xf numFmtId="0" fontId="91" fillId="0" borderId="40" xfId="1497" applyFont="1" applyBorder="1" applyAlignment="1">
      <alignment horizontal="right" vertical="center"/>
    </xf>
    <xf numFmtId="0" fontId="91" fillId="0" borderId="41" xfId="1497" applyFont="1" applyBorder="1" applyAlignment="1">
      <alignment horizontal="right" vertical="center"/>
    </xf>
    <xf numFmtId="202" fontId="91" fillId="0" borderId="41" xfId="1497" applyNumberFormat="1" applyFont="1" applyBorder="1" applyAlignment="1">
      <alignment horizontal="left" vertical="center"/>
    </xf>
    <xf numFmtId="0" fontId="91" fillId="0" borderId="41" xfId="1497" applyFont="1" applyBorder="1" applyAlignment="1">
      <alignment horizontal="left" vertical="center"/>
    </xf>
    <xf numFmtId="0" fontId="91" fillId="5" borderId="40" xfId="1497" applyFont="1" applyFill="1" applyBorder="1" applyAlignment="1">
      <alignment horizontal="left" vertical="center"/>
    </xf>
    <xf numFmtId="0" fontId="91" fillId="5" borderId="40" xfId="1497" applyFont="1" applyFill="1" applyBorder="1" applyAlignment="1">
      <alignment horizontal="right" vertical="center"/>
    </xf>
    <xf numFmtId="0" fontId="91" fillId="5" borderId="41" xfId="1497" applyFont="1" applyFill="1" applyBorder="1" applyAlignment="1">
      <alignment horizontal="right" vertical="center"/>
    </xf>
    <xf numFmtId="202" fontId="91" fillId="5" borderId="41" xfId="1497" applyNumberFormat="1" applyFont="1" applyFill="1" applyBorder="1" applyAlignment="1">
      <alignment horizontal="left" vertical="center"/>
    </xf>
    <xf numFmtId="0" fontId="91" fillId="5" borderId="41" xfId="1497" applyFont="1" applyFill="1" applyBorder="1" applyAlignment="1">
      <alignment horizontal="left" vertical="center"/>
    </xf>
    <xf numFmtId="0" fontId="91" fillId="3" borderId="40" xfId="1497" applyFont="1" applyFill="1" applyBorder="1" applyAlignment="1">
      <alignment horizontal="left" vertical="center"/>
    </xf>
    <xf numFmtId="0" fontId="91" fillId="3" borderId="40" xfId="1497" applyFont="1" applyFill="1" applyBorder="1" applyAlignment="1">
      <alignment horizontal="right" vertical="center"/>
    </xf>
    <xf numFmtId="0" fontId="0" fillId="81" borderId="0" xfId="0" applyFill="1"/>
    <xf numFmtId="173" fontId="0" fillId="81" borderId="0" xfId="0" applyNumberFormat="1" applyFill="1" applyAlignment="1">
      <alignment horizontal="left"/>
    </xf>
    <xf numFmtId="9" fontId="0" fillId="81" borderId="0" xfId="5" applyFont="1" applyFill="1" applyAlignment="1">
      <alignment horizontal="center"/>
    </xf>
    <xf numFmtId="173" fontId="0" fillId="81" borderId="0" xfId="0" applyNumberFormat="1" applyFill="1"/>
    <xf numFmtId="173" fontId="0" fillId="81" borderId="0" xfId="0" applyNumberFormat="1" applyFill="1" applyAlignment="1">
      <alignment horizontal="center"/>
    </xf>
    <xf numFmtId="207" fontId="1" fillId="0" borderId="3" xfId="0" applyNumberFormat="1" applyFont="1" applyBorder="1" applyAlignment="1">
      <alignment horizontal="center"/>
    </xf>
    <xf numFmtId="207" fontId="0" fillId="2" borderId="0" xfId="0" applyNumberFormat="1" applyFill="1" applyAlignment="1">
      <alignment horizontal="center"/>
    </xf>
    <xf numFmtId="207" fontId="6" fillId="2" borderId="0" xfId="0" applyNumberFormat="1" applyFont="1" applyFill="1" applyAlignment="1">
      <alignment horizontal="center"/>
    </xf>
    <xf numFmtId="207" fontId="0" fillId="65" borderId="0" xfId="0" applyNumberFormat="1" applyFill="1" applyAlignment="1">
      <alignment horizontal="center"/>
    </xf>
    <xf numFmtId="207" fontId="0" fillId="72" borderId="0" xfId="0" applyNumberFormat="1" applyFill="1" applyAlignment="1">
      <alignment horizontal="center"/>
    </xf>
    <xf numFmtId="207" fontId="0" fillId="69" borderId="0" xfId="0" applyNumberFormat="1" applyFill="1" applyAlignment="1">
      <alignment horizontal="center"/>
    </xf>
    <xf numFmtId="207" fontId="0" fillId="66" borderId="0" xfId="0" applyNumberFormat="1" applyFill="1" applyAlignment="1">
      <alignment horizontal="center"/>
    </xf>
    <xf numFmtId="207" fontId="0" fillId="74" borderId="0" xfId="0" applyNumberFormat="1" applyFill="1" applyAlignment="1">
      <alignment horizontal="center"/>
    </xf>
    <xf numFmtId="207" fontId="0" fillId="73" borderId="0" xfId="0" applyNumberFormat="1" applyFill="1" applyAlignment="1">
      <alignment horizontal="center"/>
    </xf>
    <xf numFmtId="207" fontId="0" fillId="71" borderId="0" xfId="0" applyNumberFormat="1" applyFill="1" applyAlignment="1">
      <alignment horizontal="center"/>
    </xf>
    <xf numFmtId="207" fontId="0" fillId="75" borderId="0" xfId="0" applyNumberFormat="1" applyFill="1" applyAlignment="1">
      <alignment horizontal="center"/>
    </xf>
    <xf numFmtId="207" fontId="0" fillId="70" borderId="0" xfId="0" applyNumberFormat="1" applyFill="1" applyAlignment="1">
      <alignment horizontal="center"/>
    </xf>
    <xf numFmtId="207" fontId="0" fillId="68" borderId="0" xfId="0" applyNumberFormat="1" applyFill="1" applyAlignment="1">
      <alignment horizontal="center"/>
    </xf>
    <xf numFmtId="207" fontId="0" fillId="81" borderId="0" xfId="0" applyNumberFormat="1" applyFill="1" applyAlignment="1">
      <alignment horizontal="center"/>
    </xf>
    <xf numFmtId="207" fontId="0" fillId="8" borderId="0" xfId="0" applyNumberFormat="1" applyFill="1" applyAlignment="1">
      <alignment horizontal="center"/>
    </xf>
    <xf numFmtId="207" fontId="0" fillId="0" borderId="0" xfId="4" applyNumberFormat="1" applyFont="1" applyFill="1" applyAlignment="1">
      <alignment horizontal="center"/>
    </xf>
    <xf numFmtId="207" fontId="0" fillId="0" borderId="0" xfId="0" applyNumberFormat="1" applyAlignment="1">
      <alignment horizontal="center"/>
    </xf>
    <xf numFmtId="215" fontId="1" fillId="0" borderId="0" xfId="0" applyNumberFormat="1" applyFont="1" applyAlignment="1">
      <alignment horizontal="center"/>
    </xf>
    <xf numFmtId="215" fontId="0" fillId="2" borderId="0" xfId="0" applyNumberFormat="1" applyFill="1" applyAlignment="1">
      <alignment horizontal="center"/>
    </xf>
    <xf numFmtId="215" fontId="6" fillId="2" borderId="0" xfId="0" applyNumberFormat="1" applyFont="1" applyFill="1" applyAlignment="1">
      <alignment horizontal="center"/>
    </xf>
    <xf numFmtId="215" fontId="0" fillId="65" borderId="0" xfId="0" applyNumberFormat="1" applyFill="1" applyAlignment="1">
      <alignment horizontal="center"/>
    </xf>
    <xf numFmtId="215" fontId="0" fillId="72" borderId="0" xfId="5" applyNumberFormat="1" applyFont="1" applyFill="1" applyAlignment="1">
      <alignment horizontal="center"/>
    </xf>
    <xf numFmtId="215" fontId="0" fillId="69" borderId="0" xfId="0" applyNumberFormat="1" applyFill="1" applyAlignment="1">
      <alignment horizontal="center"/>
    </xf>
    <xf numFmtId="215" fontId="0" fillId="66" borderId="0" xfId="0" applyNumberFormat="1" applyFill="1" applyAlignment="1">
      <alignment horizontal="center"/>
    </xf>
    <xf numFmtId="215" fontId="0" fillId="72" borderId="0" xfId="0" applyNumberFormat="1" applyFill="1" applyAlignment="1">
      <alignment horizontal="center"/>
    </xf>
    <xf numFmtId="215" fontId="0" fillId="74" borderId="0" xfId="0" applyNumberFormat="1" applyFill="1" applyAlignment="1">
      <alignment horizontal="center"/>
    </xf>
    <xf numFmtId="215" fontId="0" fillId="73" borderId="0" xfId="0" applyNumberFormat="1" applyFill="1" applyAlignment="1">
      <alignment horizontal="center"/>
    </xf>
    <xf numFmtId="215" fontId="0" fillId="71" borderId="0" xfId="0" applyNumberFormat="1" applyFill="1" applyAlignment="1">
      <alignment horizontal="center"/>
    </xf>
    <xf numFmtId="215" fontId="0" fillId="75" borderId="0" xfId="0" applyNumberFormat="1" applyFill="1" applyAlignment="1">
      <alignment horizontal="center"/>
    </xf>
    <xf numFmtId="215" fontId="0" fillId="70" borderId="0" xfId="0" applyNumberFormat="1" applyFill="1" applyAlignment="1">
      <alignment horizontal="center"/>
    </xf>
    <xf numFmtId="215" fontId="0" fillId="68" borderId="0" xfId="0" applyNumberFormat="1" applyFill="1" applyAlignment="1">
      <alignment horizontal="center"/>
    </xf>
    <xf numFmtId="215" fontId="0" fillId="81" borderId="0" xfId="0" applyNumberFormat="1" applyFill="1" applyAlignment="1">
      <alignment horizontal="center"/>
    </xf>
    <xf numFmtId="215" fontId="0" fillId="8" borderId="0" xfId="0" applyNumberFormat="1" applyFill="1" applyAlignment="1">
      <alignment horizontal="center"/>
    </xf>
    <xf numFmtId="215" fontId="0" fillId="0" borderId="0" xfId="0" applyNumberFormat="1" applyAlignment="1">
      <alignment horizontal="center"/>
    </xf>
    <xf numFmtId="215" fontId="0" fillId="0" borderId="0" xfId="4" applyNumberFormat="1" applyFont="1" applyFill="1" applyAlignment="1">
      <alignment horizontal="center"/>
    </xf>
    <xf numFmtId="3" fontId="18" fillId="66" borderId="0" xfId="0" applyNumberFormat="1" applyFont="1" applyFill="1"/>
    <xf numFmtId="3" fontId="18" fillId="66" borderId="0" xfId="0" applyNumberFormat="1" applyFont="1" applyFill="1" applyAlignment="1">
      <alignment horizontal="right"/>
    </xf>
    <xf numFmtId="0" fontId="81" fillId="78" borderId="0" xfId="0" applyFont="1" applyFill="1" applyAlignment="1">
      <alignment horizontal="center"/>
    </xf>
    <xf numFmtId="0" fontId="82" fillId="0" borderId="0" xfId="0" applyFont="1"/>
    <xf numFmtId="0" fontId="87" fillId="80" borderId="0" xfId="0" applyFont="1" applyFill="1" applyAlignment="1">
      <alignment horizontal="center" vertical="center" wrapText="1"/>
    </xf>
    <xf numFmtId="0" fontId="0" fillId="0" borderId="0" xfId="0"/>
    <xf numFmtId="177" fontId="9" fillId="2" borderId="13" xfId="4" applyNumberFormat="1" applyFont="1" applyFill="1" applyBorder="1" applyAlignment="1">
      <alignment horizontal="center" vertical="center"/>
    </xf>
    <xf numFmtId="177" fontId="9" fillId="2" borderId="11" xfId="4" applyNumberFormat="1" applyFont="1" applyFill="1" applyBorder="1" applyAlignment="1">
      <alignment horizontal="center" vertical="center"/>
    </xf>
    <xf numFmtId="177" fontId="9" fillId="2" borderId="12" xfId="4" applyNumberFormat="1" applyFont="1" applyFill="1" applyBorder="1" applyAlignment="1">
      <alignment horizontal="center" vertical="center"/>
    </xf>
    <xf numFmtId="177" fontId="3" fillId="2" borderId="1" xfId="4" applyNumberFormat="1" applyFont="1" applyFill="1" applyBorder="1" applyAlignment="1">
      <alignment horizontal="center" vertical="center"/>
    </xf>
    <xf numFmtId="177" fontId="9" fillId="2" borderId="1" xfId="4" applyNumberFormat="1" applyFont="1" applyFill="1" applyBorder="1" applyAlignment="1">
      <alignment horizontal="center" vertical="center"/>
    </xf>
    <xf numFmtId="177" fontId="3" fillId="2" borderId="13" xfId="4" applyNumberFormat="1" applyFont="1" applyFill="1" applyBorder="1" applyAlignment="1">
      <alignment horizontal="center" vertical="center"/>
    </xf>
    <xf numFmtId="177" fontId="3" fillId="2" borderId="11" xfId="4" applyNumberFormat="1" applyFont="1" applyFill="1" applyBorder="1" applyAlignment="1">
      <alignment horizontal="center" vertical="center"/>
    </xf>
    <xf numFmtId="177" fontId="3" fillId="2" borderId="12" xfId="4" applyNumberFormat="1" applyFont="1" applyFill="1" applyBorder="1" applyAlignment="1">
      <alignment horizontal="center" vertical="center"/>
    </xf>
    <xf numFmtId="0" fontId="0" fillId="0" borderId="0" xfId="0" applyAlignment="1">
      <alignment horizontal="left" wrapText="1"/>
    </xf>
    <xf numFmtId="0" fontId="22" fillId="0" borderId="13" xfId="8" applyFont="1" applyBorder="1" applyAlignment="1">
      <alignment horizontal="center" vertical="center"/>
    </xf>
    <xf numFmtId="0" fontId="22" fillId="0" borderId="11" xfId="8" applyFont="1" applyBorder="1" applyAlignment="1">
      <alignment horizontal="center" vertical="center"/>
    </xf>
    <xf numFmtId="0" fontId="22" fillId="0" borderId="12" xfId="8" applyFont="1" applyBorder="1" applyAlignment="1">
      <alignment horizontal="center" vertical="center"/>
    </xf>
    <xf numFmtId="0" fontId="22" fillId="0" borderId="13" xfId="8" applyFont="1" applyBorder="1" applyAlignment="1">
      <alignment horizontal="center" vertical="center" wrapText="1"/>
    </xf>
    <xf numFmtId="0" fontId="22" fillId="0" borderId="11" xfId="8" applyFont="1" applyBorder="1" applyAlignment="1">
      <alignment horizontal="center" vertical="center" wrapText="1"/>
    </xf>
    <xf numFmtId="0" fontId="22" fillId="0" borderId="12" xfId="8" applyFont="1" applyBorder="1" applyAlignment="1">
      <alignment horizontal="center" vertical="center" wrapText="1"/>
    </xf>
    <xf numFmtId="0" fontId="22" fillId="0" borderId="2" xfId="8" applyFont="1" applyBorder="1" applyAlignment="1">
      <alignment horizontal="center" vertical="center" wrapText="1"/>
    </xf>
    <xf numFmtId="0" fontId="22" fillId="0" borderId="3" xfId="8" applyFont="1" applyBorder="1" applyAlignment="1">
      <alignment horizontal="center" vertical="center" wrapText="1"/>
    </xf>
    <xf numFmtId="0" fontId="22" fillId="0" borderId="4" xfId="8" applyFont="1" applyBorder="1" applyAlignment="1">
      <alignment horizontal="center" vertical="center" wrapText="1"/>
    </xf>
  </cellXfs>
  <cellStyles count="1844">
    <cellStyle name="20% - Accent1" xfId="26" builtinId="30" customBuiltin="1"/>
    <cellStyle name="20% - Accent1 2" xfId="590" xr:uid="{00000000-0005-0000-0000-000001000000}"/>
    <cellStyle name="20% - Accent1 3" xfId="646" xr:uid="{00000000-0005-0000-0000-000002000000}"/>
    <cellStyle name="20% - Accent2" xfId="30" builtinId="34" customBuiltin="1"/>
    <cellStyle name="20% - Accent2 2" xfId="589" xr:uid="{00000000-0005-0000-0000-000004000000}"/>
    <cellStyle name="20% - Accent2 3" xfId="647" xr:uid="{00000000-0005-0000-0000-000005000000}"/>
    <cellStyle name="20% - Accent3" xfId="34" builtinId="38" customBuiltin="1"/>
    <cellStyle name="20% - Accent3 2" xfId="588" xr:uid="{00000000-0005-0000-0000-000007000000}"/>
    <cellStyle name="20% - Accent3 3" xfId="648" xr:uid="{00000000-0005-0000-0000-000008000000}"/>
    <cellStyle name="20% - Accent4" xfId="38" builtinId="42" customBuiltin="1"/>
    <cellStyle name="20% - Accent4 2" xfId="587" xr:uid="{00000000-0005-0000-0000-00000A000000}"/>
    <cellStyle name="20% - Accent4 3" xfId="649" xr:uid="{00000000-0005-0000-0000-00000B000000}"/>
    <cellStyle name="20% - Accent5" xfId="42" builtinId="46" customBuiltin="1"/>
    <cellStyle name="20% - Accent5 2" xfId="586" xr:uid="{00000000-0005-0000-0000-00000D000000}"/>
    <cellStyle name="20% - Accent6" xfId="46" builtinId="50" customBuiltin="1"/>
    <cellStyle name="20% - Accent6 2" xfId="585" xr:uid="{00000000-0005-0000-0000-00000F000000}"/>
    <cellStyle name="20% - Accent6 3" xfId="650" xr:uid="{00000000-0005-0000-0000-000010000000}"/>
    <cellStyle name="40% - Accent1" xfId="27" builtinId="31" customBuiltin="1"/>
    <cellStyle name="40% - Accent1 2" xfId="623" xr:uid="{00000000-0005-0000-0000-000012000000}"/>
    <cellStyle name="40% - Accent1 3" xfId="651" xr:uid="{00000000-0005-0000-0000-000013000000}"/>
    <cellStyle name="40% - Accent2" xfId="31" builtinId="35" customBuiltin="1"/>
    <cellStyle name="40% - Accent2 2" xfId="615" xr:uid="{00000000-0005-0000-0000-000015000000}"/>
    <cellStyle name="40% - Accent3" xfId="35" builtinId="39" customBuiltin="1"/>
    <cellStyle name="40% - Accent3 2" xfId="622" xr:uid="{00000000-0005-0000-0000-000017000000}"/>
    <cellStyle name="40% - Accent3 3" xfId="652" xr:uid="{00000000-0005-0000-0000-000018000000}"/>
    <cellStyle name="40% - Accent4" xfId="39" builtinId="43" customBuiltin="1"/>
    <cellStyle name="40% - Accent4 2" xfId="619" xr:uid="{00000000-0005-0000-0000-00001A000000}"/>
    <cellStyle name="40% - Accent4 3" xfId="653" xr:uid="{00000000-0005-0000-0000-00001B000000}"/>
    <cellStyle name="40% - Accent5" xfId="43" builtinId="47" customBuiltin="1"/>
    <cellStyle name="40% - Accent5 2" xfId="617" xr:uid="{00000000-0005-0000-0000-00001D000000}"/>
    <cellStyle name="40% - Accent5 3" xfId="654" xr:uid="{00000000-0005-0000-0000-00001E000000}"/>
    <cellStyle name="40% - Accent6" xfId="47" builtinId="51" customBuiltin="1"/>
    <cellStyle name="40% - Accent6 2" xfId="611" xr:uid="{00000000-0005-0000-0000-000020000000}"/>
    <cellStyle name="40% - Accent6 3" xfId="655" xr:uid="{00000000-0005-0000-0000-000021000000}"/>
    <cellStyle name="60% - Accent1" xfId="28" builtinId="32" customBuiltin="1"/>
    <cellStyle name="60% - Accent1 2" xfId="596" xr:uid="{00000000-0005-0000-0000-000023000000}"/>
    <cellStyle name="60% - Accent1 3" xfId="656" xr:uid="{00000000-0005-0000-0000-000024000000}"/>
    <cellStyle name="60% - Accent2" xfId="32" builtinId="36" customBuiltin="1"/>
    <cellStyle name="60% - Accent2 2" xfId="568" xr:uid="{00000000-0005-0000-0000-000026000000}"/>
    <cellStyle name="60% - Accent2 3" xfId="657" xr:uid="{00000000-0005-0000-0000-000027000000}"/>
    <cellStyle name="60% - Accent3" xfId="36" builtinId="40" customBuiltin="1"/>
    <cellStyle name="60% - Accent3 2" xfId="572" xr:uid="{00000000-0005-0000-0000-000029000000}"/>
    <cellStyle name="60% - Accent3 3" xfId="658" xr:uid="{00000000-0005-0000-0000-00002A000000}"/>
    <cellStyle name="60% - Accent4" xfId="40" builtinId="44" customBuiltin="1"/>
    <cellStyle name="60% - Accent4 2" xfId="584" xr:uid="{00000000-0005-0000-0000-00002C000000}"/>
    <cellStyle name="60% - Accent4 3" xfId="659" xr:uid="{00000000-0005-0000-0000-00002D000000}"/>
    <cellStyle name="60% - Accent5" xfId="44" builtinId="48" customBuiltin="1"/>
    <cellStyle name="60% - Accent5 2" xfId="583" xr:uid="{00000000-0005-0000-0000-00002F000000}"/>
    <cellStyle name="60% - Accent5 3" xfId="660" xr:uid="{00000000-0005-0000-0000-000030000000}"/>
    <cellStyle name="60% - Accent6" xfId="48" builtinId="52" customBuiltin="1"/>
    <cellStyle name="60% - Accent6 2" xfId="582" xr:uid="{00000000-0005-0000-0000-000032000000}"/>
    <cellStyle name="60% - Accent6 3" xfId="661" xr:uid="{00000000-0005-0000-0000-000033000000}"/>
    <cellStyle name="Accent1" xfId="25" builtinId="29" customBuiltin="1"/>
    <cellStyle name="Accent1 2" xfId="581" xr:uid="{00000000-0005-0000-0000-000035000000}"/>
    <cellStyle name="Accent1 3" xfId="662" xr:uid="{00000000-0005-0000-0000-000036000000}"/>
    <cellStyle name="Accent2" xfId="29" builtinId="33" customBuiltin="1"/>
    <cellStyle name="Accent2 2" xfId="580" xr:uid="{00000000-0005-0000-0000-000038000000}"/>
    <cellStyle name="Accent2 3" xfId="663" xr:uid="{00000000-0005-0000-0000-000039000000}"/>
    <cellStyle name="Accent3" xfId="33" builtinId="37" customBuiltin="1"/>
    <cellStyle name="Accent3 2" xfId="625" xr:uid="{00000000-0005-0000-0000-00003B000000}"/>
    <cellStyle name="Accent3 3" xfId="664" xr:uid="{00000000-0005-0000-0000-00003C000000}"/>
    <cellStyle name="Accent4" xfId="37" builtinId="41" customBuiltin="1"/>
    <cellStyle name="Accent4 2" xfId="571" xr:uid="{00000000-0005-0000-0000-00003E000000}"/>
    <cellStyle name="Accent4 3" xfId="665" xr:uid="{00000000-0005-0000-0000-00003F000000}"/>
    <cellStyle name="Accent5" xfId="41" builtinId="45" customBuiltin="1"/>
    <cellStyle name="Accent5 2" xfId="579" xr:uid="{00000000-0005-0000-0000-000041000000}"/>
    <cellStyle name="Accent6" xfId="45" builtinId="49" customBuiltin="1"/>
    <cellStyle name="Accent6 2" xfId="578" xr:uid="{00000000-0005-0000-0000-000043000000}"/>
    <cellStyle name="Accent6 3" xfId="666" xr:uid="{00000000-0005-0000-0000-000044000000}"/>
    <cellStyle name="Bad" xfId="14" builtinId="27" customBuiltin="1"/>
    <cellStyle name="Bad 2" xfId="577" xr:uid="{00000000-0005-0000-0000-000046000000}"/>
    <cellStyle name="Bad 3" xfId="667" xr:uid="{00000000-0005-0000-0000-000047000000}"/>
    <cellStyle name="Bold 11" xfId="53" xr:uid="{00000000-0005-0000-0000-000048000000}"/>
    <cellStyle name="Bold 11 2" xfId="1299" xr:uid="{00000000-0005-0000-0000-000049000000}"/>
    <cellStyle name="Bold 11 2 2" xfId="1321" xr:uid="{00000000-0005-0000-0000-00004A000000}"/>
    <cellStyle name="Bold 11 2 3" xfId="1817" xr:uid="{00000000-0005-0000-0000-00004B000000}"/>
    <cellStyle name="Bold 11 2 4" xfId="1777" xr:uid="{00000000-0005-0000-0000-00004C000000}"/>
    <cellStyle name="Calculation" xfId="18" builtinId="22" customBuiltin="1"/>
    <cellStyle name="Calculation 2" xfId="624" xr:uid="{00000000-0005-0000-0000-00004E000000}"/>
    <cellStyle name="Calculation 2 2" xfId="1612" xr:uid="{00000000-0005-0000-0000-00004F000000}"/>
    <cellStyle name="Calculation 2 3" xfId="1655" xr:uid="{00000000-0005-0000-0000-000050000000}"/>
    <cellStyle name="Calculation 2 4" xfId="1711" xr:uid="{00000000-0005-0000-0000-000051000000}"/>
    <cellStyle name="Calculation 2 5" xfId="1712" xr:uid="{00000000-0005-0000-0000-000052000000}"/>
    <cellStyle name="Calculation 3" xfId="668" xr:uid="{00000000-0005-0000-0000-000053000000}"/>
    <cellStyle name="Calculation 3 2" xfId="1614" xr:uid="{00000000-0005-0000-0000-000054000000}"/>
    <cellStyle name="Calculation 3 3" xfId="1684" xr:uid="{00000000-0005-0000-0000-000055000000}"/>
    <cellStyle name="Calculation 3 4" xfId="1708" xr:uid="{00000000-0005-0000-0000-000056000000}"/>
    <cellStyle name="Calculation 3 5" xfId="1703" xr:uid="{00000000-0005-0000-0000-000057000000}"/>
    <cellStyle name="Check Cell" xfId="20" builtinId="23" customBuiltin="1"/>
    <cellStyle name="Check Cell 2" xfId="634" xr:uid="{00000000-0005-0000-0000-000059000000}"/>
    <cellStyle name="Comma" xfId="4" builtinId="3"/>
    <cellStyle name="Comma 10" xfId="124" xr:uid="{00000000-0005-0000-0000-00005B000000}"/>
    <cellStyle name="Comma 10 2" xfId="1377" xr:uid="{00000000-0005-0000-0000-00005C000000}"/>
    <cellStyle name="Comma 10 2 2" xfId="1743" xr:uid="{00000000-0005-0000-0000-00005D000000}"/>
    <cellStyle name="Comma 10 3" xfId="1268" xr:uid="{00000000-0005-0000-0000-00005E000000}"/>
    <cellStyle name="Comma 10 4" xfId="800" xr:uid="{00000000-0005-0000-0000-00005F000000}"/>
    <cellStyle name="Comma 10 4 2" xfId="1735" xr:uid="{00000000-0005-0000-0000-000060000000}"/>
    <cellStyle name="Comma 11" xfId="125" xr:uid="{00000000-0005-0000-0000-000061000000}"/>
    <cellStyle name="Comma 12" xfId="126" xr:uid="{00000000-0005-0000-0000-000062000000}"/>
    <cellStyle name="Comma 13" xfId="127" xr:uid="{00000000-0005-0000-0000-000063000000}"/>
    <cellStyle name="Comma 14" xfId="1384" xr:uid="{00000000-0005-0000-0000-000064000000}"/>
    <cellStyle name="Comma 14 2" xfId="1797" xr:uid="{00000000-0005-0000-0000-000065000000}"/>
    <cellStyle name="Comma 14 3" xfId="1768" xr:uid="{00000000-0005-0000-0000-000066000000}"/>
    <cellStyle name="Comma 14 4" xfId="1788" xr:uid="{00000000-0005-0000-0000-000067000000}"/>
    <cellStyle name="Comma 15" xfId="1386" xr:uid="{00000000-0005-0000-0000-000068000000}"/>
    <cellStyle name="Comma 15 2" xfId="1400" xr:uid="{00000000-0005-0000-0000-000069000000}"/>
    <cellStyle name="Comma 15 2 2" xfId="1770" xr:uid="{00000000-0005-0000-0000-00006A000000}"/>
    <cellStyle name="Comma 15 2 3" xfId="1805" xr:uid="{00000000-0005-0000-0000-00006B000000}"/>
    <cellStyle name="Comma 15 2 4" xfId="1823" xr:uid="{00000000-0005-0000-0000-00006C000000}"/>
    <cellStyle name="Comma 15 3" xfId="1457" xr:uid="{00000000-0005-0000-0000-00006D000000}"/>
    <cellStyle name="Comma 15 4" xfId="1461" xr:uid="{00000000-0005-0000-0000-00006E000000}"/>
    <cellStyle name="Comma 15 5" xfId="1464" xr:uid="{00000000-0005-0000-0000-00006F000000}"/>
    <cellStyle name="Comma 15 6" xfId="1459" xr:uid="{00000000-0005-0000-0000-000070000000}"/>
    <cellStyle name="Comma 15 7" xfId="1466" xr:uid="{00000000-0005-0000-0000-000071000000}"/>
    <cellStyle name="Comma 15 8" xfId="1774" xr:uid="{00000000-0005-0000-0000-000072000000}"/>
    <cellStyle name="Comma 16" xfId="128" xr:uid="{00000000-0005-0000-0000-000073000000}"/>
    <cellStyle name="Comma 17" xfId="129" xr:uid="{00000000-0005-0000-0000-000074000000}"/>
    <cellStyle name="Comma 18" xfId="130" xr:uid="{00000000-0005-0000-0000-000075000000}"/>
    <cellStyle name="Comma 19" xfId="131" xr:uid="{00000000-0005-0000-0000-000076000000}"/>
    <cellStyle name="Comma 2" xfId="6" xr:uid="{00000000-0005-0000-0000-000077000000}"/>
    <cellStyle name="Comma 2 10" xfId="133" xr:uid="{00000000-0005-0000-0000-000078000000}"/>
    <cellStyle name="Comma 2 10 2" xfId="1379" xr:uid="{00000000-0005-0000-0000-000079000000}"/>
    <cellStyle name="Comma 2 10 3" xfId="1269" xr:uid="{00000000-0005-0000-0000-00007A000000}"/>
    <cellStyle name="Comma 2 10 4" xfId="972" xr:uid="{00000000-0005-0000-0000-00007B000000}"/>
    <cellStyle name="Comma 2 11" xfId="134" xr:uid="{00000000-0005-0000-0000-00007C000000}"/>
    <cellStyle name="Comma 2 11 2" xfId="1347" xr:uid="{00000000-0005-0000-0000-00007D000000}"/>
    <cellStyle name="Comma 2 11 3" xfId="1270" xr:uid="{00000000-0005-0000-0000-00007E000000}"/>
    <cellStyle name="Comma 2 11 4" xfId="229" xr:uid="{00000000-0005-0000-0000-00007F000000}"/>
    <cellStyle name="Comma 2 12" xfId="135" xr:uid="{00000000-0005-0000-0000-000080000000}"/>
    <cellStyle name="Comma 2 13" xfId="136" xr:uid="{00000000-0005-0000-0000-000081000000}"/>
    <cellStyle name="Comma 2 14" xfId="137" xr:uid="{00000000-0005-0000-0000-000082000000}"/>
    <cellStyle name="Comma 2 15" xfId="138" xr:uid="{00000000-0005-0000-0000-000083000000}"/>
    <cellStyle name="Comma 2 16" xfId="139" xr:uid="{00000000-0005-0000-0000-000084000000}"/>
    <cellStyle name="Comma 2 17" xfId="140" xr:uid="{00000000-0005-0000-0000-000085000000}"/>
    <cellStyle name="Comma 2 18" xfId="141" xr:uid="{00000000-0005-0000-0000-000086000000}"/>
    <cellStyle name="Comma 2 19" xfId="142" xr:uid="{00000000-0005-0000-0000-000087000000}"/>
    <cellStyle name="Comma 2 2" xfId="7" xr:uid="{00000000-0005-0000-0000-000088000000}"/>
    <cellStyle name="Comma 2 2 2" xfId="1342" xr:uid="{00000000-0005-0000-0000-000089000000}"/>
    <cellStyle name="Comma 2 2 3" xfId="84" xr:uid="{00000000-0005-0000-0000-00008A000000}"/>
    <cellStyle name="Comma 2 2 3 2" xfId="1744" xr:uid="{00000000-0005-0000-0000-00008B000000}"/>
    <cellStyle name="Comma 2 2 4" xfId="1775" xr:uid="{00000000-0005-0000-0000-00008C000000}"/>
    <cellStyle name="Comma 2 20" xfId="143" xr:uid="{00000000-0005-0000-0000-00008D000000}"/>
    <cellStyle name="Comma 2 21" xfId="132" xr:uid="{00000000-0005-0000-0000-00008E000000}"/>
    <cellStyle name="Comma 2 22" xfId="1341" xr:uid="{00000000-0005-0000-0000-00008F000000}"/>
    <cellStyle name="Comma 2 23" xfId="1398" xr:uid="{00000000-0005-0000-0000-000090000000}"/>
    <cellStyle name="Comma 2 23 2" xfId="1752" xr:uid="{00000000-0005-0000-0000-000091000000}"/>
    <cellStyle name="Comma 2 23 3" xfId="1787" xr:uid="{00000000-0005-0000-0000-000092000000}"/>
    <cellStyle name="Comma 2 23 4" xfId="1796" xr:uid="{00000000-0005-0000-0000-000093000000}"/>
    <cellStyle name="Comma 2 24" xfId="1409" xr:uid="{00000000-0005-0000-0000-000094000000}"/>
    <cellStyle name="Comma 2 24 2" xfId="1804" xr:uid="{00000000-0005-0000-0000-000095000000}"/>
    <cellStyle name="Comma 2 24 3" xfId="1794" xr:uid="{00000000-0005-0000-0000-000096000000}"/>
    <cellStyle name="Comma 2 24 4" xfId="1746" xr:uid="{00000000-0005-0000-0000-000097000000}"/>
    <cellStyle name="Comma 2 25" xfId="52" xr:uid="{00000000-0005-0000-0000-000098000000}"/>
    <cellStyle name="Comma 2 3" xfId="90" xr:uid="{00000000-0005-0000-0000-000099000000}"/>
    <cellStyle name="Comma 2 4" xfId="144" xr:uid="{00000000-0005-0000-0000-00009A000000}"/>
    <cellStyle name="Comma 2 4 2" xfId="442" xr:uid="{00000000-0005-0000-0000-00009B000000}"/>
    <cellStyle name="Comma 2 4 2 2" xfId="863" xr:uid="{00000000-0005-0000-0000-00009C000000}"/>
    <cellStyle name="Comma 2 4 2 2 2" xfId="1170" xr:uid="{00000000-0005-0000-0000-00009D000000}"/>
    <cellStyle name="Comma 2 4 2 3" xfId="1021" xr:uid="{00000000-0005-0000-0000-00009E000000}"/>
    <cellStyle name="Comma 2 4 3" xfId="473" xr:uid="{00000000-0005-0000-0000-00009F000000}"/>
    <cellStyle name="Comma 2 4 3 2" xfId="885" xr:uid="{00000000-0005-0000-0000-0000A0000000}"/>
    <cellStyle name="Comma 2 4 3 2 2" xfId="1192" xr:uid="{00000000-0005-0000-0000-0000A1000000}"/>
    <cellStyle name="Comma 2 4 3 3" xfId="1043" xr:uid="{00000000-0005-0000-0000-0000A2000000}"/>
    <cellStyle name="Comma 2 4 4" xfId="602" xr:uid="{00000000-0005-0000-0000-0000A3000000}"/>
    <cellStyle name="Comma 2 4 4 2" xfId="838" xr:uid="{00000000-0005-0000-0000-0000A4000000}"/>
    <cellStyle name="Comma 2 4 4 2 2" xfId="1147" xr:uid="{00000000-0005-0000-0000-0000A5000000}"/>
    <cellStyle name="Comma 2 4 4 3" xfId="999" xr:uid="{00000000-0005-0000-0000-0000A6000000}"/>
    <cellStyle name="Comma 2 4 5" xfId="798" xr:uid="{00000000-0005-0000-0000-0000A7000000}"/>
    <cellStyle name="Comma 2 4 5 2" xfId="1111" xr:uid="{00000000-0005-0000-0000-0000A8000000}"/>
    <cellStyle name="Comma 2 4 6" xfId="976" xr:uid="{00000000-0005-0000-0000-0000A9000000}"/>
    <cellStyle name="Comma 2 4 7" xfId="1351" xr:uid="{00000000-0005-0000-0000-0000AA000000}"/>
    <cellStyle name="Comma 2 4 8" xfId="1271" xr:uid="{00000000-0005-0000-0000-0000AB000000}"/>
    <cellStyle name="Comma 2 4 9" xfId="315" xr:uid="{00000000-0005-0000-0000-0000AC000000}"/>
    <cellStyle name="Comma 2 5" xfId="145" xr:uid="{00000000-0005-0000-0000-0000AD000000}"/>
    <cellStyle name="Comma 2 5 2" xfId="455" xr:uid="{00000000-0005-0000-0000-0000AE000000}"/>
    <cellStyle name="Comma 2 5 2 2" xfId="876" xr:uid="{00000000-0005-0000-0000-0000AF000000}"/>
    <cellStyle name="Comma 2 5 2 2 2" xfId="1183" xr:uid="{00000000-0005-0000-0000-0000B0000000}"/>
    <cellStyle name="Comma 2 5 2 3" xfId="1034" xr:uid="{00000000-0005-0000-0000-0000B1000000}"/>
    <cellStyle name="Comma 2 5 3" xfId="486" xr:uid="{00000000-0005-0000-0000-0000B2000000}"/>
    <cellStyle name="Comma 2 5 3 2" xfId="898" xr:uid="{00000000-0005-0000-0000-0000B3000000}"/>
    <cellStyle name="Comma 2 5 3 2 2" xfId="1205" xr:uid="{00000000-0005-0000-0000-0000B4000000}"/>
    <cellStyle name="Comma 2 5 3 3" xfId="1056" xr:uid="{00000000-0005-0000-0000-0000B5000000}"/>
    <cellStyle name="Comma 2 5 4" xfId="631" xr:uid="{00000000-0005-0000-0000-0000B6000000}"/>
    <cellStyle name="Comma 2 5 4 2" xfId="851" xr:uid="{00000000-0005-0000-0000-0000B7000000}"/>
    <cellStyle name="Comma 2 5 4 2 2" xfId="1160" xr:uid="{00000000-0005-0000-0000-0000B8000000}"/>
    <cellStyle name="Comma 2 5 4 3" xfId="1012" xr:uid="{00000000-0005-0000-0000-0000B9000000}"/>
    <cellStyle name="Comma 2 5 5" xfId="812" xr:uid="{00000000-0005-0000-0000-0000BA000000}"/>
    <cellStyle name="Comma 2 5 5 2" xfId="1124" xr:uid="{00000000-0005-0000-0000-0000BB000000}"/>
    <cellStyle name="Comma 2 5 6" xfId="989" xr:uid="{00000000-0005-0000-0000-0000BC000000}"/>
    <cellStyle name="Comma 2 5 7" xfId="1353" xr:uid="{00000000-0005-0000-0000-0000BD000000}"/>
    <cellStyle name="Comma 2 5 8" xfId="1272" xr:uid="{00000000-0005-0000-0000-0000BE000000}"/>
    <cellStyle name="Comma 2 5 9" xfId="330" xr:uid="{00000000-0005-0000-0000-0000BF000000}"/>
    <cellStyle name="Comma 2 6" xfId="146" xr:uid="{00000000-0005-0000-0000-0000C0000000}"/>
    <cellStyle name="Comma 2 6 2" xfId="859" xr:uid="{00000000-0005-0000-0000-0000C1000000}"/>
    <cellStyle name="Comma 2 6 2 2" xfId="1166" xr:uid="{00000000-0005-0000-0000-0000C2000000}"/>
    <cellStyle name="Comma 2 6 3" xfId="1017" xr:uid="{00000000-0005-0000-0000-0000C3000000}"/>
    <cellStyle name="Comma 2 6 4" xfId="1359" xr:uid="{00000000-0005-0000-0000-0000C4000000}"/>
    <cellStyle name="Comma 2 6 5" xfId="1273" xr:uid="{00000000-0005-0000-0000-0000C5000000}"/>
    <cellStyle name="Comma 2 6 6" xfId="438" xr:uid="{00000000-0005-0000-0000-0000C6000000}"/>
    <cellStyle name="Comma 2 7" xfId="147" xr:uid="{00000000-0005-0000-0000-0000C7000000}"/>
    <cellStyle name="Comma 2 7 2" xfId="881" xr:uid="{00000000-0005-0000-0000-0000C8000000}"/>
    <cellStyle name="Comma 2 7 2 2" xfId="1188" xr:uid="{00000000-0005-0000-0000-0000C9000000}"/>
    <cellStyle name="Comma 2 7 3" xfId="1039" xr:uid="{00000000-0005-0000-0000-0000CA000000}"/>
    <cellStyle name="Comma 2 7 4" xfId="1360" xr:uid="{00000000-0005-0000-0000-0000CB000000}"/>
    <cellStyle name="Comma 2 7 5" xfId="1274" xr:uid="{00000000-0005-0000-0000-0000CC000000}"/>
    <cellStyle name="Comma 2 7 6" xfId="468" xr:uid="{00000000-0005-0000-0000-0000CD000000}"/>
    <cellStyle name="Comma 2 8" xfId="148" xr:uid="{00000000-0005-0000-0000-0000CE000000}"/>
    <cellStyle name="Comma 2 8 2" xfId="834" xr:uid="{00000000-0005-0000-0000-0000CF000000}"/>
    <cellStyle name="Comma 2 8 2 2" xfId="1143" xr:uid="{00000000-0005-0000-0000-0000D0000000}"/>
    <cellStyle name="Comma 2 8 3" xfId="995" xr:uid="{00000000-0005-0000-0000-0000D1000000}"/>
    <cellStyle name="Comma 2 8 4" xfId="1362" xr:uid="{00000000-0005-0000-0000-0000D2000000}"/>
    <cellStyle name="Comma 2 8 5" xfId="1275" xr:uid="{00000000-0005-0000-0000-0000D3000000}"/>
    <cellStyle name="Comma 2 8 6" xfId="593" xr:uid="{00000000-0005-0000-0000-0000D4000000}"/>
    <cellStyle name="Comma 2 9" xfId="149" xr:uid="{00000000-0005-0000-0000-0000D5000000}"/>
    <cellStyle name="Comma 2 9 2" xfId="1107" xr:uid="{00000000-0005-0000-0000-0000D6000000}"/>
    <cellStyle name="Comma 2 9 3" xfId="1376" xr:uid="{00000000-0005-0000-0000-0000D7000000}"/>
    <cellStyle name="Comma 2 9 4" xfId="1276" xr:uid="{00000000-0005-0000-0000-0000D8000000}"/>
    <cellStyle name="Comma 2 9 5" xfId="793" xr:uid="{00000000-0005-0000-0000-0000D9000000}"/>
    <cellStyle name="Comma 20" xfId="1415" xr:uid="{00000000-0005-0000-0000-0000DA000000}"/>
    <cellStyle name="Comma 21" xfId="1454" xr:uid="{00000000-0005-0000-0000-0000DB000000}"/>
    <cellStyle name="Comma 22" xfId="1603" xr:uid="{00000000-0005-0000-0000-0000DC000000}"/>
    <cellStyle name="Comma 23" xfId="1836" xr:uid="{00000000-0005-0000-0000-0000DD000000}"/>
    <cellStyle name="Comma 24" xfId="1843" xr:uid="{B31DF511-94F4-436D-9506-D3AB0AFDDF4D}"/>
    <cellStyle name="Comma 3" xfId="150" xr:uid="{00000000-0005-0000-0000-0000DE000000}"/>
    <cellStyle name="Comma 3 2" xfId="180" xr:uid="{00000000-0005-0000-0000-0000DF000000}"/>
    <cellStyle name="Comma 3 2 2" xfId="1357" xr:uid="{00000000-0005-0000-0000-0000E0000000}"/>
    <cellStyle name="Comma 3 2 2 2" xfId="1741" xr:uid="{00000000-0005-0000-0000-0000E1000000}"/>
    <cellStyle name="Comma 3 2 3" xfId="1278" xr:uid="{00000000-0005-0000-0000-0000E2000000}"/>
    <cellStyle name="Comma 3 2 4" xfId="435" xr:uid="{00000000-0005-0000-0000-0000E3000000}"/>
    <cellStyle name="Comma 3 2 4 2" xfId="1732" xr:uid="{00000000-0005-0000-0000-0000E4000000}"/>
    <cellStyle name="Comma 3 3" xfId="1277" xr:uid="{00000000-0005-0000-0000-0000E5000000}"/>
    <cellStyle name="Comma 4" xfId="79" xr:uid="{00000000-0005-0000-0000-0000E6000000}"/>
    <cellStyle name="Comma 4 2" xfId="181" xr:uid="{00000000-0005-0000-0000-0000E7000000}"/>
    <cellStyle name="Comma 4 2 2" xfId="1348" xr:uid="{00000000-0005-0000-0000-0000E8000000}"/>
    <cellStyle name="Comma 4 2 3" xfId="1279" xr:uid="{00000000-0005-0000-0000-0000E9000000}"/>
    <cellStyle name="Comma 4 2 4" xfId="230" xr:uid="{00000000-0005-0000-0000-0000EA000000}"/>
    <cellStyle name="Comma 5" xfId="80" xr:uid="{00000000-0005-0000-0000-0000EB000000}"/>
    <cellStyle name="Comma 6" xfId="81" xr:uid="{00000000-0005-0000-0000-0000EC000000}"/>
    <cellStyle name="Comma 7" xfId="179" xr:uid="{00000000-0005-0000-0000-0000ED000000}"/>
    <cellStyle name="Comma 7 2" xfId="1346" xr:uid="{00000000-0005-0000-0000-0000EE000000}"/>
    <cellStyle name="Comma 7 2 2" xfId="1740" xr:uid="{00000000-0005-0000-0000-0000EF000000}"/>
    <cellStyle name="Comma 7 3" xfId="1280" xr:uid="{00000000-0005-0000-0000-0000F0000000}"/>
    <cellStyle name="Comma 7 4" xfId="226" xr:uid="{00000000-0005-0000-0000-0000F1000000}"/>
    <cellStyle name="Comma 7 4 2" xfId="1730" xr:uid="{00000000-0005-0000-0000-0000F2000000}"/>
    <cellStyle name="Comma 8" xfId="203" xr:uid="{00000000-0005-0000-0000-0000F3000000}"/>
    <cellStyle name="Comma 8 2" xfId="905" xr:uid="{00000000-0005-0000-0000-0000F4000000}"/>
    <cellStyle name="Comma 8 2 2" xfId="1212" xr:uid="{00000000-0005-0000-0000-0000F5000000}"/>
    <cellStyle name="Comma 8 3" xfId="1061" xr:uid="{00000000-0005-0000-0000-0000F6000000}"/>
    <cellStyle name="Comma 8 4" xfId="1369" xr:uid="{00000000-0005-0000-0000-0000F7000000}"/>
    <cellStyle name="Comma 8 5" xfId="1281" xr:uid="{00000000-0005-0000-0000-0000F8000000}"/>
    <cellStyle name="Comma 8 5 2" xfId="1736" xr:uid="{00000000-0005-0000-0000-0000F9000000}"/>
    <cellStyle name="Comma 8 6" xfId="645" xr:uid="{00000000-0005-0000-0000-0000FA000000}"/>
    <cellStyle name="Comma 8 7" xfId="1729" xr:uid="{00000000-0005-0000-0000-0000FB000000}"/>
    <cellStyle name="Comma 9" xfId="744" xr:uid="{00000000-0005-0000-0000-0000FC000000}"/>
    <cellStyle name="Comma 9 2" xfId="951" xr:uid="{00000000-0005-0000-0000-0000FD000000}"/>
    <cellStyle name="Comma 9 2 2" xfId="1255" xr:uid="{00000000-0005-0000-0000-0000FE000000}"/>
    <cellStyle name="Comma 9 2 3" xfId="1378" xr:uid="{00000000-0005-0000-0000-0000FF000000}"/>
    <cellStyle name="Comma 9 2 4" xfId="1322" xr:uid="{00000000-0005-0000-0000-000000010000}"/>
    <cellStyle name="Comma 9 2 4 2" xfId="1738" xr:uid="{00000000-0005-0000-0000-000001010000}"/>
    <cellStyle name="Comma 9 2 5" xfId="1780" xr:uid="{00000000-0005-0000-0000-000002010000}"/>
    <cellStyle name="Comma 9 3" xfId="1104" xr:uid="{00000000-0005-0000-0000-000003010000}"/>
    <cellStyle name="Comma 9 4" xfId="1374" xr:uid="{00000000-0005-0000-0000-000004010000}"/>
    <cellStyle name="Comma 9 5" xfId="1300" xr:uid="{00000000-0005-0000-0000-000005010000}"/>
    <cellStyle name="Comma 9 5 2" xfId="1737" xr:uid="{00000000-0005-0000-0000-000006010000}"/>
    <cellStyle name="Comma 9 6" xfId="1801" xr:uid="{00000000-0005-0000-0000-000007010000}"/>
    <cellStyle name="Currency" xfId="1842" builtinId="4"/>
    <cellStyle name="Currency 2" xfId="436" xr:uid="{00000000-0005-0000-0000-000009010000}"/>
    <cellStyle name="Currency 2 2" xfId="1358" xr:uid="{00000000-0005-0000-0000-00000A010000}"/>
    <cellStyle name="Currency 2 2 2" xfId="1742" xr:uid="{00000000-0005-0000-0000-00000B010000}"/>
    <cellStyle name="Currency 2 3" xfId="1343" xr:uid="{00000000-0005-0000-0000-00000C010000}"/>
    <cellStyle name="Currency 2 3 2" xfId="1739" xr:uid="{00000000-0005-0000-0000-00000D010000}"/>
    <cellStyle name="Currency 2 4" xfId="1822" xr:uid="{00000000-0005-0000-0000-00000E010000}"/>
    <cellStyle name="Currency 2 5" xfId="1733" xr:uid="{00000000-0005-0000-0000-00000F010000}"/>
    <cellStyle name="Currency 3" xfId="227" xr:uid="{00000000-0005-0000-0000-000010010000}"/>
    <cellStyle name="Currency 3 2" xfId="1731" xr:uid="{00000000-0005-0000-0000-000011010000}"/>
    <cellStyle name="Currency 4" xfId="797" xr:uid="{00000000-0005-0000-0000-000012010000}"/>
    <cellStyle name="Currency 4 2" xfId="1734" xr:uid="{00000000-0005-0000-0000-000013010000}"/>
    <cellStyle name="Date" xfId="54" xr:uid="{00000000-0005-0000-0000-000014010000}"/>
    <cellStyle name="Date 2" xfId="1301" xr:uid="{00000000-0005-0000-0000-000015010000}"/>
    <cellStyle name="Date 2 2" xfId="1323" xr:uid="{00000000-0005-0000-0000-000016010000}"/>
    <cellStyle name="Date 2 3" xfId="1773" xr:uid="{00000000-0005-0000-0000-000017010000}"/>
    <cellStyle name="Date 2 4" xfId="1750" xr:uid="{00000000-0005-0000-0000-000018010000}"/>
    <cellStyle name="Decimal 1" xfId="55" xr:uid="{00000000-0005-0000-0000-000019010000}"/>
    <cellStyle name="Decimal 1 2" xfId="1302" xr:uid="{00000000-0005-0000-0000-00001A010000}"/>
    <cellStyle name="Decimal 1 2 2" xfId="1324" xr:uid="{00000000-0005-0000-0000-00001B010000}"/>
    <cellStyle name="Decimal 1 2 3" xfId="1800" xr:uid="{00000000-0005-0000-0000-00001C010000}"/>
    <cellStyle name="Decimal 1 2 4" xfId="1791" xr:uid="{00000000-0005-0000-0000-00001D010000}"/>
    <cellStyle name="Decimal 2" xfId="56" xr:uid="{00000000-0005-0000-0000-00001E010000}"/>
    <cellStyle name="Decimal 3" xfId="57" xr:uid="{00000000-0005-0000-0000-00001F010000}"/>
    <cellStyle name="Decimal 3 2" xfId="1304" xr:uid="{00000000-0005-0000-0000-000020010000}"/>
    <cellStyle name="Decimal 3 2 2" xfId="1325" xr:uid="{00000000-0005-0000-0000-000021010000}"/>
    <cellStyle name="Decimal 3 2 3" xfId="1764" xr:uid="{00000000-0005-0000-0000-000022010000}"/>
    <cellStyle name="Decimal 3 2 4" xfId="1753" xr:uid="{00000000-0005-0000-0000-000023010000}"/>
    <cellStyle name="Euro" xfId="58" xr:uid="{00000000-0005-0000-0000-000024010000}"/>
    <cellStyle name="Explanatory Text" xfId="23" builtinId="53" customBuiltin="1"/>
    <cellStyle name="Explanatory Text 2" xfId="627" xr:uid="{00000000-0005-0000-0000-000026010000}"/>
    <cellStyle name="Good" xfId="13" builtinId="26" customBuiltin="1"/>
    <cellStyle name="Good 2" xfId="636" xr:uid="{00000000-0005-0000-0000-000028010000}"/>
    <cellStyle name="Good 3" xfId="669" xr:uid="{00000000-0005-0000-0000-000029010000}"/>
    <cellStyle name="Heading 1 2" xfId="2" xr:uid="{00000000-0005-0000-0000-00002A010000}"/>
    <cellStyle name="Heading 1 2 2" xfId="152" xr:uid="{00000000-0005-0000-0000-00002B010000}"/>
    <cellStyle name="Heading 1 2 2 10" xfId="1447" xr:uid="{00000000-0005-0000-0000-00002C010000}"/>
    <cellStyle name="Heading 1 2 2 11" xfId="1439" xr:uid="{00000000-0005-0000-0000-00002D010000}"/>
    <cellStyle name="Heading 1 2 2 2" xfId="1367" xr:uid="{00000000-0005-0000-0000-00002E010000}"/>
    <cellStyle name="Heading 1 2 2 2 2" xfId="1391" xr:uid="{00000000-0005-0000-0000-00002F010000}"/>
    <cellStyle name="Heading 1 2 2 2 2 2" xfId="1397" xr:uid="{00000000-0005-0000-0000-000030010000}"/>
    <cellStyle name="Heading 1 2 2 2 2 3" xfId="1455" xr:uid="{00000000-0005-0000-0000-000031010000}"/>
    <cellStyle name="Heading 1 2 2 2 2 4" xfId="1438" xr:uid="{00000000-0005-0000-0000-000032010000}"/>
    <cellStyle name="Heading 1 2 2 2 2 5" xfId="1442" xr:uid="{00000000-0005-0000-0000-000033010000}"/>
    <cellStyle name="Heading 1 2 2 2 2 6" xfId="1446" xr:uid="{00000000-0005-0000-0000-000034010000}"/>
    <cellStyle name="Heading 1 2 2 2 2 7" xfId="1448" xr:uid="{00000000-0005-0000-0000-000035010000}"/>
    <cellStyle name="Heading 1 2 2 2 3" xfId="1414" xr:uid="{00000000-0005-0000-0000-000036010000}"/>
    <cellStyle name="Heading 1 2 2 2 4" xfId="1410" xr:uid="{00000000-0005-0000-0000-000037010000}"/>
    <cellStyle name="Heading 1 2 2 2 5" xfId="1420" xr:uid="{00000000-0005-0000-0000-000038010000}"/>
    <cellStyle name="Heading 1 2 2 2 6" xfId="1437" xr:uid="{00000000-0005-0000-0000-000039010000}"/>
    <cellStyle name="Heading 1 2 2 2 7" xfId="1434" xr:uid="{00000000-0005-0000-0000-00003A010000}"/>
    <cellStyle name="Heading 1 2 2 2 8" xfId="1424" xr:uid="{00000000-0005-0000-0000-00003B010000}"/>
    <cellStyle name="Heading 1 2 2 2 9" xfId="1440" xr:uid="{00000000-0005-0000-0000-00003C010000}"/>
    <cellStyle name="Heading 1 2 2 3" xfId="1283" xr:uid="{00000000-0005-0000-0000-00003D010000}"/>
    <cellStyle name="Heading 1 2 2 4" xfId="629" xr:uid="{00000000-0005-0000-0000-00003E010000}"/>
    <cellStyle name="Heading 1 2 2 5" xfId="1390" xr:uid="{00000000-0005-0000-0000-00003F010000}"/>
    <cellStyle name="Heading 1 2 2 5 2" xfId="1402" xr:uid="{00000000-0005-0000-0000-000040010000}"/>
    <cellStyle name="Heading 1 2 2 5 3" xfId="1458" xr:uid="{00000000-0005-0000-0000-000041010000}"/>
    <cellStyle name="Heading 1 2 2 5 4" xfId="1462" xr:uid="{00000000-0005-0000-0000-000042010000}"/>
    <cellStyle name="Heading 1 2 2 5 5" xfId="1465" xr:uid="{00000000-0005-0000-0000-000043010000}"/>
    <cellStyle name="Heading 1 2 2 5 6" xfId="1433" xr:uid="{00000000-0005-0000-0000-000044010000}"/>
    <cellStyle name="Heading 1 2 2 5 7" xfId="1467" xr:uid="{00000000-0005-0000-0000-000045010000}"/>
    <cellStyle name="Heading 1 2 2 6" xfId="1404" xr:uid="{00000000-0005-0000-0000-000046010000}"/>
    <cellStyle name="Heading 1 2 2 7" xfId="1419" xr:uid="{00000000-0005-0000-0000-000047010000}"/>
    <cellStyle name="Heading 1 2 2 8" xfId="1425" xr:uid="{00000000-0005-0000-0000-000048010000}"/>
    <cellStyle name="Heading 1 2 2 9" xfId="1444" xr:uid="{00000000-0005-0000-0000-000049010000}"/>
    <cellStyle name="Heading 1 2 3" xfId="153" xr:uid="{00000000-0005-0000-0000-00004A010000}"/>
    <cellStyle name="Heading 1 2 4" xfId="154" xr:uid="{00000000-0005-0000-0000-00004B010000}"/>
    <cellStyle name="Heading 1 2 5" xfId="1282" xr:uid="{00000000-0005-0000-0000-00004C010000}"/>
    <cellStyle name="Heading 1 2 6" xfId="1401" xr:uid="{00000000-0005-0000-0000-00004D010000}"/>
    <cellStyle name="Heading 1 2 7" xfId="1405" xr:uid="{00000000-0005-0000-0000-00004E010000}"/>
    <cellStyle name="Heading 1 2 8" xfId="151" xr:uid="{00000000-0005-0000-0000-00004F010000}"/>
    <cellStyle name="Heading 1 3" xfId="670" xr:uid="{00000000-0005-0000-0000-000050010000}"/>
    <cellStyle name="Heading 1 3 2" xfId="1758" xr:uid="{00000000-0005-0000-0000-000051010000}"/>
    <cellStyle name="Heading 1 3 3" xfId="1816" xr:uid="{00000000-0005-0000-0000-000052010000}"/>
    <cellStyle name="Heading 1 4" xfId="1597" xr:uid="{00000000-0005-0000-0000-000053010000}"/>
    <cellStyle name="Heading 2 2" xfId="612" xr:uid="{00000000-0005-0000-0000-000054010000}"/>
    <cellStyle name="Heading 2 2 2" xfId="155" xr:uid="{00000000-0005-0000-0000-000055010000}"/>
    <cellStyle name="Heading 2 2 2 2" xfId="1396" xr:uid="{00000000-0005-0000-0000-000056010000}"/>
    <cellStyle name="Heading 2 2 2 2 2" xfId="1392" xr:uid="{00000000-0005-0000-0000-000057010000}"/>
    <cellStyle name="Heading 2 2 2 2 3" xfId="1421" xr:uid="{00000000-0005-0000-0000-000058010000}"/>
    <cellStyle name="Heading 2 2 2 2 4" xfId="1422" xr:uid="{00000000-0005-0000-0000-000059010000}"/>
    <cellStyle name="Heading 2 2 2 2 5" xfId="1452" xr:uid="{00000000-0005-0000-0000-00005A010000}"/>
    <cellStyle name="Heading 2 2 2 2 6" xfId="1460" xr:uid="{00000000-0005-0000-0000-00005B010000}"/>
    <cellStyle name="Heading 2 2 2 2 7" xfId="1423" xr:uid="{00000000-0005-0000-0000-00005C010000}"/>
    <cellStyle name="Heading 2 2 2 3" xfId="1403" xr:uid="{00000000-0005-0000-0000-00005D010000}"/>
    <cellStyle name="Heading 2 2 2 4" xfId="1411" xr:uid="{00000000-0005-0000-0000-00005E010000}"/>
    <cellStyle name="Heading 2 2 2 5" xfId="1436" xr:uid="{00000000-0005-0000-0000-00005F010000}"/>
    <cellStyle name="Heading 2 2 2 6" xfId="1432" xr:uid="{00000000-0005-0000-0000-000060010000}"/>
    <cellStyle name="Heading 2 2 2 7" xfId="1449" xr:uid="{00000000-0005-0000-0000-000061010000}"/>
    <cellStyle name="Heading 2 2 2 8" xfId="1443" xr:uid="{00000000-0005-0000-0000-000062010000}"/>
    <cellStyle name="Heading 2 2 2 9" xfId="1441" xr:uid="{00000000-0005-0000-0000-000063010000}"/>
    <cellStyle name="Heading 2 2 3" xfId="156" xr:uid="{00000000-0005-0000-0000-000064010000}"/>
    <cellStyle name="Heading 2 2 4" xfId="157" xr:uid="{00000000-0005-0000-0000-000065010000}"/>
    <cellStyle name="Heading 2 2 5" xfId="1407" xr:uid="{00000000-0005-0000-0000-000066010000}"/>
    <cellStyle name="Heading 2 2 6" xfId="1406" xr:uid="{00000000-0005-0000-0000-000067010000}"/>
    <cellStyle name="Heading 2 2 7" xfId="1789" xr:uid="{00000000-0005-0000-0000-000068010000}"/>
    <cellStyle name="Heading 2 3" xfId="671" xr:uid="{00000000-0005-0000-0000-000069010000}"/>
    <cellStyle name="Heading 2 4" xfId="1500" xr:uid="{00000000-0005-0000-0000-00006A010000}"/>
    <cellStyle name="Heading 2 4 2" xfId="1728" xr:uid="{00000000-0005-0000-0000-00006B010000}"/>
    <cellStyle name="Heading 2 5" xfId="1598" xr:uid="{00000000-0005-0000-0000-00006C010000}"/>
    <cellStyle name="Heading 2 6" xfId="49" xr:uid="{00000000-0005-0000-0000-00006D010000}"/>
    <cellStyle name="Heading 3" xfId="12" builtinId="18" customBuiltin="1"/>
    <cellStyle name="Heading 3 2" xfId="635" xr:uid="{00000000-0005-0000-0000-00006F010000}"/>
    <cellStyle name="Heading 3 3" xfId="672" xr:uid="{00000000-0005-0000-0000-000070010000}"/>
    <cellStyle name="Heading 4 2" xfId="628" xr:uid="{00000000-0005-0000-0000-000071010000}"/>
    <cellStyle name="Heading 4 2 2" xfId="1366" xr:uid="{00000000-0005-0000-0000-000072010000}"/>
    <cellStyle name="Heading 4 2 3" xfId="1296" xr:uid="{00000000-0005-0000-0000-000073010000}"/>
    <cellStyle name="Heading 4 2 4" xfId="1408" xr:uid="{00000000-0005-0000-0000-000074010000}"/>
    <cellStyle name="Heading 4 2 5" xfId="1412" xr:uid="{00000000-0005-0000-0000-000075010000}"/>
    <cellStyle name="Heading 4 2 6" xfId="1825" xr:uid="{00000000-0005-0000-0000-000076010000}"/>
    <cellStyle name="Heading 4 3" xfId="673" xr:uid="{00000000-0005-0000-0000-000077010000}"/>
    <cellStyle name="Heading 4 3 2" xfId="1824" xr:uid="{00000000-0005-0000-0000-000078010000}"/>
    <cellStyle name="Heading 4 3 3" xfId="1820" xr:uid="{00000000-0005-0000-0000-000079010000}"/>
    <cellStyle name="Heading 4 4" xfId="1291" xr:uid="{00000000-0005-0000-0000-00007A010000}"/>
    <cellStyle name="Heading 4 5" xfId="1599" xr:uid="{00000000-0005-0000-0000-00007B010000}"/>
    <cellStyle name="Heading 4 6" xfId="50" xr:uid="{00000000-0005-0000-0000-00007C010000}"/>
    <cellStyle name="Hyperlink" xfId="1837" builtinId="8"/>
    <cellStyle name="Hyperlink 2" xfId="241" xr:uid="{00000000-0005-0000-0000-00007E010000}"/>
    <cellStyle name="Hyperlink 2 2" xfId="317" xr:uid="{00000000-0005-0000-0000-00007F010000}"/>
    <cellStyle name="Hyperlink 2 3" xfId="353" xr:uid="{00000000-0005-0000-0000-000080010000}"/>
    <cellStyle name="Hyperlink 2 4" xfId="358" xr:uid="{00000000-0005-0000-0000-000081010000}"/>
    <cellStyle name="Hyperlink 2 5" xfId="370" xr:uid="{00000000-0005-0000-0000-000082010000}"/>
    <cellStyle name="Hyperlink 2 6" xfId="1819" xr:uid="{00000000-0005-0000-0000-000083010000}"/>
    <cellStyle name="Hyperlink 2 7" xfId="1810" xr:uid="{00000000-0005-0000-0000-000084010000}"/>
    <cellStyle name="Hyperlink 4" xfId="343" xr:uid="{00000000-0005-0000-0000-000085010000}"/>
    <cellStyle name="Hyperlink 4 2" xfId="376" xr:uid="{00000000-0005-0000-0000-000086010000}"/>
    <cellStyle name="Input" xfId="16" builtinId="20" customBuiltin="1"/>
    <cellStyle name="Input %" xfId="59" xr:uid="{00000000-0005-0000-0000-000088010000}"/>
    <cellStyle name="Input 1" xfId="60" xr:uid="{00000000-0005-0000-0000-000089010000}"/>
    <cellStyle name="Input 1 2" xfId="1306" xr:uid="{00000000-0005-0000-0000-00008A010000}"/>
    <cellStyle name="Input 1 2 2" xfId="1326" xr:uid="{00000000-0005-0000-0000-00008B010000}"/>
    <cellStyle name="Input 1 2 3" xfId="1786" xr:uid="{00000000-0005-0000-0000-00008C010000}"/>
    <cellStyle name="Input 1 2 4" xfId="1772" xr:uid="{00000000-0005-0000-0000-00008D010000}"/>
    <cellStyle name="Input 10" xfId="736" xr:uid="{00000000-0005-0000-0000-00008E010000}"/>
    <cellStyle name="Input 10 2" xfId="1627" xr:uid="{00000000-0005-0000-0000-00008F010000}"/>
    <cellStyle name="Input 10 3" xfId="1647" xr:uid="{00000000-0005-0000-0000-000090010000}"/>
    <cellStyle name="Input 10 4" xfId="1665" xr:uid="{00000000-0005-0000-0000-000091010000}"/>
    <cellStyle name="Input 10 5" xfId="1682" xr:uid="{00000000-0005-0000-0000-000092010000}"/>
    <cellStyle name="Input 11" xfId="728" xr:uid="{00000000-0005-0000-0000-000093010000}"/>
    <cellStyle name="Input 11 2" xfId="1622" xr:uid="{00000000-0005-0000-0000-000094010000}"/>
    <cellStyle name="Input 11 3" xfId="1679" xr:uid="{00000000-0005-0000-0000-000095010000}"/>
    <cellStyle name="Input 11 4" xfId="1658" xr:uid="{00000000-0005-0000-0000-000096010000}"/>
    <cellStyle name="Input 11 5" xfId="1675" xr:uid="{00000000-0005-0000-0000-000097010000}"/>
    <cellStyle name="Input 12" xfId="739" xr:uid="{00000000-0005-0000-0000-000098010000}"/>
    <cellStyle name="Input 12 2" xfId="1628" xr:uid="{00000000-0005-0000-0000-000099010000}"/>
    <cellStyle name="Input 12 3" xfId="1691" xr:uid="{00000000-0005-0000-0000-00009A010000}"/>
    <cellStyle name="Input 12 4" xfId="1710" xr:uid="{00000000-0005-0000-0000-00009B010000}"/>
    <cellStyle name="Input 12 5" xfId="1692" xr:uid="{00000000-0005-0000-0000-00009C010000}"/>
    <cellStyle name="Input 2" xfId="610" xr:uid="{00000000-0005-0000-0000-00009D010000}"/>
    <cellStyle name="Input 2 2" xfId="1364" xr:uid="{00000000-0005-0000-0000-00009E010000}"/>
    <cellStyle name="Input 2 2 2" xfId="1630" xr:uid="{00000000-0005-0000-0000-00009F010000}"/>
    <cellStyle name="Input 2 2 3" xfId="1695" xr:uid="{00000000-0005-0000-0000-0000A0010000}"/>
    <cellStyle name="Input 2 2 4" xfId="1715" xr:uid="{00000000-0005-0000-0000-0000A1010000}"/>
    <cellStyle name="Input 2 2 5" xfId="1689" xr:uid="{00000000-0005-0000-0000-0000A2010000}"/>
    <cellStyle name="Input 2 3" xfId="1305" xr:uid="{00000000-0005-0000-0000-0000A3010000}"/>
    <cellStyle name="Input 2 4" xfId="1611" xr:uid="{00000000-0005-0000-0000-0000A4010000}"/>
    <cellStyle name="Input 2 5" xfId="1672" xr:uid="{00000000-0005-0000-0000-0000A5010000}"/>
    <cellStyle name="Input 2 6" xfId="1674" xr:uid="{00000000-0005-0000-0000-0000A6010000}"/>
    <cellStyle name="Input 2 7" xfId="1699" xr:uid="{00000000-0005-0000-0000-0000A7010000}"/>
    <cellStyle name="Input 3" xfId="61" xr:uid="{00000000-0005-0000-0000-0000A8010000}"/>
    <cellStyle name="Input 3 2" xfId="674" xr:uid="{00000000-0005-0000-0000-0000A9010000}"/>
    <cellStyle name="Input 3 2 2" xfId="1327" xr:uid="{00000000-0005-0000-0000-0000AA010000}"/>
    <cellStyle name="Input 3 2 3" xfId="1370" xr:uid="{00000000-0005-0000-0000-0000AB010000}"/>
    <cellStyle name="Input 3 2 3 2" xfId="1631" xr:uid="{00000000-0005-0000-0000-0000AC010000}"/>
    <cellStyle name="Input 3 2 3 3" xfId="1702" xr:uid="{00000000-0005-0000-0000-0000AD010000}"/>
    <cellStyle name="Input 3 2 3 4" xfId="1642" xr:uid="{00000000-0005-0000-0000-0000AE010000}"/>
    <cellStyle name="Input 3 2 3 5" xfId="1669" xr:uid="{00000000-0005-0000-0000-0000AF010000}"/>
    <cellStyle name="Input 3 2 4" xfId="1307" xr:uid="{00000000-0005-0000-0000-0000B0010000}"/>
    <cellStyle name="Input 3 2 5" xfId="1615" xr:uid="{00000000-0005-0000-0000-0000B1010000}"/>
    <cellStyle name="Input 3 2 6" xfId="1698" xr:uid="{00000000-0005-0000-0000-0000B2010000}"/>
    <cellStyle name="Input 3 2 7" xfId="1649" xr:uid="{00000000-0005-0000-0000-0000B3010000}"/>
    <cellStyle name="Input 3 2 8" xfId="1666" xr:uid="{00000000-0005-0000-0000-0000B4010000}"/>
    <cellStyle name="Input 4" xfId="731" xr:uid="{00000000-0005-0000-0000-0000B5010000}"/>
    <cellStyle name="Input 4 2" xfId="1373" xr:uid="{00000000-0005-0000-0000-0000B6010000}"/>
    <cellStyle name="Input 4 2 2" xfId="1633" xr:uid="{00000000-0005-0000-0000-0000B7010000}"/>
    <cellStyle name="Input 4 2 3" xfId="1696" xr:uid="{00000000-0005-0000-0000-0000B8010000}"/>
    <cellStyle name="Input 4 2 4" xfId="1643" xr:uid="{00000000-0005-0000-0000-0000B9010000}"/>
    <cellStyle name="Input 4 2 5" xfId="1641" xr:uid="{00000000-0005-0000-0000-0000BA010000}"/>
    <cellStyle name="Input 4 3" xfId="1318" xr:uid="{00000000-0005-0000-0000-0000BB010000}"/>
    <cellStyle name="Input 4 4" xfId="1625" xr:uid="{00000000-0005-0000-0000-0000BC010000}"/>
    <cellStyle name="Input 4 5" xfId="1677" xr:uid="{00000000-0005-0000-0000-0000BD010000}"/>
    <cellStyle name="Input 4 6" xfId="1678" xr:uid="{00000000-0005-0000-0000-0000BE010000}"/>
    <cellStyle name="Input 4 7" xfId="1704" xr:uid="{00000000-0005-0000-0000-0000BF010000}"/>
    <cellStyle name="Input 5" xfId="726" xr:uid="{00000000-0005-0000-0000-0000C0010000}"/>
    <cellStyle name="Input 5 2" xfId="1372" xr:uid="{00000000-0005-0000-0000-0000C1010000}"/>
    <cellStyle name="Input 5 2 2" xfId="1632" xr:uid="{00000000-0005-0000-0000-0000C2010000}"/>
    <cellStyle name="Input 5 2 3" xfId="1706" xr:uid="{00000000-0005-0000-0000-0000C3010000}"/>
    <cellStyle name="Input 5 2 4" xfId="1709" xr:uid="{00000000-0005-0000-0000-0000C4010000}"/>
    <cellStyle name="Input 5 2 5" xfId="1653" xr:uid="{00000000-0005-0000-0000-0000C5010000}"/>
    <cellStyle name="Input 5 3" xfId="1319" xr:uid="{00000000-0005-0000-0000-0000C6010000}"/>
    <cellStyle name="Input 5 4" xfId="1620" xr:uid="{00000000-0005-0000-0000-0000C7010000}"/>
    <cellStyle name="Input 5 5" xfId="1640" xr:uid="{00000000-0005-0000-0000-0000C8010000}"/>
    <cellStyle name="Input 5 6" xfId="1639" xr:uid="{00000000-0005-0000-0000-0000C9010000}"/>
    <cellStyle name="Input 5 7" xfId="1652" xr:uid="{00000000-0005-0000-0000-0000CA010000}"/>
    <cellStyle name="Input 6" xfId="729" xr:uid="{00000000-0005-0000-0000-0000CB010000}"/>
    <cellStyle name="Input 6 2" xfId="1623" xr:uid="{00000000-0005-0000-0000-0000CC010000}"/>
    <cellStyle name="Input 6 3" xfId="1656" xr:uid="{00000000-0005-0000-0000-0000CD010000}"/>
    <cellStyle name="Input 6 4" xfId="1716" xr:uid="{00000000-0005-0000-0000-0000CE010000}"/>
    <cellStyle name="Input 6 5" xfId="1654" xr:uid="{00000000-0005-0000-0000-0000CF010000}"/>
    <cellStyle name="Input 7" xfId="733" xr:uid="{00000000-0005-0000-0000-0000D0010000}"/>
    <cellStyle name="Input 7 2" xfId="1626" xr:uid="{00000000-0005-0000-0000-0000D1010000}"/>
    <cellStyle name="Input 7 3" xfId="1680" xr:uid="{00000000-0005-0000-0000-0000D2010000}"/>
    <cellStyle name="Input 7 4" xfId="1651" xr:uid="{00000000-0005-0000-0000-0000D3010000}"/>
    <cellStyle name="Input 7 5" xfId="1661" xr:uid="{00000000-0005-0000-0000-0000D4010000}"/>
    <cellStyle name="Input 8" xfId="730" xr:uid="{00000000-0005-0000-0000-0000D5010000}"/>
    <cellStyle name="Input 8 2" xfId="1624" xr:uid="{00000000-0005-0000-0000-0000D6010000}"/>
    <cellStyle name="Input 8 3" xfId="1667" xr:uid="{00000000-0005-0000-0000-0000D7010000}"/>
    <cellStyle name="Input 8 4" xfId="1660" xr:uid="{00000000-0005-0000-0000-0000D8010000}"/>
    <cellStyle name="Input 8 5" xfId="1714" xr:uid="{00000000-0005-0000-0000-0000D9010000}"/>
    <cellStyle name="Input 9" xfId="727" xr:uid="{00000000-0005-0000-0000-0000DA010000}"/>
    <cellStyle name="Input 9 2" xfId="1621" xr:uid="{00000000-0005-0000-0000-0000DB010000}"/>
    <cellStyle name="Input 9 3" xfId="1662" xr:uid="{00000000-0005-0000-0000-0000DC010000}"/>
    <cellStyle name="Input 9 4" xfId="1644" xr:uid="{00000000-0005-0000-0000-0000DD010000}"/>
    <cellStyle name="Input 9 5" xfId="1700" xr:uid="{00000000-0005-0000-0000-0000DE010000}"/>
    <cellStyle name="Linked Cell" xfId="19" builtinId="24" customBuiltin="1"/>
    <cellStyle name="Linked Cell 2" xfId="576" xr:uid="{00000000-0005-0000-0000-0000E0010000}"/>
    <cellStyle name="Linked Cell 3" xfId="675" xr:uid="{00000000-0005-0000-0000-0000E1010000}"/>
    <cellStyle name="Milliers [0]_EDYAN" xfId="62" xr:uid="{00000000-0005-0000-0000-0000E2010000}"/>
    <cellStyle name="Milliers_EDYAN" xfId="63" xr:uid="{00000000-0005-0000-0000-0000E3010000}"/>
    <cellStyle name="Monétaire [0]_EDYAN" xfId="64" xr:uid="{00000000-0005-0000-0000-0000E4010000}"/>
    <cellStyle name="Monétaire_EDYAN" xfId="65" xr:uid="{00000000-0005-0000-0000-0000E5010000}"/>
    <cellStyle name="Month" xfId="66" xr:uid="{00000000-0005-0000-0000-0000E6010000}"/>
    <cellStyle name="Month 2" xfId="1308" xr:uid="{00000000-0005-0000-0000-0000E7010000}"/>
    <cellStyle name="Month 2 2" xfId="1328" xr:uid="{00000000-0005-0000-0000-0000E8010000}"/>
    <cellStyle name="Month 2 3" xfId="1815" xr:uid="{00000000-0005-0000-0000-0000E9010000}"/>
    <cellStyle name="Month 2 4" xfId="1761" xr:uid="{00000000-0005-0000-0000-0000EA010000}"/>
    <cellStyle name="Neutral" xfId="15" builtinId="28" customBuiltin="1"/>
    <cellStyle name="Neutral 2" xfId="575" xr:uid="{00000000-0005-0000-0000-0000EC010000}"/>
    <cellStyle name="Neutral 3" xfId="676" xr:uid="{00000000-0005-0000-0000-0000ED010000}"/>
    <cellStyle name="Normal" xfId="0" builtinId="0"/>
    <cellStyle name="Normal - Style1" xfId="67" xr:uid="{00000000-0005-0000-0000-0000EF010000}"/>
    <cellStyle name="Normal 10" xfId="238" xr:uid="{00000000-0005-0000-0000-0000F0010000}"/>
    <cellStyle name="Normal 10 2" xfId="318" xr:uid="{00000000-0005-0000-0000-0000F1010000}"/>
    <cellStyle name="Normal 10 3" xfId="351" xr:uid="{00000000-0005-0000-0000-0000F2010000}"/>
    <cellStyle name="Normal 10 4" xfId="347" xr:uid="{00000000-0005-0000-0000-0000F3010000}"/>
    <cellStyle name="Normal 10 5" xfId="339" xr:uid="{00000000-0005-0000-0000-0000F4010000}"/>
    <cellStyle name="Normal 10 6" xfId="368" xr:uid="{00000000-0005-0000-0000-0000F5010000}"/>
    <cellStyle name="Normal 10 7" xfId="1754" xr:uid="{00000000-0005-0000-0000-0000F6010000}"/>
    <cellStyle name="Normal 10 8" xfId="1756" xr:uid="{00000000-0005-0000-0000-0000F7010000}"/>
    <cellStyle name="Normal 100" xfId="426" xr:uid="{00000000-0005-0000-0000-0000F8010000}"/>
    <cellStyle name="Normal 101" xfId="427" xr:uid="{00000000-0005-0000-0000-0000F9010000}"/>
    <cellStyle name="Normal 102" xfId="428" xr:uid="{00000000-0005-0000-0000-0000FA010000}"/>
    <cellStyle name="Normal 103" xfId="429" xr:uid="{00000000-0005-0000-0000-0000FB010000}"/>
    <cellStyle name="Normal 104" xfId="430" xr:uid="{00000000-0005-0000-0000-0000FC010000}"/>
    <cellStyle name="Normal 105" xfId="431" xr:uid="{00000000-0005-0000-0000-0000FD010000}"/>
    <cellStyle name="Normal 106" xfId="433" xr:uid="{00000000-0005-0000-0000-0000FE010000}"/>
    <cellStyle name="Normal 107" xfId="432" xr:uid="{00000000-0005-0000-0000-0000FF010000}"/>
    <cellStyle name="Normal 108" xfId="459" xr:uid="{00000000-0005-0000-0000-000000020000}"/>
    <cellStyle name="Normal 109" xfId="460" xr:uid="{00000000-0005-0000-0000-000001020000}"/>
    <cellStyle name="Normal 11" xfId="68" xr:uid="{00000000-0005-0000-0000-000002020000}"/>
    <cellStyle name="Normal 11 2" xfId="1309" xr:uid="{00000000-0005-0000-0000-000003020000}"/>
    <cellStyle name="Normal 11 2 2" xfId="1329" xr:uid="{00000000-0005-0000-0000-000004020000}"/>
    <cellStyle name="Normal 11 2 3" xfId="1783" xr:uid="{00000000-0005-0000-0000-000005020000}"/>
    <cellStyle name="Normal 11 2 4" xfId="1799" xr:uid="{00000000-0005-0000-0000-000006020000}"/>
    <cellStyle name="Normal 110" xfId="461" xr:uid="{00000000-0005-0000-0000-000007020000}"/>
    <cellStyle name="Normal 111" xfId="462" xr:uid="{00000000-0005-0000-0000-000008020000}"/>
    <cellStyle name="Normal 112" xfId="463" xr:uid="{00000000-0005-0000-0000-000009020000}"/>
    <cellStyle name="Normal 113" xfId="464" xr:uid="{00000000-0005-0000-0000-00000A020000}"/>
    <cellStyle name="Normal 114" xfId="465" xr:uid="{00000000-0005-0000-0000-00000B020000}"/>
    <cellStyle name="Normal 115" xfId="466" xr:uid="{00000000-0005-0000-0000-00000C020000}"/>
    <cellStyle name="Normal 116" xfId="472" xr:uid="{00000000-0005-0000-0000-00000D020000}"/>
    <cellStyle name="Normal 117" xfId="491" xr:uid="{00000000-0005-0000-0000-00000E020000}"/>
    <cellStyle name="Normal 118" xfId="489" xr:uid="{00000000-0005-0000-0000-00000F020000}"/>
    <cellStyle name="Normal 119" xfId="492" xr:uid="{00000000-0005-0000-0000-000010020000}"/>
    <cellStyle name="Normal 119 2" xfId="608" xr:uid="{00000000-0005-0000-0000-000011020000}"/>
    <cellStyle name="Normal 12" xfId="245" xr:uid="{00000000-0005-0000-0000-000012020000}"/>
    <cellStyle name="Normal 12 2" xfId="1798" xr:uid="{00000000-0005-0000-0000-000013020000}"/>
    <cellStyle name="Normal 12 3" xfId="1782" xr:uid="{00000000-0005-0000-0000-000014020000}"/>
    <cellStyle name="Normal 12 4" xfId="1818" xr:uid="{00000000-0005-0000-0000-000015020000}"/>
    <cellStyle name="Normal 120" xfId="493" xr:uid="{00000000-0005-0000-0000-000016020000}"/>
    <cellStyle name="Normal 120 2" xfId="603" xr:uid="{00000000-0005-0000-0000-000017020000}"/>
    <cellStyle name="Normal 121" xfId="494" xr:uid="{00000000-0005-0000-0000-000018020000}"/>
    <cellStyle name="Normal 121 2" xfId="902" xr:uid="{00000000-0005-0000-0000-000019020000}"/>
    <cellStyle name="Normal 121 2 2" xfId="1209" xr:uid="{00000000-0005-0000-0000-00001A020000}"/>
    <cellStyle name="Normal 121 3" xfId="1060" xr:uid="{00000000-0005-0000-0000-00001B020000}"/>
    <cellStyle name="Normal 121 4" xfId="591" xr:uid="{00000000-0005-0000-0000-00001C020000}"/>
    <cellStyle name="Normal 122" xfId="495" xr:uid="{00000000-0005-0000-0000-00001D020000}"/>
    <cellStyle name="Normal 122 2" xfId="906" xr:uid="{00000000-0005-0000-0000-00001E020000}"/>
    <cellStyle name="Normal 122 2 2" xfId="1213" xr:uid="{00000000-0005-0000-0000-00001F020000}"/>
    <cellStyle name="Normal 122 3" xfId="1062" xr:uid="{00000000-0005-0000-0000-000020020000}"/>
    <cellStyle name="Normal 122 4" xfId="681" xr:uid="{00000000-0005-0000-0000-000021020000}"/>
    <cellStyle name="Normal 123" xfId="496" xr:uid="{00000000-0005-0000-0000-000022020000}"/>
    <cellStyle name="Normal 123 2" xfId="928" xr:uid="{00000000-0005-0000-0000-000023020000}"/>
    <cellStyle name="Normal 123 2 2" xfId="1235" xr:uid="{00000000-0005-0000-0000-000024020000}"/>
    <cellStyle name="Normal 123 3" xfId="1084" xr:uid="{00000000-0005-0000-0000-000025020000}"/>
    <cellStyle name="Normal 123 4" xfId="703" xr:uid="{00000000-0005-0000-0000-000026020000}"/>
    <cellStyle name="Normal 124" xfId="497" xr:uid="{00000000-0005-0000-0000-000027020000}"/>
    <cellStyle name="Normal 124 2" xfId="922" xr:uid="{00000000-0005-0000-0000-000028020000}"/>
    <cellStyle name="Normal 124 2 2" xfId="1229" xr:uid="{00000000-0005-0000-0000-000029020000}"/>
    <cellStyle name="Normal 124 3" xfId="1078" xr:uid="{00000000-0005-0000-0000-00002A020000}"/>
    <cellStyle name="Normal 124 4" xfId="697" xr:uid="{00000000-0005-0000-0000-00002B020000}"/>
    <cellStyle name="Normal 125" xfId="498" xr:uid="{00000000-0005-0000-0000-00002C020000}"/>
    <cellStyle name="Normal 125 2" xfId="912" xr:uid="{00000000-0005-0000-0000-00002D020000}"/>
    <cellStyle name="Normal 125 2 2" xfId="1219" xr:uid="{00000000-0005-0000-0000-00002E020000}"/>
    <cellStyle name="Normal 125 3" xfId="1068" xr:uid="{00000000-0005-0000-0000-00002F020000}"/>
    <cellStyle name="Normal 125 4" xfId="687" xr:uid="{00000000-0005-0000-0000-000030020000}"/>
    <cellStyle name="Normal 126" xfId="499" xr:uid="{00000000-0005-0000-0000-000031020000}"/>
    <cellStyle name="Normal 126 2" xfId="923" xr:uid="{00000000-0005-0000-0000-000032020000}"/>
    <cellStyle name="Normal 126 2 2" xfId="1230" xr:uid="{00000000-0005-0000-0000-000033020000}"/>
    <cellStyle name="Normal 126 3" xfId="1079" xr:uid="{00000000-0005-0000-0000-000034020000}"/>
    <cellStyle name="Normal 126 4" xfId="698" xr:uid="{00000000-0005-0000-0000-000035020000}"/>
    <cellStyle name="Normal 127" xfId="500" xr:uid="{00000000-0005-0000-0000-000036020000}"/>
    <cellStyle name="Normal 127 2" xfId="929" xr:uid="{00000000-0005-0000-0000-000037020000}"/>
    <cellStyle name="Normal 127 2 2" xfId="1236" xr:uid="{00000000-0005-0000-0000-000038020000}"/>
    <cellStyle name="Normal 127 3" xfId="1085" xr:uid="{00000000-0005-0000-0000-000039020000}"/>
    <cellStyle name="Normal 127 4" xfId="704" xr:uid="{00000000-0005-0000-0000-00003A020000}"/>
    <cellStyle name="Normal 128" xfId="501" xr:uid="{00000000-0005-0000-0000-00003B020000}"/>
    <cellStyle name="Normal 128 2" xfId="935" xr:uid="{00000000-0005-0000-0000-00003C020000}"/>
    <cellStyle name="Normal 128 2 2" xfId="1242" xr:uid="{00000000-0005-0000-0000-00003D020000}"/>
    <cellStyle name="Normal 128 3" xfId="1091" xr:uid="{00000000-0005-0000-0000-00003E020000}"/>
    <cellStyle name="Normal 128 4" xfId="710" xr:uid="{00000000-0005-0000-0000-00003F020000}"/>
    <cellStyle name="Normal 129" xfId="502" xr:uid="{00000000-0005-0000-0000-000040020000}"/>
    <cellStyle name="Normal 129 2" xfId="910" xr:uid="{00000000-0005-0000-0000-000041020000}"/>
    <cellStyle name="Normal 129 2 2" xfId="1217" xr:uid="{00000000-0005-0000-0000-000042020000}"/>
    <cellStyle name="Normal 129 3" xfId="1066" xr:uid="{00000000-0005-0000-0000-000043020000}"/>
    <cellStyle name="Normal 129 4" xfId="685" xr:uid="{00000000-0005-0000-0000-000044020000}"/>
    <cellStyle name="Normal 13" xfId="246" xr:uid="{00000000-0005-0000-0000-000045020000}"/>
    <cellStyle name="Normal 130" xfId="503" xr:uid="{00000000-0005-0000-0000-000046020000}"/>
    <cellStyle name="Normal 130 2" xfId="917" xr:uid="{00000000-0005-0000-0000-000047020000}"/>
    <cellStyle name="Normal 130 2 2" xfId="1224" xr:uid="{00000000-0005-0000-0000-000048020000}"/>
    <cellStyle name="Normal 130 3" xfId="1073" xr:uid="{00000000-0005-0000-0000-000049020000}"/>
    <cellStyle name="Normal 130 4" xfId="692" xr:uid="{00000000-0005-0000-0000-00004A020000}"/>
    <cellStyle name="Normal 131" xfId="504" xr:uid="{00000000-0005-0000-0000-00004B020000}"/>
    <cellStyle name="Normal 131 2" xfId="926" xr:uid="{00000000-0005-0000-0000-00004C020000}"/>
    <cellStyle name="Normal 131 2 2" xfId="1233" xr:uid="{00000000-0005-0000-0000-00004D020000}"/>
    <cellStyle name="Normal 131 3" xfId="1082" xr:uid="{00000000-0005-0000-0000-00004E020000}"/>
    <cellStyle name="Normal 131 4" xfId="701" xr:uid="{00000000-0005-0000-0000-00004F020000}"/>
    <cellStyle name="Normal 132" xfId="505" xr:uid="{00000000-0005-0000-0000-000050020000}"/>
    <cellStyle name="Normal 132 2" xfId="916" xr:uid="{00000000-0005-0000-0000-000051020000}"/>
    <cellStyle name="Normal 132 2 2" xfId="1223" xr:uid="{00000000-0005-0000-0000-000052020000}"/>
    <cellStyle name="Normal 132 3" xfId="1072" xr:uid="{00000000-0005-0000-0000-000053020000}"/>
    <cellStyle name="Normal 132 4" xfId="691" xr:uid="{00000000-0005-0000-0000-000054020000}"/>
    <cellStyle name="Normal 133" xfId="506" xr:uid="{00000000-0005-0000-0000-000055020000}"/>
    <cellStyle name="Normal 133 2" xfId="924" xr:uid="{00000000-0005-0000-0000-000056020000}"/>
    <cellStyle name="Normal 133 2 2" xfId="1231" xr:uid="{00000000-0005-0000-0000-000057020000}"/>
    <cellStyle name="Normal 133 3" xfId="1080" xr:uid="{00000000-0005-0000-0000-000058020000}"/>
    <cellStyle name="Normal 133 4" xfId="699" xr:uid="{00000000-0005-0000-0000-000059020000}"/>
    <cellStyle name="Normal 134" xfId="507" xr:uid="{00000000-0005-0000-0000-00005A020000}"/>
    <cellStyle name="Normal 134 2" xfId="932" xr:uid="{00000000-0005-0000-0000-00005B020000}"/>
    <cellStyle name="Normal 134 2 2" xfId="1239" xr:uid="{00000000-0005-0000-0000-00005C020000}"/>
    <cellStyle name="Normal 134 3" xfId="1088" xr:uid="{00000000-0005-0000-0000-00005D020000}"/>
    <cellStyle name="Normal 134 4" xfId="707" xr:uid="{00000000-0005-0000-0000-00005E020000}"/>
    <cellStyle name="Normal 135" xfId="508" xr:uid="{00000000-0005-0000-0000-00005F020000}"/>
    <cellStyle name="Normal 135 2" xfId="933" xr:uid="{00000000-0005-0000-0000-000060020000}"/>
    <cellStyle name="Normal 135 2 2" xfId="1240" xr:uid="{00000000-0005-0000-0000-000061020000}"/>
    <cellStyle name="Normal 135 3" xfId="1089" xr:uid="{00000000-0005-0000-0000-000062020000}"/>
    <cellStyle name="Normal 135 4" xfId="708" xr:uid="{00000000-0005-0000-0000-000063020000}"/>
    <cellStyle name="Normal 136" xfId="509" xr:uid="{00000000-0005-0000-0000-000064020000}"/>
    <cellStyle name="Normal 136 2" xfId="927" xr:uid="{00000000-0005-0000-0000-000065020000}"/>
    <cellStyle name="Normal 136 2 2" xfId="1234" xr:uid="{00000000-0005-0000-0000-000066020000}"/>
    <cellStyle name="Normal 136 3" xfId="1083" xr:uid="{00000000-0005-0000-0000-000067020000}"/>
    <cellStyle name="Normal 136 4" xfId="702" xr:uid="{00000000-0005-0000-0000-000068020000}"/>
    <cellStyle name="Normal 137" xfId="510" xr:uid="{00000000-0005-0000-0000-000069020000}"/>
    <cellStyle name="Normal 137 2" xfId="925" xr:uid="{00000000-0005-0000-0000-00006A020000}"/>
    <cellStyle name="Normal 137 2 2" xfId="1232" xr:uid="{00000000-0005-0000-0000-00006B020000}"/>
    <cellStyle name="Normal 137 3" xfId="1081" xr:uid="{00000000-0005-0000-0000-00006C020000}"/>
    <cellStyle name="Normal 137 4" xfId="700" xr:uid="{00000000-0005-0000-0000-00006D020000}"/>
    <cellStyle name="Normal 138" xfId="511" xr:uid="{00000000-0005-0000-0000-00006E020000}"/>
    <cellStyle name="Normal 138 2" xfId="913" xr:uid="{00000000-0005-0000-0000-00006F020000}"/>
    <cellStyle name="Normal 138 2 2" xfId="1220" xr:uid="{00000000-0005-0000-0000-000070020000}"/>
    <cellStyle name="Normal 138 3" xfId="1069" xr:uid="{00000000-0005-0000-0000-000071020000}"/>
    <cellStyle name="Normal 138 4" xfId="688" xr:uid="{00000000-0005-0000-0000-000072020000}"/>
    <cellStyle name="Normal 139" xfId="512" xr:uid="{00000000-0005-0000-0000-000073020000}"/>
    <cellStyle name="Normal 139 2" xfId="911" xr:uid="{00000000-0005-0000-0000-000074020000}"/>
    <cellStyle name="Normal 139 2 2" xfId="1218" xr:uid="{00000000-0005-0000-0000-000075020000}"/>
    <cellStyle name="Normal 139 3" xfId="1067" xr:uid="{00000000-0005-0000-0000-000076020000}"/>
    <cellStyle name="Normal 139 4" xfId="686" xr:uid="{00000000-0005-0000-0000-000077020000}"/>
    <cellStyle name="Normal 14" xfId="251" xr:uid="{00000000-0005-0000-0000-000078020000}"/>
    <cellStyle name="Normal 140" xfId="513" xr:uid="{00000000-0005-0000-0000-000079020000}"/>
    <cellStyle name="Normal 140 2" xfId="909" xr:uid="{00000000-0005-0000-0000-00007A020000}"/>
    <cellStyle name="Normal 140 2 2" xfId="1216" xr:uid="{00000000-0005-0000-0000-00007B020000}"/>
    <cellStyle name="Normal 140 3" xfId="1065" xr:uid="{00000000-0005-0000-0000-00007C020000}"/>
    <cellStyle name="Normal 140 4" xfId="684" xr:uid="{00000000-0005-0000-0000-00007D020000}"/>
    <cellStyle name="Normal 141" xfId="514" xr:uid="{00000000-0005-0000-0000-00007E020000}"/>
    <cellStyle name="Normal 141 2" xfId="930" xr:uid="{00000000-0005-0000-0000-00007F020000}"/>
    <cellStyle name="Normal 141 2 2" xfId="1237" xr:uid="{00000000-0005-0000-0000-000080020000}"/>
    <cellStyle name="Normal 141 3" xfId="1086" xr:uid="{00000000-0005-0000-0000-000081020000}"/>
    <cellStyle name="Normal 141 4" xfId="705" xr:uid="{00000000-0005-0000-0000-000082020000}"/>
    <cellStyle name="Normal 142" xfId="515" xr:uid="{00000000-0005-0000-0000-000083020000}"/>
    <cellStyle name="Normal 142 2" xfId="918" xr:uid="{00000000-0005-0000-0000-000084020000}"/>
    <cellStyle name="Normal 142 2 2" xfId="1225" xr:uid="{00000000-0005-0000-0000-000085020000}"/>
    <cellStyle name="Normal 142 3" xfId="1074" xr:uid="{00000000-0005-0000-0000-000086020000}"/>
    <cellStyle name="Normal 142 4" xfId="693" xr:uid="{00000000-0005-0000-0000-000087020000}"/>
    <cellStyle name="Normal 143" xfId="516" xr:uid="{00000000-0005-0000-0000-000088020000}"/>
    <cellStyle name="Normal 143 2" xfId="934" xr:uid="{00000000-0005-0000-0000-000089020000}"/>
    <cellStyle name="Normal 143 2 2" xfId="1241" xr:uid="{00000000-0005-0000-0000-00008A020000}"/>
    <cellStyle name="Normal 143 3" xfId="1090" xr:uid="{00000000-0005-0000-0000-00008B020000}"/>
    <cellStyle name="Normal 143 4" xfId="709" xr:uid="{00000000-0005-0000-0000-00008C020000}"/>
    <cellStyle name="Normal 144" xfId="517" xr:uid="{00000000-0005-0000-0000-00008D020000}"/>
    <cellStyle name="Normal 144 2" xfId="936" xr:uid="{00000000-0005-0000-0000-00008E020000}"/>
    <cellStyle name="Normal 144 2 2" xfId="1243" xr:uid="{00000000-0005-0000-0000-00008F020000}"/>
    <cellStyle name="Normal 144 3" xfId="1092" xr:uid="{00000000-0005-0000-0000-000090020000}"/>
    <cellStyle name="Normal 144 4" xfId="711" xr:uid="{00000000-0005-0000-0000-000091020000}"/>
    <cellStyle name="Normal 145" xfId="518" xr:uid="{00000000-0005-0000-0000-000092020000}"/>
    <cellStyle name="Normal 145 2" xfId="931" xr:uid="{00000000-0005-0000-0000-000093020000}"/>
    <cellStyle name="Normal 145 2 2" xfId="1238" xr:uid="{00000000-0005-0000-0000-000094020000}"/>
    <cellStyle name="Normal 145 3" xfId="1087" xr:uid="{00000000-0005-0000-0000-000095020000}"/>
    <cellStyle name="Normal 145 4" xfId="706" xr:uid="{00000000-0005-0000-0000-000096020000}"/>
    <cellStyle name="Normal 146" xfId="519" xr:uid="{00000000-0005-0000-0000-000097020000}"/>
    <cellStyle name="Normal 146 2" xfId="944" xr:uid="{00000000-0005-0000-0000-000098020000}"/>
    <cellStyle name="Normal 146 2 2" xfId="1248" xr:uid="{00000000-0005-0000-0000-000099020000}"/>
    <cellStyle name="Normal 146 3" xfId="1097" xr:uid="{00000000-0005-0000-0000-00009A020000}"/>
    <cellStyle name="Normal 146 4" xfId="719" xr:uid="{00000000-0005-0000-0000-00009B020000}"/>
    <cellStyle name="Normal 147" xfId="520" xr:uid="{00000000-0005-0000-0000-00009C020000}"/>
    <cellStyle name="Normal 147 2" xfId="921" xr:uid="{00000000-0005-0000-0000-00009D020000}"/>
    <cellStyle name="Normal 147 2 2" xfId="1228" xr:uid="{00000000-0005-0000-0000-00009E020000}"/>
    <cellStyle name="Normal 147 3" xfId="1077" xr:uid="{00000000-0005-0000-0000-00009F020000}"/>
    <cellStyle name="Normal 147 4" xfId="696" xr:uid="{00000000-0005-0000-0000-0000A0020000}"/>
    <cellStyle name="Normal 148" xfId="521" xr:uid="{00000000-0005-0000-0000-0000A1020000}"/>
    <cellStyle name="Normal 148 2" xfId="943" xr:uid="{00000000-0005-0000-0000-0000A2020000}"/>
    <cellStyle name="Normal 148 2 2" xfId="1247" xr:uid="{00000000-0005-0000-0000-0000A3020000}"/>
    <cellStyle name="Normal 148 3" xfId="1096" xr:uid="{00000000-0005-0000-0000-0000A4020000}"/>
    <cellStyle name="Normal 148 4" xfId="718" xr:uid="{00000000-0005-0000-0000-0000A5020000}"/>
    <cellStyle name="Normal 149" xfId="522" xr:uid="{00000000-0005-0000-0000-0000A6020000}"/>
    <cellStyle name="Normal 149 2" xfId="938" xr:uid="{00000000-0005-0000-0000-0000A7020000}"/>
    <cellStyle name="Normal 149 2 2" xfId="1245" xr:uid="{00000000-0005-0000-0000-0000A8020000}"/>
    <cellStyle name="Normal 149 3" xfId="1094" xr:uid="{00000000-0005-0000-0000-0000A9020000}"/>
    <cellStyle name="Normal 149 4" xfId="713" xr:uid="{00000000-0005-0000-0000-0000AA020000}"/>
    <cellStyle name="Normal 15" xfId="10" xr:uid="{00000000-0005-0000-0000-0000AB020000}"/>
    <cellStyle name="Normal 15 2" xfId="252" xr:uid="{00000000-0005-0000-0000-0000AC020000}"/>
    <cellStyle name="Normal 150" xfId="523" xr:uid="{00000000-0005-0000-0000-0000AD020000}"/>
    <cellStyle name="Normal 150 2" xfId="907" xr:uid="{00000000-0005-0000-0000-0000AE020000}"/>
    <cellStyle name="Normal 150 2 2" xfId="1214" xr:uid="{00000000-0005-0000-0000-0000AF020000}"/>
    <cellStyle name="Normal 150 3" xfId="1063" xr:uid="{00000000-0005-0000-0000-0000B0020000}"/>
    <cellStyle name="Normal 150 4" xfId="682" xr:uid="{00000000-0005-0000-0000-0000B1020000}"/>
    <cellStyle name="Normal 151" xfId="524" xr:uid="{00000000-0005-0000-0000-0000B2020000}"/>
    <cellStyle name="Normal 151 2" xfId="915" xr:uid="{00000000-0005-0000-0000-0000B3020000}"/>
    <cellStyle name="Normal 151 2 2" xfId="1222" xr:uid="{00000000-0005-0000-0000-0000B4020000}"/>
    <cellStyle name="Normal 151 3" xfId="1071" xr:uid="{00000000-0005-0000-0000-0000B5020000}"/>
    <cellStyle name="Normal 151 4" xfId="690" xr:uid="{00000000-0005-0000-0000-0000B6020000}"/>
    <cellStyle name="Normal 152" xfId="525" xr:uid="{00000000-0005-0000-0000-0000B7020000}"/>
    <cellStyle name="Normal 152 2" xfId="946" xr:uid="{00000000-0005-0000-0000-0000B8020000}"/>
    <cellStyle name="Normal 152 2 2" xfId="1250" xr:uid="{00000000-0005-0000-0000-0000B9020000}"/>
    <cellStyle name="Normal 152 3" xfId="1099" xr:uid="{00000000-0005-0000-0000-0000BA020000}"/>
    <cellStyle name="Normal 152 4" xfId="721" xr:uid="{00000000-0005-0000-0000-0000BB020000}"/>
    <cellStyle name="Normal 153" xfId="526" xr:uid="{00000000-0005-0000-0000-0000BC020000}"/>
    <cellStyle name="Normal 153 2" xfId="937" xr:uid="{00000000-0005-0000-0000-0000BD020000}"/>
    <cellStyle name="Normal 153 2 2" xfId="1244" xr:uid="{00000000-0005-0000-0000-0000BE020000}"/>
    <cellStyle name="Normal 153 3" xfId="1093" xr:uid="{00000000-0005-0000-0000-0000BF020000}"/>
    <cellStyle name="Normal 153 4" xfId="712" xr:uid="{00000000-0005-0000-0000-0000C0020000}"/>
    <cellStyle name="Normal 154" xfId="527" xr:uid="{00000000-0005-0000-0000-0000C1020000}"/>
    <cellStyle name="Normal 154 2" xfId="945" xr:uid="{00000000-0005-0000-0000-0000C2020000}"/>
    <cellStyle name="Normal 154 2 2" xfId="1249" xr:uid="{00000000-0005-0000-0000-0000C3020000}"/>
    <cellStyle name="Normal 154 3" xfId="1098" xr:uid="{00000000-0005-0000-0000-0000C4020000}"/>
    <cellStyle name="Normal 154 4" xfId="720" xr:uid="{00000000-0005-0000-0000-0000C5020000}"/>
    <cellStyle name="Normal 155" xfId="528" xr:uid="{00000000-0005-0000-0000-0000C6020000}"/>
    <cellStyle name="Normal 155 2" xfId="908" xr:uid="{00000000-0005-0000-0000-0000C7020000}"/>
    <cellStyle name="Normal 155 2 2" xfId="1215" xr:uid="{00000000-0005-0000-0000-0000C8020000}"/>
    <cellStyle name="Normal 155 3" xfId="1064" xr:uid="{00000000-0005-0000-0000-0000C9020000}"/>
    <cellStyle name="Normal 155 4" xfId="683" xr:uid="{00000000-0005-0000-0000-0000CA020000}"/>
    <cellStyle name="Normal 156" xfId="529" xr:uid="{00000000-0005-0000-0000-0000CB020000}"/>
    <cellStyle name="Normal 156 2" xfId="949" xr:uid="{00000000-0005-0000-0000-0000CC020000}"/>
    <cellStyle name="Normal 156 2 2" xfId="1253" xr:uid="{00000000-0005-0000-0000-0000CD020000}"/>
    <cellStyle name="Normal 156 3" xfId="1102" xr:uid="{00000000-0005-0000-0000-0000CE020000}"/>
    <cellStyle name="Normal 156 4" xfId="724" xr:uid="{00000000-0005-0000-0000-0000CF020000}"/>
    <cellStyle name="Normal 157" xfId="530" xr:uid="{00000000-0005-0000-0000-0000D0020000}"/>
    <cellStyle name="Normal 157 2" xfId="919" xr:uid="{00000000-0005-0000-0000-0000D1020000}"/>
    <cellStyle name="Normal 157 2 2" xfId="1226" xr:uid="{00000000-0005-0000-0000-0000D2020000}"/>
    <cellStyle name="Normal 157 3" xfId="1075" xr:uid="{00000000-0005-0000-0000-0000D3020000}"/>
    <cellStyle name="Normal 157 4" xfId="694" xr:uid="{00000000-0005-0000-0000-0000D4020000}"/>
    <cellStyle name="Normal 158" xfId="531" xr:uid="{00000000-0005-0000-0000-0000D5020000}"/>
    <cellStyle name="Normal 158 2" xfId="948" xr:uid="{00000000-0005-0000-0000-0000D6020000}"/>
    <cellStyle name="Normal 158 2 2" xfId="1252" xr:uid="{00000000-0005-0000-0000-0000D7020000}"/>
    <cellStyle name="Normal 158 3" xfId="1101" xr:uid="{00000000-0005-0000-0000-0000D8020000}"/>
    <cellStyle name="Normal 158 4" xfId="723" xr:uid="{00000000-0005-0000-0000-0000D9020000}"/>
    <cellStyle name="Normal 159" xfId="532" xr:uid="{00000000-0005-0000-0000-0000DA020000}"/>
    <cellStyle name="Normal 159 2" xfId="914" xr:uid="{00000000-0005-0000-0000-0000DB020000}"/>
    <cellStyle name="Normal 159 2 2" xfId="1221" xr:uid="{00000000-0005-0000-0000-0000DC020000}"/>
    <cellStyle name="Normal 159 3" xfId="1070" xr:uid="{00000000-0005-0000-0000-0000DD020000}"/>
    <cellStyle name="Normal 159 4" xfId="689" xr:uid="{00000000-0005-0000-0000-0000DE020000}"/>
    <cellStyle name="Normal 16" xfId="255" xr:uid="{00000000-0005-0000-0000-0000DF020000}"/>
    <cellStyle name="Normal 16 2 2" xfId="11" xr:uid="{00000000-0005-0000-0000-0000E0020000}"/>
    <cellStyle name="Normal 160" xfId="533" xr:uid="{00000000-0005-0000-0000-0000E1020000}"/>
    <cellStyle name="Normal 160 2" xfId="920" xr:uid="{00000000-0005-0000-0000-0000E2020000}"/>
    <cellStyle name="Normal 160 2 2" xfId="1227" xr:uid="{00000000-0005-0000-0000-0000E3020000}"/>
    <cellStyle name="Normal 160 3" xfId="1076" xr:uid="{00000000-0005-0000-0000-0000E4020000}"/>
    <cellStyle name="Normal 160 4" xfId="695" xr:uid="{00000000-0005-0000-0000-0000E5020000}"/>
    <cellStyle name="Normal 161" xfId="534" xr:uid="{00000000-0005-0000-0000-0000E6020000}"/>
    <cellStyle name="Normal 161 2" xfId="942" xr:uid="{00000000-0005-0000-0000-0000E7020000}"/>
    <cellStyle name="Normal 161 2 2" xfId="1246" xr:uid="{00000000-0005-0000-0000-0000E8020000}"/>
    <cellStyle name="Normal 161 3" xfId="1095" xr:uid="{00000000-0005-0000-0000-0000E9020000}"/>
    <cellStyle name="Normal 161 4" xfId="717" xr:uid="{00000000-0005-0000-0000-0000EA020000}"/>
    <cellStyle name="Normal 162" xfId="535" xr:uid="{00000000-0005-0000-0000-0000EB020000}"/>
    <cellStyle name="Normal 162 2" xfId="947" xr:uid="{00000000-0005-0000-0000-0000EC020000}"/>
    <cellStyle name="Normal 162 2 2" xfId="1251" xr:uid="{00000000-0005-0000-0000-0000ED020000}"/>
    <cellStyle name="Normal 162 3" xfId="1100" xr:uid="{00000000-0005-0000-0000-0000EE020000}"/>
    <cellStyle name="Normal 162 4" xfId="722" xr:uid="{00000000-0005-0000-0000-0000EF020000}"/>
    <cellStyle name="Normal 163" xfId="536" xr:uid="{00000000-0005-0000-0000-0000F0020000}"/>
    <cellStyle name="Normal 163 2" xfId="725" xr:uid="{00000000-0005-0000-0000-0000F1020000}"/>
    <cellStyle name="Normal 164" xfId="537" xr:uid="{00000000-0005-0000-0000-0000F2020000}"/>
    <cellStyle name="Normal 164 2" xfId="732" xr:uid="{00000000-0005-0000-0000-0000F3020000}"/>
    <cellStyle name="Normal 165" xfId="538" xr:uid="{00000000-0005-0000-0000-0000F4020000}"/>
    <cellStyle name="Normal 165 2" xfId="735" xr:uid="{00000000-0005-0000-0000-0000F5020000}"/>
    <cellStyle name="Normal 166" xfId="539" xr:uid="{00000000-0005-0000-0000-0000F6020000}"/>
    <cellStyle name="Normal 166 2" xfId="737" xr:uid="{00000000-0005-0000-0000-0000F7020000}"/>
    <cellStyle name="Normal 167" xfId="540" xr:uid="{00000000-0005-0000-0000-0000F8020000}"/>
    <cellStyle name="Normal 167 2" xfId="738" xr:uid="{00000000-0005-0000-0000-0000F9020000}"/>
    <cellStyle name="Normal 168" xfId="541" xr:uid="{00000000-0005-0000-0000-0000FA020000}"/>
    <cellStyle name="Normal 168 2" xfId="740" xr:uid="{00000000-0005-0000-0000-0000FB020000}"/>
    <cellStyle name="Normal 169" xfId="542" xr:uid="{00000000-0005-0000-0000-0000FC020000}"/>
    <cellStyle name="Normal 169 2" xfId="734" xr:uid="{00000000-0005-0000-0000-0000FD020000}"/>
    <cellStyle name="Normal 17" xfId="258" xr:uid="{00000000-0005-0000-0000-0000FE020000}"/>
    <cellStyle name="Normal 170" xfId="543" xr:uid="{00000000-0005-0000-0000-0000FF020000}"/>
    <cellStyle name="Normal 170 2" xfId="741" xr:uid="{00000000-0005-0000-0000-000000030000}"/>
    <cellStyle name="Normal 171" xfId="544" xr:uid="{00000000-0005-0000-0000-000001030000}"/>
    <cellStyle name="Normal 171 2" xfId="742" xr:uid="{00000000-0005-0000-0000-000002030000}"/>
    <cellStyle name="Normal 172" xfId="545" xr:uid="{00000000-0005-0000-0000-000003030000}"/>
    <cellStyle name="Normal 172 2" xfId="950" xr:uid="{00000000-0005-0000-0000-000004030000}"/>
    <cellStyle name="Normal 172 2 2" xfId="1254" xr:uid="{00000000-0005-0000-0000-000005030000}"/>
    <cellStyle name="Normal 172 3" xfId="1103" xr:uid="{00000000-0005-0000-0000-000006030000}"/>
    <cellStyle name="Normal 172 4" xfId="743" xr:uid="{00000000-0005-0000-0000-000007030000}"/>
    <cellStyle name="Normal 173" xfId="546" xr:uid="{00000000-0005-0000-0000-000008030000}"/>
    <cellStyle name="Normal 174" xfId="547" xr:uid="{00000000-0005-0000-0000-000009030000}"/>
    <cellStyle name="Normal 175" xfId="548" xr:uid="{00000000-0005-0000-0000-00000A030000}"/>
    <cellStyle name="Normal 176" xfId="549" xr:uid="{00000000-0005-0000-0000-00000B030000}"/>
    <cellStyle name="Normal 177" xfId="550" xr:uid="{00000000-0005-0000-0000-00000C030000}"/>
    <cellStyle name="Normal 178" xfId="551" xr:uid="{00000000-0005-0000-0000-00000D030000}"/>
    <cellStyle name="Normal 179" xfId="552" xr:uid="{00000000-0005-0000-0000-00000E030000}"/>
    <cellStyle name="Normal 18" xfId="261" xr:uid="{00000000-0005-0000-0000-00000F030000}"/>
    <cellStyle name="Normal 180" xfId="553" xr:uid="{00000000-0005-0000-0000-000010030000}"/>
    <cellStyle name="Normal 181" xfId="554" xr:uid="{00000000-0005-0000-0000-000011030000}"/>
    <cellStyle name="Normal 182" xfId="555" xr:uid="{00000000-0005-0000-0000-000012030000}"/>
    <cellStyle name="Normal 183" xfId="556" xr:uid="{00000000-0005-0000-0000-000013030000}"/>
    <cellStyle name="Normal 184" xfId="557" xr:uid="{00000000-0005-0000-0000-000014030000}"/>
    <cellStyle name="Normal 185" xfId="558" xr:uid="{00000000-0005-0000-0000-000015030000}"/>
    <cellStyle name="Normal 186" xfId="559" xr:uid="{00000000-0005-0000-0000-000016030000}"/>
    <cellStyle name="Normal 187" xfId="560" xr:uid="{00000000-0005-0000-0000-000017030000}"/>
    <cellStyle name="Normal 188" xfId="561" xr:uid="{00000000-0005-0000-0000-000018030000}"/>
    <cellStyle name="Normal 189" xfId="562" xr:uid="{00000000-0005-0000-0000-000019030000}"/>
    <cellStyle name="Normal 19" xfId="264" xr:uid="{00000000-0005-0000-0000-00001A030000}"/>
    <cellStyle name="Normal 190" xfId="563" xr:uid="{00000000-0005-0000-0000-00001B030000}"/>
    <cellStyle name="Normal 191" xfId="564" xr:uid="{00000000-0005-0000-0000-00001C030000}"/>
    <cellStyle name="Normal 192" xfId="565" xr:uid="{00000000-0005-0000-0000-00001D030000}"/>
    <cellStyle name="Normal 193" xfId="566" xr:uid="{00000000-0005-0000-0000-00001E030000}"/>
    <cellStyle name="Normal 194" xfId="224" xr:uid="{00000000-0005-0000-0000-00001F030000}"/>
    <cellStyle name="Normal 194 2" xfId="747" xr:uid="{00000000-0005-0000-0000-000020030000}"/>
    <cellStyle name="Normal 195" xfId="567" xr:uid="{00000000-0005-0000-0000-000021030000}"/>
    <cellStyle name="Normal 195 2" xfId="748" xr:uid="{00000000-0005-0000-0000-000022030000}"/>
    <cellStyle name="Normal 196" xfId="749" xr:uid="{00000000-0005-0000-0000-000023030000}"/>
    <cellStyle name="Normal 197" xfId="750" xr:uid="{00000000-0005-0000-0000-000024030000}"/>
    <cellStyle name="Normal 198" xfId="751" xr:uid="{00000000-0005-0000-0000-000025030000}"/>
    <cellStyle name="Normal 199" xfId="752" xr:uid="{00000000-0005-0000-0000-000026030000}"/>
    <cellStyle name="Normal 2" xfId="1" xr:uid="{00000000-0005-0000-0000-000027030000}"/>
    <cellStyle name="Normal 2 10" xfId="338" xr:uid="{00000000-0005-0000-0000-000028030000}"/>
    <cellStyle name="Normal 2 10 2" xfId="456" xr:uid="{00000000-0005-0000-0000-000029030000}"/>
    <cellStyle name="Normal 2 10 2 2" xfId="877" xr:uid="{00000000-0005-0000-0000-00002A030000}"/>
    <cellStyle name="Normal 2 10 2 2 2" xfId="1184" xr:uid="{00000000-0005-0000-0000-00002B030000}"/>
    <cellStyle name="Normal 2 10 2 3" xfId="1035" xr:uid="{00000000-0005-0000-0000-00002C030000}"/>
    <cellStyle name="Normal 2 10 3" xfId="487" xr:uid="{00000000-0005-0000-0000-00002D030000}"/>
    <cellStyle name="Normal 2 10 3 2" xfId="899" xr:uid="{00000000-0005-0000-0000-00002E030000}"/>
    <cellStyle name="Normal 2 10 3 2 2" xfId="1206" xr:uid="{00000000-0005-0000-0000-00002F030000}"/>
    <cellStyle name="Normal 2 10 3 3" xfId="1057" xr:uid="{00000000-0005-0000-0000-000030030000}"/>
    <cellStyle name="Normal 2 10 4" xfId="614" xr:uid="{00000000-0005-0000-0000-000031030000}"/>
    <cellStyle name="Normal 2 10 4 2" xfId="852" xr:uid="{00000000-0005-0000-0000-000032030000}"/>
    <cellStyle name="Normal 2 10 4 2 2" xfId="1161" xr:uid="{00000000-0005-0000-0000-000033030000}"/>
    <cellStyle name="Normal 2 10 4 3" xfId="1013" xr:uid="{00000000-0005-0000-0000-000034030000}"/>
    <cellStyle name="Normal 2 10 5" xfId="813" xr:uid="{00000000-0005-0000-0000-000035030000}"/>
    <cellStyle name="Normal 2 10 5 2" xfId="1125" xr:uid="{00000000-0005-0000-0000-000036030000}"/>
    <cellStyle name="Normal 2 10 6" xfId="990" xr:uid="{00000000-0005-0000-0000-000037030000}"/>
    <cellStyle name="Normal 2 11" xfId="342" xr:uid="{00000000-0005-0000-0000-000038030000}"/>
    <cellStyle name="Normal 2 11 2" xfId="457" xr:uid="{00000000-0005-0000-0000-000039030000}"/>
    <cellStyle name="Normal 2 11 2 2" xfId="878" xr:uid="{00000000-0005-0000-0000-00003A030000}"/>
    <cellStyle name="Normal 2 11 2 2 2" xfId="1185" xr:uid="{00000000-0005-0000-0000-00003B030000}"/>
    <cellStyle name="Normal 2 11 2 3" xfId="1036" xr:uid="{00000000-0005-0000-0000-00003C030000}"/>
    <cellStyle name="Normal 2 11 3" xfId="488" xr:uid="{00000000-0005-0000-0000-00003D030000}"/>
    <cellStyle name="Normal 2 11 3 2" xfId="900" xr:uid="{00000000-0005-0000-0000-00003E030000}"/>
    <cellStyle name="Normal 2 11 3 2 2" xfId="1207" xr:uid="{00000000-0005-0000-0000-00003F030000}"/>
    <cellStyle name="Normal 2 11 3 3" xfId="1058" xr:uid="{00000000-0005-0000-0000-000040030000}"/>
    <cellStyle name="Normal 2 11 4" xfId="637" xr:uid="{00000000-0005-0000-0000-000041030000}"/>
    <cellStyle name="Normal 2 11 4 2" xfId="853" xr:uid="{00000000-0005-0000-0000-000042030000}"/>
    <cellStyle name="Normal 2 11 4 2 2" xfId="1162" xr:uid="{00000000-0005-0000-0000-000043030000}"/>
    <cellStyle name="Normal 2 11 4 3" xfId="1014" xr:uid="{00000000-0005-0000-0000-000044030000}"/>
    <cellStyle name="Normal 2 11 5" xfId="814" xr:uid="{00000000-0005-0000-0000-000045030000}"/>
    <cellStyle name="Normal 2 11 5 2" xfId="1126" xr:uid="{00000000-0005-0000-0000-000046030000}"/>
    <cellStyle name="Normal 2 11 6" xfId="991" xr:uid="{00000000-0005-0000-0000-000047030000}"/>
    <cellStyle name="Normal 2 12" xfId="367" xr:uid="{00000000-0005-0000-0000-000048030000}"/>
    <cellStyle name="Normal 2 12 2" xfId="458" xr:uid="{00000000-0005-0000-0000-000049030000}"/>
    <cellStyle name="Normal 2 12 2 2" xfId="879" xr:uid="{00000000-0005-0000-0000-00004A030000}"/>
    <cellStyle name="Normal 2 12 2 2 2" xfId="1186" xr:uid="{00000000-0005-0000-0000-00004B030000}"/>
    <cellStyle name="Normal 2 12 2 3" xfId="1037" xr:uid="{00000000-0005-0000-0000-00004C030000}"/>
    <cellStyle name="Normal 2 12 3" xfId="490" xr:uid="{00000000-0005-0000-0000-00004D030000}"/>
    <cellStyle name="Normal 2 12 3 2" xfId="901" xr:uid="{00000000-0005-0000-0000-00004E030000}"/>
    <cellStyle name="Normal 2 12 3 2 2" xfId="1208" xr:uid="{00000000-0005-0000-0000-00004F030000}"/>
    <cellStyle name="Normal 2 12 3 3" xfId="1059" xr:uid="{00000000-0005-0000-0000-000050030000}"/>
    <cellStyle name="Normal 2 12 4" xfId="630" xr:uid="{00000000-0005-0000-0000-000051030000}"/>
    <cellStyle name="Normal 2 12 4 2" xfId="854" xr:uid="{00000000-0005-0000-0000-000052030000}"/>
    <cellStyle name="Normal 2 12 4 2 2" xfId="1163" xr:uid="{00000000-0005-0000-0000-000053030000}"/>
    <cellStyle name="Normal 2 12 4 3" xfId="1015" xr:uid="{00000000-0005-0000-0000-000054030000}"/>
    <cellStyle name="Normal 2 12 5" xfId="816" xr:uid="{00000000-0005-0000-0000-000055030000}"/>
    <cellStyle name="Normal 2 12 5 2" xfId="1127" xr:uid="{00000000-0005-0000-0000-000056030000}"/>
    <cellStyle name="Normal 2 12 6" xfId="992" xr:uid="{00000000-0005-0000-0000-000057030000}"/>
    <cellStyle name="Normal 2 13" xfId="437" xr:uid="{00000000-0005-0000-0000-000058030000}"/>
    <cellStyle name="Normal 2 13 2" xfId="858" xr:uid="{00000000-0005-0000-0000-000059030000}"/>
    <cellStyle name="Normal 2 13 2 2" xfId="1165" xr:uid="{00000000-0005-0000-0000-00005A030000}"/>
    <cellStyle name="Normal 2 13 3" xfId="1016" xr:uid="{00000000-0005-0000-0000-00005B030000}"/>
    <cellStyle name="Normal 2 14" xfId="467" xr:uid="{00000000-0005-0000-0000-00005C030000}"/>
    <cellStyle name="Normal 2 14 2" xfId="880" xr:uid="{00000000-0005-0000-0000-00005D030000}"/>
    <cellStyle name="Normal 2 14 2 2" xfId="1187" xr:uid="{00000000-0005-0000-0000-00005E030000}"/>
    <cellStyle name="Normal 2 14 3" xfId="1038" xr:uid="{00000000-0005-0000-0000-00005F030000}"/>
    <cellStyle name="Normal 2 15" xfId="607" xr:uid="{00000000-0005-0000-0000-000060030000}"/>
    <cellStyle name="Normal 2 15 2" xfId="833" xr:uid="{00000000-0005-0000-0000-000061030000}"/>
    <cellStyle name="Normal 2 15 2 2" xfId="1142" xr:uid="{00000000-0005-0000-0000-000062030000}"/>
    <cellStyle name="Normal 2 15 3" xfId="994" xr:uid="{00000000-0005-0000-0000-000063030000}"/>
    <cellStyle name="Normal 2 16" xfId="573" xr:uid="{00000000-0005-0000-0000-000064030000}"/>
    <cellStyle name="Normal 2 17" xfId="792" xr:uid="{00000000-0005-0000-0000-000065030000}"/>
    <cellStyle name="Normal 2 17 2" xfId="1106" xr:uid="{00000000-0005-0000-0000-000066030000}"/>
    <cellStyle name="Normal 2 18" xfId="971" xr:uid="{00000000-0005-0000-0000-000067030000}"/>
    <cellStyle name="Normal 2 19" xfId="228" xr:uid="{00000000-0005-0000-0000-000068030000}"/>
    <cellStyle name="Normal 2 2" xfId="82" xr:uid="{00000000-0005-0000-0000-000069030000}"/>
    <cellStyle name="Normal 2 2 10" xfId="256" xr:uid="{00000000-0005-0000-0000-00006A030000}"/>
    <cellStyle name="Normal 2 2 11" xfId="259" xr:uid="{00000000-0005-0000-0000-00006B030000}"/>
    <cellStyle name="Normal 2 2 12" xfId="262" xr:uid="{00000000-0005-0000-0000-00006C030000}"/>
    <cellStyle name="Normal 2 2 13" xfId="265" xr:uid="{00000000-0005-0000-0000-00006D030000}"/>
    <cellStyle name="Normal 2 2 14" xfId="268" xr:uid="{00000000-0005-0000-0000-00006E030000}"/>
    <cellStyle name="Normal 2 2 15" xfId="271" xr:uid="{00000000-0005-0000-0000-00006F030000}"/>
    <cellStyle name="Normal 2 2 16" xfId="273" xr:uid="{00000000-0005-0000-0000-000070030000}"/>
    <cellStyle name="Normal 2 2 17" xfId="277" xr:uid="{00000000-0005-0000-0000-000071030000}"/>
    <cellStyle name="Normal 2 2 18" xfId="279" xr:uid="{00000000-0005-0000-0000-000072030000}"/>
    <cellStyle name="Normal 2 2 19" xfId="283" xr:uid="{00000000-0005-0000-0000-000073030000}"/>
    <cellStyle name="Normal 2 2 2" xfId="83" xr:uid="{00000000-0005-0000-0000-000074030000}"/>
    <cellStyle name="Normal 2 2 20" xfId="286" xr:uid="{00000000-0005-0000-0000-000075030000}"/>
    <cellStyle name="Normal 2 2 21" xfId="289" xr:uid="{00000000-0005-0000-0000-000076030000}"/>
    <cellStyle name="Normal 2 2 22" xfId="292" xr:uid="{00000000-0005-0000-0000-000077030000}"/>
    <cellStyle name="Normal 2 2 23" xfId="295" xr:uid="{00000000-0005-0000-0000-000078030000}"/>
    <cellStyle name="Normal 2 2 24" xfId="298" xr:uid="{00000000-0005-0000-0000-000079030000}"/>
    <cellStyle name="Normal 2 2 25" xfId="300" xr:uid="{00000000-0005-0000-0000-00007A030000}"/>
    <cellStyle name="Normal 2 2 26" xfId="304" xr:uid="{00000000-0005-0000-0000-00007B030000}"/>
    <cellStyle name="Normal 2 2 27" xfId="307" xr:uid="{00000000-0005-0000-0000-00007C030000}"/>
    <cellStyle name="Normal 2 2 28" xfId="310" xr:uid="{00000000-0005-0000-0000-00007D030000}"/>
    <cellStyle name="Normal 2 2 29" xfId="312" xr:uid="{00000000-0005-0000-0000-00007E030000}"/>
    <cellStyle name="Normal 2 2 3" xfId="86" xr:uid="{00000000-0005-0000-0000-00007F030000}"/>
    <cellStyle name="Normal 2 2 30" xfId="320" xr:uid="{00000000-0005-0000-0000-000080030000}"/>
    <cellStyle name="Normal 2 2 30 2" xfId="445" xr:uid="{00000000-0005-0000-0000-000081030000}"/>
    <cellStyle name="Normal 2 2 30 2 2" xfId="866" xr:uid="{00000000-0005-0000-0000-000082030000}"/>
    <cellStyle name="Normal 2 2 30 2 2 2" xfId="1173" xr:uid="{00000000-0005-0000-0000-000083030000}"/>
    <cellStyle name="Normal 2 2 30 2 3" xfId="1024" xr:uid="{00000000-0005-0000-0000-000084030000}"/>
    <cellStyle name="Normal 2 2 30 3" xfId="476" xr:uid="{00000000-0005-0000-0000-000085030000}"/>
    <cellStyle name="Normal 2 2 30 3 2" xfId="888" xr:uid="{00000000-0005-0000-0000-000086030000}"/>
    <cellStyle name="Normal 2 2 30 3 2 2" xfId="1195" xr:uid="{00000000-0005-0000-0000-000087030000}"/>
    <cellStyle name="Normal 2 2 30 3 3" xfId="1046" xr:uid="{00000000-0005-0000-0000-000088030000}"/>
    <cellStyle name="Normal 2 2 30 4" xfId="599" xr:uid="{00000000-0005-0000-0000-000089030000}"/>
    <cellStyle name="Normal 2 2 30 4 2" xfId="841" xr:uid="{00000000-0005-0000-0000-00008A030000}"/>
    <cellStyle name="Normal 2 2 30 4 2 2" xfId="1150" xr:uid="{00000000-0005-0000-0000-00008B030000}"/>
    <cellStyle name="Normal 2 2 30 4 3" xfId="1002" xr:uid="{00000000-0005-0000-0000-00008C030000}"/>
    <cellStyle name="Normal 2 2 30 5" xfId="802" xr:uid="{00000000-0005-0000-0000-00008D030000}"/>
    <cellStyle name="Normal 2 2 30 5 2" xfId="1114" xr:uid="{00000000-0005-0000-0000-00008E030000}"/>
    <cellStyle name="Normal 2 2 30 6" xfId="979" xr:uid="{00000000-0005-0000-0000-00008F030000}"/>
    <cellStyle name="Normal 2 2 31" xfId="321" xr:uid="{00000000-0005-0000-0000-000090030000}"/>
    <cellStyle name="Normal 2 2 31 2" xfId="446" xr:uid="{00000000-0005-0000-0000-000091030000}"/>
    <cellStyle name="Normal 2 2 31 2 2" xfId="867" xr:uid="{00000000-0005-0000-0000-000092030000}"/>
    <cellStyle name="Normal 2 2 31 2 2 2" xfId="1174" xr:uid="{00000000-0005-0000-0000-000093030000}"/>
    <cellStyle name="Normal 2 2 31 2 3" xfId="1025" xr:uid="{00000000-0005-0000-0000-000094030000}"/>
    <cellStyle name="Normal 2 2 31 3" xfId="477" xr:uid="{00000000-0005-0000-0000-000095030000}"/>
    <cellStyle name="Normal 2 2 31 3 2" xfId="889" xr:uid="{00000000-0005-0000-0000-000096030000}"/>
    <cellStyle name="Normal 2 2 31 3 2 2" xfId="1196" xr:uid="{00000000-0005-0000-0000-000097030000}"/>
    <cellStyle name="Normal 2 2 31 3 3" xfId="1047" xr:uid="{00000000-0005-0000-0000-000098030000}"/>
    <cellStyle name="Normal 2 2 31 4" xfId="598" xr:uid="{00000000-0005-0000-0000-000099030000}"/>
    <cellStyle name="Normal 2 2 31 4 2" xfId="842" xr:uid="{00000000-0005-0000-0000-00009A030000}"/>
    <cellStyle name="Normal 2 2 31 4 2 2" xfId="1151" xr:uid="{00000000-0005-0000-0000-00009B030000}"/>
    <cellStyle name="Normal 2 2 31 4 3" xfId="1003" xr:uid="{00000000-0005-0000-0000-00009C030000}"/>
    <cellStyle name="Normal 2 2 31 5" xfId="803" xr:uid="{00000000-0005-0000-0000-00009D030000}"/>
    <cellStyle name="Normal 2 2 31 5 2" xfId="1115" xr:uid="{00000000-0005-0000-0000-00009E030000}"/>
    <cellStyle name="Normal 2 2 31 6" xfId="980" xr:uid="{00000000-0005-0000-0000-00009F030000}"/>
    <cellStyle name="Normal 2 2 32" xfId="439" xr:uid="{00000000-0005-0000-0000-0000A0030000}"/>
    <cellStyle name="Normal 2 2 32 2" xfId="860" xr:uid="{00000000-0005-0000-0000-0000A1030000}"/>
    <cellStyle name="Normal 2 2 32 2 2" xfId="1167" xr:uid="{00000000-0005-0000-0000-0000A2030000}"/>
    <cellStyle name="Normal 2 2 32 3" xfId="1018" xr:uid="{00000000-0005-0000-0000-0000A3030000}"/>
    <cellStyle name="Normal 2 2 33" xfId="469" xr:uid="{00000000-0005-0000-0000-0000A4030000}"/>
    <cellStyle name="Normal 2 2 33 2" xfId="882" xr:uid="{00000000-0005-0000-0000-0000A5030000}"/>
    <cellStyle name="Normal 2 2 33 2 2" xfId="1189" xr:uid="{00000000-0005-0000-0000-0000A6030000}"/>
    <cellStyle name="Normal 2 2 33 3" xfId="1040" xr:uid="{00000000-0005-0000-0000-0000A7030000}"/>
    <cellStyle name="Normal 2 2 34" xfId="606" xr:uid="{00000000-0005-0000-0000-0000A8030000}"/>
    <cellStyle name="Normal 2 2 34 2" xfId="835" xr:uid="{00000000-0005-0000-0000-0000A9030000}"/>
    <cellStyle name="Normal 2 2 34 2 2" xfId="1144" xr:uid="{00000000-0005-0000-0000-0000AA030000}"/>
    <cellStyle name="Normal 2 2 34 3" xfId="996" xr:uid="{00000000-0005-0000-0000-0000AB030000}"/>
    <cellStyle name="Normal 2 2 35" xfId="794" xr:uid="{00000000-0005-0000-0000-0000AC030000}"/>
    <cellStyle name="Normal 2 2 35 2" xfId="1108" xr:uid="{00000000-0005-0000-0000-0000AD030000}"/>
    <cellStyle name="Normal 2 2 36" xfId="973" xr:uid="{00000000-0005-0000-0000-0000AE030000}"/>
    <cellStyle name="Normal 2 2 4" xfId="235" xr:uid="{00000000-0005-0000-0000-0000AF030000}"/>
    <cellStyle name="Normal 2 2 5" xfId="239" xr:uid="{00000000-0005-0000-0000-0000B0030000}"/>
    <cellStyle name="Normal 2 2 5 2" xfId="1803" xr:uid="{00000000-0005-0000-0000-0000B1030000}"/>
    <cellStyle name="Normal 2 2 5 3" xfId="1802" xr:uid="{00000000-0005-0000-0000-0000B2030000}"/>
    <cellStyle name="Normal 2 2 5 4" xfId="1812" xr:uid="{00000000-0005-0000-0000-0000B3030000}"/>
    <cellStyle name="Normal 2 2 6" xfId="242" xr:uid="{00000000-0005-0000-0000-0000B4030000}"/>
    <cellStyle name="Normal 2 2 6 2" xfId="1781" xr:uid="{00000000-0005-0000-0000-0000B5030000}"/>
    <cellStyle name="Normal 2 2 6 3" xfId="1748" xr:uid="{00000000-0005-0000-0000-0000B6030000}"/>
    <cellStyle name="Normal 2 2 6 4" xfId="1827" xr:uid="{00000000-0005-0000-0000-0000B7030000}"/>
    <cellStyle name="Normal 2 2 7" xfId="247" xr:uid="{00000000-0005-0000-0000-0000B8030000}"/>
    <cellStyle name="Normal 2 2 8" xfId="249" xr:uid="{00000000-0005-0000-0000-0000B9030000}"/>
    <cellStyle name="Normal 2 2 9" xfId="253" xr:uid="{00000000-0005-0000-0000-0000BA030000}"/>
    <cellStyle name="Normal 2 20" xfId="51" xr:uid="{00000000-0005-0000-0000-0000BB030000}"/>
    <cellStyle name="Normal 2 3" xfId="87" xr:uid="{00000000-0005-0000-0000-0000BC030000}"/>
    <cellStyle name="Normal 2 3 2" xfId="89" xr:uid="{00000000-0005-0000-0000-0000BD030000}"/>
    <cellStyle name="Normal 2 3 3" xfId="322" xr:uid="{00000000-0005-0000-0000-0000BE030000}"/>
    <cellStyle name="Normal 2 3 3 2" xfId="447" xr:uid="{00000000-0005-0000-0000-0000BF030000}"/>
    <cellStyle name="Normal 2 3 3 2 2" xfId="868" xr:uid="{00000000-0005-0000-0000-0000C0030000}"/>
    <cellStyle name="Normal 2 3 3 2 2 2" xfId="1175" xr:uid="{00000000-0005-0000-0000-0000C1030000}"/>
    <cellStyle name="Normal 2 3 3 2 3" xfId="1026" xr:uid="{00000000-0005-0000-0000-0000C2030000}"/>
    <cellStyle name="Normal 2 3 3 3" xfId="478" xr:uid="{00000000-0005-0000-0000-0000C3030000}"/>
    <cellStyle name="Normal 2 3 3 3 2" xfId="890" xr:uid="{00000000-0005-0000-0000-0000C4030000}"/>
    <cellStyle name="Normal 2 3 3 3 2 2" xfId="1197" xr:uid="{00000000-0005-0000-0000-0000C5030000}"/>
    <cellStyle name="Normal 2 3 3 3 3" xfId="1048" xr:uid="{00000000-0005-0000-0000-0000C6030000}"/>
    <cellStyle name="Normal 2 3 3 4" xfId="597" xr:uid="{00000000-0005-0000-0000-0000C7030000}"/>
    <cellStyle name="Normal 2 3 3 4 2" xfId="843" xr:uid="{00000000-0005-0000-0000-0000C8030000}"/>
    <cellStyle name="Normal 2 3 3 4 2 2" xfId="1152" xr:uid="{00000000-0005-0000-0000-0000C9030000}"/>
    <cellStyle name="Normal 2 3 3 4 3" xfId="1004" xr:uid="{00000000-0005-0000-0000-0000CA030000}"/>
    <cellStyle name="Normal 2 3 3 5" xfId="804" xr:uid="{00000000-0005-0000-0000-0000CB030000}"/>
    <cellStyle name="Normal 2 3 3 5 2" xfId="1116" xr:uid="{00000000-0005-0000-0000-0000CC030000}"/>
    <cellStyle name="Normal 2 3 3 6" xfId="981" xr:uid="{00000000-0005-0000-0000-0000CD030000}"/>
    <cellStyle name="Normal 2 3 4" xfId="319" xr:uid="{00000000-0005-0000-0000-0000CE030000}"/>
    <cellStyle name="Normal 2 3 4 2" xfId="444" xr:uid="{00000000-0005-0000-0000-0000CF030000}"/>
    <cellStyle name="Normal 2 3 4 2 2" xfId="865" xr:uid="{00000000-0005-0000-0000-0000D0030000}"/>
    <cellStyle name="Normal 2 3 4 2 2 2" xfId="1172" xr:uid="{00000000-0005-0000-0000-0000D1030000}"/>
    <cellStyle name="Normal 2 3 4 2 3" xfId="1023" xr:uid="{00000000-0005-0000-0000-0000D2030000}"/>
    <cellStyle name="Normal 2 3 4 3" xfId="475" xr:uid="{00000000-0005-0000-0000-0000D3030000}"/>
    <cellStyle name="Normal 2 3 4 3 2" xfId="887" xr:uid="{00000000-0005-0000-0000-0000D4030000}"/>
    <cellStyle name="Normal 2 3 4 3 2 2" xfId="1194" xr:uid="{00000000-0005-0000-0000-0000D5030000}"/>
    <cellStyle name="Normal 2 3 4 3 3" xfId="1045" xr:uid="{00000000-0005-0000-0000-0000D6030000}"/>
    <cellStyle name="Normal 2 3 4 4" xfId="600" xr:uid="{00000000-0005-0000-0000-0000D7030000}"/>
    <cellStyle name="Normal 2 3 4 4 2" xfId="840" xr:uid="{00000000-0005-0000-0000-0000D8030000}"/>
    <cellStyle name="Normal 2 3 4 4 2 2" xfId="1149" xr:uid="{00000000-0005-0000-0000-0000D9030000}"/>
    <cellStyle name="Normal 2 3 4 4 3" xfId="1001" xr:uid="{00000000-0005-0000-0000-0000DA030000}"/>
    <cellStyle name="Normal 2 3 4 5" xfId="801" xr:uid="{00000000-0005-0000-0000-0000DB030000}"/>
    <cellStyle name="Normal 2 3 4 5 2" xfId="1113" xr:uid="{00000000-0005-0000-0000-0000DC030000}"/>
    <cellStyle name="Normal 2 3 4 6" xfId="978" xr:uid="{00000000-0005-0000-0000-0000DD030000}"/>
    <cellStyle name="Normal 2 3 5" xfId="440" xr:uid="{00000000-0005-0000-0000-0000DE030000}"/>
    <cellStyle name="Normal 2 3 5 2" xfId="861" xr:uid="{00000000-0005-0000-0000-0000DF030000}"/>
    <cellStyle name="Normal 2 3 5 2 2" xfId="1168" xr:uid="{00000000-0005-0000-0000-0000E0030000}"/>
    <cellStyle name="Normal 2 3 5 3" xfId="1019" xr:uid="{00000000-0005-0000-0000-0000E1030000}"/>
    <cellStyle name="Normal 2 3 6" xfId="470" xr:uid="{00000000-0005-0000-0000-0000E2030000}"/>
    <cellStyle name="Normal 2 3 6 2" xfId="883" xr:uid="{00000000-0005-0000-0000-0000E3030000}"/>
    <cellStyle name="Normal 2 3 6 2 2" xfId="1190" xr:uid="{00000000-0005-0000-0000-0000E4030000}"/>
    <cellStyle name="Normal 2 3 6 3" xfId="1041" xr:uid="{00000000-0005-0000-0000-0000E5030000}"/>
    <cellStyle name="Normal 2 3 7" xfId="605" xr:uid="{00000000-0005-0000-0000-0000E6030000}"/>
    <cellStyle name="Normal 2 3 7 2" xfId="836" xr:uid="{00000000-0005-0000-0000-0000E7030000}"/>
    <cellStyle name="Normal 2 3 7 2 2" xfId="1145" xr:uid="{00000000-0005-0000-0000-0000E8030000}"/>
    <cellStyle name="Normal 2 3 7 3" xfId="997" xr:uid="{00000000-0005-0000-0000-0000E9030000}"/>
    <cellStyle name="Normal 2 3 8" xfId="795" xr:uid="{00000000-0005-0000-0000-0000EA030000}"/>
    <cellStyle name="Normal 2 3 8 2" xfId="1109" xr:uid="{00000000-0005-0000-0000-0000EB030000}"/>
    <cellStyle name="Normal 2 3 9" xfId="974" xr:uid="{00000000-0005-0000-0000-0000EC030000}"/>
    <cellStyle name="Normal 2 4" xfId="323" xr:uid="{00000000-0005-0000-0000-0000ED030000}"/>
    <cellStyle name="Normal 2 4 2" xfId="448" xr:uid="{00000000-0005-0000-0000-0000EE030000}"/>
    <cellStyle name="Normal 2 4 2 2" xfId="869" xr:uid="{00000000-0005-0000-0000-0000EF030000}"/>
    <cellStyle name="Normal 2 4 2 2 2" xfId="1176" xr:uid="{00000000-0005-0000-0000-0000F0030000}"/>
    <cellStyle name="Normal 2 4 2 3" xfId="1027" xr:uid="{00000000-0005-0000-0000-0000F1030000}"/>
    <cellStyle name="Normal 2 4 3" xfId="479" xr:uid="{00000000-0005-0000-0000-0000F2030000}"/>
    <cellStyle name="Normal 2 4 3 2" xfId="891" xr:uid="{00000000-0005-0000-0000-0000F3030000}"/>
    <cellStyle name="Normal 2 4 3 2 2" xfId="1198" xr:uid="{00000000-0005-0000-0000-0000F4030000}"/>
    <cellStyle name="Normal 2 4 3 3" xfId="1049" xr:uid="{00000000-0005-0000-0000-0000F5030000}"/>
    <cellStyle name="Normal 2 4 4" xfId="592" xr:uid="{00000000-0005-0000-0000-0000F6030000}"/>
    <cellStyle name="Normal 2 4 4 2" xfId="844" xr:uid="{00000000-0005-0000-0000-0000F7030000}"/>
    <cellStyle name="Normal 2 4 4 2 2" xfId="1153" xr:uid="{00000000-0005-0000-0000-0000F8030000}"/>
    <cellStyle name="Normal 2 4 4 3" xfId="1005" xr:uid="{00000000-0005-0000-0000-0000F9030000}"/>
    <cellStyle name="Normal 2 4 5" xfId="805" xr:uid="{00000000-0005-0000-0000-0000FA030000}"/>
    <cellStyle name="Normal 2 4 5 2" xfId="1117" xr:uid="{00000000-0005-0000-0000-0000FB030000}"/>
    <cellStyle name="Normal 2 4 6" xfId="982" xr:uid="{00000000-0005-0000-0000-0000FC030000}"/>
    <cellStyle name="Normal 2 4 7" xfId="1352" xr:uid="{00000000-0005-0000-0000-0000FD030000}"/>
    <cellStyle name="Normal 2 4 8" xfId="1344" xr:uid="{00000000-0005-0000-0000-0000FE030000}"/>
    <cellStyle name="Normal 2 4 9" xfId="1767" xr:uid="{00000000-0005-0000-0000-0000FF030000}"/>
    <cellStyle name="Normal 2 5" xfId="324" xr:uid="{00000000-0005-0000-0000-000000040000}"/>
    <cellStyle name="Normal 2 5 2" xfId="449" xr:uid="{00000000-0005-0000-0000-000001040000}"/>
    <cellStyle name="Normal 2 5 2 2" xfId="870" xr:uid="{00000000-0005-0000-0000-000002040000}"/>
    <cellStyle name="Normal 2 5 2 2 2" xfId="1177" xr:uid="{00000000-0005-0000-0000-000003040000}"/>
    <cellStyle name="Normal 2 5 2 3" xfId="1028" xr:uid="{00000000-0005-0000-0000-000004040000}"/>
    <cellStyle name="Normal 2 5 3" xfId="480" xr:uid="{00000000-0005-0000-0000-000005040000}"/>
    <cellStyle name="Normal 2 5 3 2" xfId="892" xr:uid="{00000000-0005-0000-0000-000006040000}"/>
    <cellStyle name="Normal 2 5 3 2 2" xfId="1199" xr:uid="{00000000-0005-0000-0000-000007040000}"/>
    <cellStyle name="Normal 2 5 3 3" xfId="1050" xr:uid="{00000000-0005-0000-0000-000008040000}"/>
    <cellStyle name="Normal 2 5 4" xfId="633" xr:uid="{00000000-0005-0000-0000-000009040000}"/>
    <cellStyle name="Normal 2 5 4 2" xfId="845" xr:uid="{00000000-0005-0000-0000-00000A040000}"/>
    <cellStyle name="Normal 2 5 4 2 2" xfId="1154" xr:uid="{00000000-0005-0000-0000-00000B040000}"/>
    <cellStyle name="Normal 2 5 4 3" xfId="1006" xr:uid="{00000000-0005-0000-0000-00000C040000}"/>
    <cellStyle name="Normal 2 5 5" xfId="806" xr:uid="{00000000-0005-0000-0000-00000D040000}"/>
    <cellStyle name="Normal 2 5 5 2" xfId="1118" xr:uid="{00000000-0005-0000-0000-00000E040000}"/>
    <cellStyle name="Normal 2 5 6" xfId="983" xr:uid="{00000000-0005-0000-0000-00000F040000}"/>
    <cellStyle name="Normal 2 5 7" xfId="1751" xr:uid="{00000000-0005-0000-0000-000010040000}"/>
    <cellStyle name="Normal 2 5 8" xfId="1814" xr:uid="{00000000-0005-0000-0000-000011040000}"/>
    <cellStyle name="Normal 2 6" xfId="325" xr:uid="{00000000-0005-0000-0000-000012040000}"/>
    <cellStyle name="Normal 2 6 2" xfId="450" xr:uid="{00000000-0005-0000-0000-000013040000}"/>
    <cellStyle name="Normal 2 6 2 2" xfId="871" xr:uid="{00000000-0005-0000-0000-000014040000}"/>
    <cellStyle name="Normal 2 6 2 2 2" xfId="1178" xr:uid="{00000000-0005-0000-0000-000015040000}"/>
    <cellStyle name="Normal 2 6 2 3" xfId="1029" xr:uid="{00000000-0005-0000-0000-000016040000}"/>
    <cellStyle name="Normal 2 6 3" xfId="481" xr:uid="{00000000-0005-0000-0000-000017040000}"/>
    <cellStyle name="Normal 2 6 3 2" xfId="893" xr:uid="{00000000-0005-0000-0000-000018040000}"/>
    <cellStyle name="Normal 2 6 3 2 2" xfId="1200" xr:uid="{00000000-0005-0000-0000-000019040000}"/>
    <cellStyle name="Normal 2 6 3 3" xfId="1051" xr:uid="{00000000-0005-0000-0000-00001A040000}"/>
    <cellStyle name="Normal 2 6 4" xfId="626" xr:uid="{00000000-0005-0000-0000-00001B040000}"/>
    <cellStyle name="Normal 2 6 4 2" xfId="846" xr:uid="{00000000-0005-0000-0000-00001C040000}"/>
    <cellStyle name="Normal 2 6 4 2 2" xfId="1155" xr:uid="{00000000-0005-0000-0000-00001D040000}"/>
    <cellStyle name="Normal 2 6 4 3" xfId="1007" xr:uid="{00000000-0005-0000-0000-00001E040000}"/>
    <cellStyle name="Normal 2 6 5" xfId="807" xr:uid="{00000000-0005-0000-0000-00001F040000}"/>
    <cellStyle name="Normal 2 6 5 2" xfId="1119" xr:uid="{00000000-0005-0000-0000-000020040000}"/>
    <cellStyle name="Normal 2 6 6" xfId="984" xr:uid="{00000000-0005-0000-0000-000021040000}"/>
    <cellStyle name="Normal 2 6 7" xfId="1776" xr:uid="{00000000-0005-0000-0000-000022040000}"/>
    <cellStyle name="Normal 2 6 8" xfId="1749" xr:uid="{00000000-0005-0000-0000-000023040000}"/>
    <cellStyle name="Normal 2 7" xfId="326" xr:uid="{00000000-0005-0000-0000-000024040000}"/>
    <cellStyle name="Normal 2 7 2" xfId="451" xr:uid="{00000000-0005-0000-0000-000025040000}"/>
    <cellStyle name="Normal 2 7 2 2" xfId="872" xr:uid="{00000000-0005-0000-0000-000026040000}"/>
    <cellStyle name="Normal 2 7 2 2 2" xfId="1179" xr:uid="{00000000-0005-0000-0000-000027040000}"/>
    <cellStyle name="Normal 2 7 2 3" xfId="1030" xr:uid="{00000000-0005-0000-0000-000028040000}"/>
    <cellStyle name="Normal 2 7 3" xfId="482" xr:uid="{00000000-0005-0000-0000-000029040000}"/>
    <cellStyle name="Normal 2 7 3 2" xfId="894" xr:uid="{00000000-0005-0000-0000-00002A040000}"/>
    <cellStyle name="Normal 2 7 3 2 2" xfId="1201" xr:uid="{00000000-0005-0000-0000-00002B040000}"/>
    <cellStyle name="Normal 2 7 3 3" xfId="1052" xr:uid="{00000000-0005-0000-0000-00002C040000}"/>
    <cellStyle name="Normal 2 7 4" xfId="639" xr:uid="{00000000-0005-0000-0000-00002D040000}"/>
    <cellStyle name="Normal 2 7 4 2" xfId="847" xr:uid="{00000000-0005-0000-0000-00002E040000}"/>
    <cellStyle name="Normal 2 7 4 2 2" xfId="1156" xr:uid="{00000000-0005-0000-0000-00002F040000}"/>
    <cellStyle name="Normal 2 7 4 3" xfId="1008" xr:uid="{00000000-0005-0000-0000-000030040000}"/>
    <cellStyle name="Normal 2 7 5" xfId="808" xr:uid="{00000000-0005-0000-0000-000031040000}"/>
    <cellStyle name="Normal 2 7 5 2" xfId="1120" xr:uid="{00000000-0005-0000-0000-000032040000}"/>
    <cellStyle name="Normal 2 7 6" xfId="985" xr:uid="{00000000-0005-0000-0000-000033040000}"/>
    <cellStyle name="Normal 2 8" xfId="327" xr:uid="{00000000-0005-0000-0000-000034040000}"/>
    <cellStyle name="Normal 2 8 2" xfId="452" xr:uid="{00000000-0005-0000-0000-000035040000}"/>
    <cellStyle name="Normal 2 8 2 2" xfId="873" xr:uid="{00000000-0005-0000-0000-000036040000}"/>
    <cellStyle name="Normal 2 8 2 2 2" xfId="1180" xr:uid="{00000000-0005-0000-0000-000037040000}"/>
    <cellStyle name="Normal 2 8 2 3" xfId="1031" xr:uid="{00000000-0005-0000-0000-000038040000}"/>
    <cellStyle name="Normal 2 8 3" xfId="483" xr:uid="{00000000-0005-0000-0000-000039040000}"/>
    <cellStyle name="Normal 2 8 3 2" xfId="895" xr:uid="{00000000-0005-0000-0000-00003A040000}"/>
    <cellStyle name="Normal 2 8 3 2 2" xfId="1202" xr:uid="{00000000-0005-0000-0000-00003B040000}"/>
    <cellStyle name="Normal 2 8 3 3" xfId="1053" xr:uid="{00000000-0005-0000-0000-00003C040000}"/>
    <cellStyle name="Normal 2 8 4" xfId="632" xr:uid="{00000000-0005-0000-0000-00003D040000}"/>
    <cellStyle name="Normal 2 8 4 2" xfId="848" xr:uid="{00000000-0005-0000-0000-00003E040000}"/>
    <cellStyle name="Normal 2 8 4 2 2" xfId="1157" xr:uid="{00000000-0005-0000-0000-00003F040000}"/>
    <cellStyle name="Normal 2 8 4 3" xfId="1009" xr:uid="{00000000-0005-0000-0000-000040040000}"/>
    <cellStyle name="Normal 2 8 5" xfId="809" xr:uid="{00000000-0005-0000-0000-000041040000}"/>
    <cellStyle name="Normal 2 8 5 2" xfId="1121" xr:uid="{00000000-0005-0000-0000-000042040000}"/>
    <cellStyle name="Normal 2 8 6" xfId="986" xr:uid="{00000000-0005-0000-0000-000043040000}"/>
    <cellStyle name="Normal 2 9" xfId="328" xr:uid="{00000000-0005-0000-0000-000044040000}"/>
    <cellStyle name="Normal 2 9 2" xfId="453" xr:uid="{00000000-0005-0000-0000-000045040000}"/>
    <cellStyle name="Normal 2 9 2 2" xfId="874" xr:uid="{00000000-0005-0000-0000-000046040000}"/>
    <cellStyle name="Normal 2 9 2 2 2" xfId="1181" xr:uid="{00000000-0005-0000-0000-000047040000}"/>
    <cellStyle name="Normal 2 9 2 3" xfId="1032" xr:uid="{00000000-0005-0000-0000-000048040000}"/>
    <cellStyle name="Normal 2 9 3" xfId="484" xr:uid="{00000000-0005-0000-0000-000049040000}"/>
    <cellStyle name="Normal 2 9 3 2" xfId="896" xr:uid="{00000000-0005-0000-0000-00004A040000}"/>
    <cellStyle name="Normal 2 9 3 2 2" xfId="1203" xr:uid="{00000000-0005-0000-0000-00004B040000}"/>
    <cellStyle name="Normal 2 9 3 3" xfId="1054" xr:uid="{00000000-0005-0000-0000-00004C040000}"/>
    <cellStyle name="Normal 2 9 4" xfId="621" xr:uid="{00000000-0005-0000-0000-00004D040000}"/>
    <cellStyle name="Normal 2 9 4 2" xfId="849" xr:uid="{00000000-0005-0000-0000-00004E040000}"/>
    <cellStyle name="Normal 2 9 4 2 2" xfId="1158" xr:uid="{00000000-0005-0000-0000-00004F040000}"/>
    <cellStyle name="Normal 2 9 4 3" xfId="1010" xr:uid="{00000000-0005-0000-0000-000050040000}"/>
    <cellStyle name="Normal 2 9 5" xfId="810" xr:uid="{00000000-0005-0000-0000-000051040000}"/>
    <cellStyle name="Normal 2 9 5 2" xfId="1122" xr:uid="{00000000-0005-0000-0000-000052040000}"/>
    <cellStyle name="Normal 2 9 6" xfId="987" xr:uid="{00000000-0005-0000-0000-000053040000}"/>
    <cellStyle name="Normal 20" xfId="267" xr:uid="{00000000-0005-0000-0000-000054040000}"/>
    <cellStyle name="Normal 200" xfId="753" xr:uid="{00000000-0005-0000-0000-000055040000}"/>
    <cellStyle name="Normal 201" xfId="754" xr:uid="{00000000-0005-0000-0000-000056040000}"/>
    <cellStyle name="Normal 202" xfId="755" xr:uid="{00000000-0005-0000-0000-000057040000}"/>
    <cellStyle name="Normal 203" xfId="756" xr:uid="{00000000-0005-0000-0000-000058040000}"/>
    <cellStyle name="Normal 204" xfId="757" xr:uid="{00000000-0005-0000-0000-000059040000}"/>
    <cellStyle name="Normal 205" xfId="758" xr:uid="{00000000-0005-0000-0000-00005A040000}"/>
    <cellStyle name="Normal 206" xfId="759" xr:uid="{00000000-0005-0000-0000-00005B040000}"/>
    <cellStyle name="Normal 207" xfId="760" xr:uid="{00000000-0005-0000-0000-00005C040000}"/>
    <cellStyle name="Normal 208" xfId="761" xr:uid="{00000000-0005-0000-0000-00005D040000}"/>
    <cellStyle name="Normal 209" xfId="762" xr:uid="{00000000-0005-0000-0000-00005E040000}"/>
    <cellStyle name="Normal 21" xfId="270" xr:uid="{00000000-0005-0000-0000-00005F040000}"/>
    <cellStyle name="Normal 210" xfId="763" xr:uid="{00000000-0005-0000-0000-000060040000}"/>
    <cellStyle name="Normal 211" xfId="764" xr:uid="{00000000-0005-0000-0000-000061040000}"/>
    <cellStyle name="Normal 212" xfId="765" xr:uid="{00000000-0005-0000-0000-000062040000}"/>
    <cellStyle name="Normal 213" xfId="766" xr:uid="{00000000-0005-0000-0000-000063040000}"/>
    <cellStyle name="Normal 214" xfId="767" xr:uid="{00000000-0005-0000-0000-000064040000}"/>
    <cellStyle name="Normal 215" xfId="768" xr:uid="{00000000-0005-0000-0000-000065040000}"/>
    <cellStyle name="Normal 216" xfId="769" xr:uid="{00000000-0005-0000-0000-000066040000}"/>
    <cellStyle name="Normal 217" xfId="770" xr:uid="{00000000-0005-0000-0000-000067040000}"/>
    <cellStyle name="Normal 218" xfId="771" xr:uid="{00000000-0005-0000-0000-000068040000}"/>
    <cellStyle name="Normal 219" xfId="772" xr:uid="{00000000-0005-0000-0000-000069040000}"/>
    <cellStyle name="Normal 22" xfId="276" xr:uid="{00000000-0005-0000-0000-00006A040000}"/>
    <cellStyle name="Normal 220" xfId="773" xr:uid="{00000000-0005-0000-0000-00006B040000}"/>
    <cellStyle name="Normal 221" xfId="774" xr:uid="{00000000-0005-0000-0000-00006C040000}"/>
    <cellStyle name="Normal 222" xfId="775" xr:uid="{00000000-0005-0000-0000-00006D040000}"/>
    <cellStyle name="Normal 223" xfId="776" xr:uid="{00000000-0005-0000-0000-00006E040000}"/>
    <cellStyle name="Normal 224" xfId="777" xr:uid="{00000000-0005-0000-0000-00006F040000}"/>
    <cellStyle name="Normal 225" xfId="778" xr:uid="{00000000-0005-0000-0000-000070040000}"/>
    <cellStyle name="Normal 226" xfId="779" xr:uid="{00000000-0005-0000-0000-000071040000}"/>
    <cellStyle name="Normal 227" xfId="780" xr:uid="{00000000-0005-0000-0000-000072040000}"/>
    <cellStyle name="Normal 228" xfId="781" xr:uid="{00000000-0005-0000-0000-000073040000}"/>
    <cellStyle name="Normal 229" xfId="782" xr:uid="{00000000-0005-0000-0000-000074040000}"/>
    <cellStyle name="Normal 23" xfId="275" xr:uid="{00000000-0005-0000-0000-000075040000}"/>
    <cellStyle name="Normal 230" xfId="783" xr:uid="{00000000-0005-0000-0000-000076040000}"/>
    <cellStyle name="Normal 231" xfId="784" xr:uid="{00000000-0005-0000-0000-000077040000}"/>
    <cellStyle name="Normal 232" xfId="785" xr:uid="{00000000-0005-0000-0000-000078040000}"/>
    <cellStyle name="Normal 233" xfId="786" xr:uid="{00000000-0005-0000-0000-000079040000}"/>
    <cellStyle name="Normal 234" xfId="787" xr:uid="{00000000-0005-0000-0000-00007A040000}"/>
    <cellStyle name="Normal 235" xfId="788" xr:uid="{00000000-0005-0000-0000-00007B040000}"/>
    <cellStyle name="Normal 236" xfId="789" xr:uid="{00000000-0005-0000-0000-00007C040000}"/>
    <cellStyle name="Normal 237" xfId="790" xr:uid="{00000000-0005-0000-0000-00007D040000}"/>
    <cellStyle name="Normal 238" xfId="791" xr:uid="{00000000-0005-0000-0000-00007E040000}"/>
    <cellStyle name="Normal 239" xfId="815" xr:uid="{00000000-0005-0000-0000-00007F040000}"/>
    <cellStyle name="Normal 24" xfId="93" xr:uid="{00000000-0005-0000-0000-000080040000}"/>
    <cellStyle name="Normal 240" xfId="817" xr:uid="{00000000-0005-0000-0000-000081040000}"/>
    <cellStyle name="Normal 240 2" xfId="1128" xr:uid="{00000000-0005-0000-0000-000082040000}"/>
    <cellStyle name="Normal 241" xfId="819" xr:uid="{00000000-0005-0000-0000-000083040000}"/>
    <cellStyle name="Normal 241 2" xfId="1130" xr:uid="{00000000-0005-0000-0000-000084040000}"/>
    <cellStyle name="Normal 242" xfId="829" xr:uid="{00000000-0005-0000-0000-000085040000}"/>
    <cellStyle name="Normal 242 2" xfId="1138" xr:uid="{00000000-0005-0000-0000-000086040000}"/>
    <cellStyle name="Normal 243" xfId="825" xr:uid="{00000000-0005-0000-0000-000087040000}"/>
    <cellStyle name="Normal 243 2" xfId="1135" xr:uid="{00000000-0005-0000-0000-000088040000}"/>
    <cellStyle name="Normal 244" xfId="957" xr:uid="{00000000-0005-0000-0000-000089040000}"/>
    <cellStyle name="Normal 244 2" xfId="1261" xr:uid="{00000000-0005-0000-0000-00008A040000}"/>
    <cellStyle name="Normal 245" xfId="960" xr:uid="{00000000-0005-0000-0000-00008B040000}"/>
    <cellStyle name="Normal 245 2" xfId="1264" xr:uid="{00000000-0005-0000-0000-00008C040000}"/>
    <cellStyle name="Normal 246" xfId="827" xr:uid="{00000000-0005-0000-0000-00008D040000}"/>
    <cellStyle name="Normal 246 2" xfId="1137" xr:uid="{00000000-0005-0000-0000-00008E040000}"/>
    <cellStyle name="Normal 247" xfId="962" xr:uid="{00000000-0005-0000-0000-00008F040000}"/>
    <cellStyle name="Normal 247 2" xfId="1266" xr:uid="{00000000-0005-0000-0000-000090040000}"/>
    <cellStyle name="Normal 248" xfId="818" xr:uid="{00000000-0005-0000-0000-000091040000}"/>
    <cellStyle name="Normal 248 2" xfId="1129" xr:uid="{00000000-0005-0000-0000-000092040000}"/>
    <cellStyle name="Normal 249" xfId="831" xr:uid="{00000000-0005-0000-0000-000093040000}"/>
    <cellStyle name="Normal 249 2" xfId="1140" xr:uid="{00000000-0005-0000-0000-000094040000}"/>
    <cellStyle name="Normal 25" xfId="94" xr:uid="{00000000-0005-0000-0000-000095040000}"/>
    <cellStyle name="Normal 250" xfId="824" xr:uid="{00000000-0005-0000-0000-000096040000}"/>
    <cellStyle name="Normal 250 2" xfId="1134" xr:uid="{00000000-0005-0000-0000-000097040000}"/>
    <cellStyle name="Normal 251" xfId="822" xr:uid="{00000000-0005-0000-0000-000098040000}"/>
    <cellStyle name="Normal 251 2" xfId="1132" xr:uid="{00000000-0005-0000-0000-000099040000}"/>
    <cellStyle name="Normal 252" xfId="857" xr:uid="{00000000-0005-0000-0000-00009A040000}"/>
    <cellStyle name="Normal 253" xfId="855" xr:uid="{00000000-0005-0000-0000-00009B040000}"/>
    <cellStyle name="Normal 254" xfId="820" xr:uid="{00000000-0005-0000-0000-00009C040000}"/>
    <cellStyle name="Normal 254 2" xfId="1131" xr:uid="{00000000-0005-0000-0000-00009D040000}"/>
    <cellStyle name="Normal 255" xfId="826" xr:uid="{00000000-0005-0000-0000-00009E040000}"/>
    <cellStyle name="Normal 255 2" xfId="1136" xr:uid="{00000000-0005-0000-0000-00009F040000}"/>
    <cellStyle name="Normal 256" xfId="904" xr:uid="{00000000-0005-0000-0000-0000A0040000}"/>
    <cellStyle name="Normal 256 2" xfId="1211" xr:uid="{00000000-0005-0000-0000-0000A1040000}"/>
    <cellStyle name="Normal 257" xfId="903" xr:uid="{00000000-0005-0000-0000-0000A2040000}"/>
    <cellStyle name="Normal 257 2" xfId="1210" xr:uid="{00000000-0005-0000-0000-0000A3040000}"/>
    <cellStyle name="Normal 258" xfId="856" xr:uid="{00000000-0005-0000-0000-0000A4040000}"/>
    <cellStyle name="Normal 258 2" xfId="1164" xr:uid="{00000000-0005-0000-0000-0000A5040000}"/>
    <cellStyle name="Normal 259" xfId="953" xr:uid="{00000000-0005-0000-0000-0000A6040000}"/>
    <cellStyle name="Normal 259 2" xfId="1257" xr:uid="{00000000-0005-0000-0000-0000A7040000}"/>
    <cellStyle name="Normal 26" xfId="282" xr:uid="{00000000-0005-0000-0000-0000A8040000}"/>
    <cellStyle name="Normal 260" xfId="961" xr:uid="{00000000-0005-0000-0000-0000A9040000}"/>
    <cellStyle name="Normal 260 2" xfId="1265" xr:uid="{00000000-0005-0000-0000-0000AA040000}"/>
    <cellStyle name="Normal 261" xfId="830" xr:uid="{00000000-0005-0000-0000-0000AB040000}"/>
    <cellStyle name="Normal 261 2" xfId="1139" xr:uid="{00000000-0005-0000-0000-0000AC040000}"/>
    <cellStyle name="Normal 262" xfId="955" xr:uid="{00000000-0005-0000-0000-0000AD040000}"/>
    <cellStyle name="Normal 262 2" xfId="1259" xr:uid="{00000000-0005-0000-0000-0000AE040000}"/>
    <cellStyle name="Normal 263" xfId="958" xr:uid="{00000000-0005-0000-0000-0000AF040000}"/>
    <cellStyle name="Normal 263 2" xfId="1262" xr:uid="{00000000-0005-0000-0000-0000B0040000}"/>
    <cellStyle name="Normal 264" xfId="823" xr:uid="{00000000-0005-0000-0000-0000B1040000}"/>
    <cellStyle name="Normal 264 2" xfId="1133" xr:uid="{00000000-0005-0000-0000-0000B2040000}"/>
    <cellStyle name="Normal 265" xfId="954" xr:uid="{00000000-0005-0000-0000-0000B3040000}"/>
    <cellStyle name="Normal 265 2" xfId="1258" xr:uid="{00000000-0005-0000-0000-0000B4040000}"/>
    <cellStyle name="Normal 266" xfId="956" xr:uid="{00000000-0005-0000-0000-0000B5040000}"/>
    <cellStyle name="Normal 266 2" xfId="1260" xr:uid="{00000000-0005-0000-0000-0000B6040000}"/>
    <cellStyle name="Normal 267" xfId="959" xr:uid="{00000000-0005-0000-0000-0000B7040000}"/>
    <cellStyle name="Normal 267 2" xfId="1263" xr:uid="{00000000-0005-0000-0000-0000B8040000}"/>
    <cellStyle name="Normal 268" xfId="963" xr:uid="{00000000-0005-0000-0000-0000B9040000}"/>
    <cellStyle name="Normal 269" xfId="821" xr:uid="{00000000-0005-0000-0000-0000BA040000}"/>
    <cellStyle name="Normal 27" xfId="281" xr:uid="{00000000-0005-0000-0000-0000BB040000}"/>
    <cellStyle name="Normal 270" xfId="828" xr:uid="{00000000-0005-0000-0000-0000BC040000}"/>
    <cellStyle name="Normal 271" xfId="964" xr:uid="{00000000-0005-0000-0000-0000BD040000}"/>
    <cellStyle name="Normal 272" xfId="965" xr:uid="{00000000-0005-0000-0000-0000BE040000}"/>
    <cellStyle name="Normal 273" xfId="966" xr:uid="{00000000-0005-0000-0000-0000BF040000}"/>
    <cellStyle name="Normal 274" xfId="967" xr:uid="{00000000-0005-0000-0000-0000C0040000}"/>
    <cellStyle name="Normal 275" xfId="968" xr:uid="{00000000-0005-0000-0000-0000C1040000}"/>
    <cellStyle name="Normal 276" xfId="969" xr:uid="{00000000-0005-0000-0000-0000C2040000}"/>
    <cellStyle name="Normal 277" xfId="970" xr:uid="{00000000-0005-0000-0000-0000C3040000}"/>
    <cellStyle name="Normal 278" xfId="595" xr:uid="{00000000-0005-0000-0000-0000C4040000}"/>
    <cellStyle name="Normal 279" xfId="616" xr:uid="{00000000-0005-0000-0000-0000C5040000}"/>
    <cellStyle name="Normal 28" xfId="285" xr:uid="{00000000-0005-0000-0000-0000C6040000}"/>
    <cellStyle name="Normal 280" xfId="641" xr:uid="{00000000-0005-0000-0000-0000C7040000}"/>
    <cellStyle name="Normal 281" xfId="618" xr:uid="{00000000-0005-0000-0000-0000C8040000}"/>
    <cellStyle name="Normal 282" xfId="223" xr:uid="{00000000-0005-0000-0000-0000C9040000}"/>
    <cellStyle name="Normal 283" xfId="232" xr:uid="{00000000-0005-0000-0000-0000CA040000}"/>
    <cellStyle name="Normal 284" xfId="1267" xr:uid="{00000000-0005-0000-0000-0000CB040000}"/>
    <cellStyle name="Normal 285" xfId="1497" xr:uid="{00000000-0005-0000-0000-0000CC040000}"/>
    <cellStyle name="Normal 286" xfId="1499" xr:uid="{00000000-0005-0000-0000-0000CD040000}"/>
    <cellStyle name="Normal 287" xfId="1503" xr:uid="{00000000-0005-0000-0000-0000CE040000}"/>
    <cellStyle name="Normal 288" xfId="1504" xr:uid="{00000000-0005-0000-0000-0000CF040000}"/>
    <cellStyle name="Normal 289" xfId="1505" xr:uid="{00000000-0005-0000-0000-0000D0040000}"/>
    <cellStyle name="Normal 29" xfId="288" xr:uid="{00000000-0005-0000-0000-0000D1040000}"/>
    <cellStyle name="Normal 290" xfId="1506" xr:uid="{00000000-0005-0000-0000-0000D2040000}"/>
    <cellStyle name="Normal 291" xfId="1507" xr:uid="{00000000-0005-0000-0000-0000D3040000}"/>
    <cellStyle name="Normal 292" xfId="1508" xr:uid="{00000000-0005-0000-0000-0000D4040000}"/>
    <cellStyle name="Normal 293" xfId="1509" xr:uid="{00000000-0005-0000-0000-0000D5040000}"/>
    <cellStyle name="Normal 294" xfId="1510" xr:uid="{00000000-0005-0000-0000-0000D6040000}"/>
    <cellStyle name="Normal 295" xfId="1511" xr:uid="{00000000-0005-0000-0000-0000D7040000}"/>
    <cellStyle name="Normal 296" xfId="1512" xr:uid="{00000000-0005-0000-0000-0000D8040000}"/>
    <cellStyle name="Normal 297" xfId="1513" xr:uid="{00000000-0005-0000-0000-0000D9040000}"/>
    <cellStyle name="Normal 298" xfId="1514" xr:uid="{00000000-0005-0000-0000-0000DA040000}"/>
    <cellStyle name="Normal 299" xfId="1515" xr:uid="{00000000-0005-0000-0000-0000DB040000}"/>
    <cellStyle name="Normal 3" xfId="233" xr:uid="{00000000-0005-0000-0000-0000DC040000}"/>
    <cellStyle name="Normal 3 10" xfId="260" xr:uid="{00000000-0005-0000-0000-0000DD040000}"/>
    <cellStyle name="Normal 3 11" xfId="263" xr:uid="{00000000-0005-0000-0000-0000DE040000}"/>
    <cellStyle name="Normal 3 12" xfId="266" xr:uid="{00000000-0005-0000-0000-0000DF040000}"/>
    <cellStyle name="Normal 3 13" xfId="269" xr:uid="{00000000-0005-0000-0000-0000E0040000}"/>
    <cellStyle name="Normal 3 14" xfId="272" xr:uid="{00000000-0005-0000-0000-0000E1040000}"/>
    <cellStyle name="Normal 3 15" xfId="274" xr:uid="{00000000-0005-0000-0000-0000E2040000}"/>
    <cellStyle name="Normal 3 16" xfId="278" xr:uid="{00000000-0005-0000-0000-0000E3040000}"/>
    <cellStyle name="Normal 3 17" xfId="280" xr:uid="{00000000-0005-0000-0000-0000E4040000}"/>
    <cellStyle name="Normal 3 18" xfId="284" xr:uid="{00000000-0005-0000-0000-0000E5040000}"/>
    <cellStyle name="Normal 3 19" xfId="287" xr:uid="{00000000-0005-0000-0000-0000E6040000}"/>
    <cellStyle name="Normal 3 2" xfId="88" xr:uid="{00000000-0005-0000-0000-0000E7040000}"/>
    <cellStyle name="Normal 3 2 2" xfId="329" xr:uid="{00000000-0005-0000-0000-0000E8040000}"/>
    <cellStyle name="Normal 3 2 2 2" xfId="454" xr:uid="{00000000-0005-0000-0000-0000E9040000}"/>
    <cellStyle name="Normal 3 2 2 2 2" xfId="875" xr:uid="{00000000-0005-0000-0000-0000EA040000}"/>
    <cellStyle name="Normal 3 2 2 2 2 2" xfId="1182" xr:uid="{00000000-0005-0000-0000-0000EB040000}"/>
    <cellStyle name="Normal 3 2 2 2 3" xfId="1033" xr:uid="{00000000-0005-0000-0000-0000EC040000}"/>
    <cellStyle name="Normal 3 2 2 3" xfId="485" xr:uid="{00000000-0005-0000-0000-0000ED040000}"/>
    <cellStyle name="Normal 3 2 2 3 2" xfId="897" xr:uid="{00000000-0005-0000-0000-0000EE040000}"/>
    <cellStyle name="Normal 3 2 2 3 2 2" xfId="1204" xr:uid="{00000000-0005-0000-0000-0000EF040000}"/>
    <cellStyle name="Normal 3 2 2 3 3" xfId="1055" xr:uid="{00000000-0005-0000-0000-0000F0040000}"/>
    <cellStyle name="Normal 3 2 2 4" xfId="638" xr:uid="{00000000-0005-0000-0000-0000F1040000}"/>
    <cellStyle name="Normal 3 2 2 4 2" xfId="850" xr:uid="{00000000-0005-0000-0000-0000F2040000}"/>
    <cellStyle name="Normal 3 2 2 4 2 2" xfId="1159" xr:uid="{00000000-0005-0000-0000-0000F3040000}"/>
    <cellStyle name="Normal 3 2 2 4 3" xfId="1011" xr:uid="{00000000-0005-0000-0000-0000F4040000}"/>
    <cellStyle name="Normal 3 2 2 5" xfId="811" xr:uid="{00000000-0005-0000-0000-0000F5040000}"/>
    <cellStyle name="Normal 3 2 2 5 2" xfId="1123" xr:uid="{00000000-0005-0000-0000-0000F6040000}"/>
    <cellStyle name="Normal 3 2 2 6" xfId="988" xr:uid="{00000000-0005-0000-0000-0000F7040000}"/>
    <cellStyle name="Normal 3 2 3" xfId="316" xr:uid="{00000000-0005-0000-0000-0000F8040000}"/>
    <cellStyle name="Normal 3 2 3 2" xfId="443" xr:uid="{00000000-0005-0000-0000-0000F9040000}"/>
    <cellStyle name="Normal 3 2 3 2 2" xfId="864" xr:uid="{00000000-0005-0000-0000-0000FA040000}"/>
    <cellStyle name="Normal 3 2 3 2 2 2" xfId="1171" xr:uid="{00000000-0005-0000-0000-0000FB040000}"/>
    <cellStyle name="Normal 3 2 3 2 3" xfId="1022" xr:uid="{00000000-0005-0000-0000-0000FC040000}"/>
    <cellStyle name="Normal 3 2 3 3" xfId="474" xr:uid="{00000000-0005-0000-0000-0000FD040000}"/>
    <cellStyle name="Normal 3 2 3 3 2" xfId="886" xr:uid="{00000000-0005-0000-0000-0000FE040000}"/>
    <cellStyle name="Normal 3 2 3 3 2 2" xfId="1193" xr:uid="{00000000-0005-0000-0000-0000FF040000}"/>
    <cellStyle name="Normal 3 2 3 3 3" xfId="1044" xr:uid="{00000000-0005-0000-0000-000000050000}"/>
    <cellStyle name="Normal 3 2 3 4" xfId="601" xr:uid="{00000000-0005-0000-0000-000001050000}"/>
    <cellStyle name="Normal 3 2 3 4 2" xfId="839" xr:uid="{00000000-0005-0000-0000-000002050000}"/>
    <cellStyle name="Normal 3 2 3 4 2 2" xfId="1148" xr:uid="{00000000-0005-0000-0000-000003050000}"/>
    <cellStyle name="Normal 3 2 3 4 3" xfId="1000" xr:uid="{00000000-0005-0000-0000-000004050000}"/>
    <cellStyle name="Normal 3 2 3 5" xfId="799" xr:uid="{00000000-0005-0000-0000-000005050000}"/>
    <cellStyle name="Normal 3 2 3 5 2" xfId="1112" xr:uid="{00000000-0005-0000-0000-000006050000}"/>
    <cellStyle name="Normal 3 2 3 6" xfId="977" xr:uid="{00000000-0005-0000-0000-000007050000}"/>
    <cellStyle name="Normal 3 2 4" xfId="441" xr:uid="{00000000-0005-0000-0000-000008050000}"/>
    <cellStyle name="Normal 3 2 4 2" xfId="862" xr:uid="{00000000-0005-0000-0000-000009050000}"/>
    <cellStyle name="Normal 3 2 4 2 2" xfId="1169" xr:uid="{00000000-0005-0000-0000-00000A050000}"/>
    <cellStyle name="Normal 3 2 4 3" xfId="1020" xr:uid="{00000000-0005-0000-0000-00000B050000}"/>
    <cellStyle name="Normal 3 2 5" xfId="471" xr:uid="{00000000-0005-0000-0000-00000C050000}"/>
    <cellStyle name="Normal 3 2 5 2" xfId="884" xr:uid="{00000000-0005-0000-0000-00000D050000}"/>
    <cellStyle name="Normal 3 2 5 2 2" xfId="1191" xr:uid="{00000000-0005-0000-0000-00000E050000}"/>
    <cellStyle name="Normal 3 2 5 3" xfId="1042" xr:uid="{00000000-0005-0000-0000-00000F050000}"/>
    <cellStyle name="Normal 3 2 6" xfId="604" xr:uid="{00000000-0005-0000-0000-000010050000}"/>
    <cellStyle name="Normal 3 2 6 2" xfId="837" xr:uid="{00000000-0005-0000-0000-000011050000}"/>
    <cellStyle name="Normal 3 2 6 2 2" xfId="1146" xr:uid="{00000000-0005-0000-0000-000012050000}"/>
    <cellStyle name="Normal 3 2 6 3" xfId="998" xr:uid="{00000000-0005-0000-0000-000013050000}"/>
    <cellStyle name="Normal 3 2 7" xfId="796" xr:uid="{00000000-0005-0000-0000-000014050000}"/>
    <cellStyle name="Normal 3 2 7 2" xfId="1110" xr:uid="{00000000-0005-0000-0000-000015050000}"/>
    <cellStyle name="Normal 3 2 8" xfId="975" xr:uid="{00000000-0005-0000-0000-000016050000}"/>
    <cellStyle name="Normal 3 20" xfId="290" xr:uid="{00000000-0005-0000-0000-000017050000}"/>
    <cellStyle name="Normal 3 21" xfId="293" xr:uid="{00000000-0005-0000-0000-000018050000}"/>
    <cellStyle name="Normal 3 22" xfId="296" xr:uid="{00000000-0005-0000-0000-000019050000}"/>
    <cellStyle name="Normal 3 23" xfId="299" xr:uid="{00000000-0005-0000-0000-00001A050000}"/>
    <cellStyle name="Normal 3 24" xfId="301" xr:uid="{00000000-0005-0000-0000-00001B050000}"/>
    <cellStyle name="Normal 3 25" xfId="305" xr:uid="{00000000-0005-0000-0000-00001C050000}"/>
    <cellStyle name="Normal 3 26" xfId="308" xr:uid="{00000000-0005-0000-0000-00001D050000}"/>
    <cellStyle name="Normal 3 27" xfId="311" xr:uid="{00000000-0005-0000-0000-00001E050000}"/>
    <cellStyle name="Normal 3 28" xfId="313" xr:uid="{00000000-0005-0000-0000-00001F050000}"/>
    <cellStyle name="Normal 3 29" xfId="345" xr:uid="{00000000-0005-0000-0000-000020050000}"/>
    <cellStyle name="Normal 3 3" xfId="9" xr:uid="{00000000-0005-0000-0000-000021050000}"/>
    <cellStyle name="Normal 3 30" xfId="341" xr:uid="{00000000-0005-0000-0000-000022050000}"/>
    <cellStyle name="Normal 3 31" xfId="366" xr:uid="{00000000-0005-0000-0000-000023050000}"/>
    <cellStyle name="Normal 3 32" xfId="1766" xr:uid="{00000000-0005-0000-0000-000024050000}"/>
    <cellStyle name="Normal 3 4" xfId="240" xr:uid="{00000000-0005-0000-0000-000025050000}"/>
    <cellStyle name="Normal 3 5" xfId="243" xr:uid="{00000000-0005-0000-0000-000026050000}"/>
    <cellStyle name="Normal 3 6" xfId="248" xr:uid="{00000000-0005-0000-0000-000027050000}"/>
    <cellStyle name="Normal 3 7" xfId="250" xr:uid="{00000000-0005-0000-0000-000028050000}"/>
    <cellStyle name="Normal 3 8" xfId="254" xr:uid="{00000000-0005-0000-0000-000029050000}"/>
    <cellStyle name="Normal 3 9" xfId="257" xr:uid="{00000000-0005-0000-0000-00002A050000}"/>
    <cellStyle name="Normal 30" xfId="291" xr:uid="{00000000-0005-0000-0000-00002B050000}"/>
    <cellStyle name="Normal 300" xfId="1516" xr:uid="{00000000-0005-0000-0000-00002C050000}"/>
    <cellStyle name="Normal 301" xfId="1517" xr:uid="{00000000-0005-0000-0000-00002D050000}"/>
    <cellStyle name="Normal 302" xfId="1498" xr:uid="{00000000-0005-0000-0000-00002E050000}"/>
    <cellStyle name="Normal 303" xfId="1502" xr:uid="{00000000-0005-0000-0000-00002F050000}"/>
    <cellStyle name="Normal 304" xfId="1518" xr:uid="{00000000-0005-0000-0000-000030050000}"/>
    <cellStyle name="Normal 305" xfId="1519" xr:uid="{00000000-0005-0000-0000-000031050000}"/>
    <cellStyle name="Normal 306" xfId="1520" xr:uid="{00000000-0005-0000-0000-000032050000}"/>
    <cellStyle name="Normal 307" xfId="1521" xr:uid="{00000000-0005-0000-0000-000033050000}"/>
    <cellStyle name="Normal 308" xfId="1522" xr:uid="{00000000-0005-0000-0000-000034050000}"/>
    <cellStyle name="Normal 309" xfId="1523" xr:uid="{00000000-0005-0000-0000-000035050000}"/>
    <cellStyle name="Normal 31" xfId="294" xr:uid="{00000000-0005-0000-0000-000036050000}"/>
    <cellStyle name="Normal 310" xfId="1524" xr:uid="{00000000-0005-0000-0000-000037050000}"/>
    <cellStyle name="Normal 311" xfId="1525" xr:uid="{00000000-0005-0000-0000-000038050000}"/>
    <cellStyle name="Normal 312" xfId="1526" xr:uid="{00000000-0005-0000-0000-000039050000}"/>
    <cellStyle name="Normal 313" xfId="1501" xr:uid="{00000000-0005-0000-0000-00003A050000}"/>
    <cellStyle name="Normal 314" xfId="1527" xr:uid="{00000000-0005-0000-0000-00003B050000}"/>
    <cellStyle name="Normal 315" xfId="1528" xr:uid="{00000000-0005-0000-0000-00003C050000}"/>
    <cellStyle name="Normal 316" xfId="1529" xr:uid="{00000000-0005-0000-0000-00003D050000}"/>
    <cellStyle name="Normal 317" xfId="1530" xr:uid="{00000000-0005-0000-0000-00003E050000}"/>
    <cellStyle name="Normal 318" xfId="1531" xr:uid="{00000000-0005-0000-0000-00003F050000}"/>
    <cellStyle name="Normal 319" xfId="1532" xr:uid="{00000000-0005-0000-0000-000040050000}"/>
    <cellStyle name="Normal 32" xfId="297" xr:uid="{00000000-0005-0000-0000-000041050000}"/>
    <cellStyle name="Normal 320" xfId="1533" xr:uid="{00000000-0005-0000-0000-000042050000}"/>
    <cellStyle name="Normal 321" xfId="1534" xr:uid="{00000000-0005-0000-0000-000043050000}"/>
    <cellStyle name="Normal 322" xfId="1535" xr:uid="{00000000-0005-0000-0000-000044050000}"/>
    <cellStyle name="Normal 323" xfId="1536" xr:uid="{00000000-0005-0000-0000-000045050000}"/>
    <cellStyle name="Normal 324" xfId="1537" xr:uid="{00000000-0005-0000-0000-000046050000}"/>
    <cellStyle name="Normal 325" xfId="1538" xr:uid="{00000000-0005-0000-0000-000047050000}"/>
    <cellStyle name="Normal 326" xfId="1539" xr:uid="{00000000-0005-0000-0000-000048050000}"/>
    <cellStyle name="Normal 327" xfId="1540" xr:uid="{00000000-0005-0000-0000-000049050000}"/>
    <cellStyle name="Normal 328" xfId="1541" xr:uid="{00000000-0005-0000-0000-00004A050000}"/>
    <cellStyle name="Normal 329" xfId="1542" xr:uid="{00000000-0005-0000-0000-00004B050000}"/>
    <cellStyle name="Normal 33" xfId="303" xr:uid="{00000000-0005-0000-0000-00004C050000}"/>
    <cellStyle name="Normal 330" xfId="1543" xr:uid="{00000000-0005-0000-0000-00004D050000}"/>
    <cellStyle name="Normal 331" xfId="1544" xr:uid="{00000000-0005-0000-0000-00004E050000}"/>
    <cellStyle name="Normal 332" xfId="1545" xr:uid="{00000000-0005-0000-0000-00004F050000}"/>
    <cellStyle name="Normal 333" xfId="1546" xr:uid="{00000000-0005-0000-0000-000050050000}"/>
    <cellStyle name="Normal 334" xfId="1547" xr:uid="{00000000-0005-0000-0000-000051050000}"/>
    <cellStyle name="Normal 335" xfId="1548" xr:uid="{00000000-0005-0000-0000-000052050000}"/>
    <cellStyle name="Normal 336" xfId="1549" xr:uid="{00000000-0005-0000-0000-000053050000}"/>
    <cellStyle name="Normal 337" xfId="1550" xr:uid="{00000000-0005-0000-0000-000054050000}"/>
    <cellStyle name="Normal 338" xfId="1551" xr:uid="{00000000-0005-0000-0000-000055050000}"/>
    <cellStyle name="Normal 339" xfId="1552" xr:uid="{00000000-0005-0000-0000-000056050000}"/>
    <cellStyle name="Normal 34" xfId="302" xr:uid="{00000000-0005-0000-0000-000057050000}"/>
    <cellStyle name="Normal 340" xfId="1553" xr:uid="{00000000-0005-0000-0000-000058050000}"/>
    <cellStyle name="Normal 341" xfId="1554" xr:uid="{00000000-0005-0000-0000-000059050000}"/>
    <cellStyle name="Normal 342" xfId="1555" xr:uid="{00000000-0005-0000-0000-00005A050000}"/>
    <cellStyle name="Normal 343" xfId="1556" xr:uid="{00000000-0005-0000-0000-00005B050000}"/>
    <cellStyle name="Normal 344" xfId="1557" xr:uid="{00000000-0005-0000-0000-00005C050000}"/>
    <cellStyle name="Normal 345" xfId="1558" xr:uid="{00000000-0005-0000-0000-00005D050000}"/>
    <cellStyle name="Normal 346" xfId="1559" xr:uid="{00000000-0005-0000-0000-00005E050000}"/>
    <cellStyle name="Normal 347" xfId="1560" xr:uid="{00000000-0005-0000-0000-00005F050000}"/>
    <cellStyle name="Normal 348" xfId="1561" xr:uid="{00000000-0005-0000-0000-000060050000}"/>
    <cellStyle name="Normal 349" xfId="1562" xr:uid="{00000000-0005-0000-0000-000061050000}"/>
    <cellStyle name="Normal 35" xfId="306" xr:uid="{00000000-0005-0000-0000-000062050000}"/>
    <cellStyle name="Normal 350" xfId="1563" xr:uid="{00000000-0005-0000-0000-000063050000}"/>
    <cellStyle name="Normal 351" xfId="1564" xr:uid="{00000000-0005-0000-0000-000064050000}"/>
    <cellStyle name="Normal 352" xfId="1565" xr:uid="{00000000-0005-0000-0000-000065050000}"/>
    <cellStyle name="Normal 353" xfId="1566" xr:uid="{00000000-0005-0000-0000-000066050000}"/>
    <cellStyle name="Normal 354" xfId="1581" xr:uid="{00000000-0005-0000-0000-000067050000}"/>
    <cellStyle name="Normal 355" xfId="1584" xr:uid="{00000000-0005-0000-0000-000068050000}"/>
    <cellStyle name="Normal 356" xfId="1586" xr:uid="{00000000-0005-0000-0000-000069050000}"/>
    <cellStyle name="Normal 357" xfId="1578" xr:uid="{00000000-0005-0000-0000-00006A050000}"/>
    <cellStyle name="Normal 358" xfId="1575" xr:uid="{00000000-0005-0000-0000-00006B050000}"/>
    <cellStyle name="Normal 359" xfId="1572" xr:uid="{00000000-0005-0000-0000-00006C050000}"/>
    <cellStyle name="Normal 36" xfId="309" xr:uid="{00000000-0005-0000-0000-00006D050000}"/>
    <cellStyle name="Normal 360" xfId="1569" xr:uid="{00000000-0005-0000-0000-00006E050000}"/>
    <cellStyle name="Normal 361" xfId="1582" xr:uid="{00000000-0005-0000-0000-00006F050000}"/>
    <cellStyle name="Normal 362" xfId="1585" xr:uid="{00000000-0005-0000-0000-000070050000}"/>
    <cellStyle name="Normal 363" xfId="1588" xr:uid="{00000000-0005-0000-0000-000071050000}"/>
    <cellStyle name="Normal 364" xfId="1579" xr:uid="{00000000-0005-0000-0000-000072050000}"/>
    <cellStyle name="Normal 365" xfId="1576" xr:uid="{00000000-0005-0000-0000-000073050000}"/>
    <cellStyle name="Normal 366" xfId="1573" xr:uid="{00000000-0005-0000-0000-000074050000}"/>
    <cellStyle name="Normal 367" xfId="1570" xr:uid="{00000000-0005-0000-0000-000075050000}"/>
    <cellStyle name="Normal 368" xfId="1583" xr:uid="{00000000-0005-0000-0000-000076050000}"/>
    <cellStyle name="Normal 369" xfId="1589" xr:uid="{00000000-0005-0000-0000-000077050000}"/>
    <cellStyle name="Normal 37" xfId="314" xr:uid="{00000000-0005-0000-0000-000078050000}"/>
    <cellStyle name="Normal 37 2" xfId="372" xr:uid="{00000000-0005-0000-0000-000079050000}"/>
    <cellStyle name="Normal 370" xfId="1580" xr:uid="{00000000-0005-0000-0000-00007A050000}"/>
    <cellStyle name="Normal 371" xfId="1587" xr:uid="{00000000-0005-0000-0000-00007B050000}"/>
    <cellStyle name="Normal 372" xfId="1577" xr:uid="{00000000-0005-0000-0000-00007C050000}"/>
    <cellStyle name="Normal 373" xfId="1838" xr:uid="{00000000-0005-0000-0000-00007D050000}"/>
    <cellStyle name="Normal 374" xfId="1590" xr:uid="{00000000-0005-0000-0000-00007E050000}"/>
    <cellStyle name="Normal 375" xfId="1574" xr:uid="{00000000-0005-0000-0000-00007F050000}"/>
    <cellStyle name="Normal 376" xfId="1571" xr:uid="{00000000-0005-0000-0000-000080050000}"/>
    <cellStyle name="Normal 377" xfId="1840" xr:uid="{00000000-0005-0000-0000-000081050000}"/>
    <cellStyle name="Normal 38" xfId="337" xr:uid="{00000000-0005-0000-0000-000082050000}"/>
    <cellStyle name="Normal 38 2" xfId="375" xr:uid="{00000000-0005-0000-0000-000083050000}"/>
    <cellStyle name="Normal 39" xfId="344" xr:uid="{00000000-0005-0000-0000-000084050000}"/>
    <cellStyle name="Normal 39 2" xfId="377" xr:uid="{00000000-0005-0000-0000-000085050000}"/>
    <cellStyle name="Normal 4" xfId="8" xr:uid="{00000000-0005-0000-0000-000086050000}"/>
    <cellStyle name="Normal 4 2" xfId="244" xr:uid="{00000000-0005-0000-0000-000087050000}"/>
    <cellStyle name="Normal 4 2 2" xfId="332" xr:uid="{00000000-0005-0000-0000-000088050000}"/>
    <cellStyle name="Normal 4 2 2 2" xfId="333" xr:uid="{00000000-0005-0000-0000-000089050000}"/>
    <cellStyle name="Normal 4 2 2 2 2" xfId="373" xr:uid="{00000000-0005-0000-0000-00008A050000}"/>
    <cellStyle name="Normal 4 2 2 2 2 2" xfId="374" xr:uid="{00000000-0005-0000-0000-00008B050000}"/>
    <cellStyle name="Normal 4 2 2 3" xfId="361" xr:uid="{00000000-0005-0000-0000-00008C050000}"/>
    <cellStyle name="Normal 4 2 3" xfId="355" xr:uid="{00000000-0005-0000-0000-00008D050000}"/>
    <cellStyle name="Normal 4 2 4" xfId="357" xr:uid="{00000000-0005-0000-0000-00008E050000}"/>
    <cellStyle name="Normal 4 2 5" xfId="360" xr:uid="{00000000-0005-0000-0000-00008F050000}"/>
    <cellStyle name="Normal 4 2 5 2" xfId="371" xr:uid="{00000000-0005-0000-0000-000090050000}"/>
    <cellStyle name="Normal 4 3" xfId="348" xr:uid="{00000000-0005-0000-0000-000091050000}"/>
    <cellStyle name="Normal 4 4" xfId="356" xr:uid="{00000000-0005-0000-0000-000092050000}"/>
    <cellStyle name="Normal 4 5" xfId="362" xr:uid="{00000000-0005-0000-0000-000093050000}"/>
    <cellStyle name="Normal 4 6" xfId="715" xr:uid="{00000000-0005-0000-0000-000094050000}"/>
    <cellStyle name="Normal 4 6 2" xfId="940" xr:uid="{00000000-0005-0000-0000-000095050000}"/>
    <cellStyle name="Normal 4 7" xfId="158" xr:uid="{00000000-0005-0000-0000-000096050000}"/>
    <cellStyle name="Normal 40" xfId="331" xr:uid="{00000000-0005-0000-0000-000097050000}"/>
    <cellStyle name="Normal 41" xfId="95" xr:uid="{00000000-0005-0000-0000-000098050000}"/>
    <cellStyle name="Normal 42" xfId="96" xr:uid="{00000000-0005-0000-0000-000099050000}"/>
    <cellStyle name="Normal 43" xfId="97" xr:uid="{00000000-0005-0000-0000-00009A050000}"/>
    <cellStyle name="Normal 44" xfId="98" xr:uid="{00000000-0005-0000-0000-00009B050000}"/>
    <cellStyle name="Normal 45" xfId="99" xr:uid="{00000000-0005-0000-0000-00009C050000}"/>
    <cellStyle name="Normal 46" xfId="100" xr:uid="{00000000-0005-0000-0000-00009D050000}"/>
    <cellStyle name="Normal 47" xfId="101" xr:uid="{00000000-0005-0000-0000-00009E050000}"/>
    <cellStyle name="Normal 48" xfId="102" xr:uid="{00000000-0005-0000-0000-00009F050000}"/>
    <cellStyle name="Normal 48 10" xfId="1416" xr:uid="{00000000-0005-0000-0000-0000A0050000}"/>
    <cellStyle name="Normal 48 11" xfId="1428" xr:uid="{00000000-0005-0000-0000-0000A1050000}"/>
    <cellStyle name="Normal 48 12" xfId="1456" xr:uid="{00000000-0005-0000-0000-0000A2050000}"/>
    <cellStyle name="Normal 48 13" xfId="1451" xr:uid="{00000000-0005-0000-0000-0000A3050000}"/>
    <cellStyle name="Normal 48 14" xfId="1429" xr:uid="{00000000-0005-0000-0000-0000A4050000}"/>
    <cellStyle name="Normal 48 15" xfId="1469" xr:uid="{00000000-0005-0000-0000-0000A5050000}"/>
    <cellStyle name="Normal 48 16" xfId="1472" xr:uid="{00000000-0005-0000-0000-0000A6050000}"/>
    <cellStyle name="Normal 48 2" xfId="106" xr:uid="{00000000-0005-0000-0000-0000A7050000}"/>
    <cellStyle name="Normal 48 3" xfId="114" xr:uid="{00000000-0005-0000-0000-0000A8050000}"/>
    <cellStyle name="Normal 48 4" xfId="109" xr:uid="{00000000-0005-0000-0000-0000A9050000}"/>
    <cellStyle name="Normal 48 5" xfId="118" xr:uid="{00000000-0005-0000-0000-0000AA050000}"/>
    <cellStyle name="Normal 48 6" xfId="113" xr:uid="{00000000-0005-0000-0000-0000AB050000}"/>
    <cellStyle name="Normal 48 7" xfId="121" xr:uid="{00000000-0005-0000-0000-0000AC050000}"/>
    <cellStyle name="Normal 48 8" xfId="1387" xr:uid="{00000000-0005-0000-0000-0000AD050000}"/>
    <cellStyle name="Normal 48 9" xfId="1393" xr:uid="{00000000-0005-0000-0000-0000AE050000}"/>
    <cellStyle name="Normal 49" xfId="103" xr:uid="{00000000-0005-0000-0000-0000AF050000}"/>
    <cellStyle name="Normal 49 10" xfId="1417" xr:uid="{00000000-0005-0000-0000-0000B0050000}"/>
    <cellStyle name="Normal 49 11" xfId="1427" xr:uid="{00000000-0005-0000-0000-0000B1050000}"/>
    <cellStyle name="Normal 49 12" xfId="1435" xr:uid="{00000000-0005-0000-0000-0000B2050000}"/>
    <cellStyle name="Normal 49 13" xfId="1445" xr:uid="{00000000-0005-0000-0000-0000B3050000}"/>
    <cellStyle name="Normal 49 14" xfId="1463" xr:uid="{00000000-0005-0000-0000-0000B4050000}"/>
    <cellStyle name="Normal 49 15" xfId="1470" xr:uid="{00000000-0005-0000-0000-0000B5050000}"/>
    <cellStyle name="Normal 49 16" xfId="1468" xr:uid="{00000000-0005-0000-0000-0000B6050000}"/>
    <cellStyle name="Normal 49 2" xfId="107" xr:uid="{00000000-0005-0000-0000-0000B7050000}"/>
    <cellStyle name="Normal 49 3" xfId="115" xr:uid="{00000000-0005-0000-0000-0000B8050000}"/>
    <cellStyle name="Normal 49 4" xfId="112" xr:uid="{00000000-0005-0000-0000-0000B9050000}"/>
    <cellStyle name="Normal 49 5" xfId="119" xr:uid="{00000000-0005-0000-0000-0000BA050000}"/>
    <cellStyle name="Normal 49 6" xfId="117" xr:uid="{00000000-0005-0000-0000-0000BB050000}"/>
    <cellStyle name="Normal 49 7" xfId="122" xr:uid="{00000000-0005-0000-0000-0000BC050000}"/>
    <cellStyle name="Normal 49 8" xfId="1388" xr:uid="{00000000-0005-0000-0000-0000BD050000}"/>
    <cellStyle name="Normal 49 9" xfId="1395" xr:uid="{00000000-0005-0000-0000-0000BE050000}"/>
    <cellStyle name="Normal 5" xfId="91" xr:uid="{00000000-0005-0000-0000-0000BF050000}"/>
    <cellStyle name="Normal 50" xfId="104" xr:uid="{00000000-0005-0000-0000-0000C0050000}"/>
    <cellStyle name="Normal 50 10" xfId="1418" xr:uid="{00000000-0005-0000-0000-0000C1050000}"/>
    <cellStyle name="Normal 50 11" xfId="1426" xr:uid="{00000000-0005-0000-0000-0000C2050000}"/>
    <cellStyle name="Normal 50 12" xfId="1453" xr:uid="{00000000-0005-0000-0000-0000C3050000}"/>
    <cellStyle name="Normal 50 13" xfId="1450" xr:uid="{00000000-0005-0000-0000-0000C4050000}"/>
    <cellStyle name="Normal 50 14" xfId="1431" xr:uid="{00000000-0005-0000-0000-0000C5050000}"/>
    <cellStyle name="Normal 50 15" xfId="1471" xr:uid="{00000000-0005-0000-0000-0000C6050000}"/>
    <cellStyle name="Normal 50 16" xfId="1473" xr:uid="{00000000-0005-0000-0000-0000C7050000}"/>
    <cellStyle name="Normal 50 2" xfId="108" xr:uid="{00000000-0005-0000-0000-0000C8050000}"/>
    <cellStyle name="Normal 50 3" xfId="116" xr:uid="{00000000-0005-0000-0000-0000C9050000}"/>
    <cellStyle name="Normal 50 4" xfId="110" xr:uid="{00000000-0005-0000-0000-0000CA050000}"/>
    <cellStyle name="Normal 50 5" xfId="120" xr:uid="{00000000-0005-0000-0000-0000CB050000}"/>
    <cellStyle name="Normal 50 6" xfId="111" xr:uid="{00000000-0005-0000-0000-0000CC050000}"/>
    <cellStyle name="Normal 50 7" xfId="123" xr:uid="{00000000-0005-0000-0000-0000CD050000}"/>
    <cellStyle name="Normal 50 8" xfId="1389" xr:uid="{00000000-0005-0000-0000-0000CE050000}"/>
    <cellStyle name="Normal 50 9" xfId="1394" xr:uid="{00000000-0005-0000-0000-0000CF050000}"/>
    <cellStyle name="Normal 51" xfId="379" xr:uid="{00000000-0005-0000-0000-0000D0050000}"/>
    <cellStyle name="Normal 51 2" xfId="613" xr:uid="{00000000-0005-0000-0000-0000D1050000}"/>
    <cellStyle name="Normal 51 3" xfId="832" xr:uid="{00000000-0005-0000-0000-0000D2050000}"/>
    <cellStyle name="Normal 51 3 2" xfId="1141" xr:uid="{00000000-0005-0000-0000-0000D3050000}"/>
    <cellStyle name="Normal 51 4" xfId="993" xr:uid="{00000000-0005-0000-0000-0000D4050000}"/>
    <cellStyle name="Normal 51 5" xfId="609" xr:uid="{00000000-0005-0000-0000-0000D5050000}"/>
    <cellStyle name="Normal 52" xfId="359" xr:uid="{00000000-0005-0000-0000-0000D6050000}"/>
    <cellStyle name="Normal 52 2" xfId="378" xr:uid="{00000000-0005-0000-0000-0000D7050000}"/>
    <cellStyle name="Normal 53" xfId="369" xr:uid="{00000000-0005-0000-0000-0000D8050000}"/>
    <cellStyle name="Normal 54" xfId="380" xr:uid="{00000000-0005-0000-0000-0000D9050000}"/>
    <cellStyle name="Normal 55" xfId="381" xr:uid="{00000000-0005-0000-0000-0000DA050000}"/>
    <cellStyle name="Normal 56" xfId="382" xr:uid="{00000000-0005-0000-0000-0000DB050000}"/>
    <cellStyle name="Normal 57" xfId="383" xr:uid="{00000000-0005-0000-0000-0000DC050000}"/>
    <cellStyle name="Normal 58" xfId="384" xr:uid="{00000000-0005-0000-0000-0000DD050000}"/>
    <cellStyle name="Normal 59" xfId="385" xr:uid="{00000000-0005-0000-0000-0000DE050000}"/>
    <cellStyle name="Normal 6" xfId="237" xr:uid="{00000000-0005-0000-0000-0000DF050000}"/>
    <cellStyle name="Normal 6 2" xfId="334" xr:uid="{00000000-0005-0000-0000-0000E0050000}"/>
    <cellStyle name="Normal 6 2 2" xfId="1354" xr:uid="{00000000-0005-0000-0000-0000E1050000}"/>
    <cellStyle name="Normal 6 2 3" xfId="1330" xr:uid="{00000000-0005-0000-0000-0000E2050000}"/>
    <cellStyle name="Normal 6 2 4" xfId="1785" xr:uid="{00000000-0005-0000-0000-0000E3050000}"/>
    <cellStyle name="Normal 6 3" xfId="350" xr:uid="{00000000-0005-0000-0000-0000E4050000}"/>
    <cellStyle name="Normal 6 4" xfId="352" xr:uid="{00000000-0005-0000-0000-0000E5050000}"/>
    <cellStyle name="Normal 6 5" xfId="363" xr:uid="{00000000-0005-0000-0000-0000E6050000}"/>
    <cellStyle name="Normal 6 6" xfId="1350" xr:uid="{00000000-0005-0000-0000-0000E7050000}"/>
    <cellStyle name="Normal 6 7" xfId="1298" xr:uid="{00000000-0005-0000-0000-0000E8050000}"/>
    <cellStyle name="Normal 6 8" xfId="1792" xr:uid="{00000000-0005-0000-0000-0000E9050000}"/>
    <cellStyle name="Normal 60" xfId="386" xr:uid="{00000000-0005-0000-0000-0000EA050000}"/>
    <cellStyle name="Normal 61" xfId="387" xr:uid="{00000000-0005-0000-0000-0000EB050000}"/>
    <cellStyle name="Normal 62" xfId="388" xr:uid="{00000000-0005-0000-0000-0000EC050000}"/>
    <cellStyle name="Normal 63" xfId="389" xr:uid="{00000000-0005-0000-0000-0000ED050000}"/>
    <cellStyle name="Normal 64" xfId="390" xr:uid="{00000000-0005-0000-0000-0000EE050000}"/>
    <cellStyle name="Normal 65" xfId="391" xr:uid="{00000000-0005-0000-0000-0000EF050000}"/>
    <cellStyle name="Normal 66" xfId="392" xr:uid="{00000000-0005-0000-0000-0000F0050000}"/>
    <cellStyle name="Normal 67" xfId="393" xr:uid="{00000000-0005-0000-0000-0000F1050000}"/>
    <cellStyle name="Normal 68" xfId="394" xr:uid="{00000000-0005-0000-0000-0000F2050000}"/>
    <cellStyle name="Normal 69" xfId="395" xr:uid="{00000000-0005-0000-0000-0000F3050000}"/>
    <cellStyle name="Normal 7" xfId="236" xr:uid="{00000000-0005-0000-0000-0000F4050000}"/>
    <cellStyle name="Normal 7 2" xfId="335" xr:uid="{00000000-0005-0000-0000-0000F5050000}"/>
    <cellStyle name="Normal 7 2 2" xfId="1355" xr:uid="{00000000-0005-0000-0000-0000F6050000}"/>
    <cellStyle name="Normal 7 2 3" xfId="1331" xr:uid="{00000000-0005-0000-0000-0000F7050000}"/>
    <cellStyle name="Normal 7 2 4" xfId="1769" xr:uid="{00000000-0005-0000-0000-0000F8050000}"/>
    <cellStyle name="Normal 7 3" xfId="349" xr:uid="{00000000-0005-0000-0000-0000F9050000}"/>
    <cellStyle name="Normal 7 4" xfId="354" xr:uid="{00000000-0005-0000-0000-0000FA050000}"/>
    <cellStyle name="Normal 7 5" xfId="364" xr:uid="{00000000-0005-0000-0000-0000FB050000}"/>
    <cellStyle name="Normal 7 6" xfId="1349" xr:uid="{00000000-0005-0000-0000-0000FC050000}"/>
    <cellStyle name="Normal 7 7" xfId="1316" xr:uid="{00000000-0005-0000-0000-0000FD050000}"/>
    <cellStyle name="Normal 7 8" xfId="1795" xr:uid="{00000000-0005-0000-0000-0000FE050000}"/>
    <cellStyle name="Normal 70" xfId="396" xr:uid="{00000000-0005-0000-0000-0000FF050000}"/>
    <cellStyle name="Normal 71" xfId="397" xr:uid="{00000000-0005-0000-0000-000000060000}"/>
    <cellStyle name="Normal 72" xfId="398" xr:uid="{00000000-0005-0000-0000-000001060000}"/>
    <cellStyle name="Normal 73" xfId="399" xr:uid="{00000000-0005-0000-0000-000002060000}"/>
    <cellStyle name="Normal 74" xfId="400" xr:uid="{00000000-0005-0000-0000-000003060000}"/>
    <cellStyle name="Normal 75" xfId="401" xr:uid="{00000000-0005-0000-0000-000004060000}"/>
    <cellStyle name="Normal 76" xfId="402" xr:uid="{00000000-0005-0000-0000-000005060000}"/>
    <cellStyle name="Normal 77" xfId="403" xr:uid="{00000000-0005-0000-0000-000006060000}"/>
    <cellStyle name="Normal 78" xfId="404" xr:uid="{00000000-0005-0000-0000-000007060000}"/>
    <cellStyle name="Normal 79" xfId="405" xr:uid="{00000000-0005-0000-0000-000008060000}"/>
    <cellStyle name="Normal 8" xfId="234" xr:uid="{00000000-0005-0000-0000-000009060000}"/>
    <cellStyle name="Normal 8 2" xfId="336" xr:uid="{00000000-0005-0000-0000-00000A060000}"/>
    <cellStyle name="Normal 8 3" xfId="346" xr:uid="{00000000-0005-0000-0000-00000B060000}"/>
    <cellStyle name="Normal 8 4" xfId="340" xr:uid="{00000000-0005-0000-0000-00000C060000}"/>
    <cellStyle name="Normal 8 5" xfId="365" xr:uid="{00000000-0005-0000-0000-00000D060000}"/>
    <cellStyle name="Normal 8 6" xfId="1828" xr:uid="{00000000-0005-0000-0000-00000E060000}"/>
    <cellStyle name="Normal 80" xfId="406" xr:uid="{00000000-0005-0000-0000-00000F060000}"/>
    <cellStyle name="Normal 81" xfId="407" xr:uid="{00000000-0005-0000-0000-000010060000}"/>
    <cellStyle name="Normal 82" xfId="408" xr:uid="{00000000-0005-0000-0000-000011060000}"/>
    <cellStyle name="Normal 83" xfId="409" xr:uid="{00000000-0005-0000-0000-000012060000}"/>
    <cellStyle name="Normal 84" xfId="410" xr:uid="{00000000-0005-0000-0000-000013060000}"/>
    <cellStyle name="Normal 85" xfId="411" xr:uid="{00000000-0005-0000-0000-000014060000}"/>
    <cellStyle name="Normal 86" xfId="412" xr:uid="{00000000-0005-0000-0000-000015060000}"/>
    <cellStyle name="Normal 87" xfId="413" xr:uid="{00000000-0005-0000-0000-000016060000}"/>
    <cellStyle name="Normal 88" xfId="414" xr:uid="{00000000-0005-0000-0000-000017060000}"/>
    <cellStyle name="Normal 89" xfId="415" xr:uid="{00000000-0005-0000-0000-000018060000}"/>
    <cellStyle name="Normal 9" xfId="92" xr:uid="{00000000-0005-0000-0000-000019060000}"/>
    <cellStyle name="Normal 90" xfId="416" xr:uid="{00000000-0005-0000-0000-00001A060000}"/>
    <cellStyle name="Normal 91" xfId="417" xr:uid="{00000000-0005-0000-0000-00001B060000}"/>
    <cellStyle name="Normal 92" xfId="418" xr:uid="{00000000-0005-0000-0000-00001C060000}"/>
    <cellStyle name="Normal 93" xfId="419" xr:uid="{00000000-0005-0000-0000-00001D060000}"/>
    <cellStyle name="Normal 94" xfId="420" xr:uid="{00000000-0005-0000-0000-00001E060000}"/>
    <cellStyle name="Normal 95" xfId="421" xr:uid="{00000000-0005-0000-0000-00001F060000}"/>
    <cellStyle name="Normal 96" xfId="422" xr:uid="{00000000-0005-0000-0000-000020060000}"/>
    <cellStyle name="Normal 97" xfId="423" xr:uid="{00000000-0005-0000-0000-000021060000}"/>
    <cellStyle name="Normal 98" xfId="424" xr:uid="{00000000-0005-0000-0000-000022060000}"/>
    <cellStyle name="Normal 99" xfId="425" xr:uid="{00000000-0005-0000-0000-000023060000}"/>
    <cellStyle name="Note" xfId="22" builtinId="10" customBuiltin="1"/>
    <cellStyle name="Note 2" xfId="570" xr:uid="{00000000-0005-0000-0000-000025060000}"/>
    <cellStyle name="Note 2 2" xfId="1609" xr:uid="{00000000-0005-0000-0000-000026060000}"/>
    <cellStyle name="Note 2 3" xfId="1681" xr:uid="{00000000-0005-0000-0000-000027060000}"/>
    <cellStyle name="Note 2 4" xfId="1671" xr:uid="{00000000-0005-0000-0000-000028060000}"/>
    <cellStyle name="Note 2 5" xfId="1707" xr:uid="{00000000-0005-0000-0000-000029060000}"/>
    <cellStyle name="Note 3" xfId="677" xr:uid="{00000000-0005-0000-0000-00002A060000}"/>
    <cellStyle name="Note 3 2" xfId="1616" xr:uid="{00000000-0005-0000-0000-00002B060000}"/>
    <cellStyle name="Note 3 3" xfId="1668" xr:uid="{00000000-0005-0000-0000-00002C060000}"/>
    <cellStyle name="Note 3 4" xfId="1664" xr:uid="{00000000-0005-0000-0000-00002D060000}"/>
    <cellStyle name="Note 3 5" xfId="1645" xr:uid="{00000000-0005-0000-0000-00002E060000}"/>
    <cellStyle name="Note 4" xfId="714" xr:uid="{00000000-0005-0000-0000-00002F060000}"/>
    <cellStyle name="Note 4 2" xfId="939" xr:uid="{00000000-0005-0000-0000-000030060000}"/>
    <cellStyle name="Note 4 2 2" xfId="1629" xr:uid="{00000000-0005-0000-0000-000031060000}"/>
    <cellStyle name="Note 4 2 3" xfId="1686" xr:uid="{00000000-0005-0000-0000-000032060000}"/>
    <cellStyle name="Note 4 2 4" xfId="1673" xr:uid="{00000000-0005-0000-0000-000033060000}"/>
    <cellStyle name="Note 4 2 5" xfId="1648" xr:uid="{00000000-0005-0000-0000-000034060000}"/>
    <cellStyle name="Note 4 3" xfId="1619" xr:uid="{00000000-0005-0000-0000-000035060000}"/>
    <cellStyle name="Note 4 4" xfId="1670" xr:uid="{00000000-0005-0000-0000-000036060000}"/>
    <cellStyle name="Note 4 5" xfId="1657" xr:uid="{00000000-0005-0000-0000-000037060000}"/>
    <cellStyle name="Note 4 6" xfId="1659" xr:uid="{00000000-0005-0000-0000-000038060000}"/>
    <cellStyle name="Output" xfId="17" builtinId="21" customBuiltin="1"/>
    <cellStyle name="Output 2" xfId="574" xr:uid="{00000000-0005-0000-0000-00003A060000}"/>
    <cellStyle name="Output 2 2" xfId="1610" xr:uid="{00000000-0005-0000-0000-00003B060000}"/>
    <cellStyle name="Output 2 3" xfId="1646" xr:uid="{00000000-0005-0000-0000-00003C060000}"/>
    <cellStyle name="Output 2 4" xfId="1701" xr:uid="{00000000-0005-0000-0000-00003D060000}"/>
    <cellStyle name="Output 2 5" xfId="1683" xr:uid="{00000000-0005-0000-0000-00003E060000}"/>
    <cellStyle name="Output 3" xfId="678" xr:uid="{00000000-0005-0000-0000-00003F060000}"/>
    <cellStyle name="Output 3 2" xfId="1617" xr:uid="{00000000-0005-0000-0000-000040060000}"/>
    <cellStyle name="Output 3 3" xfId="1705" xr:uid="{00000000-0005-0000-0000-000041060000}"/>
    <cellStyle name="Output 3 4" xfId="1688" xr:uid="{00000000-0005-0000-0000-000042060000}"/>
    <cellStyle name="Output 3 5" xfId="1717" xr:uid="{00000000-0005-0000-0000-000043060000}"/>
    <cellStyle name="Per cent" xfId="5" builtinId="5"/>
    <cellStyle name="Percent ()" xfId="69" xr:uid="{00000000-0005-0000-0000-000045060000}"/>
    <cellStyle name="Percent () 2" xfId="1311" xr:uid="{00000000-0005-0000-0000-000046060000}"/>
    <cellStyle name="Percent () 2 2" xfId="1332" xr:uid="{00000000-0005-0000-0000-000047060000}"/>
    <cellStyle name="Percent () 2 3" xfId="1779" xr:uid="{00000000-0005-0000-0000-000048060000}"/>
    <cellStyle name="Percent () 2 4" xfId="1745" xr:uid="{00000000-0005-0000-0000-000049060000}"/>
    <cellStyle name="Percent 1" xfId="70" xr:uid="{00000000-0005-0000-0000-00004A060000}"/>
    <cellStyle name="Percent 1 2" xfId="1312" xr:uid="{00000000-0005-0000-0000-00004B060000}"/>
    <cellStyle name="Percent 1 2 2" xfId="1333" xr:uid="{00000000-0005-0000-0000-00004C060000}"/>
    <cellStyle name="Percent 1 2 3" xfId="1807" xr:uid="{00000000-0005-0000-0000-00004D060000}"/>
    <cellStyle name="Percent 1 2 4" xfId="1771" xr:uid="{00000000-0005-0000-0000-00004E060000}"/>
    <cellStyle name="Percent 10" xfId="3" xr:uid="{00000000-0005-0000-0000-00004F060000}"/>
    <cellStyle name="Percent 10 2" xfId="1365" xr:uid="{00000000-0005-0000-0000-000050060000}"/>
    <cellStyle name="Percent 10 3" xfId="1286" xr:uid="{00000000-0005-0000-0000-000051060000}"/>
    <cellStyle name="Percent 10 4" xfId="620" xr:uid="{00000000-0005-0000-0000-000052060000}"/>
    <cellStyle name="Percent 100" xfId="1638" xr:uid="{00000000-0005-0000-0000-000053060000}"/>
    <cellStyle name="Percent 101" xfId="1726" xr:uid="{00000000-0005-0000-0000-000054060000}"/>
    <cellStyle name="Percent 102" xfId="1727" xr:uid="{00000000-0005-0000-0000-000055060000}"/>
    <cellStyle name="Percent 103" xfId="1839" xr:uid="{00000000-0005-0000-0000-000056060000}"/>
    <cellStyle name="Percent 104" xfId="1841" xr:uid="{00000000-0005-0000-0000-000057060000}"/>
    <cellStyle name="Percent 11" xfId="159" xr:uid="{00000000-0005-0000-0000-000058060000}"/>
    <cellStyle name="Percent 11 2" xfId="1368" xr:uid="{00000000-0005-0000-0000-000059060000}"/>
    <cellStyle name="Percent 11 3" xfId="1287" xr:uid="{00000000-0005-0000-0000-00005A060000}"/>
    <cellStyle name="Percent 11 4" xfId="640" xr:uid="{00000000-0005-0000-0000-00005B060000}"/>
    <cellStyle name="Percent 12" xfId="182" xr:uid="{00000000-0005-0000-0000-00005C060000}"/>
    <cellStyle name="Percent 12 2" xfId="1375" xr:uid="{00000000-0005-0000-0000-00005D060000}"/>
    <cellStyle name="Percent 12 3" xfId="1288" xr:uid="{00000000-0005-0000-0000-00005E060000}"/>
    <cellStyle name="Percent 12 4" xfId="746" xr:uid="{00000000-0005-0000-0000-00005F060000}"/>
    <cellStyle name="Percent 13" xfId="183" xr:uid="{00000000-0005-0000-0000-000060060000}"/>
    <cellStyle name="Percent 14" xfId="184" xr:uid="{00000000-0005-0000-0000-000061060000}"/>
    <cellStyle name="Percent 15" xfId="185" xr:uid="{00000000-0005-0000-0000-000062060000}"/>
    <cellStyle name="Percent 16" xfId="186" xr:uid="{00000000-0005-0000-0000-000063060000}"/>
    <cellStyle name="Percent 17" xfId="189" xr:uid="{00000000-0005-0000-0000-000064060000}"/>
    <cellStyle name="Percent 18" xfId="198" xr:uid="{00000000-0005-0000-0000-000065060000}"/>
    <cellStyle name="Percent 19" xfId="188" xr:uid="{00000000-0005-0000-0000-000066060000}"/>
    <cellStyle name="Percent 2" xfId="71" xr:uid="{00000000-0005-0000-0000-000067060000}"/>
    <cellStyle name="Percent 2 10" xfId="161" xr:uid="{00000000-0005-0000-0000-000068060000}"/>
    <cellStyle name="Percent 2 11" xfId="162" xr:uid="{00000000-0005-0000-0000-000069060000}"/>
    <cellStyle name="Percent 2 12" xfId="163" xr:uid="{00000000-0005-0000-0000-00006A060000}"/>
    <cellStyle name="Percent 2 13" xfId="164" xr:uid="{00000000-0005-0000-0000-00006B060000}"/>
    <cellStyle name="Percent 2 14" xfId="165" xr:uid="{00000000-0005-0000-0000-00006C060000}"/>
    <cellStyle name="Percent 2 15" xfId="166" xr:uid="{00000000-0005-0000-0000-00006D060000}"/>
    <cellStyle name="Percent 2 16" xfId="167" xr:uid="{00000000-0005-0000-0000-00006E060000}"/>
    <cellStyle name="Percent 2 17" xfId="160" xr:uid="{00000000-0005-0000-0000-00006F060000}"/>
    <cellStyle name="Percent 2 18" xfId="1313" xr:uid="{00000000-0005-0000-0000-000070060000}"/>
    <cellStyle name="Percent 2 18 2" xfId="1334" xr:uid="{00000000-0005-0000-0000-000071060000}"/>
    <cellStyle name="Percent 2 18 3" xfId="1747" xr:uid="{00000000-0005-0000-0000-000072060000}"/>
    <cellStyle name="Percent 2 18 4" xfId="1826" xr:uid="{00000000-0005-0000-0000-000073060000}"/>
    <cellStyle name="Percent 2 19" xfId="1399" xr:uid="{00000000-0005-0000-0000-000074060000}"/>
    <cellStyle name="Percent 2 2" xfId="85" xr:uid="{00000000-0005-0000-0000-000075060000}"/>
    <cellStyle name="Percent 2 20" xfId="1413" xr:uid="{00000000-0005-0000-0000-000076060000}"/>
    <cellStyle name="Percent 2 3" xfId="168" xr:uid="{00000000-0005-0000-0000-000077060000}"/>
    <cellStyle name="Percent 2 3 2" xfId="941" xr:uid="{00000000-0005-0000-0000-000078060000}"/>
    <cellStyle name="Percent 2 3 3" xfId="1371" xr:uid="{00000000-0005-0000-0000-000079060000}"/>
    <cellStyle name="Percent 2 3 4" xfId="1290" xr:uid="{00000000-0005-0000-0000-00007A060000}"/>
    <cellStyle name="Percent 2 3 5" xfId="716" xr:uid="{00000000-0005-0000-0000-00007B060000}"/>
    <cellStyle name="Percent 2 4" xfId="169" xr:uid="{00000000-0005-0000-0000-00007C060000}"/>
    <cellStyle name="Percent 2 5" xfId="170" xr:uid="{00000000-0005-0000-0000-00007D060000}"/>
    <cellStyle name="Percent 2 6" xfId="171" xr:uid="{00000000-0005-0000-0000-00007E060000}"/>
    <cellStyle name="Percent 2 7" xfId="172" xr:uid="{00000000-0005-0000-0000-00007F060000}"/>
    <cellStyle name="Percent 2 8" xfId="173" xr:uid="{00000000-0005-0000-0000-000080060000}"/>
    <cellStyle name="Percent 2 9" xfId="174" xr:uid="{00000000-0005-0000-0000-000081060000}"/>
    <cellStyle name="Percent 20" xfId="197" xr:uid="{00000000-0005-0000-0000-000082060000}"/>
    <cellStyle name="Percent 21" xfId="193" xr:uid="{00000000-0005-0000-0000-000083060000}"/>
    <cellStyle name="Percent 22" xfId="196" xr:uid="{00000000-0005-0000-0000-000084060000}"/>
    <cellStyle name="Percent 23" xfId="194" xr:uid="{00000000-0005-0000-0000-000085060000}"/>
    <cellStyle name="Percent 24" xfId="190" xr:uid="{00000000-0005-0000-0000-000086060000}"/>
    <cellStyle name="Percent 25" xfId="195" xr:uid="{00000000-0005-0000-0000-000087060000}"/>
    <cellStyle name="Percent 26" xfId="192" xr:uid="{00000000-0005-0000-0000-000088060000}"/>
    <cellStyle name="Percent 27" xfId="199" xr:uid="{00000000-0005-0000-0000-000089060000}"/>
    <cellStyle name="Percent 28" xfId="187" xr:uid="{00000000-0005-0000-0000-00008A060000}"/>
    <cellStyle name="Percent 29" xfId="191" xr:uid="{00000000-0005-0000-0000-00008B060000}"/>
    <cellStyle name="Percent 3" xfId="77" xr:uid="{00000000-0005-0000-0000-00008C060000}"/>
    <cellStyle name="Percent 30" xfId="200" xr:uid="{00000000-0005-0000-0000-00008D060000}"/>
    <cellStyle name="Percent 31" xfId="201" xr:uid="{00000000-0005-0000-0000-00008E060000}"/>
    <cellStyle name="Percent 32" xfId="202" xr:uid="{00000000-0005-0000-0000-00008F060000}"/>
    <cellStyle name="Percent 33" xfId="204" xr:uid="{00000000-0005-0000-0000-000090060000}"/>
    <cellStyle name="Percent 34" xfId="205" xr:uid="{00000000-0005-0000-0000-000091060000}"/>
    <cellStyle name="Percent 35" xfId="206" xr:uid="{00000000-0005-0000-0000-000092060000}"/>
    <cellStyle name="Percent 36" xfId="207" xr:uid="{00000000-0005-0000-0000-000093060000}"/>
    <cellStyle name="Percent 37" xfId="208" xr:uid="{00000000-0005-0000-0000-000094060000}"/>
    <cellStyle name="Percent 38" xfId="209" xr:uid="{00000000-0005-0000-0000-000095060000}"/>
    <cellStyle name="Percent 39" xfId="210" xr:uid="{00000000-0005-0000-0000-000096060000}"/>
    <cellStyle name="Percent 39 2" xfId="1297" xr:uid="{00000000-0005-0000-0000-000097060000}"/>
    <cellStyle name="Percent 39 2 2" xfId="1760" xr:uid="{00000000-0005-0000-0000-000098060000}"/>
    <cellStyle name="Percent 39 2 3" xfId="1829" xr:uid="{00000000-0005-0000-0000-000099060000}"/>
    <cellStyle name="Percent 39 2 4" xfId="1759" xr:uid="{00000000-0005-0000-0000-00009A060000}"/>
    <cellStyle name="Percent 39 3" xfId="1811" xr:uid="{00000000-0005-0000-0000-00009B060000}"/>
    <cellStyle name="Percent 4" xfId="78" xr:uid="{00000000-0005-0000-0000-00009C060000}"/>
    <cellStyle name="Percent 40" xfId="211" xr:uid="{00000000-0005-0000-0000-00009D060000}"/>
    <cellStyle name="Percent 40 2" xfId="1335" xr:uid="{00000000-0005-0000-0000-00009E060000}"/>
    <cellStyle name="Percent 40 3" xfId="1310" xr:uid="{00000000-0005-0000-0000-00009F060000}"/>
    <cellStyle name="Percent 40 3 2" xfId="1813" xr:uid="{00000000-0005-0000-0000-0000A0060000}"/>
    <cellStyle name="Percent 40 3 3" xfId="1778" xr:uid="{00000000-0005-0000-0000-0000A1060000}"/>
    <cellStyle name="Percent 40 3 4" xfId="1762" xr:uid="{00000000-0005-0000-0000-0000A2060000}"/>
    <cellStyle name="Percent 40 4" xfId="1763" xr:uid="{00000000-0005-0000-0000-0000A3060000}"/>
    <cellStyle name="Percent 41" xfId="212" xr:uid="{00000000-0005-0000-0000-0000A4060000}"/>
    <cellStyle name="Percent 41 2" xfId="1336" xr:uid="{00000000-0005-0000-0000-0000A5060000}"/>
    <cellStyle name="Percent 41 3" xfId="1320" xr:uid="{00000000-0005-0000-0000-0000A6060000}"/>
    <cellStyle name="Percent 41 3 2" xfId="1757" xr:uid="{00000000-0005-0000-0000-0000A7060000}"/>
    <cellStyle name="Percent 41 3 3" xfId="1806" xr:uid="{00000000-0005-0000-0000-0000A8060000}"/>
    <cellStyle name="Percent 41 3 4" xfId="1790" xr:uid="{00000000-0005-0000-0000-0000A9060000}"/>
    <cellStyle name="Percent 41 4" xfId="1809" xr:uid="{00000000-0005-0000-0000-0000AA060000}"/>
    <cellStyle name="Percent 42" xfId="213" xr:uid="{00000000-0005-0000-0000-0000AB060000}"/>
    <cellStyle name="Percent 42 2" xfId="1337" xr:uid="{00000000-0005-0000-0000-0000AC060000}"/>
    <cellStyle name="Percent 42 3" xfId="1303" xr:uid="{00000000-0005-0000-0000-0000AD060000}"/>
    <cellStyle name="Percent 42 3 2" xfId="1784" xr:uid="{00000000-0005-0000-0000-0000AE060000}"/>
    <cellStyle name="Percent 42 3 3" xfId="1793" xr:uid="{00000000-0005-0000-0000-0000AF060000}"/>
    <cellStyle name="Percent 42 3 4" xfId="1808" xr:uid="{00000000-0005-0000-0000-0000B0060000}"/>
    <cellStyle name="Percent 42 4" xfId="1821" xr:uid="{00000000-0005-0000-0000-0000B1060000}"/>
    <cellStyle name="Percent 43" xfId="214" xr:uid="{00000000-0005-0000-0000-0000B2060000}"/>
    <cellStyle name="Percent 43 2" xfId="1755" xr:uid="{00000000-0005-0000-0000-0000B3060000}"/>
    <cellStyle name="Percent 43 3" xfId="1765" xr:uid="{00000000-0005-0000-0000-0000B4060000}"/>
    <cellStyle name="Percent 44" xfId="215" xr:uid="{00000000-0005-0000-0000-0000B5060000}"/>
    <cellStyle name="Percent 45" xfId="216" xr:uid="{00000000-0005-0000-0000-0000B6060000}"/>
    <cellStyle name="Percent 46" xfId="217" xr:uid="{00000000-0005-0000-0000-0000B7060000}"/>
    <cellStyle name="Percent 47" xfId="218" xr:uid="{00000000-0005-0000-0000-0000B8060000}"/>
    <cellStyle name="Percent 48" xfId="219" xr:uid="{00000000-0005-0000-0000-0000B9060000}"/>
    <cellStyle name="Percent 49" xfId="220" xr:uid="{00000000-0005-0000-0000-0000BA060000}"/>
    <cellStyle name="Percent 5" xfId="105" xr:uid="{00000000-0005-0000-0000-0000BB060000}"/>
    <cellStyle name="Percent 50" xfId="222" xr:uid="{00000000-0005-0000-0000-0000BC060000}"/>
    <cellStyle name="Percent 51" xfId="1289" xr:uid="{00000000-0005-0000-0000-0000BD060000}"/>
    <cellStyle name="Percent 52" xfId="231" xr:uid="{00000000-0005-0000-0000-0000BE060000}"/>
    <cellStyle name="Percent 53" xfId="1285" xr:uid="{00000000-0005-0000-0000-0000BF060000}"/>
    <cellStyle name="Percent 54" xfId="1382" xr:uid="{00000000-0005-0000-0000-0000C0060000}"/>
    <cellStyle name="Percent 55" xfId="221" xr:uid="{00000000-0005-0000-0000-0000C1060000}"/>
    <cellStyle name="Percent 56" xfId="1381" xr:uid="{00000000-0005-0000-0000-0000C2060000}"/>
    <cellStyle name="Percent 57" xfId="1385" xr:uid="{00000000-0005-0000-0000-0000C3060000}"/>
    <cellStyle name="Percent 58" xfId="1284" xr:uid="{00000000-0005-0000-0000-0000C4060000}"/>
    <cellStyle name="Percent 59" xfId="1383" xr:uid="{00000000-0005-0000-0000-0000C5060000}"/>
    <cellStyle name="Percent 6" xfId="175" xr:uid="{00000000-0005-0000-0000-0000C6060000}"/>
    <cellStyle name="Percent 6 2" xfId="1356" xr:uid="{00000000-0005-0000-0000-0000C7060000}"/>
    <cellStyle name="Percent 6 3" xfId="1292" xr:uid="{00000000-0005-0000-0000-0000C8060000}"/>
    <cellStyle name="Percent 6 4" xfId="434" xr:uid="{00000000-0005-0000-0000-0000C9060000}"/>
    <cellStyle name="Percent 60" xfId="1380" xr:uid="{00000000-0005-0000-0000-0000CA060000}"/>
    <cellStyle name="Percent 61" xfId="1474" xr:uid="{00000000-0005-0000-0000-0000CB060000}"/>
    <cellStyle name="Percent 61 2" xfId="1830" xr:uid="{00000000-0005-0000-0000-0000CC060000}"/>
    <cellStyle name="Percent 62" xfId="1475" xr:uid="{00000000-0005-0000-0000-0000CD060000}"/>
    <cellStyle name="Percent 63" xfId="1484" xr:uid="{00000000-0005-0000-0000-0000CE060000}"/>
    <cellStyle name="Percent 64" xfId="1476" xr:uid="{00000000-0005-0000-0000-0000CF060000}"/>
    <cellStyle name="Percent 65" xfId="1430" xr:uid="{00000000-0005-0000-0000-0000D0060000}"/>
    <cellStyle name="Percent 66" xfId="1477" xr:uid="{00000000-0005-0000-0000-0000D1060000}"/>
    <cellStyle name="Percent 67" xfId="1480" xr:uid="{00000000-0005-0000-0000-0000D2060000}"/>
    <cellStyle name="Percent 68" xfId="1478" xr:uid="{00000000-0005-0000-0000-0000D3060000}"/>
    <cellStyle name="Percent 69" xfId="1482" xr:uid="{00000000-0005-0000-0000-0000D4060000}"/>
    <cellStyle name="Percent 7" xfId="176" xr:uid="{00000000-0005-0000-0000-0000D5060000}"/>
    <cellStyle name="Percent 7 2" xfId="952" xr:uid="{00000000-0005-0000-0000-0000D6060000}"/>
    <cellStyle name="Percent 7 2 2" xfId="1256" xr:uid="{00000000-0005-0000-0000-0000D7060000}"/>
    <cellStyle name="Percent 7 3" xfId="1105" xr:uid="{00000000-0005-0000-0000-0000D8060000}"/>
    <cellStyle name="Percent 7 4" xfId="745" xr:uid="{00000000-0005-0000-0000-0000D9060000}"/>
    <cellStyle name="Percent 7 5" xfId="1345" xr:uid="{00000000-0005-0000-0000-0000DA060000}"/>
    <cellStyle name="Percent 7 6" xfId="1293" xr:uid="{00000000-0005-0000-0000-0000DB060000}"/>
    <cellStyle name="Percent 7 7" xfId="225" xr:uid="{00000000-0005-0000-0000-0000DC060000}"/>
    <cellStyle name="Percent 70" xfId="1483" xr:uid="{00000000-0005-0000-0000-0000DD060000}"/>
    <cellStyle name="Percent 71" xfId="1481" xr:uid="{00000000-0005-0000-0000-0000DE060000}"/>
    <cellStyle name="Percent 72" xfId="1479" xr:uid="{00000000-0005-0000-0000-0000DF060000}"/>
    <cellStyle name="Percent 73" xfId="1485" xr:uid="{00000000-0005-0000-0000-0000E0060000}"/>
    <cellStyle name="Percent 74" xfId="1494" xr:uid="{00000000-0005-0000-0000-0000E1060000}"/>
    <cellStyle name="Percent 75" xfId="1486" xr:uid="{00000000-0005-0000-0000-0000E2060000}"/>
    <cellStyle name="Percent 76" xfId="1487" xr:uid="{00000000-0005-0000-0000-0000E3060000}"/>
    <cellStyle name="Percent 77" xfId="1490" xr:uid="{00000000-0005-0000-0000-0000E4060000}"/>
    <cellStyle name="Percent 78" xfId="1488" xr:uid="{00000000-0005-0000-0000-0000E5060000}"/>
    <cellStyle name="Percent 79" xfId="1492" xr:uid="{00000000-0005-0000-0000-0000E6060000}"/>
    <cellStyle name="Percent 8" xfId="177" xr:uid="{00000000-0005-0000-0000-0000E7060000}"/>
    <cellStyle name="Percent 8 2" xfId="1361" xr:uid="{00000000-0005-0000-0000-0000E8060000}"/>
    <cellStyle name="Percent 8 3" xfId="1294" xr:uid="{00000000-0005-0000-0000-0000E9060000}"/>
    <cellStyle name="Percent 8 4" xfId="569" xr:uid="{00000000-0005-0000-0000-0000EA060000}"/>
    <cellStyle name="Percent 80" xfId="1493" xr:uid="{00000000-0005-0000-0000-0000EB060000}"/>
    <cellStyle name="Percent 81" xfId="1491" xr:uid="{00000000-0005-0000-0000-0000EC060000}"/>
    <cellStyle name="Percent 82" xfId="1489" xr:uid="{00000000-0005-0000-0000-0000ED060000}"/>
    <cellStyle name="Percent 83" xfId="1495" xr:uid="{00000000-0005-0000-0000-0000EE060000}"/>
    <cellStyle name="Percent 84" xfId="1567" xr:uid="{00000000-0005-0000-0000-0000EF060000}"/>
    <cellStyle name="Percent 85" xfId="1568" xr:uid="{00000000-0005-0000-0000-0000F0060000}"/>
    <cellStyle name="Percent 86" xfId="1591" xr:uid="{00000000-0005-0000-0000-0000F1060000}"/>
    <cellStyle name="Percent 87" xfId="1592" xr:uid="{00000000-0005-0000-0000-0000F2060000}"/>
    <cellStyle name="Percent 88" xfId="1596" xr:uid="{00000000-0005-0000-0000-0000F3060000}"/>
    <cellStyle name="Percent 89" xfId="1595" xr:uid="{00000000-0005-0000-0000-0000F4060000}"/>
    <cellStyle name="Percent 9" xfId="178" xr:uid="{00000000-0005-0000-0000-0000F5060000}"/>
    <cellStyle name="Percent 9 2" xfId="1363" xr:uid="{00000000-0005-0000-0000-0000F6060000}"/>
    <cellStyle name="Percent 9 3" xfId="1295" xr:uid="{00000000-0005-0000-0000-0000F7060000}"/>
    <cellStyle name="Percent 9 4" xfId="594" xr:uid="{00000000-0005-0000-0000-0000F8060000}"/>
    <cellStyle name="Percent 90" xfId="1594" xr:uid="{00000000-0005-0000-0000-0000F9060000}"/>
    <cellStyle name="Percent 91" xfId="1593" xr:uid="{00000000-0005-0000-0000-0000FA060000}"/>
    <cellStyle name="Percent 92" xfId="1600" xr:uid="{00000000-0005-0000-0000-0000FB060000}"/>
    <cellStyle name="Percent 93" xfId="1606" xr:uid="{00000000-0005-0000-0000-0000FC060000}"/>
    <cellStyle name="Percent 94" xfId="1607" xr:uid="{00000000-0005-0000-0000-0000FD060000}"/>
    <cellStyle name="Percent 95" xfId="1608" xr:uid="{00000000-0005-0000-0000-0000FE060000}"/>
    <cellStyle name="Percent 96" xfId="1637" xr:uid="{00000000-0005-0000-0000-0000FF060000}"/>
    <cellStyle name="Percent 97" xfId="1713" xr:uid="{00000000-0005-0000-0000-000000070000}"/>
    <cellStyle name="Percent 98" xfId="1650" xr:uid="{00000000-0005-0000-0000-000001070000}"/>
    <cellStyle name="Percent 99" xfId="1676" xr:uid="{00000000-0005-0000-0000-000002070000}"/>
    <cellStyle name="Sum" xfId="72" xr:uid="{00000000-0005-0000-0000-000003070000}"/>
    <cellStyle name="Sum %of HV" xfId="73" xr:uid="{00000000-0005-0000-0000-000004070000}"/>
    <cellStyle name="Sum %of HV 2" xfId="1314" xr:uid="{00000000-0005-0000-0000-000005070000}"/>
    <cellStyle name="Sum %of HV 2 2" xfId="1338" xr:uid="{00000000-0005-0000-0000-000006070000}"/>
    <cellStyle name="Sum %of HV 2 3" xfId="1831" xr:uid="{00000000-0005-0000-0000-000007070000}"/>
    <cellStyle name="Sum %of HV 2 4" xfId="1832" xr:uid="{00000000-0005-0000-0000-000008070000}"/>
    <cellStyle name="time" xfId="74" xr:uid="{00000000-0005-0000-0000-000009070000}"/>
    <cellStyle name="time 2" xfId="1315" xr:uid="{00000000-0005-0000-0000-00000A070000}"/>
    <cellStyle name="time 2 2" xfId="1339" xr:uid="{00000000-0005-0000-0000-00000B070000}"/>
    <cellStyle name="time 2 3" xfId="1833" xr:uid="{00000000-0005-0000-0000-00000C070000}"/>
    <cellStyle name="time 2 4" xfId="1834" xr:uid="{00000000-0005-0000-0000-00000D070000}"/>
    <cellStyle name="Title 2" xfId="642" xr:uid="{00000000-0005-0000-0000-00000E070000}"/>
    <cellStyle name="Title 3" xfId="679" xr:uid="{00000000-0005-0000-0000-00000F070000}"/>
    <cellStyle name="Title 4" xfId="1496" xr:uid="{00000000-0005-0000-0000-000010070000}"/>
    <cellStyle name="Total" xfId="24" builtinId="25" customBuiltin="1"/>
    <cellStyle name="Total 2" xfId="643" xr:uid="{00000000-0005-0000-0000-000012070000}"/>
    <cellStyle name="Total 2 2" xfId="1613" xr:uid="{00000000-0005-0000-0000-000013070000}"/>
    <cellStyle name="Total 2 3" xfId="1663" xr:uid="{00000000-0005-0000-0000-000014070000}"/>
    <cellStyle name="Total 2 4" xfId="1685" xr:uid="{00000000-0005-0000-0000-000015070000}"/>
    <cellStyle name="Total 2 5" xfId="1697" xr:uid="{00000000-0005-0000-0000-000016070000}"/>
    <cellStyle name="Total 3" xfId="680" xr:uid="{00000000-0005-0000-0000-000017070000}"/>
    <cellStyle name="Total 3 2" xfId="1618" xr:uid="{00000000-0005-0000-0000-000018070000}"/>
    <cellStyle name="Total 3 3" xfId="1694" xr:uid="{00000000-0005-0000-0000-000019070000}"/>
    <cellStyle name="Total 3 4" xfId="1690" xr:uid="{00000000-0005-0000-0000-00001A070000}"/>
    <cellStyle name="Total 3 5" xfId="1693" xr:uid="{00000000-0005-0000-0000-00001B070000}"/>
    <cellStyle name="Underline 2" xfId="75" xr:uid="{00000000-0005-0000-0000-00001C070000}"/>
    <cellStyle name="Underline 2 2" xfId="1601" xr:uid="{00000000-0005-0000-0000-00001D070000}"/>
    <cellStyle name="Warning Text" xfId="21" builtinId="11" customBuiltin="1"/>
    <cellStyle name="Warning Text 2" xfId="644" xr:uid="{00000000-0005-0000-0000-00001F070000}"/>
    <cellStyle name="Year" xfId="76" xr:uid="{00000000-0005-0000-0000-000020070000}"/>
    <cellStyle name="Year 2" xfId="1317" xr:uid="{00000000-0005-0000-0000-000021070000}"/>
    <cellStyle name="Year 2 2" xfId="1340" xr:uid="{00000000-0005-0000-0000-000022070000}"/>
    <cellStyle name="Year 2 2 2" xfId="1605" xr:uid="{00000000-0005-0000-0000-000023070000}"/>
    <cellStyle name="Year 2 2 2 2" xfId="1636" xr:uid="{00000000-0005-0000-0000-000024070000}"/>
    <cellStyle name="Year 2 2 2 3" xfId="1720" xr:uid="{00000000-0005-0000-0000-000025070000}"/>
    <cellStyle name="Year 2 2 2 4" xfId="1722" xr:uid="{00000000-0005-0000-0000-000026070000}"/>
    <cellStyle name="Year 2 2 2 5" xfId="1725" xr:uid="{00000000-0005-0000-0000-000027070000}"/>
    <cellStyle name="Year 2 3" xfId="1604" xr:uid="{00000000-0005-0000-0000-000028070000}"/>
    <cellStyle name="Year 2 3 2" xfId="1635" xr:uid="{00000000-0005-0000-0000-000029070000}"/>
    <cellStyle name="Year 2 3 3" xfId="1719" xr:uid="{00000000-0005-0000-0000-00002A070000}"/>
    <cellStyle name="Year 2 3 4" xfId="1721" xr:uid="{00000000-0005-0000-0000-00002B070000}"/>
    <cellStyle name="Year 2 3 5" xfId="1724" xr:uid="{00000000-0005-0000-0000-00002C070000}"/>
    <cellStyle name="Year 2 4" xfId="1835" xr:uid="{00000000-0005-0000-0000-00002D070000}"/>
    <cellStyle name="Year 3" xfId="1602" xr:uid="{00000000-0005-0000-0000-00002E070000}"/>
    <cellStyle name="Year 3 2" xfId="1634" xr:uid="{00000000-0005-0000-0000-00002F070000}"/>
    <cellStyle name="Year 3 3" xfId="1718" xr:uid="{00000000-0005-0000-0000-000030070000}"/>
    <cellStyle name="Year 3 4" xfId="1687" xr:uid="{00000000-0005-0000-0000-000031070000}"/>
    <cellStyle name="Year 3 5" xfId="1723" xr:uid="{00000000-0005-0000-0000-000032070000}"/>
  </cellStyles>
  <dxfs count="11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2" formatCode="0.00"/>
      <fill>
        <patternFill patternType="solid">
          <fgColor indexed="64"/>
          <bgColor theme="0" tint="-0.249977111117893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7" formatCode="_ * #,##0_ ;_ * \-#,##0_ ;_ * &quot;-&quot;??_ ;_ @_ "/>
      <fill>
        <patternFill patternType="none">
          <fgColor indexed="64"/>
          <bgColor theme="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top style="thin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26" Type="http://schemas.openxmlformats.org/officeDocument/2006/relationships/externalLink" Target="externalLinks/externalLink10.xml"/><Relationship Id="rId21" Type="http://schemas.openxmlformats.org/officeDocument/2006/relationships/externalLink" Target="externalLinks/externalLink5.xml"/><Relationship Id="rId34" Type="http://schemas.openxmlformats.org/officeDocument/2006/relationships/externalLink" Target="externalLinks/externalLink18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externalLink" Target="externalLinks/externalLink9.xml"/><Relationship Id="rId33" Type="http://schemas.openxmlformats.org/officeDocument/2006/relationships/externalLink" Target="externalLinks/externalLink17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4.xml"/><Relationship Id="rId29" Type="http://schemas.openxmlformats.org/officeDocument/2006/relationships/externalLink" Target="externalLinks/externalLink1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8.xml"/><Relationship Id="rId32" Type="http://schemas.openxmlformats.org/officeDocument/2006/relationships/externalLink" Target="externalLinks/externalLink16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7.xml"/><Relationship Id="rId28" Type="http://schemas.openxmlformats.org/officeDocument/2006/relationships/externalLink" Target="externalLinks/externalLink12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31" Type="http://schemas.openxmlformats.org/officeDocument/2006/relationships/externalLink" Target="externalLinks/externalLink1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6.xml"/><Relationship Id="rId27" Type="http://schemas.openxmlformats.org/officeDocument/2006/relationships/externalLink" Target="externalLinks/externalLink11.xml"/><Relationship Id="rId30" Type="http://schemas.openxmlformats.org/officeDocument/2006/relationships/externalLink" Target="externalLinks/externalLink14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</xdr:colOff>
      <xdr:row>5</xdr:row>
      <xdr:rowOff>85725</xdr:rowOff>
    </xdr:from>
    <xdr:ext cx="8448675" cy="24765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91AB4267-3E2C-4728-9380-9BACE8A8C4B7}"/>
            </a:ext>
          </a:extLst>
        </xdr:cNvPr>
        <xdr:cNvSpPr/>
      </xdr:nvSpPr>
      <xdr:spPr>
        <a:xfrm>
          <a:off x="3619500" y="987425"/>
          <a:ext cx="8448675" cy="2476500"/>
        </a:xfrm>
        <a:prstGeom prst="rect">
          <a:avLst/>
        </a:prstGeom>
        <a:solidFill>
          <a:schemeClr val="dk2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>
            <a:solidFill>
              <a:srgbClr val="8DA9DB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4800">
              <a:solidFill>
                <a:srgbClr val="8DA9DB"/>
              </a:solidFill>
              <a:latin typeface="Arial"/>
              <a:ea typeface="Arial"/>
              <a:cs typeface="Arial"/>
              <a:sym typeface="Arial"/>
            </a:rPr>
            <a:t>National HIV Unit Cost Model </a:t>
          </a:r>
          <a:endParaRPr sz="48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3600">
              <a:solidFill>
                <a:srgbClr val="FFC000"/>
              </a:solidFill>
              <a:latin typeface="Arial"/>
              <a:ea typeface="Arial"/>
              <a:cs typeface="Arial"/>
              <a:sym typeface="Arial"/>
            </a:rPr>
            <a:t>South Africa</a:t>
          </a:r>
          <a:endParaRPr sz="1400"/>
        </a:p>
      </xdr:txBody>
    </xdr:sp>
    <xdr:clientData fLocksWithSheet="0"/>
  </xdr:oneCellAnchor>
  <xdr:oneCellAnchor>
    <xdr:from>
      <xdr:col>6</xdr:col>
      <xdr:colOff>161925</xdr:colOff>
      <xdr:row>19</xdr:row>
      <xdr:rowOff>152400</xdr:rowOff>
    </xdr:from>
    <xdr:ext cx="8467725" cy="485775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C59DEA66-4DA7-4BA7-B5AA-4626C3A9AA0F}"/>
            </a:ext>
          </a:extLst>
        </xdr:cNvPr>
        <xdr:cNvSpPr/>
      </xdr:nvSpPr>
      <xdr:spPr>
        <a:xfrm>
          <a:off x="3683000" y="3590925"/>
          <a:ext cx="8467725" cy="485775"/>
        </a:xfrm>
        <a:prstGeom prst="rect">
          <a:avLst/>
        </a:prstGeom>
        <a:solidFill>
          <a:srgbClr val="2E75B5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lnSpc>
              <a:spcPct val="80000"/>
            </a:lnSpc>
            <a:spcBef>
              <a:spcPts val="0"/>
            </a:spcBef>
            <a:spcAft>
              <a:spcPts val="0"/>
            </a:spcAft>
            <a:buClr>
              <a:srgbClr val="CCCCCC"/>
            </a:buClr>
            <a:buSzPts val="2015"/>
            <a:buFont typeface="Arial"/>
            <a:buNone/>
          </a:pPr>
          <a:r>
            <a:rPr lang="en-US" sz="2015" b="1">
              <a:solidFill>
                <a:srgbClr val="CCCCCC"/>
              </a:solidFill>
              <a:latin typeface="Arial"/>
              <a:ea typeface="Arial"/>
              <a:cs typeface="Arial"/>
              <a:sym typeface="Arial"/>
            </a:rPr>
            <a:t>Health Economics and Epidemiology Research Office (HE</a:t>
          </a:r>
          <a:r>
            <a:rPr lang="en-US" sz="2015" b="1" baseline="30000">
              <a:solidFill>
                <a:srgbClr val="CCCCCC"/>
              </a:solidFill>
              <a:latin typeface="Arial"/>
              <a:ea typeface="Arial"/>
              <a:cs typeface="Arial"/>
              <a:sym typeface="Arial"/>
            </a:rPr>
            <a:t>2</a:t>
          </a:r>
          <a:r>
            <a:rPr lang="en-US" sz="2015" b="1">
              <a:solidFill>
                <a:srgbClr val="CCCCCC"/>
              </a:solidFill>
              <a:latin typeface="Arial"/>
              <a:ea typeface="Arial"/>
              <a:cs typeface="Arial"/>
              <a:sym typeface="Arial"/>
            </a:rPr>
            <a:t>RO)</a:t>
          </a:r>
          <a:endParaRPr sz="1400"/>
        </a:p>
      </xdr:txBody>
    </xdr:sp>
    <xdr:clientData fLocksWithSheet="0"/>
  </xdr:oneCellAnchor>
  <xdr:oneCellAnchor>
    <xdr:from>
      <xdr:col>11</xdr:col>
      <xdr:colOff>301625</xdr:colOff>
      <xdr:row>35</xdr:row>
      <xdr:rowOff>152400</xdr:rowOff>
    </xdr:from>
    <xdr:ext cx="1285875" cy="514350"/>
    <xdr:pic>
      <xdr:nvPicPr>
        <xdr:cNvPr id="4" name="image4.png">
          <a:extLst>
            <a:ext uri="{FF2B5EF4-FFF2-40B4-BE49-F238E27FC236}">
              <a16:creationId xmlns:a16="http://schemas.microsoft.com/office/drawing/2014/main" id="{3A3878F7-4A3B-4641-A239-54018A65A27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78650" y="6486525"/>
          <a:ext cx="1285875" cy="514350"/>
        </a:xfrm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377825</xdr:colOff>
      <xdr:row>36</xdr:row>
      <xdr:rowOff>25400</xdr:rowOff>
    </xdr:from>
    <xdr:ext cx="866775" cy="352425"/>
    <xdr:pic>
      <xdr:nvPicPr>
        <xdr:cNvPr id="5" name="image1.png" descr="BU logo (not SPH)">
          <a:extLst>
            <a:ext uri="{FF2B5EF4-FFF2-40B4-BE49-F238E27FC236}">
              <a16:creationId xmlns:a16="http://schemas.microsoft.com/office/drawing/2014/main" id="{69716B1E-AE6F-4734-B7E7-1E6963D44A0D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255000" y="6543675"/>
          <a:ext cx="866775" cy="352425"/>
        </a:xfrm>
        <a:prstGeom prst="rect">
          <a:avLst/>
        </a:prstGeom>
        <a:noFill/>
      </xdr:spPr>
    </xdr:pic>
    <xdr:clientData fLocksWithSheet="0"/>
  </xdr:oneCellAnchor>
  <xdr:oneCellAnchor>
    <xdr:from>
      <xdr:col>14</xdr:col>
      <xdr:colOff>549275</xdr:colOff>
      <xdr:row>35</xdr:row>
      <xdr:rowOff>95250</xdr:rowOff>
    </xdr:from>
    <xdr:ext cx="704850" cy="666750"/>
    <xdr:pic>
      <xdr:nvPicPr>
        <xdr:cNvPr id="6" name="image7.png">
          <a:extLst>
            <a:ext uri="{FF2B5EF4-FFF2-40B4-BE49-F238E27FC236}">
              <a16:creationId xmlns:a16="http://schemas.microsoft.com/office/drawing/2014/main" id="{D9902F07-E892-4E59-A62F-FE97B0E8B38B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9293225" y="6429375"/>
          <a:ext cx="704850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314325</xdr:colOff>
      <xdr:row>23</xdr:row>
      <xdr:rowOff>152400</xdr:rowOff>
    </xdr:from>
    <xdr:ext cx="1905000" cy="1466850"/>
    <xdr:pic>
      <xdr:nvPicPr>
        <xdr:cNvPr id="7" name="image2.png">
          <a:extLst>
            <a:ext uri="{FF2B5EF4-FFF2-40B4-BE49-F238E27FC236}">
              <a16:creationId xmlns:a16="http://schemas.microsoft.com/office/drawing/2014/main" id="{F335F1E6-BA28-49FD-97FB-9190B9161F2E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988175" y="4314825"/>
          <a:ext cx="1905000" cy="1466850"/>
        </a:xfrm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41</xdr:row>
      <xdr:rowOff>152400</xdr:rowOff>
    </xdr:from>
    <xdr:ext cx="0" cy="361950"/>
    <xdr:pic>
      <xdr:nvPicPr>
        <xdr:cNvPr id="8" name="image1.png" descr="BU logo (not SPH)">
          <a:extLst>
            <a:ext uri="{FF2B5EF4-FFF2-40B4-BE49-F238E27FC236}">
              <a16:creationId xmlns:a16="http://schemas.microsoft.com/office/drawing/2014/main" id="{23DDA989-C40C-4858-A676-B2BCDDF87C91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877175" y="7572375"/>
          <a:ext cx="0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244475</xdr:colOff>
      <xdr:row>36</xdr:row>
      <xdr:rowOff>0</xdr:rowOff>
    </xdr:from>
    <xdr:ext cx="742950" cy="495300"/>
    <xdr:pic>
      <xdr:nvPicPr>
        <xdr:cNvPr id="9" name="image3.png">
          <a:extLst>
            <a:ext uri="{FF2B5EF4-FFF2-40B4-BE49-F238E27FC236}">
              <a16:creationId xmlns:a16="http://schemas.microsoft.com/office/drawing/2014/main" id="{0CC95936-1077-4B21-9269-6F1096F93611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6264275" y="6515100"/>
          <a:ext cx="742950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568325</xdr:colOff>
      <xdr:row>36</xdr:row>
      <xdr:rowOff>0</xdr:rowOff>
    </xdr:from>
    <xdr:ext cx="1447800" cy="485775"/>
    <xdr:pic>
      <xdr:nvPicPr>
        <xdr:cNvPr id="10" name="image6.png">
          <a:extLst>
            <a:ext uri="{FF2B5EF4-FFF2-40B4-BE49-F238E27FC236}">
              <a16:creationId xmlns:a16="http://schemas.microsoft.com/office/drawing/2014/main" id="{D26D6084-6414-4B26-B9E9-79B542A708A8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4616450" y="6515100"/>
          <a:ext cx="1447800" cy="48577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16</xdr:col>
      <xdr:colOff>124293</xdr:colOff>
      <xdr:row>35</xdr:row>
      <xdr:rowOff>165099</xdr:rowOff>
    </xdr:from>
    <xdr:to>
      <xdr:col>18</xdr:col>
      <xdr:colOff>374055</xdr:colOff>
      <xdr:row>39</xdr:row>
      <xdr:rowOff>2731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F77376C-E573-4EEF-AD1A-77879E08C8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179518" y="6496049"/>
          <a:ext cx="1564212" cy="5647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2357</xdr:row>
      <xdr:rowOff>0</xdr:rowOff>
    </xdr:from>
    <xdr:to>
      <xdr:col>6</xdr:col>
      <xdr:colOff>304800</xdr:colOff>
      <xdr:row>2358</xdr:row>
      <xdr:rowOff>126366</xdr:rowOff>
    </xdr:to>
    <xdr:sp macro="" textlink="">
      <xdr:nvSpPr>
        <xdr:cNvPr id="48168" name="AutoShape 40" descr="Currently available antiretroviral drugs | Download Table">
          <a:extLst>
            <a:ext uri="{FF2B5EF4-FFF2-40B4-BE49-F238E27FC236}">
              <a16:creationId xmlns:a16="http://schemas.microsoft.com/office/drawing/2014/main" id="{00000000-0008-0000-0200-000028BC0000}"/>
            </a:ext>
          </a:extLst>
        </xdr:cNvPr>
        <xdr:cNvSpPr>
          <a:spLocks noChangeAspect="1" noChangeArrowheads="1"/>
        </xdr:cNvSpPr>
      </xdr:nvSpPr>
      <xdr:spPr bwMode="auto">
        <a:xfrm>
          <a:off x="6469380" y="257068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6</xdr:col>
      <xdr:colOff>0</xdr:colOff>
      <xdr:row>2358</xdr:row>
      <xdr:rowOff>0</xdr:rowOff>
    </xdr:from>
    <xdr:ext cx="304800" cy="318408"/>
    <xdr:sp macro="" textlink="">
      <xdr:nvSpPr>
        <xdr:cNvPr id="3" name="AutoShape 40" descr="Currently available antiretroviral drugs | Download Table">
          <a:extLst>
            <a:ext uri="{FF2B5EF4-FFF2-40B4-BE49-F238E27FC236}">
              <a16:creationId xmlns:a16="http://schemas.microsoft.com/office/drawing/2014/main" id="{751ADEE3-CA79-4487-808F-F89F535FFF2C}"/>
            </a:ext>
          </a:extLst>
        </xdr:cNvPr>
        <xdr:cNvSpPr>
          <a:spLocks noChangeAspect="1" noChangeArrowheads="1"/>
        </xdr:cNvSpPr>
      </xdr:nvSpPr>
      <xdr:spPr bwMode="auto">
        <a:xfrm>
          <a:off x="11114314" y="33054471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2358</xdr:row>
      <xdr:rowOff>0</xdr:rowOff>
    </xdr:from>
    <xdr:ext cx="304800" cy="318408"/>
    <xdr:sp macro="" textlink="">
      <xdr:nvSpPr>
        <xdr:cNvPr id="4" name="AutoShape 40" descr="Currently available antiretroviral drugs | Download Table">
          <a:extLst>
            <a:ext uri="{FF2B5EF4-FFF2-40B4-BE49-F238E27FC236}">
              <a16:creationId xmlns:a16="http://schemas.microsoft.com/office/drawing/2014/main" id="{4C118349-D114-4325-8DD0-0030AC2638E6}"/>
            </a:ext>
          </a:extLst>
        </xdr:cNvPr>
        <xdr:cNvSpPr>
          <a:spLocks noChangeAspect="1" noChangeArrowheads="1"/>
        </xdr:cNvSpPr>
      </xdr:nvSpPr>
      <xdr:spPr bwMode="auto">
        <a:xfrm>
          <a:off x="11114314" y="33054471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2359</xdr:row>
      <xdr:rowOff>0</xdr:rowOff>
    </xdr:from>
    <xdr:ext cx="304800" cy="318408"/>
    <xdr:sp macro="" textlink="">
      <xdr:nvSpPr>
        <xdr:cNvPr id="5" name="AutoShape 40" descr="Currently available antiretroviral drugs | Download Table">
          <a:extLst>
            <a:ext uri="{FF2B5EF4-FFF2-40B4-BE49-F238E27FC236}">
              <a16:creationId xmlns:a16="http://schemas.microsoft.com/office/drawing/2014/main" id="{2C75AE95-B32B-41E8-92BE-59A3E06DAC31}"/>
            </a:ext>
          </a:extLst>
        </xdr:cNvPr>
        <xdr:cNvSpPr>
          <a:spLocks noChangeAspect="1" noChangeArrowheads="1"/>
        </xdr:cNvSpPr>
      </xdr:nvSpPr>
      <xdr:spPr bwMode="auto">
        <a:xfrm>
          <a:off x="11114314" y="3307297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" name="AutoShape 40" descr="Currently available antiretroviral drugs | Download Table">
          <a:extLst>
            <a:ext uri="{FF2B5EF4-FFF2-40B4-BE49-F238E27FC236}">
              <a16:creationId xmlns:a16="http://schemas.microsoft.com/office/drawing/2014/main" id="{C660F150-1F25-42BF-BD18-E3D01856C74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046134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" name="AutoShape 40" descr="Currently available antiretroviral drugs | Download Table">
          <a:extLst>
            <a:ext uri="{FF2B5EF4-FFF2-40B4-BE49-F238E27FC236}">
              <a16:creationId xmlns:a16="http://schemas.microsoft.com/office/drawing/2014/main" id="{560A0578-D5C9-4EDF-B787-BE3DACFD0AD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046134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" name="AutoShape 40" descr="Currently available antiretroviral drugs | Download Table">
          <a:extLst>
            <a:ext uri="{FF2B5EF4-FFF2-40B4-BE49-F238E27FC236}">
              <a16:creationId xmlns:a16="http://schemas.microsoft.com/office/drawing/2014/main" id="{155D5A4A-F781-4763-AC00-91CCEB8C1B8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064063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" name="AutoShape 40" descr="Currently available antiretroviral drugs | Download Table">
          <a:extLst>
            <a:ext uri="{FF2B5EF4-FFF2-40B4-BE49-F238E27FC236}">
              <a16:creationId xmlns:a16="http://schemas.microsoft.com/office/drawing/2014/main" id="{FCC5EB3C-FA7F-4B37-9D53-7AE4EDB741E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046134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" name="AutoShape 40" descr="Currently available antiretroviral drugs | Download Table">
          <a:extLst>
            <a:ext uri="{FF2B5EF4-FFF2-40B4-BE49-F238E27FC236}">
              <a16:creationId xmlns:a16="http://schemas.microsoft.com/office/drawing/2014/main" id="{1CA3138E-1B64-47AE-8EA4-597AB5749CA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046134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" name="AutoShape 40" descr="Currently available antiretroviral drugs | Download Table">
          <a:extLst>
            <a:ext uri="{FF2B5EF4-FFF2-40B4-BE49-F238E27FC236}">
              <a16:creationId xmlns:a16="http://schemas.microsoft.com/office/drawing/2014/main" id="{5DE04A2A-BD1C-4BB7-BE88-B9A277D2B75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064063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" name="AutoShape 40" descr="Currently available antiretroviral drugs | Download Table">
          <a:extLst>
            <a:ext uri="{FF2B5EF4-FFF2-40B4-BE49-F238E27FC236}">
              <a16:creationId xmlns:a16="http://schemas.microsoft.com/office/drawing/2014/main" id="{443F945E-E301-4766-8B01-2881EB9D25F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" name="AutoShape 40" descr="Currently available antiretroviral drugs | Download Table">
          <a:extLst>
            <a:ext uri="{FF2B5EF4-FFF2-40B4-BE49-F238E27FC236}">
              <a16:creationId xmlns:a16="http://schemas.microsoft.com/office/drawing/2014/main" id="{BA98E07E-1EEE-4E81-B2F2-F9824D1F603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" name="AutoShape 40" descr="Currently available antiretroviral drugs | Download Table">
          <a:extLst>
            <a:ext uri="{FF2B5EF4-FFF2-40B4-BE49-F238E27FC236}">
              <a16:creationId xmlns:a16="http://schemas.microsoft.com/office/drawing/2014/main" id="{70CE8B6F-D325-4946-843F-FC51EE2A173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" name="AutoShape 40" descr="Currently available antiretroviral drugs | Download Table">
          <a:extLst>
            <a:ext uri="{FF2B5EF4-FFF2-40B4-BE49-F238E27FC236}">
              <a16:creationId xmlns:a16="http://schemas.microsoft.com/office/drawing/2014/main" id="{90F3B6B9-C88E-4761-A336-9E0B7EFD515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" name="AutoShape 40" descr="Currently available antiretroviral drugs | Download Table">
          <a:extLst>
            <a:ext uri="{FF2B5EF4-FFF2-40B4-BE49-F238E27FC236}">
              <a16:creationId xmlns:a16="http://schemas.microsoft.com/office/drawing/2014/main" id="{DF00EBEB-AC65-4392-AA46-DBF504E2F0E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" name="AutoShape 40" descr="Currently available antiretroviral drugs | Download Table">
          <a:extLst>
            <a:ext uri="{FF2B5EF4-FFF2-40B4-BE49-F238E27FC236}">
              <a16:creationId xmlns:a16="http://schemas.microsoft.com/office/drawing/2014/main" id="{05F09571-C280-4247-90A2-CCB2EEAEC49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" name="AutoShape 40" descr="Currently available antiretroviral drugs | Download Table">
          <a:extLst>
            <a:ext uri="{FF2B5EF4-FFF2-40B4-BE49-F238E27FC236}">
              <a16:creationId xmlns:a16="http://schemas.microsoft.com/office/drawing/2014/main" id="{7F93FDAA-F6CC-4E6E-BAA1-B3318BB62AF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" name="AutoShape 40" descr="Currently available antiretroviral drugs | Download Table">
          <a:extLst>
            <a:ext uri="{FF2B5EF4-FFF2-40B4-BE49-F238E27FC236}">
              <a16:creationId xmlns:a16="http://schemas.microsoft.com/office/drawing/2014/main" id="{6B2E4AAD-FA51-472C-B4E7-44AA221163E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" name="AutoShape 40" descr="Currently available antiretroviral drugs | Download Table">
          <a:extLst>
            <a:ext uri="{FF2B5EF4-FFF2-40B4-BE49-F238E27FC236}">
              <a16:creationId xmlns:a16="http://schemas.microsoft.com/office/drawing/2014/main" id="{04DC058B-4B80-4513-AC66-3A67F04DF33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" name="AutoShape 40" descr="Currently available antiretroviral drugs | Download Table">
          <a:extLst>
            <a:ext uri="{FF2B5EF4-FFF2-40B4-BE49-F238E27FC236}">
              <a16:creationId xmlns:a16="http://schemas.microsoft.com/office/drawing/2014/main" id="{3FC69DF0-18CE-486B-AAE2-841696F25ED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" name="AutoShape 40" descr="Currently available antiretroviral drugs | Download Table">
          <a:extLst>
            <a:ext uri="{FF2B5EF4-FFF2-40B4-BE49-F238E27FC236}">
              <a16:creationId xmlns:a16="http://schemas.microsoft.com/office/drawing/2014/main" id="{2D3AD445-B64D-4501-92D4-05B4B8C39DA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" name="AutoShape 40" descr="Currently available antiretroviral drugs | Download Table">
          <a:extLst>
            <a:ext uri="{FF2B5EF4-FFF2-40B4-BE49-F238E27FC236}">
              <a16:creationId xmlns:a16="http://schemas.microsoft.com/office/drawing/2014/main" id="{563DE70B-D2A5-4EF6-B6C1-1278CA867BE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" name="AutoShape 40" descr="Currently available antiretroviral drugs | Download Table">
          <a:extLst>
            <a:ext uri="{FF2B5EF4-FFF2-40B4-BE49-F238E27FC236}">
              <a16:creationId xmlns:a16="http://schemas.microsoft.com/office/drawing/2014/main" id="{61AB5C7B-88E2-4A89-811E-E8CCE89E2F5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" name="AutoShape 40" descr="Currently available antiretroviral drugs | Download Table">
          <a:extLst>
            <a:ext uri="{FF2B5EF4-FFF2-40B4-BE49-F238E27FC236}">
              <a16:creationId xmlns:a16="http://schemas.microsoft.com/office/drawing/2014/main" id="{A6BBFE48-0A05-4D7F-BE35-1248C269734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" name="AutoShape 40" descr="Currently available antiretroviral drugs | Download Table">
          <a:extLst>
            <a:ext uri="{FF2B5EF4-FFF2-40B4-BE49-F238E27FC236}">
              <a16:creationId xmlns:a16="http://schemas.microsoft.com/office/drawing/2014/main" id="{3DD64654-7837-4231-9F50-99833F7599F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" name="AutoShape 40" descr="Currently available antiretroviral drugs | Download Table">
          <a:extLst>
            <a:ext uri="{FF2B5EF4-FFF2-40B4-BE49-F238E27FC236}">
              <a16:creationId xmlns:a16="http://schemas.microsoft.com/office/drawing/2014/main" id="{5EC45EE1-E16A-42CA-A8DD-C931595B0B3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" name="AutoShape 40" descr="Currently available antiretroviral drugs | Download Table">
          <a:extLst>
            <a:ext uri="{FF2B5EF4-FFF2-40B4-BE49-F238E27FC236}">
              <a16:creationId xmlns:a16="http://schemas.microsoft.com/office/drawing/2014/main" id="{9C466DBF-5A90-47DE-9F90-074D231C592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" name="AutoShape 40" descr="Currently available antiretroviral drugs | Download Table">
          <a:extLst>
            <a:ext uri="{FF2B5EF4-FFF2-40B4-BE49-F238E27FC236}">
              <a16:creationId xmlns:a16="http://schemas.microsoft.com/office/drawing/2014/main" id="{2FE56193-A852-4018-A484-C3C4F966D4D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" name="AutoShape 40" descr="Currently available antiretroviral drugs | Download Table">
          <a:extLst>
            <a:ext uri="{FF2B5EF4-FFF2-40B4-BE49-F238E27FC236}">
              <a16:creationId xmlns:a16="http://schemas.microsoft.com/office/drawing/2014/main" id="{0203491D-6191-436B-B7FD-D296CB32255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" name="AutoShape 40" descr="Currently available antiretroviral drugs | Download Table">
          <a:extLst>
            <a:ext uri="{FF2B5EF4-FFF2-40B4-BE49-F238E27FC236}">
              <a16:creationId xmlns:a16="http://schemas.microsoft.com/office/drawing/2014/main" id="{FE66D215-91C6-43B2-AD92-64334D34A0B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" name="AutoShape 40" descr="Currently available antiretroviral drugs | Download Table">
          <a:extLst>
            <a:ext uri="{FF2B5EF4-FFF2-40B4-BE49-F238E27FC236}">
              <a16:creationId xmlns:a16="http://schemas.microsoft.com/office/drawing/2014/main" id="{4A6DF95D-E8FE-449C-BAED-62B43A38973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" name="AutoShape 40" descr="Currently available antiretroviral drugs | Download Table">
          <a:extLst>
            <a:ext uri="{FF2B5EF4-FFF2-40B4-BE49-F238E27FC236}">
              <a16:creationId xmlns:a16="http://schemas.microsoft.com/office/drawing/2014/main" id="{B8ECE53F-F277-4055-8CF1-086ABD1BDAD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" name="AutoShape 40" descr="Currently available antiretroviral drugs | Download Table">
          <a:extLst>
            <a:ext uri="{FF2B5EF4-FFF2-40B4-BE49-F238E27FC236}">
              <a16:creationId xmlns:a16="http://schemas.microsoft.com/office/drawing/2014/main" id="{5EE8D10B-CD6B-4487-812B-23D4F765547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" name="AutoShape 40" descr="Currently available antiretroviral drugs | Download Table">
          <a:extLst>
            <a:ext uri="{FF2B5EF4-FFF2-40B4-BE49-F238E27FC236}">
              <a16:creationId xmlns:a16="http://schemas.microsoft.com/office/drawing/2014/main" id="{D953128E-98DD-440A-892F-87912DB9F1E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" name="AutoShape 40" descr="Currently available antiretroviral drugs | Download Table">
          <a:extLst>
            <a:ext uri="{FF2B5EF4-FFF2-40B4-BE49-F238E27FC236}">
              <a16:creationId xmlns:a16="http://schemas.microsoft.com/office/drawing/2014/main" id="{E44985D9-D87A-4AE5-B649-BCAB9FC0E40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7" name="AutoShape 40" descr="Currently available antiretroviral drugs | Download Table">
          <a:extLst>
            <a:ext uri="{FF2B5EF4-FFF2-40B4-BE49-F238E27FC236}">
              <a16:creationId xmlns:a16="http://schemas.microsoft.com/office/drawing/2014/main" id="{8B7A3D49-E4AA-4969-B21A-FFD5EE17297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8" name="AutoShape 40" descr="Currently available antiretroviral drugs | Download Table">
          <a:extLst>
            <a:ext uri="{FF2B5EF4-FFF2-40B4-BE49-F238E27FC236}">
              <a16:creationId xmlns:a16="http://schemas.microsoft.com/office/drawing/2014/main" id="{9760474D-1543-451D-A0B7-F8D40932045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9" name="AutoShape 40" descr="Currently available antiretroviral drugs | Download Table">
          <a:extLst>
            <a:ext uri="{FF2B5EF4-FFF2-40B4-BE49-F238E27FC236}">
              <a16:creationId xmlns:a16="http://schemas.microsoft.com/office/drawing/2014/main" id="{CF9F1A73-3E90-4024-92E8-B71AB594D07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0" name="AutoShape 40" descr="Currently available antiretroviral drugs | Download Table">
          <a:extLst>
            <a:ext uri="{FF2B5EF4-FFF2-40B4-BE49-F238E27FC236}">
              <a16:creationId xmlns:a16="http://schemas.microsoft.com/office/drawing/2014/main" id="{1BB36CE7-49C8-4A79-8191-DE0DEDDAAAA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1" name="AutoShape 40" descr="Currently available antiretroviral drugs | Download Table">
          <a:extLst>
            <a:ext uri="{FF2B5EF4-FFF2-40B4-BE49-F238E27FC236}">
              <a16:creationId xmlns:a16="http://schemas.microsoft.com/office/drawing/2014/main" id="{5EC18584-F606-46FA-964D-F2827D2A828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2" name="AutoShape 40" descr="Currently available antiretroviral drugs | Download Table">
          <a:extLst>
            <a:ext uri="{FF2B5EF4-FFF2-40B4-BE49-F238E27FC236}">
              <a16:creationId xmlns:a16="http://schemas.microsoft.com/office/drawing/2014/main" id="{3A9E1FB1-F7E5-4FCA-B7FB-E7537E1724B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3" name="AutoShape 40" descr="Currently available antiretroviral drugs | Download Table">
          <a:extLst>
            <a:ext uri="{FF2B5EF4-FFF2-40B4-BE49-F238E27FC236}">
              <a16:creationId xmlns:a16="http://schemas.microsoft.com/office/drawing/2014/main" id="{6C897607-DDC3-4ECA-935A-F80A71E32B4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4" name="AutoShape 40" descr="Currently available antiretroviral drugs | Download Table">
          <a:extLst>
            <a:ext uri="{FF2B5EF4-FFF2-40B4-BE49-F238E27FC236}">
              <a16:creationId xmlns:a16="http://schemas.microsoft.com/office/drawing/2014/main" id="{E07EC641-6A5C-4B33-9FCA-C9654BEDFF5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5" name="AutoShape 40" descr="Currently available antiretroviral drugs | Download Table">
          <a:extLst>
            <a:ext uri="{FF2B5EF4-FFF2-40B4-BE49-F238E27FC236}">
              <a16:creationId xmlns:a16="http://schemas.microsoft.com/office/drawing/2014/main" id="{07A6D752-72B7-474C-97F1-F5D74B3D98F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6" name="AutoShape 40" descr="Currently available antiretroviral drugs | Download Table">
          <a:extLst>
            <a:ext uri="{FF2B5EF4-FFF2-40B4-BE49-F238E27FC236}">
              <a16:creationId xmlns:a16="http://schemas.microsoft.com/office/drawing/2014/main" id="{A490F7C3-8422-49E9-968C-C2972720D81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7" name="AutoShape 40" descr="Currently available antiretroviral drugs | Download Table">
          <a:extLst>
            <a:ext uri="{FF2B5EF4-FFF2-40B4-BE49-F238E27FC236}">
              <a16:creationId xmlns:a16="http://schemas.microsoft.com/office/drawing/2014/main" id="{F61BCAF8-FBC5-4E2C-8DCA-8B7486F5807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8" name="AutoShape 40" descr="Currently available antiretroviral drugs | Download Table">
          <a:extLst>
            <a:ext uri="{FF2B5EF4-FFF2-40B4-BE49-F238E27FC236}">
              <a16:creationId xmlns:a16="http://schemas.microsoft.com/office/drawing/2014/main" id="{76C57CEB-5E7A-4B6E-90A3-2D72791E86E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9" name="AutoShape 40" descr="Currently available antiretroviral drugs | Download Table">
          <a:extLst>
            <a:ext uri="{FF2B5EF4-FFF2-40B4-BE49-F238E27FC236}">
              <a16:creationId xmlns:a16="http://schemas.microsoft.com/office/drawing/2014/main" id="{52AA5825-21AF-47CE-9670-3FD6C10CEB1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0" name="AutoShape 40" descr="Currently available antiretroviral drugs | Download Table">
          <a:extLst>
            <a:ext uri="{FF2B5EF4-FFF2-40B4-BE49-F238E27FC236}">
              <a16:creationId xmlns:a16="http://schemas.microsoft.com/office/drawing/2014/main" id="{857BF3A6-292C-42C5-83AD-055F6EB9656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1" name="AutoShape 40" descr="Currently available antiretroviral drugs | Download Table">
          <a:extLst>
            <a:ext uri="{FF2B5EF4-FFF2-40B4-BE49-F238E27FC236}">
              <a16:creationId xmlns:a16="http://schemas.microsoft.com/office/drawing/2014/main" id="{2B140E6C-C850-4BA5-8543-3B8F2933178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2" name="AutoShape 40" descr="Currently available antiretroviral drugs | Download Table">
          <a:extLst>
            <a:ext uri="{FF2B5EF4-FFF2-40B4-BE49-F238E27FC236}">
              <a16:creationId xmlns:a16="http://schemas.microsoft.com/office/drawing/2014/main" id="{4C793E26-0D63-4AD1-8DDC-7E925C97EFD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3" name="AutoShape 40" descr="Currently available antiretroviral drugs | Download Table">
          <a:extLst>
            <a:ext uri="{FF2B5EF4-FFF2-40B4-BE49-F238E27FC236}">
              <a16:creationId xmlns:a16="http://schemas.microsoft.com/office/drawing/2014/main" id="{9BB461D0-C339-4A1D-AC96-9B61504CCDD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4" name="AutoShape 40" descr="Currently available antiretroviral drugs | Download Table">
          <a:extLst>
            <a:ext uri="{FF2B5EF4-FFF2-40B4-BE49-F238E27FC236}">
              <a16:creationId xmlns:a16="http://schemas.microsoft.com/office/drawing/2014/main" id="{3A3969F1-69D3-48A1-BD07-CDDDA2F9251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5" name="AutoShape 40" descr="Currently available antiretroviral drugs | Download Table">
          <a:extLst>
            <a:ext uri="{FF2B5EF4-FFF2-40B4-BE49-F238E27FC236}">
              <a16:creationId xmlns:a16="http://schemas.microsoft.com/office/drawing/2014/main" id="{3D64236D-3049-4641-A41A-3E8F5DD5F1B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6" name="AutoShape 40" descr="Currently available antiretroviral drugs | Download Table">
          <a:extLst>
            <a:ext uri="{FF2B5EF4-FFF2-40B4-BE49-F238E27FC236}">
              <a16:creationId xmlns:a16="http://schemas.microsoft.com/office/drawing/2014/main" id="{D7107557-1561-4F8C-B735-D30BDF3D08C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7" name="AutoShape 40" descr="Currently available antiretroviral drugs | Download Table">
          <a:extLst>
            <a:ext uri="{FF2B5EF4-FFF2-40B4-BE49-F238E27FC236}">
              <a16:creationId xmlns:a16="http://schemas.microsoft.com/office/drawing/2014/main" id="{10D65502-192D-4AC9-BF0B-863D135CA40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8" name="AutoShape 40" descr="Currently available antiretroviral drugs | Download Table">
          <a:extLst>
            <a:ext uri="{FF2B5EF4-FFF2-40B4-BE49-F238E27FC236}">
              <a16:creationId xmlns:a16="http://schemas.microsoft.com/office/drawing/2014/main" id="{F52F302C-3D92-4B02-B119-F84194E3139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9" name="AutoShape 40" descr="Currently available antiretroviral drugs | Download Table">
          <a:extLst>
            <a:ext uri="{FF2B5EF4-FFF2-40B4-BE49-F238E27FC236}">
              <a16:creationId xmlns:a16="http://schemas.microsoft.com/office/drawing/2014/main" id="{72940E0C-82E0-4E7F-9E75-4F713600454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0" name="AutoShape 40" descr="Currently available antiretroviral drugs | Download Table">
          <a:extLst>
            <a:ext uri="{FF2B5EF4-FFF2-40B4-BE49-F238E27FC236}">
              <a16:creationId xmlns:a16="http://schemas.microsoft.com/office/drawing/2014/main" id="{47ED5137-A716-4D9A-AAD1-2CC3F1FE58A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1" name="AutoShape 40" descr="Currently available antiretroviral drugs | Download Table">
          <a:extLst>
            <a:ext uri="{FF2B5EF4-FFF2-40B4-BE49-F238E27FC236}">
              <a16:creationId xmlns:a16="http://schemas.microsoft.com/office/drawing/2014/main" id="{A90F4144-0A89-4F51-95C4-1DB98656B7D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2" name="AutoShape 40" descr="Currently available antiretroviral drugs | Download Table">
          <a:extLst>
            <a:ext uri="{FF2B5EF4-FFF2-40B4-BE49-F238E27FC236}">
              <a16:creationId xmlns:a16="http://schemas.microsoft.com/office/drawing/2014/main" id="{D2EFD6C7-CD3D-457A-85A7-3B07BEB2D99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3" name="AutoShape 40" descr="Currently available antiretroviral drugs | Download Table">
          <a:extLst>
            <a:ext uri="{FF2B5EF4-FFF2-40B4-BE49-F238E27FC236}">
              <a16:creationId xmlns:a16="http://schemas.microsoft.com/office/drawing/2014/main" id="{0E33AB77-05C5-4761-8560-D1F24FCCEDD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4" name="AutoShape 40" descr="Currently available antiretroviral drugs | Download Table">
          <a:extLst>
            <a:ext uri="{FF2B5EF4-FFF2-40B4-BE49-F238E27FC236}">
              <a16:creationId xmlns:a16="http://schemas.microsoft.com/office/drawing/2014/main" id="{3B98F8EC-3095-4710-B11A-4381DD13E32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5" name="AutoShape 40" descr="Currently available antiretroviral drugs | Download Table">
          <a:extLst>
            <a:ext uri="{FF2B5EF4-FFF2-40B4-BE49-F238E27FC236}">
              <a16:creationId xmlns:a16="http://schemas.microsoft.com/office/drawing/2014/main" id="{2E358457-4684-4623-9C35-CEB2087DB34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6" name="AutoShape 40" descr="Currently available antiretroviral drugs | Download Table">
          <a:extLst>
            <a:ext uri="{FF2B5EF4-FFF2-40B4-BE49-F238E27FC236}">
              <a16:creationId xmlns:a16="http://schemas.microsoft.com/office/drawing/2014/main" id="{810E6CF3-1CC2-48D1-80F6-C1109542FC5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7" name="AutoShape 40" descr="Currently available antiretroviral drugs | Download Table">
          <a:extLst>
            <a:ext uri="{FF2B5EF4-FFF2-40B4-BE49-F238E27FC236}">
              <a16:creationId xmlns:a16="http://schemas.microsoft.com/office/drawing/2014/main" id="{DF732397-398C-4D31-998D-BF9FA8CAB95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8" name="AutoShape 40" descr="Currently available antiretroviral drugs | Download Table">
          <a:extLst>
            <a:ext uri="{FF2B5EF4-FFF2-40B4-BE49-F238E27FC236}">
              <a16:creationId xmlns:a16="http://schemas.microsoft.com/office/drawing/2014/main" id="{22B08AD8-4053-4AA0-BEBB-007D8E729FA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9" name="AutoShape 40" descr="Currently available antiretroviral drugs | Download Table">
          <a:extLst>
            <a:ext uri="{FF2B5EF4-FFF2-40B4-BE49-F238E27FC236}">
              <a16:creationId xmlns:a16="http://schemas.microsoft.com/office/drawing/2014/main" id="{E025EACD-8CE0-404B-A1C0-568AD4A9B40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0" name="AutoShape 40" descr="Currently available antiretroviral drugs | Download Table">
          <a:extLst>
            <a:ext uri="{FF2B5EF4-FFF2-40B4-BE49-F238E27FC236}">
              <a16:creationId xmlns:a16="http://schemas.microsoft.com/office/drawing/2014/main" id="{2A391BA6-95D1-4281-AF91-4EA0A154315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1" name="AutoShape 40" descr="Currently available antiretroviral drugs | Download Table">
          <a:extLst>
            <a:ext uri="{FF2B5EF4-FFF2-40B4-BE49-F238E27FC236}">
              <a16:creationId xmlns:a16="http://schemas.microsoft.com/office/drawing/2014/main" id="{3FA6E6C5-06EE-4489-B3AE-7019622CBDC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2" name="AutoShape 40" descr="Currently available antiretroviral drugs | Download Table">
          <a:extLst>
            <a:ext uri="{FF2B5EF4-FFF2-40B4-BE49-F238E27FC236}">
              <a16:creationId xmlns:a16="http://schemas.microsoft.com/office/drawing/2014/main" id="{097192C1-3795-48ED-9E8C-93FF3052DCC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3" name="AutoShape 40" descr="Currently available antiretroviral drugs | Download Table">
          <a:extLst>
            <a:ext uri="{FF2B5EF4-FFF2-40B4-BE49-F238E27FC236}">
              <a16:creationId xmlns:a16="http://schemas.microsoft.com/office/drawing/2014/main" id="{161EEC19-94B9-49A8-BB41-B02B785F4E1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4" name="AutoShape 40" descr="Currently available antiretroviral drugs | Download Table">
          <a:extLst>
            <a:ext uri="{FF2B5EF4-FFF2-40B4-BE49-F238E27FC236}">
              <a16:creationId xmlns:a16="http://schemas.microsoft.com/office/drawing/2014/main" id="{79EF6E8A-50BE-4827-9A7E-D4071AF7FD3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5" name="AutoShape 40" descr="Currently available antiretroviral drugs | Download Table">
          <a:extLst>
            <a:ext uri="{FF2B5EF4-FFF2-40B4-BE49-F238E27FC236}">
              <a16:creationId xmlns:a16="http://schemas.microsoft.com/office/drawing/2014/main" id="{1E15B5A7-9BB9-40F9-9C0D-7E07242EE3F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6" name="AutoShape 40" descr="Currently available antiretroviral drugs | Download Table">
          <a:extLst>
            <a:ext uri="{FF2B5EF4-FFF2-40B4-BE49-F238E27FC236}">
              <a16:creationId xmlns:a16="http://schemas.microsoft.com/office/drawing/2014/main" id="{33C63CC6-8E7D-4A30-BE7D-F28D8FE0766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7" name="AutoShape 40" descr="Currently available antiretroviral drugs | Download Table">
          <a:extLst>
            <a:ext uri="{FF2B5EF4-FFF2-40B4-BE49-F238E27FC236}">
              <a16:creationId xmlns:a16="http://schemas.microsoft.com/office/drawing/2014/main" id="{C6F78F77-49EF-4415-8FDD-23CF0E386B1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8" name="AutoShape 40" descr="Currently available antiretroviral drugs | Download Table">
          <a:extLst>
            <a:ext uri="{FF2B5EF4-FFF2-40B4-BE49-F238E27FC236}">
              <a16:creationId xmlns:a16="http://schemas.microsoft.com/office/drawing/2014/main" id="{1FD938C0-F398-415E-900C-DA33234B452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9" name="AutoShape 40" descr="Currently available antiretroviral drugs | Download Table">
          <a:extLst>
            <a:ext uri="{FF2B5EF4-FFF2-40B4-BE49-F238E27FC236}">
              <a16:creationId xmlns:a16="http://schemas.microsoft.com/office/drawing/2014/main" id="{B9643781-E474-49CA-8980-A11C0B103C0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0" name="AutoShape 40" descr="Currently available antiretroviral drugs | Download Table">
          <a:extLst>
            <a:ext uri="{FF2B5EF4-FFF2-40B4-BE49-F238E27FC236}">
              <a16:creationId xmlns:a16="http://schemas.microsoft.com/office/drawing/2014/main" id="{8750D854-E7C9-4BC9-852B-E8FA9138FB8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1" name="AutoShape 40" descr="Currently available antiretroviral drugs | Download Table">
          <a:extLst>
            <a:ext uri="{FF2B5EF4-FFF2-40B4-BE49-F238E27FC236}">
              <a16:creationId xmlns:a16="http://schemas.microsoft.com/office/drawing/2014/main" id="{0FC31F46-6365-43E8-B823-4847FCD069C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2" name="AutoShape 40" descr="Currently available antiretroviral drugs | Download Table">
          <a:extLst>
            <a:ext uri="{FF2B5EF4-FFF2-40B4-BE49-F238E27FC236}">
              <a16:creationId xmlns:a16="http://schemas.microsoft.com/office/drawing/2014/main" id="{1D3899C8-AF49-4358-89E1-46B498FD9B2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3" name="AutoShape 40" descr="Currently available antiretroviral drugs | Download Table">
          <a:extLst>
            <a:ext uri="{FF2B5EF4-FFF2-40B4-BE49-F238E27FC236}">
              <a16:creationId xmlns:a16="http://schemas.microsoft.com/office/drawing/2014/main" id="{2BD3B954-AB9C-4283-9364-E5E88BFE70F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4" name="AutoShape 40" descr="Currently available antiretroviral drugs | Download Table">
          <a:extLst>
            <a:ext uri="{FF2B5EF4-FFF2-40B4-BE49-F238E27FC236}">
              <a16:creationId xmlns:a16="http://schemas.microsoft.com/office/drawing/2014/main" id="{EFEC6462-9676-4339-AEAB-E77D0F957AD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5" name="AutoShape 40" descr="Currently available antiretroviral drugs | Download Table">
          <a:extLst>
            <a:ext uri="{FF2B5EF4-FFF2-40B4-BE49-F238E27FC236}">
              <a16:creationId xmlns:a16="http://schemas.microsoft.com/office/drawing/2014/main" id="{2969235D-9F86-48F8-848A-7E781C9D147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6" name="AutoShape 40" descr="Currently available antiretroviral drugs | Download Table">
          <a:extLst>
            <a:ext uri="{FF2B5EF4-FFF2-40B4-BE49-F238E27FC236}">
              <a16:creationId xmlns:a16="http://schemas.microsoft.com/office/drawing/2014/main" id="{EB0892FC-3E51-45B6-B260-E190F2B1C77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7" name="AutoShape 40" descr="Currently available antiretroviral drugs | Download Table">
          <a:extLst>
            <a:ext uri="{FF2B5EF4-FFF2-40B4-BE49-F238E27FC236}">
              <a16:creationId xmlns:a16="http://schemas.microsoft.com/office/drawing/2014/main" id="{29D6228C-CA5C-4D30-94BE-D492FE26027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8" name="AutoShape 40" descr="Currently available antiretroviral drugs | Download Table">
          <a:extLst>
            <a:ext uri="{FF2B5EF4-FFF2-40B4-BE49-F238E27FC236}">
              <a16:creationId xmlns:a16="http://schemas.microsoft.com/office/drawing/2014/main" id="{C766B240-34DC-4945-B993-1700CE3F615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9" name="AutoShape 40" descr="Currently available antiretroviral drugs | Download Table">
          <a:extLst>
            <a:ext uri="{FF2B5EF4-FFF2-40B4-BE49-F238E27FC236}">
              <a16:creationId xmlns:a16="http://schemas.microsoft.com/office/drawing/2014/main" id="{211D758C-D342-428F-BD76-018183874D4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0" name="AutoShape 40" descr="Currently available antiretroviral drugs | Download Table">
          <a:extLst>
            <a:ext uri="{FF2B5EF4-FFF2-40B4-BE49-F238E27FC236}">
              <a16:creationId xmlns:a16="http://schemas.microsoft.com/office/drawing/2014/main" id="{88219637-E812-47D1-878F-3E38A5A74F9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1" name="AutoShape 40" descr="Currently available antiretroviral drugs | Download Table">
          <a:extLst>
            <a:ext uri="{FF2B5EF4-FFF2-40B4-BE49-F238E27FC236}">
              <a16:creationId xmlns:a16="http://schemas.microsoft.com/office/drawing/2014/main" id="{FCFBAD6F-9C0E-4D81-B6A2-F11B1C09AE7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2" name="AutoShape 40" descr="Currently available antiretroviral drugs | Download Table">
          <a:extLst>
            <a:ext uri="{FF2B5EF4-FFF2-40B4-BE49-F238E27FC236}">
              <a16:creationId xmlns:a16="http://schemas.microsoft.com/office/drawing/2014/main" id="{E3F3B60D-224D-4A3B-9294-C27979462DE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3" name="AutoShape 40" descr="Currently available antiretroviral drugs | Download Table">
          <a:extLst>
            <a:ext uri="{FF2B5EF4-FFF2-40B4-BE49-F238E27FC236}">
              <a16:creationId xmlns:a16="http://schemas.microsoft.com/office/drawing/2014/main" id="{2E4A18BC-08F8-4F86-8DF1-4531A6CA848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4" name="AutoShape 40" descr="Currently available antiretroviral drugs | Download Table">
          <a:extLst>
            <a:ext uri="{FF2B5EF4-FFF2-40B4-BE49-F238E27FC236}">
              <a16:creationId xmlns:a16="http://schemas.microsoft.com/office/drawing/2014/main" id="{47C9BEAD-3D90-44CF-ABBB-99B19891EDF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5" name="AutoShape 40" descr="Currently available antiretroviral drugs | Download Table">
          <a:extLst>
            <a:ext uri="{FF2B5EF4-FFF2-40B4-BE49-F238E27FC236}">
              <a16:creationId xmlns:a16="http://schemas.microsoft.com/office/drawing/2014/main" id="{58BC855F-904E-4387-A2CB-A359D18826B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6" name="AutoShape 40" descr="Currently available antiretroviral drugs | Download Table">
          <a:extLst>
            <a:ext uri="{FF2B5EF4-FFF2-40B4-BE49-F238E27FC236}">
              <a16:creationId xmlns:a16="http://schemas.microsoft.com/office/drawing/2014/main" id="{E1BE3C97-63FD-4D60-A29A-6A5C814A1A0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7" name="AutoShape 40" descr="Currently available antiretroviral drugs | Download Table">
          <a:extLst>
            <a:ext uri="{FF2B5EF4-FFF2-40B4-BE49-F238E27FC236}">
              <a16:creationId xmlns:a16="http://schemas.microsoft.com/office/drawing/2014/main" id="{3CA9814F-5B4E-4B1C-9261-9DB0DC13234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8" name="AutoShape 40" descr="Currently available antiretroviral drugs | Download Table">
          <a:extLst>
            <a:ext uri="{FF2B5EF4-FFF2-40B4-BE49-F238E27FC236}">
              <a16:creationId xmlns:a16="http://schemas.microsoft.com/office/drawing/2014/main" id="{AB75666B-126B-4C85-8923-DF8CAD91B74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9" name="AutoShape 40" descr="Currently available antiretroviral drugs | Download Table">
          <a:extLst>
            <a:ext uri="{FF2B5EF4-FFF2-40B4-BE49-F238E27FC236}">
              <a16:creationId xmlns:a16="http://schemas.microsoft.com/office/drawing/2014/main" id="{A9025234-6D16-42DC-95F2-1E9E71C332A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0" name="AutoShape 40" descr="Currently available antiretroviral drugs | Download Table">
          <a:extLst>
            <a:ext uri="{FF2B5EF4-FFF2-40B4-BE49-F238E27FC236}">
              <a16:creationId xmlns:a16="http://schemas.microsoft.com/office/drawing/2014/main" id="{FC5FFAA6-F3B9-4F0D-9223-4B09DA45DCF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1" name="AutoShape 40" descr="Currently available antiretroviral drugs | Download Table">
          <a:extLst>
            <a:ext uri="{FF2B5EF4-FFF2-40B4-BE49-F238E27FC236}">
              <a16:creationId xmlns:a16="http://schemas.microsoft.com/office/drawing/2014/main" id="{54515253-0443-473B-8AD6-F818779E3E5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2" name="AutoShape 40" descr="Currently available antiretroviral drugs | Download Table">
          <a:extLst>
            <a:ext uri="{FF2B5EF4-FFF2-40B4-BE49-F238E27FC236}">
              <a16:creationId xmlns:a16="http://schemas.microsoft.com/office/drawing/2014/main" id="{C278EBED-C813-4340-AA8B-7F3DB8EDA74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3" name="AutoShape 40" descr="Currently available antiretroviral drugs | Download Table">
          <a:extLst>
            <a:ext uri="{FF2B5EF4-FFF2-40B4-BE49-F238E27FC236}">
              <a16:creationId xmlns:a16="http://schemas.microsoft.com/office/drawing/2014/main" id="{8E3B906D-1AE0-4979-8B2F-C3F23A24F1F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4" name="AutoShape 40" descr="Currently available antiretroviral drugs | Download Table">
          <a:extLst>
            <a:ext uri="{FF2B5EF4-FFF2-40B4-BE49-F238E27FC236}">
              <a16:creationId xmlns:a16="http://schemas.microsoft.com/office/drawing/2014/main" id="{B17A13C1-E846-4E75-AF0D-971033CBA1B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5" name="AutoShape 40" descr="Currently available antiretroviral drugs | Download Table">
          <a:extLst>
            <a:ext uri="{FF2B5EF4-FFF2-40B4-BE49-F238E27FC236}">
              <a16:creationId xmlns:a16="http://schemas.microsoft.com/office/drawing/2014/main" id="{61DFD253-A609-4F2E-91D5-23A8FC887A2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6" name="AutoShape 40" descr="Currently available antiretroviral drugs | Download Table">
          <a:extLst>
            <a:ext uri="{FF2B5EF4-FFF2-40B4-BE49-F238E27FC236}">
              <a16:creationId xmlns:a16="http://schemas.microsoft.com/office/drawing/2014/main" id="{AD047063-1947-475A-B062-3747EA0789F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7" name="AutoShape 40" descr="Currently available antiretroviral drugs | Download Table">
          <a:extLst>
            <a:ext uri="{FF2B5EF4-FFF2-40B4-BE49-F238E27FC236}">
              <a16:creationId xmlns:a16="http://schemas.microsoft.com/office/drawing/2014/main" id="{36699E32-27AB-424E-B150-B72059686DD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8" name="AutoShape 40" descr="Currently available antiretroviral drugs | Download Table">
          <a:extLst>
            <a:ext uri="{FF2B5EF4-FFF2-40B4-BE49-F238E27FC236}">
              <a16:creationId xmlns:a16="http://schemas.microsoft.com/office/drawing/2014/main" id="{2A2826B7-4E28-47A2-BED3-F140A633B22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9" name="AutoShape 40" descr="Currently available antiretroviral drugs | Download Table">
          <a:extLst>
            <a:ext uri="{FF2B5EF4-FFF2-40B4-BE49-F238E27FC236}">
              <a16:creationId xmlns:a16="http://schemas.microsoft.com/office/drawing/2014/main" id="{AF03369B-16CA-4BF0-A9E9-516AA4F73BF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0" name="AutoShape 40" descr="Currently available antiretroviral drugs | Download Table">
          <a:extLst>
            <a:ext uri="{FF2B5EF4-FFF2-40B4-BE49-F238E27FC236}">
              <a16:creationId xmlns:a16="http://schemas.microsoft.com/office/drawing/2014/main" id="{7A1CF201-FC05-4E40-86AB-C46571E40C1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1" name="AutoShape 40" descr="Currently available antiretroviral drugs | Download Table">
          <a:extLst>
            <a:ext uri="{FF2B5EF4-FFF2-40B4-BE49-F238E27FC236}">
              <a16:creationId xmlns:a16="http://schemas.microsoft.com/office/drawing/2014/main" id="{79CCA923-44DF-44AD-B47F-80C543D366C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2" name="AutoShape 40" descr="Currently available antiretroviral drugs | Download Table">
          <a:extLst>
            <a:ext uri="{FF2B5EF4-FFF2-40B4-BE49-F238E27FC236}">
              <a16:creationId xmlns:a16="http://schemas.microsoft.com/office/drawing/2014/main" id="{D09F8AA0-6C84-4136-859F-6228E3B1D40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3" name="AutoShape 40" descr="Currently available antiretroviral drugs | Download Table">
          <a:extLst>
            <a:ext uri="{FF2B5EF4-FFF2-40B4-BE49-F238E27FC236}">
              <a16:creationId xmlns:a16="http://schemas.microsoft.com/office/drawing/2014/main" id="{D7771511-0076-4A41-9D44-D1376997BDF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4" name="AutoShape 40" descr="Currently available antiretroviral drugs | Download Table">
          <a:extLst>
            <a:ext uri="{FF2B5EF4-FFF2-40B4-BE49-F238E27FC236}">
              <a16:creationId xmlns:a16="http://schemas.microsoft.com/office/drawing/2014/main" id="{91CD5B2C-762E-406A-9833-1F7B6397393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5" name="AutoShape 40" descr="Currently available antiretroviral drugs | Download Table">
          <a:extLst>
            <a:ext uri="{FF2B5EF4-FFF2-40B4-BE49-F238E27FC236}">
              <a16:creationId xmlns:a16="http://schemas.microsoft.com/office/drawing/2014/main" id="{C242D284-69A5-45AC-BAA1-E682DD1B253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6" name="AutoShape 40" descr="Currently available antiretroviral drugs | Download Table">
          <a:extLst>
            <a:ext uri="{FF2B5EF4-FFF2-40B4-BE49-F238E27FC236}">
              <a16:creationId xmlns:a16="http://schemas.microsoft.com/office/drawing/2014/main" id="{2F91F412-F4B0-403B-8AD2-8EB6E161AE8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7" name="AutoShape 40" descr="Currently available antiretroviral drugs | Download Table">
          <a:extLst>
            <a:ext uri="{FF2B5EF4-FFF2-40B4-BE49-F238E27FC236}">
              <a16:creationId xmlns:a16="http://schemas.microsoft.com/office/drawing/2014/main" id="{1E1E2856-B39C-4B32-9800-0946C1622DC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8" name="AutoShape 40" descr="Currently available antiretroviral drugs | Download Table">
          <a:extLst>
            <a:ext uri="{FF2B5EF4-FFF2-40B4-BE49-F238E27FC236}">
              <a16:creationId xmlns:a16="http://schemas.microsoft.com/office/drawing/2014/main" id="{22E66B75-1263-4E01-BBC1-43E9FF9F066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9" name="AutoShape 40" descr="Currently available antiretroviral drugs | Download Table">
          <a:extLst>
            <a:ext uri="{FF2B5EF4-FFF2-40B4-BE49-F238E27FC236}">
              <a16:creationId xmlns:a16="http://schemas.microsoft.com/office/drawing/2014/main" id="{ECB8DBD9-E7E3-42CA-B695-594FB72C497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0" name="AutoShape 40" descr="Currently available antiretroviral drugs | Download Table">
          <a:extLst>
            <a:ext uri="{FF2B5EF4-FFF2-40B4-BE49-F238E27FC236}">
              <a16:creationId xmlns:a16="http://schemas.microsoft.com/office/drawing/2014/main" id="{26F19303-5F51-42E9-8704-7027D9076D7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1" name="AutoShape 40" descr="Currently available antiretroviral drugs | Download Table">
          <a:extLst>
            <a:ext uri="{FF2B5EF4-FFF2-40B4-BE49-F238E27FC236}">
              <a16:creationId xmlns:a16="http://schemas.microsoft.com/office/drawing/2014/main" id="{C4CB5864-5CA7-41E2-BB53-1232BD54534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2" name="AutoShape 40" descr="Currently available antiretroviral drugs | Download Table">
          <a:extLst>
            <a:ext uri="{FF2B5EF4-FFF2-40B4-BE49-F238E27FC236}">
              <a16:creationId xmlns:a16="http://schemas.microsoft.com/office/drawing/2014/main" id="{2BF9170A-D304-4980-AEFA-0CDE04CEEEB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3" name="AutoShape 40" descr="Currently available antiretroviral drugs | Download Table">
          <a:extLst>
            <a:ext uri="{FF2B5EF4-FFF2-40B4-BE49-F238E27FC236}">
              <a16:creationId xmlns:a16="http://schemas.microsoft.com/office/drawing/2014/main" id="{FB3D259D-5805-4C1F-A411-CAB104B843D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4" name="AutoShape 40" descr="Currently available antiretroviral drugs | Download Table">
          <a:extLst>
            <a:ext uri="{FF2B5EF4-FFF2-40B4-BE49-F238E27FC236}">
              <a16:creationId xmlns:a16="http://schemas.microsoft.com/office/drawing/2014/main" id="{C655BD17-2673-4807-9C14-C1D9987A0D3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5" name="AutoShape 40" descr="Currently available antiretroviral drugs | Download Table">
          <a:extLst>
            <a:ext uri="{FF2B5EF4-FFF2-40B4-BE49-F238E27FC236}">
              <a16:creationId xmlns:a16="http://schemas.microsoft.com/office/drawing/2014/main" id="{F33FFDEA-34B7-4FAB-9746-FD23C57A18A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6" name="AutoShape 40" descr="Currently available antiretroviral drugs | Download Table">
          <a:extLst>
            <a:ext uri="{FF2B5EF4-FFF2-40B4-BE49-F238E27FC236}">
              <a16:creationId xmlns:a16="http://schemas.microsoft.com/office/drawing/2014/main" id="{46EE1BEB-4A09-44E4-A0CA-517337EB642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7" name="AutoShape 40" descr="Currently available antiretroviral drugs | Download Table">
          <a:extLst>
            <a:ext uri="{FF2B5EF4-FFF2-40B4-BE49-F238E27FC236}">
              <a16:creationId xmlns:a16="http://schemas.microsoft.com/office/drawing/2014/main" id="{E97F9D6B-1EF0-447A-9ED6-A5379D89D96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8" name="AutoShape 40" descr="Currently available antiretroviral drugs | Download Table">
          <a:extLst>
            <a:ext uri="{FF2B5EF4-FFF2-40B4-BE49-F238E27FC236}">
              <a16:creationId xmlns:a16="http://schemas.microsoft.com/office/drawing/2014/main" id="{0780F501-2A87-4972-9910-E9A0F5CCD20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9" name="AutoShape 40" descr="Currently available antiretroviral drugs | Download Table">
          <a:extLst>
            <a:ext uri="{FF2B5EF4-FFF2-40B4-BE49-F238E27FC236}">
              <a16:creationId xmlns:a16="http://schemas.microsoft.com/office/drawing/2014/main" id="{0D846870-F351-4D10-9530-C225DEF5689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0" name="AutoShape 40" descr="Currently available antiretroviral drugs | Download Table">
          <a:extLst>
            <a:ext uri="{FF2B5EF4-FFF2-40B4-BE49-F238E27FC236}">
              <a16:creationId xmlns:a16="http://schemas.microsoft.com/office/drawing/2014/main" id="{83A10C90-3EE2-4D9C-BE7B-5C44CD410B6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1" name="AutoShape 40" descr="Currently available antiretroviral drugs | Download Table">
          <a:extLst>
            <a:ext uri="{FF2B5EF4-FFF2-40B4-BE49-F238E27FC236}">
              <a16:creationId xmlns:a16="http://schemas.microsoft.com/office/drawing/2014/main" id="{4140F072-67C4-4E6B-8A26-5C62C7A5690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2" name="AutoShape 40" descr="Currently available antiretroviral drugs | Download Table">
          <a:extLst>
            <a:ext uri="{FF2B5EF4-FFF2-40B4-BE49-F238E27FC236}">
              <a16:creationId xmlns:a16="http://schemas.microsoft.com/office/drawing/2014/main" id="{A0965CAD-7231-4948-AF07-585AAC329F5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3" name="AutoShape 40" descr="Currently available antiretroviral drugs | Download Table">
          <a:extLst>
            <a:ext uri="{FF2B5EF4-FFF2-40B4-BE49-F238E27FC236}">
              <a16:creationId xmlns:a16="http://schemas.microsoft.com/office/drawing/2014/main" id="{48C6DFEF-FA2E-4237-B2C9-F0C7809E970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4" name="AutoShape 40" descr="Currently available antiretroviral drugs | Download Table">
          <a:extLst>
            <a:ext uri="{FF2B5EF4-FFF2-40B4-BE49-F238E27FC236}">
              <a16:creationId xmlns:a16="http://schemas.microsoft.com/office/drawing/2014/main" id="{DEABC21D-8933-49E0-B1E1-A7BB80E07DC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5" name="AutoShape 40" descr="Currently available antiretroviral drugs | Download Table">
          <a:extLst>
            <a:ext uri="{FF2B5EF4-FFF2-40B4-BE49-F238E27FC236}">
              <a16:creationId xmlns:a16="http://schemas.microsoft.com/office/drawing/2014/main" id="{D137C70E-1F2B-4BBD-88D6-DC207EAFCD3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6" name="AutoShape 40" descr="Currently available antiretroviral drugs | Download Table">
          <a:extLst>
            <a:ext uri="{FF2B5EF4-FFF2-40B4-BE49-F238E27FC236}">
              <a16:creationId xmlns:a16="http://schemas.microsoft.com/office/drawing/2014/main" id="{CA693AE2-4C9F-492E-BE10-A3123EA232B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7" name="AutoShape 40" descr="Currently available antiretroviral drugs | Download Table">
          <a:extLst>
            <a:ext uri="{FF2B5EF4-FFF2-40B4-BE49-F238E27FC236}">
              <a16:creationId xmlns:a16="http://schemas.microsoft.com/office/drawing/2014/main" id="{BA71931B-FE32-4A48-8956-FD849CD3A07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8" name="AutoShape 40" descr="Currently available antiretroviral drugs | Download Table">
          <a:extLst>
            <a:ext uri="{FF2B5EF4-FFF2-40B4-BE49-F238E27FC236}">
              <a16:creationId xmlns:a16="http://schemas.microsoft.com/office/drawing/2014/main" id="{60D2CB3B-8BE2-4F59-9BF3-B924FD03E20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9" name="AutoShape 40" descr="Currently available antiretroviral drugs | Download Table">
          <a:extLst>
            <a:ext uri="{FF2B5EF4-FFF2-40B4-BE49-F238E27FC236}">
              <a16:creationId xmlns:a16="http://schemas.microsoft.com/office/drawing/2014/main" id="{9F26A099-41AF-4C47-B74A-F80C536D5D3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0" name="AutoShape 40" descr="Currently available antiretroviral drugs | Download Table">
          <a:extLst>
            <a:ext uri="{FF2B5EF4-FFF2-40B4-BE49-F238E27FC236}">
              <a16:creationId xmlns:a16="http://schemas.microsoft.com/office/drawing/2014/main" id="{098F10D6-F026-4D10-8F66-416FB30D28C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1" name="AutoShape 40" descr="Currently available antiretroviral drugs | Download Table">
          <a:extLst>
            <a:ext uri="{FF2B5EF4-FFF2-40B4-BE49-F238E27FC236}">
              <a16:creationId xmlns:a16="http://schemas.microsoft.com/office/drawing/2014/main" id="{7DCF54A3-4B4D-4B56-95E0-075E34207EA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2" name="AutoShape 40" descr="Currently available antiretroviral drugs | Download Table">
          <a:extLst>
            <a:ext uri="{FF2B5EF4-FFF2-40B4-BE49-F238E27FC236}">
              <a16:creationId xmlns:a16="http://schemas.microsoft.com/office/drawing/2014/main" id="{C0168FEA-1EF8-4A79-98F6-48F8B40AE9A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3" name="AutoShape 40" descr="Currently available antiretroviral drugs | Download Table">
          <a:extLst>
            <a:ext uri="{FF2B5EF4-FFF2-40B4-BE49-F238E27FC236}">
              <a16:creationId xmlns:a16="http://schemas.microsoft.com/office/drawing/2014/main" id="{60A11CAF-9357-4FC4-A11B-BCA5EF4D32A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4" name="AutoShape 40" descr="Currently available antiretroviral drugs | Download Table">
          <a:extLst>
            <a:ext uri="{FF2B5EF4-FFF2-40B4-BE49-F238E27FC236}">
              <a16:creationId xmlns:a16="http://schemas.microsoft.com/office/drawing/2014/main" id="{BA72D75A-823E-4727-A0C7-0F002CC5874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5" name="AutoShape 40" descr="Currently available antiretroviral drugs | Download Table">
          <a:extLst>
            <a:ext uri="{FF2B5EF4-FFF2-40B4-BE49-F238E27FC236}">
              <a16:creationId xmlns:a16="http://schemas.microsoft.com/office/drawing/2014/main" id="{1A42CFC2-1480-48E7-BC1F-B538AE2C8FC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6" name="AutoShape 40" descr="Currently available antiretroviral drugs | Download Table">
          <a:extLst>
            <a:ext uri="{FF2B5EF4-FFF2-40B4-BE49-F238E27FC236}">
              <a16:creationId xmlns:a16="http://schemas.microsoft.com/office/drawing/2014/main" id="{C3B39F74-D15E-489D-AA7E-A1D8368F353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7" name="AutoShape 40" descr="Currently available antiretroviral drugs | Download Table">
          <a:extLst>
            <a:ext uri="{FF2B5EF4-FFF2-40B4-BE49-F238E27FC236}">
              <a16:creationId xmlns:a16="http://schemas.microsoft.com/office/drawing/2014/main" id="{CDB95016-5219-45F1-9BE8-4ACE1588AAE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8" name="AutoShape 40" descr="Currently available antiretroviral drugs | Download Table">
          <a:extLst>
            <a:ext uri="{FF2B5EF4-FFF2-40B4-BE49-F238E27FC236}">
              <a16:creationId xmlns:a16="http://schemas.microsoft.com/office/drawing/2014/main" id="{EC927420-34DC-4792-975E-071B9907AC9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9" name="AutoShape 40" descr="Currently available antiretroviral drugs | Download Table">
          <a:extLst>
            <a:ext uri="{FF2B5EF4-FFF2-40B4-BE49-F238E27FC236}">
              <a16:creationId xmlns:a16="http://schemas.microsoft.com/office/drawing/2014/main" id="{A8091453-CC76-4431-948A-F47830F923B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0" name="AutoShape 40" descr="Currently available antiretroviral drugs | Download Table">
          <a:extLst>
            <a:ext uri="{FF2B5EF4-FFF2-40B4-BE49-F238E27FC236}">
              <a16:creationId xmlns:a16="http://schemas.microsoft.com/office/drawing/2014/main" id="{8D288944-0DB4-4E78-AF23-572F0E2CE11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1" name="AutoShape 40" descr="Currently available antiretroviral drugs | Download Table">
          <a:extLst>
            <a:ext uri="{FF2B5EF4-FFF2-40B4-BE49-F238E27FC236}">
              <a16:creationId xmlns:a16="http://schemas.microsoft.com/office/drawing/2014/main" id="{54BEF1D1-5F75-4CCF-9418-FE52FC407B0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2" name="AutoShape 40" descr="Currently available antiretroviral drugs | Download Table">
          <a:extLst>
            <a:ext uri="{FF2B5EF4-FFF2-40B4-BE49-F238E27FC236}">
              <a16:creationId xmlns:a16="http://schemas.microsoft.com/office/drawing/2014/main" id="{A8EADAF7-98CD-438A-9038-9B7C86C54C5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3" name="AutoShape 40" descr="Currently available antiretroviral drugs | Download Table">
          <a:extLst>
            <a:ext uri="{FF2B5EF4-FFF2-40B4-BE49-F238E27FC236}">
              <a16:creationId xmlns:a16="http://schemas.microsoft.com/office/drawing/2014/main" id="{5744BD67-C9DD-4AC6-95FD-81738BD51E0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4" name="AutoShape 40" descr="Currently available antiretroviral drugs | Download Table">
          <a:extLst>
            <a:ext uri="{FF2B5EF4-FFF2-40B4-BE49-F238E27FC236}">
              <a16:creationId xmlns:a16="http://schemas.microsoft.com/office/drawing/2014/main" id="{BF324852-DF82-4AB1-A4B4-E2F1CE6757C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5" name="AutoShape 40" descr="Currently available antiretroviral drugs | Download Table">
          <a:extLst>
            <a:ext uri="{FF2B5EF4-FFF2-40B4-BE49-F238E27FC236}">
              <a16:creationId xmlns:a16="http://schemas.microsoft.com/office/drawing/2014/main" id="{A2F4DCD2-7C25-428F-B883-8A443F405D2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6" name="AutoShape 40" descr="Currently available antiretroviral drugs | Download Table">
          <a:extLst>
            <a:ext uri="{FF2B5EF4-FFF2-40B4-BE49-F238E27FC236}">
              <a16:creationId xmlns:a16="http://schemas.microsoft.com/office/drawing/2014/main" id="{AAAEA0A8-250C-4358-A83A-3BAD6A33F51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7" name="AutoShape 40" descr="Currently available antiretroviral drugs | Download Table">
          <a:extLst>
            <a:ext uri="{FF2B5EF4-FFF2-40B4-BE49-F238E27FC236}">
              <a16:creationId xmlns:a16="http://schemas.microsoft.com/office/drawing/2014/main" id="{5F350849-CD1F-4DDB-8625-ED11F944847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8" name="AutoShape 40" descr="Currently available antiretroviral drugs | Download Table">
          <a:extLst>
            <a:ext uri="{FF2B5EF4-FFF2-40B4-BE49-F238E27FC236}">
              <a16:creationId xmlns:a16="http://schemas.microsoft.com/office/drawing/2014/main" id="{10958A19-9F70-4400-A91F-99F9EC220BC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9" name="AutoShape 40" descr="Currently available antiretroviral drugs | Download Table">
          <a:extLst>
            <a:ext uri="{FF2B5EF4-FFF2-40B4-BE49-F238E27FC236}">
              <a16:creationId xmlns:a16="http://schemas.microsoft.com/office/drawing/2014/main" id="{D83678A5-5172-42C0-8BA3-223EBD4FD3E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0" name="AutoShape 40" descr="Currently available antiretroviral drugs | Download Table">
          <a:extLst>
            <a:ext uri="{FF2B5EF4-FFF2-40B4-BE49-F238E27FC236}">
              <a16:creationId xmlns:a16="http://schemas.microsoft.com/office/drawing/2014/main" id="{FD569C37-7EC5-44B0-88FD-C7AFE056D7A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1" name="AutoShape 40" descr="Currently available antiretroviral drugs | Download Table">
          <a:extLst>
            <a:ext uri="{FF2B5EF4-FFF2-40B4-BE49-F238E27FC236}">
              <a16:creationId xmlns:a16="http://schemas.microsoft.com/office/drawing/2014/main" id="{CC7119DA-5420-4897-A961-98D9AD00881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2" name="AutoShape 40" descr="Currently available antiretroviral drugs | Download Table">
          <a:extLst>
            <a:ext uri="{FF2B5EF4-FFF2-40B4-BE49-F238E27FC236}">
              <a16:creationId xmlns:a16="http://schemas.microsoft.com/office/drawing/2014/main" id="{BAD76828-253A-44E8-AD94-D0BF8FDDD84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3" name="AutoShape 40" descr="Currently available antiretroviral drugs | Download Table">
          <a:extLst>
            <a:ext uri="{FF2B5EF4-FFF2-40B4-BE49-F238E27FC236}">
              <a16:creationId xmlns:a16="http://schemas.microsoft.com/office/drawing/2014/main" id="{38356757-DA42-44B0-A39D-A12B7FC2184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4" name="AutoShape 40" descr="Currently available antiretroviral drugs | Download Table">
          <a:extLst>
            <a:ext uri="{FF2B5EF4-FFF2-40B4-BE49-F238E27FC236}">
              <a16:creationId xmlns:a16="http://schemas.microsoft.com/office/drawing/2014/main" id="{1E15B3BD-D36B-414C-BA3E-8E4D5AD9470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5" name="AutoShape 40" descr="Currently available antiretroviral drugs | Download Table">
          <a:extLst>
            <a:ext uri="{FF2B5EF4-FFF2-40B4-BE49-F238E27FC236}">
              <a16:creationId xmlns:a16="http://schemas.microsoft.com/office/drawing/2014/main" id="{838A4CA6-0E0A-426D-8782-8032894EE34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6" name="AutoShape 40" descr="Currently available antiretroviral drugs | Download Table">
          <a:extLst>
            <a:ext uri="{FF2B5EF4-FFF2-40B4-BE49-F238E27FC236}">
              <a16:creationId xmlns:a16="http://schemas.microsoft.com/office/drawing/2014/main" id="{6F7BE9B7-C508-475C-865D-6379439BE79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7" name="AutoShape 40" descr="Currently available antiretroviral drugs | Download Table">
          <a:extLst>
            <a:ext uri="{FF2B5EF4-FFF2-40B4-BE49-F238E27FC236}">
              <a16:creationId xmlns:a16="http://schemas.microsoft.com/office/drawing/2014/main" id="{C406E749-9AF5-4D48-A415-703B0C0C355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8" name="AutoShape 40" descr="Currently available antiretroviral drugs | Download Table">
          <a:extLst>
            <a:ext uri="{FF2B5EF4-FFF2-40B4-BE49-F238E27FC236}">
              <a16:creationId xmlns:a16="http://schemas.microsoft.com/office/drawing/2014/main" id="{89311086-836B-4FCD-A5F5-08A75731BFC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9" name="AutoShape 40" descr="Currently available antiretroviral drugs | Download Table">
          <a:extLst>
            <a:ext uri="{FF2B5EF4-FFF2-40B4-BE49-F238E27FC236}">
              <a16:creationId xmlns:a16="http://schemas.microsoft.com/office/drawing/2014/main" id="{56F6DACC-CC7B-44B4-B452-707AFB907A9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0" name="AutoShape 40" descr="Currently available antiretroviral drugs | Download Table">
          <a:extLst>
            <a:ext uri="{FF2B5EF4-FFF2-40B4-BE49-F238E27FC236}">
              <a16:creationId xmlns:a16="http://schemas.microsoft.com/office/drawing/2014/main" id="{3F8832F9-FC09-4FAB-A40C-8D4E976B31C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1" name="AutoShape 40" descr="Currently available antiretroviral drugs | Download Table">
          <a:extLst>
            <a:ext uri="{FF2B5EF4-FFF2-40B4-BE49-F238E27FC236}">
              <a16:creationId xmlns:a16="http://schemas.microsoft.com/office/drawing/2014/main" id="{50EDEAFC-426A-42E0-A173-497AA0DCE4B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2" name="AutoShape 40" descr="Currently available antiretroviral drugs | Download Table">
          <a:extLst>
            <a:ext uri="{FF2B5EF4-FFF2-40B4-BE49-F238E27FC236}">
              <a16:creationId xmlns:a16="http://schemas.microsoft.com/office/drawing/2014/main" id="{85CAA70B-3EC5-4076-898E-5BAAB7D4027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3" name="AutoShape 40" descr="Currently available antiretroviral drugs | Download Table">
          <a:extLst>
            <a:ext uri="{FF2B5EF4-FFF2-40B4-BE49-F238E27FC236}">
              <a16:creationId xmlns:a16="http://schemas.microsoft.com/office/drawing/2014/main" id="{9016A453-C324-4B02-B98A-A4DC1E0F229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4" name="AutoShape 40" descr="Currently available antiretroviral drugs | Download Table">
          <a:extLst>
            <a:ext uri="{FF2B5EF4-FFF2-40B4-BE49-F238E27FC236}">
              <a16:creationId xmlns:a16="http://schemas.microsoft.com/office/drawing/2014/main" id="{49CCE078-312E-4984-AA29-D29A99F528E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5" name="AutoShape 40" descr="Currently available antiretroviral drugs | Download Table">
          <a:extLst>
            <a:ext uri="{FF2B5EF4-FFF2-40B4-BE49-F238E27FC236}">
              <a16:creationId xmlns:a16="http://schemas.microsoft.com/office/drawing/2014/main" id="{1DD73D2E-35F6-45D2-B0A4-458B53D52FF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6" name="AutoShape 40" descr="Currently available antiretroviral drugs | Download Table">
          <a:extLst>
            <a:ext uri="{FF2B5EF4-FFF2-40B4-BE49-F238E27FC236}">
              <a16:creationId xmlns:a16="http://schemas.microsoft.com/office/drawing/2014/main" id="{D8270E06-A10B-495D-8548-FFB41CD5404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7" name="AutoShape 40" descr="Currently available antiretroviral drugs | Download Table">
          <a:extLst>
            <a:ext uri="{FF2B5EF4-FFF2-40B4-BE49-F238E27FC236}">
              <a16:creationId xmlns:a16="http://schemas.microsoft.com/office/drawing/2014/main" id="{D89856AF-23F9-41F1-B1CA-EAF371FD298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8" name="AutoShape 40" descr="Currently available antiretroviral drugs | Download Table">
          <a:extLst>
            <a:ext uri="{FF2B5EF4-FFF2-40B4-BE49-F238E27FC236}">
              <a16:creationId xmlns:a16="http://schemas.microsoft.com/office/drawing/2014/main" id="{59DC7D41-C8DD-4DDB-8E87-1A22EA29B80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9" name="AutoShape 40" descr="Currently available antiretroviral drugs | Download Table">
          <a:extLst>
            <a:ext uri="{FF2B5EF4-FFF2-40B4-BE49-F238E27FC236}">
              <a16:creationId xmlns:a16="http://schemas.microsoft.com/office/drawing/2014/main" id="{E9133953-6FA8-4DFA-890A-0F057EA5546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0" name="AutoShape 40" descr="Currently available antiretroviral drugs | Download Table">
          <a:extLst>
            <a:ext uri="{FF2B5EF4-FFF2-40B4-BE49-F238E27FC236}">
              <a16:creationId xmlns:a16="http://schemas.microsoft.com/office/drawing/2014/main" id="{96AE1312-21BD-45A7-BC57-059AFCBA89F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1" name="AutoShape 40" descr="Currently available antiretroviral drugs | Download Table">
          <a:extLst>
            <a:ext uri="{FF2B5EF4-FFF2-40B4-BE49-F238E27FC236}">
              <a16:creationId xmlns:a16="http://schemas.microsoft.com/office/drawing/2014/main" id="{FCA29263-F4C6-45BD-A959-F47EAFA14A4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2" name="AutoShape 40" descr="Currently available antiretroviral drugs | Download Table">
          <a:extLst>
            <a:ext uri="{FF2B5EF4-FFF2-40B4-BE49-F238E27FC236}">
              <a16:creationId xmlns:a16="http://schemas.microsoft.com/office/drawing/2014/main" id="{7709CC46-56F9-4096-9E52-5ECA913807D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3" name="AutoShape 40" descr="Currently available antiretroviral drugs | Download Table">
          <a:extLst>
            <a:ext uri="{FF2B5EF4-FFF2-40B4-BE49-F238E27FC236}">
              <a16:creationId xmlns:a16="http://schemas.microsoft.com/office/drawing/2014/main" id="{7BB23FD1-B44A-4890-A337-36614CF2AB6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4" name="AutoShape 40" descr="Currently available antiretroviral drugs | Download Table">
          <a:extLst>
            <a:ext uri="{FF2B5EF4-FFF2-40B4-BE49-F238E27FC236}">
              <a16:creationId xmlns:a16="http://schemas.microsoft.com/office/drawing/2014/main" id="{3D1B785D-4D93-4504-96EA-C159A9CE97B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5" name="AutoShape 40" descr="Currently available antiretroviral drugs | Download Table">
          <a:extLst>
            <a:ext uri="{FF2B5EF4-FFF2-40B4-BE49-F238E27FC236}">
              <a16:creationId xmlns:a16="http://schemas.microsoft.com/office/drawing/2014/main" id="{67C65512-7A58-4255-B572-B08FF025CC6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6" name="AutoShape 40" descr="Currently available antiretroviral drugs | Download Table">
          <a:extLst>
            <a:ext uri="{FF2B5EF4-FFF2-40B4-BE49-F238E27FC236}">
              <a16:creationId xmlns:a16="http://schemas.microsoft.com/office/drawing/2014/main" id="{785A65A3-9A24-4249-97AC-7FAA9364F50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7" name="AutoShape 40" descr="Currently available antiretroviral drugs | Download Table">
          <a:extLst>
            <a:ext uri="{FF2B5EF4-FFF2-40B4-BE49-F238E27FC236}">
              <a16:creationId xmlns:a16="http://schemas.microsoft.com/office/drawing/2014/main" id="{CF58A6F1-2C48-424B-8CCB-312C87963E7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8" name="AutoShape 40" descr="Currently available antiretroviral drugs | Download Table">
          <a:extLst>
            <a:ext uri="{FF2B5EF4-FFF2-40B4-BE49-F238E27FC236}">
              <a16:creationId xmlns:a16="http://schemas.microsoft.com/office/drawing/2014/main" id="{6775D0F1-60DB-4D01-AB4C-53D0EEA80E3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9" name="AutoShape 40" descr="Currently available antiretroviral drugs | Download Table">
          <a:extLst>
            <a:ext uri="{FF2B5EF4-FFF2-40B4-BE49-F238E27FC236}">
              <a16:creationId xmlns:a16="http://schemas.microsoft.com/office/drawing/2014/main" id="{1E5CF443-2118-41FE-BE47-7E1A53DC59D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0" name="AutoShape 40" descr="Currently available antiretroviral drugs | Download Table">
          <a:extLst>
            <a:ext uri="{FF2B5EF4-FFF2-40B4-BE49-F238E27FC236}">
              <a16:creationId xmlns:a16="http://schemas.microsoft.com/office/drawing/2014/main" id="{F6B10162-F242-4B69-BEB4-4597A8FB0EC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1" name="AutoShape 40" descr="Currently available antiretroviral drugs | Download Table">
          <a:extLst>
            <a:ext uri="{FF2B5EF4-FFF2-40B4-BE49-F238E27FC236}">
              <a16:creationId xmlns:a16="http://schemas.microsoft.com/office/drawing/2014/main" id="{09D69EC8-1A96-4610-ABD2-AD5B689581C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2" name="AutoShape 40" descr="Currently available antiretroviral drugs | Download Table">
          <a:extLst>
            <a:ext uri="{FF2B5EF4-FFF2-40B4-BE49-F238E27FC236}">
              <a16:creationId xmlns:a16="http://schemas.microsoft.com/office/drawing/2014/main" id="{6DBFAB3C-B977-46E8-9055-0DD17F9A7A2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3" name="AutoShape 40" descr="Currently available antiretroviral drugs | Download Table">
          <a:extLst>
            <a:ext uri="{FF2B5EF4-FFF2-40B4-BE49-F238E27FC236}">
              <a16:creationId xmlns:a16="http://schemas.microsoft.com/office/drawing/2014/main" id="{7A4905D1-62D4-4B22-BE81-99F10093479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4" name="AutoShape 40" descr="Currently available antiretroviral drugs | Download Table">
          <a:extLst>
            <a:ext uri="{FF2B5EF4-FFF2-40B4-BE49-F238E27FC236}">
              <a16:creationId xmlns:a16="http://schemas.microsoft.com/office/drawing/2014/main" id="{586F6267-61C7-4250-B98D-A1CDAFFF070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5" name="AutoShape 40" descr="Currently available antiretroviral drugs | Download Table">
          <a:extLst>
            <a:ext uri="{FF2B5EF4-FFF2-40B4-BE49-F238E27FC236}">
              <a16:creationId xmlns:a16="http://schemas.microsoft.com/office/drawing/2014/main" id="{3BC22BB2-70B2-4C0F-9575-2E3A7C22AE4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6" name="AutoShape 40" descr="Currently available antiretroviral drugs | Download Table">
          <a:extLst>
            <a:ext uri="{FF2B5EF4-FFF2-40B4-BE49-F238E27FC236}">
              <a16:creationId xmlns:a16="http://schemas.microsoft.com/office/drawing/2014/main" id="{314AB376-B510-4D8E-BAD0-5041C1F0D20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7" name="AutoShape 40" descr="Currently available antiretroviral drugs | Download Table">
          <a:extLst>
            <a:ext uri="{FF2B5EF4-FFF2-40B4-BE49-F238E27FC236}">
              <a16:creationId xmlns:a16="http://schemas.microsoft.com/office/drawing/2014/main" id="{E13A439A-0573-492F-98AC-D820CC66BD1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8" name="AutoShape 40" descr="Currently available antiretroviral drugs | Download Table">
          <a:extLst>
            <a:ext uri="{FF2B5EF4-FFF2-40B4-BE49-F238E27FC236}">
              <a16:creationId xmlns:a16="http://schemas.microsoft.com/office/drawing/2014/main" id="{C2D18B44-B22C-40B7-8274-A6B08C0A0DB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9" name="AutoShape 40" descr="Currently available antiretroviral drugs | Download Table">
          <a:extLst>
            <a:ext uri="{FF2B5EF4-FFF2-40B4-BE49-F238E27FC236}">
              <a16:creationId xmlns:a16="http://schemas.microsoft.com/office/drawing/2014/main" id="{2CB96BF9-E6CB-4253-818C-0E8A696CC3D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0" name="AutoShape 40" descr="Currently available antiretroviral drugs | Download Table">
          <a:extLst>
            <a:ext uri="{FF2B5EF4-FFF2-40B4-BE49-F238E27FC236}">
              <a16:creationId xmlns:a16="http://schemas.microsoft.com/office/drawing/2014/main" id="{CCF411F0-D889-45D9-A6B4-53429EB38B0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1" name="AutoShape 40" descr="Currently available antiretroviral drugs | Download Table">
          <a:extLst>
            <a:ext uri="{FF2B5EF4-FFF2-40B4-BE49-F238E27FC236}">
              <a16:creationId xmlns:a16="http://schemas.microsoft.com/office/drawing/2014/main" id="{5F8DD88D-13F6-4361-A97C-CE8C07B9AAD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2" name="AutoShape 40" descr="Currently available antiretroviral drugs | Download Table">
          <a:extLst>
            <a:ext uri="{FF2B5EF4-FFF2-40B4-BE49-F238E27FC236}">
              <a16:creationId xmlns:a16="http://schemas.microsoft.com/office/drawing/2014/main" id="{F06C204C-B6DA-47BC-89B0-C6F122F6F15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3" name="AutoShape 40" descr="Currently available antiretroviral drugs | Download Table">
          <a:extLst>
            <a:ext uri="{FF2B5EF4-FFF2-40B4-BE49-F238E27FC236}">
              <a16:creationId xmlns:a16="http://schemas.microsoft.com/office/drawing/2014/main" id="{618BF063-53D3-458D-9A61-3CAF0452106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4" name="AutoShape 40" descr="Currently available antiretroviral drugs | Download Table">
          <a:extLst>
            <a:ext uri="{FF2B5EF4-FFF2-40B4-BE49-F238E27FC236}">
              <a16:creationId xmlns:a16="http://schemas.microsoft.com/office/drawing/2014/main" id="{8A2C9386-1286-4A49-8DD4-E2D6499CF34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5" name="AutoShape 40" descr="Currently available antiretroviral drugs | Download Table">
          <a:extLst>
            <a:ext uri="{FF2B5EF4-FFF2-40B4-BE49-F238E27FC236}">
              <a16:creationId xmlns:a16="http://schemas.microsoft.com/office/drawing/2014/main" id="{E7CE521F-2260-461C-A867-6173EFEBF1A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6" name="AutoShape 40" descr="Currently available antiretroviral drugs | Download Table">
          <a:extLst>
            <a:ext uri="{FF2B5EF4-FFF2-40B4-BE49-F238E27FC236}">
              <a16:creationId xmlns:a16="http://schemas.microsoft.com/office/drawing/2014/main" id="{62BF6BC8-37F5-4DBD-9581-7B609EC223A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7" name="AutoShape 40" descr="Currently available antiretroviral drugs | Download Table">
          <a:extLst>
            <a:ext uri="{FF2B5EF4-FFF2-40B4-BE49-F238E27FC236}">
              <a16:creationId xmlns:a16="http://schemas.microsoft.com/office/drawing/2014/main" id="{DE22F8C9-37E6-4567-AAF9-4950FC9C108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8" name="AutoShape 40" descr="Currently available antiretroviral drugs | Download Table">
          <a:extLst>
            <a:ext uri="{FF2B5EF4-FFF2-40B4-BE49-F238E27FC236}">
              <a16:creationId xmlns:a16="http://schemas.microsoft.com/office/drawing/2014/main" id="{37071A2B-07CC-4E78-A141-2B0601A6D2A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9" name="AutoShape 40" descr="Currently available antiretroviral drugs | Download Table">
          <a:extLst>
            <a:ext uri="{FF2B5EF4-FFF2-40B4-BE49-F238E27FC236}">
              <a16:creationId xmlns:a16="http://schemas.microsoft.com/office/drawing/2014/main" id="{5DA2E0EE-E372-46A3-B627-5F50D333F57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0" name="AutoShape 40" descr="Currently available antiretroviral drugs | Download Table">
          <a:extLst>
            <a:ext uri="{FF2B5EF4-FFF2-40B4-BE49-F238E27FC236}">
              <a16:creationId xmlns:a16="http://schemas.microsoft.com/office/drawing/2014/main" id="{4FD2A8D0-9190-4DC6-9EC3-DD0D8E269B1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1" name="AutoShape 40" descr="Currently available antiretroviral drugs | Download Table">
          <a:extLst>
            <a:ext uri="{FF2B5EF4-FFF2-40B4-BE49-F238E27FC236}">
              <a16:creationId xmlns:a16="http://schemas.microsoft.com/office/drawing/2014/main" id="{80B321A0-3CC0-4FE5-A552-61306F3A193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2" name="AutoShape 40" descr="Currently available antiretroviral drugs | Download Table">
          <a:extLst>
            <a:ext uri="{FF2B5EF4-FFF2-40B4-BE49-F238E27FC236}">
              <a16:creationId xmlns:a16="http://schemas.microsoft.com/office/drawing/2014/main" id="{60BC4E32-B2A2-48FD-99AB-C0C8169C352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3" name="AutoShape 40" descr="Currently available antiretroviral drugs | Download Table">
          <a:extLst>
            <a:ext uri="{FF2B5EF4-FFF2-40B4-BE49-F238E27FC236}">
              <a16:creationId xmlns:a16="http://schemas.microsoft.com/office/drawing/2014/main" id="{D61E26FF-D105-4E03-BD3D-F4119766270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4" name="AutoShape 40" descr="Currently available antiretroviral drugs | Download Table">
          <a:extLst>
            <a:ext uri="{FF2B5EF4-FFF2-40B4-BE49-F238E27FC236}">
              <a16:creationId xmlns:a16="http://schemas.microsoft.com/office/drawing/2014/main" id="{145D2F18-7269-4841-823E-B3DB25EE8C7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5" name="AutoShape 40" descr="Currently available antiretroviral drugs | Download Table">
          <a:extLst>
            <a:ext uri="{FF2B5EF4-FFF2-40B4-BE49-F238E27FC236}">
              <a16:creationId xmlns:a16="http://schemas.microsoft.com/office/drawing/2014/main" id="{76005E9F-B416-4D25-98D1-65A7AC55152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6" name="AutoShape 40" descr="Currently available antiretroviral drugs | Download Table">
          <a:extLst>
            <a:ext uri="{FF2B5EF4-FFF2-40B4-BE49-F238E27FC236}">
              <a16:creationId xmlns:a16="http://schemas.microsoft.com/office/drawing/2014/main" id="{20C30682-8072-419D-BFB3-5E6966BD2AE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7" name="AutoShape 40" descr="Currently available antiretroviral drugs | Download Table">
          <a:extLst>
            <a:ext uri="{FF2B5EF4-FFF2-40B4-BE49-F238E27FC236}">
              <a16:creationId xmlns:a16="http://schemas.microsoft.com/office/drawing/2014/main" id="{760E5A09-0562-455F-800B-1CABB8B3733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8" name="AutoShape 40" descr="Currently available antiretroviral drugs | Download Table">
          <a:extLst>
            <a:ext uri="{FF2B5EF4-FFF2-40B4-BE49-F238E27FC236}">
              <a16:creationId xmlns:a16="http://schemas.microsoft.com/office/drawing/2014/main" id="{705B12FA-7601-45B2-AD9D-46C6CD198B8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9" name="AutoShape 40" descr="Currently available antiretroviral drugs | Download Table">
          <a:extLst>
            <a:ext uri="{FF2B5EF4-FFF2-40B4-BE49-F238E27FC236}">
              <a16:creationId xmlns:a16="http://schemas.microsoft.com/office/drawing/2014/main" id="{0D5BBA6C-5C90-4B1E-8FF3-B085AA01619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0" name="AutoShape 40" descr="Currently available antiretroviral drugs | Download Table">
          <a:extLst>
            <a:ext uri="{FF2B5EF4-FFF2-40B4-BE49-F238E27FC236}">
              <a16:creationId xmlns:a16="http://schemas.microsoft.com/office/drawing/2014/main" id="{17232313-0EE3-43CE-92D8-E742E13F23E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1" name="AutoShape 40" descr="Currently available antiretroviral drugs | Download Table">
          <a:extLst>
            <a:ext uri="{FF2B5EF4-FFF2-40B4-BE49-F238E27FC236}">
              <a16:creationId xmlns:a16="http://schemas.microsoft.com/office/drawing/2014/main" id="{7977AB60-3FEB-4296-ADB1-4BB835DE78E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2" name="AutoShape 40" descr="Currently available antiretroviral drugs | Download Table">
          <a:extLst>
            <a:ext uri="{FF2B5EF4-FFF2-40B4-BE49-F238E27FC236}">
              <a16:creationId xmlns:a16="http://schemas.microsoft.com/office/drawing/2014/main" id="{E137537C-B22A-4014-8E88-997A1CEC175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3" name="AutoShape 40" descr="Currently available antiretroviral drugs | Download Table">
          <a:extLst>
            <a:ext uri="{FF2B5EF4-FFF2-40B4-BE49-F238E27FC236}">
              <a16:creationId xmlns:a16="http://schemas.microsoft.com/office/drawing/2014/main" id="{8AA1DE71-22BC-4A69-8D90-3BC465B8A21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4" name="AutoShape 40" descr="Currently available antiretroviral drugs | Download Table">
          <a:extLst>
            <a:ext uri="{FF2B5EF4-FFF2-40B4-BE49-F238E27FC236}">
              <a16:creationId xmlns:a16="http://schemas.microsoft.com/office/drawing/2014/main" id="{F8B338B3-8282-4E61-BEDC-342784F5033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5" name="AutoShape 40" descr="Currently available antiretroviral drugs | Download Table">
          <a:extLst>
            <a:ext uri="{FF2B5EF4-FFF2-40B4-BE49-F238E27FC236}">
              <a16:creationId xmlns:a16="http://schemas.microsoft.com/office/drawing/2014/main" id="{517C1A4B-B1BA-4332-AB23-C136D065639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6" name="AutoShape 40" descr="Currently available antiretroviral drugs | Download Table">
          <a:extLst>
            <a:ext uri="{FF2B5EF4-FFF2-40B4-BE49-F238E27FC236}">
              <a16:creationId xmlns:a16="http://schemas.microsoft.com/office/drawing/2014/main" id="{BCE69F53-4152-4A6F-9DA8-32940CFA15C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7" name="AutoShape 40" descr="Currently available antiretroviral drugs | Download Table">
          <a:extLst>
            <a:ext uri="{FF2B5EF4-FFF2-40B4-BE49-F238E27FC236}">
              <a16:creationId xmlns:a16="http://schemas.microsoft.com/office/drawing/2014/main" id="{71102DD5-D9E1-41BC-A2B2-DDFCE78A468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8" name="AutoShape 40" descr="Currently available antiretroviral drugs | Download Table">
          <a:extLst>
            <a:ext uri="{FF2B5EF4-FFF2-40B4-BE49-F238E27FC236}">
              <a16:creationId xmlns:a16="http://schemas.microsoft.com/office/drawing/2014/main" id="{BD5A3787-596B-4E4D-8BB1-EEB790BF2B7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9" name="AutoShape 40" descr="Currently available antiretroviral drugs | Download Table">
          <a:extLst>
            <a:ext uri="{FF2B5EF4-FFF2-40B4-BE49-F238E27FC236}">
              <a16:creationId xmlns:a16="http://schemas.microsoft.com/office/drawing/2014/main" id="{093B0CC9-3CD2-4403-A4F1-3231441B68C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0" name="AutoShape 40" descr="Currently available antiretroviral drugs | Download Table">
          <a:extLst>
            <a:ext uri="{FF2B5EF4-FFF2-40B4-BE49-F238E27FC236}">
              <a16:creationId xmlns:a16="http://schemas.microsoft.com/office/drawing/2014/main" id="{397B9ABD-A791-4D53-A1C1-4240B101616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1" name="AutoShape 40" descr="Currently available antiretroviral drugs | Download Table">
          <a:extLst>
            <a:ext uri="{FF2B5EF4-FFF2-40B4-BE49-F238E27FC236}">
              <a16:creationId xmlns:a16="http://schemas.microsoft.com/office/drawing/2014/main" id="{8E8CE542-EC1C-4DE6-9BD6-7D3B57F1822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2" name="AutoShape 40" descr="Currently available antiretroviral drugs | Download Table">
          <a:extLst>
            <a:ext uri="{FF2B5EF4-FFF2-40B4-BE49-F238E27FC236}">
              <a16:creationId xmlns:a16="http://schemas.microsoft.com/office/drawing/2014/main" id="{C215A514-87AF-46B3-BD17-C9C2D405D40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3" name="AutoShape 40" descr="Currently available antiretroviral drugs | Download Table">
          <a:extLst>
            <a:ext uri="{FF2B5EF4-FFF2-40B4-BE49-F238E27FC236}">
              <a16:creationId xmlns:a16="http://schemas.microsoft.com/office/drawing/2014/main" id="{052E3965-F24F-4A0B-B5FA-11D9D713B41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4" name="AutoShape 40" descr="Currently available antiretroviral drugs | Download Table">
          <a:extLst>
            <a:ext uri="{FF2B5EF4-FFF2-40B4-BE49-F238E27FC236}">
              <a16:creationId xmlns:a16="http://schemas.microsoft.com/office/drawing/2014/main" id="{F576EE00-D1E4-4656-9221-CE0ED0E2FDA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5" name="AutoShape 40" descr="Currently available antiretroviral drugs | Download Table">
          <a:extLst>
            <a:ext uri="{FF2B5EF4-FFF2-40B4-BE49-F238E27FC236}">
              <a16:creationId xmlns:a16="http://schemas.microsoft.com/office/drawing/2014/main" id="{C900E934-FD69-4887-9651-F723A4F65F4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6" name="AutoShape 40" descr="Currently available antiretroviral drugs | Download Table">
          <a:extLst>
            <a:ext uri="{FF2B5EF4-FFF2-40B4-BE49-F238E27FC236}">
              <a16:creationId xmlns:a16="http://schemas.microsoft.com/office/drawing/2014/main" id="{B09314B9-8B3A-4197-9DCC-AE70DD7C02F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7" name="AutoShape 40" descr="Currently available antiretroviral drugs | Download Table">
          <a:extLst>
            <a:ext uri="{FF2B5EF4-FFF2-40B4-BE49-F238E27FC236}">
              <a16:creationId xmlns:a16="http://schemas.microsoft.com/office/drawing/2014/main" id="{9C8741C0-8982-43AD-B5AA-C5D9DFD9E44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8" name="AutoShape 40" descr="Currently available antiretroviral drugs | Download Table">
          <a:extLst>
            <a:ext uri="{FF2B5EF4-FFF2-40B4-BE49-F238E27FC236}">
              <a16:creationId xmlns:a16="http://schemas.microsoft.com/office/drawing/2014/main" id="{6E8D0218-BD6A-4D4B-951D-2B59D926683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9" name="AutoShape 40" descr="Currently available antiretroviral drugs | Download Table">
          <a:extLst>
            <a:ext uri="{FF2B5EF4-FFF2-40B4-BE49-F238E27FC236}">
              <a16:creationId xmlns:a16="http://schemas.microsoft.com/office/drawing/2014/main" id="{EEC0C087-38BC-4B8D-B153-79C07CC94C6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0" name="AutoShape 40" descr="Currently available antiretroviral drugs | Download Table">
          <a:extLst>
            <a:ext uri="{FF2B5EF4-FFF2-40B4-BE49-F238E27FC236}">
              <a16:creationId xmlns:a16="http://schemas.microsoft.com/office/drawing/2014/main" id="{F30D7D26-759E-41C1-9776-B6684E396AB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1" name="AutoShape 40" descr="Currently available antiretroviral drugs | Download Table">
          <a:extLst>
            <a:ext uri="{FF2B5EF4-FFF2-40B4-BE49-F238E27FC236}">
              <a16:creationId xmlns:a16="http://schemas.microsoft.com/office/drawing/2014/main" id="{503BB19D-68CC-4F1F-8448-520D560B70A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2" name="AutoShape 40" descr="Currently available antiretroviral drugs | Download Table">
          <a:extLst>
            <a:ext uri="{FF2B5EF4-FFF2-40B4-BE49-F238E27FC236}">
              <a16:creationId xmlns:a16="http://schemas.microsoft.com/office/drawing/2014/main" id="{C5519E79-B9A8-4060-91A4-8739213E5F7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3" name="AutoShape 40" descr="Currently available antiretroviral drugs | Download Table">
          <a:extLst>
            <a:ext uri="{FF2B5EF4-FFF2-40B4-BE49-F238E27FC236}">
              <a16:creationId xmlns:a16="http://schemas.microsoft.com/office/drawing/2014/main" id="{8B6D3FDB-F4AF-447C-BD5A-E4D1CB2C7E7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4" name="AutoShape 40" descr="Currently available antiretroviral drugs | Download Table">
          <a:extLst>
            <a:ext uri="{FF2B5EF4-FFF2-40B4-BE49-F238E27FC236}">
              <a16:creationId xmlns:a16="http://schemas.microsoft.com/office/drawing/2014/main" id="{392DB0CD-179B-4CA7-9D3F-A3C8CACFC93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5" name="AutoShape 40" descr="Currently available antiretroviral drugs | Download Table">
          <a:extLst>
            <a:ext uri="{FF2B5EF4-FFF2-40B4-BE49-F238E27FC236}">
              <a16:creationId xmlns:a16="http://schemas.microsoft.com/office/drawing/2014/main" id="{D17939AF-3636-44FC-BDA8-E486AAB464A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6" name="AutoShape 40" descr="Currently available antiretroviral drugs | Download Table">
          <a:extLst>
            <a:ext uri="{FF2B5EF4-FFF2-40B4-BE49-F238E27FC236}">
              <a16:creationId xmlns:a16="http://schemas.microsoft.com/office/drawing/2014/main" id="{986FF3C6-0CF2-4985-A37C-5FBB2641C8A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7" name="AutoShape 40" descr="Currently available antiretroviral drugs | Download Table">
          <a:extLst>
            <a:ext uri="{FF2B5EF4-FFF2-40B4-BE49-F238E27FC236}">
              <a16:creationId xmlns:a16="http://schemas.microsoft.com/office/drawing/2014/main" id="{9B921D61-7766-4F6C-AF7D-120A23DE405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8" name="AutoShape 40" descr="Currently available antiretroviral drugs | Download Table">
          <a:extLst>
            <a:ext uri="{FF2B5EF4-FFF2-40B4-BE49-F238E27FC236}">
              <a16:creationId xmlns:a16="http://schemas.microsoft.com/office/drawing/2014/main" id="{99C5FEC9-B73B-475C-9F70-1156F17F7B1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9" name="AutoShape 40" descr="Currently available antiretroviral drugs | Download Table">
          <a:extLst>
            <a:ext uri="{FF2B5EF4-FFF2-40B4-BE49-F238E27FC236}">
              <a16:creationId xmlns:a16="http://schemas.microsoft.com/office/drawing/2014/main" id="{6A318621-91DB-49A3-830F-E3E02C7359F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0" name="AutoShape 40" descr="Currently available antiretroviral drugs | Download Table">
          <a:extLst>
            <a:ext uri="{FF2B5EF4-FFF2-40B4-BE49-F238E27FC236}">
              <a16:creationId xmlns:a16="http://schemas.microsoft.com/office/drawing/2014/main" id="{0C9EC9A8-2154-400F-92BC-76C07391E31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1" name="AutoShape 40" descr="Currently available antiretroviral drugs | Download Table">
          <a:extLst>
            <a:ext uri="{FF2B5EF4-FFF2-40B4-BE49-F238E27FC236}">
              <a16:creationId xmlns:a16="http://schemas.microsoft.com/office/drawing/2014/main" id="{3D5569CF-F939-4679-83FE-F83C391FD3A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2" name="AutoShape 40" descr="Currently available antiretroviral drugs | Download Table">
          <a:extLst>
            <a:ext uri="{FF2B5EF4-FFF2-40B4-BE49-F238E27FC236}">
              <a16:creationId xmlns:a16="http://schemas.microsoft.com/office/drawing/2014/main" id="{18EF5AF3-DEC3-44AA-AD2B-B4E211C070A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3" name="AutoShape 40" descr="Currently available antiretroviral drugs | Download Table">
          <a:extLst>
            <a:ext uri="{FF2B5EF4-FFF2-40B4-BE49-F238E27FC236}">
              <a16:creationId xmlns:a16="http://schemas.microsoft.com/office/drawing/2014/main" id="{7C52A3C4-FEB9-44D4-9E7F-4A39F04ACF0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4" name="AutoShape 40" descr="Currently available antiretroviral drugs | Download Table">
          <a:extLst>
            <a:ext uri="{FF2B5EF4-FFF2-40B4-BE49-F238E27FC236}">
              <a16:creationId xmlns:a16="http://schemas.microsoft.com/office/drawing/2014/main" id="{174ECC48-0314-4B41-ADDD-1C3676D666A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5" name="AutoShape 40" descr="Currently available antiretroviral drugs | Download Table">
          <a:extLst>
            <a:ext uri="{FF2B5EF4-FFF2-40B4-BE49-F238E27FC236}">
              <a16:creationId xmlns:a16="http://schemas.microsoft.com/office/drawing/2014/main" id="{C33A5377-C4EC-4786-AC1B-EE698B8F68B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6" name="AutoShape 40" descr="Currently available antiretroviral drugs | Download Table">
          <a:extLst>
            <a:ext uri="{FF2B5EF4-FFF2-40B4-BE49-F238E27FC236}">
              <a16:creationId xmlns:a16="http://schemas.microsoft.com/office/drawing/2014/main" id="{AECE2B9A-4528-4818-89E2-1A3A2C0B5B3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7" name="AutoShape 40" descr="Currently available antiretroviral drugs | Download Table">
          <a:extLst>
            <a:ext uri="{FF2B5EF4-FFF2-40B4-BE49-F238E27FC236}">
              <a16:creationId xmlns:a16="http://schemas.microsoft.com/office/drawing/2014/main" id="{457F98A1-1419-467F-A29F-6222C5196F2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8" name="AutoShape 40" descr="Currently available antiretroviral drugs | Download Table">
          <a:extLst>
            <a:ext uri="{FF2B5EF4-FFF2-40B4-BE49-F238E27FC236}">
              <a16:creationId xmlns:a16="http://schemas.microsoft.com/office/drawing/2014/main" id="{1DAA538D-C8B6-4939-A690-52B17823145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9" name="AutoShape 40" descr="Currently available antiretroviral drugs | Download Table">
          <a:extLst>
            <a:ext uri="{FF2B5EF4-FFF2-40B4-BE49-F238E27FC236}">
              <a16:creationId xmlns:a16="http://schemas.microsoft.com/office/drawing/2014/main" id="{6F402256-7C4A-4B5E-AB87-26C3B6D009A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0" name="AutoShape 40" descr="Currently available antiretroviral drugs | Download Table">
          <a:extLst>
            <a:ext uri="{FF2B5EF4-FFF2-40B4-BE49-F238E27FC236}">
              <a16:creationId xmlns:a16="http://schemas.microsoft.com/office/drawing/2014/main" id="{EC2E27F2-A86E-41B6-809D-66AA154AA4E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1" name="AutoShape 40" descr="Currently available antiretroviral drugs | Download Table">
          <a:extLst>
            <a:ext uri="{FF2B5EF4-FFF2-40B4-BE49-F238E27FC236}">
              <a16:creationId xmlns:a16="http://schemas.microsoft.com/office/drawing/2014/main" id="{9508AE5C-4514-4DF0-8732-3EB8B8F63C5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2" name="AutoShape 40" descr="Currently available antiretroviral drugs | Download Table">
          <a:extLst>
            <a:ext uri="{FF2B5EF4-FFF2-40B4-BE49-F238E27FC236}">
              <a16:creationId xmlns:a16="http://schemas.microsoft.com/office/drawing/2014/main" id="{E6EC4F8F-E645-417E-AA83-61473DBA57C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3" name="AutoShape 40" descr="Currently available antiretroviral drugs | Download Table">
          <a:extLst>
            <a:ext uri="{FF2B5EF4-FFF2-40B4-BE49-F238E27FC236}">
              <a16:creationId xmlns:a16="http://schemas.microsoft.com/office/drawing/2014/main" id="{911AD342-DD10-492C-92F5-4D144B68FEB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4" name="AutoShape 40" descr="Currently available antiretroviral drugs | Download Table">
          <a:extLst>
            <a:ext uri="{FF2B5EF4-FFF2-40B4-BE49-F238E27FC236}">
              <a16:creationId xmlns:a16="http://schemas.microsoft.com/office/drawing/2014/main" id="{EF7C798D-019F-419F-8EE6-6454936FBD7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5" name="AutoShape 40" descr="Currently available antiretroviral drugs | Download Table">
          <a:extLst>
            <a:ext uri="{FF2B5EF4-FFF2-40B4-BE49-F238E27FC236}">
              <a16:creationId xmlns:a16="http://schemas.microsoft.com/office/drawing/2014/main" id="{6360F784-49CE-4F1D-A308-5E3C28E526A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6" name="AutoShape 40" descr="Currently available antiretroviral drugs | Download Table">
          <a:extLst>
            <a:ext uri="{FF2B5EF4-FFF2-40B4-BE49-F238E27FC236}">
              <a16:creationId xmlns:a16="http://schemas.microsoft.com/office/drawing/2014/main" id="{D623266F-B6F8-4F46-9D49-39A8BF86009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7" name="AutoShape 40" descr="Currently available antiretroviral drugs | Download Table">
          <a:extLst>
            <a:ext uri="{FF2B5EF4-FFF2-40B4-BE49-F238E27FC236}">
              <a16:creationId xmlns:a16="http://schemas.microsoft.com/office/drawing/2014/main" id="{64FB7CE0-31DD-4AE0-ABC2-2C56554E21A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8" name="AutoShape 40" descr="Currently available antiretroviral drugs | Download Table">
          <a:extLst>
            <a:ext uri="{FF2B5EF4-FFF2-40B4-BE49-F238E27FC236}">
              <a16:creationId xmlns:a16="http://schemas.microsoft.com/office/drawing/2014/main" id="{6369CF60-240A-437C-A6E4-AF6391AFD85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9" name="AutoShape 40" descr="Currently available antiretroviral drugs | Download Table">
          <a:extLst>
            <a:ext uri="{FF2B5EF4-FFF2-40B4-BE49-F238E27FC236}">
              <a16:creationId xmlns:a16="http://schemas.microsoft.com/office/drawing/2014/main" id="{5B7CB19B-A1BD-4AD8-B0B0-5CADA4F63A8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0" name="AutoShape 40" descr="Currently available antiretroviral drugs | Download Table">
          <a:extLst>
            <a:ext uri="{FF2B5EF4-FFF2-40B4-BE49-F238E27FC236}">
              <a16:creationId xmlns:a16="http://schemas.microsoft.com/office/drawing/2014/main" id="{9C2BA8F0-9BB3-4ED6-B6BB-099D7A91A13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1" name="AutoShape 40" descr="Currently available antiretroviral drugs | Download Table">
          <a:extLst>
            <a:ext uri="{FF2B5EF4-FFF2-40B4-BE49-F238E27FC236}">
              <a16:creationId xmlns:a16="http://schemas.microsoft.com/office/drawing/2014/main" id="{4289E6F3-2F7B-4D1C-88A8-8C678A9AFD3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2" name="AutoShape 40" descr="Currently available antiretroviral drugs | Download Table">
          <a:extLst>
            <a:ext uri="{FF2B5EF4-FFF2-40B4-BE49-F238E27FC236}">
              <a16:creationId xmlns:a16="http://schemas.microsoft.com/office/drawing/2014/main" id="{B21090C2-879A-4A75-B386-A9543A3F556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3" name="AutoShape 40" descr="Currently available antiretroviral drugs | Download Table">
          <a:extLst>
            <a:ext uri="{FF2B5EF4-FFF2-40B4-BE49-F238E27FC236}">
              <a16:creationId xmlns:a16="http://schemas.microsoft.com/office/drawing/2014/main" id="{0B7232E6-A536-4532-80A8-F23B35AD08C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4" name="AutoShape 40" descr="Currently available antiretroviral drugs | Download Table">
          <a:extLst>
            <a:ext uri="{FF2B5EF4-FFF2-40B4-BE49-F238E27FC236}">
              <a16:creationId xmlns:a16="http://schemas.microsoft.com/office/drawing/2014/main" id="{B9AF30F1-F76E-44B8-B183-C81D64E45DC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5" name="AutoShape 40" descr="Currently available antiretroviral drugs | Download Table">
          <a:extLst>
            <a:ext uri="{FF2B5EF4-FFF2-40B4-BE49-F238E27FC236}">
              <a16:creationId xmlns:a16="http://schemas.microsoft.com/office/drawing/2014/main" id="{ADE7CBC9-C7EE-4B81-8A8C-566AF690AC9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6" name="AutoShape 40" descr="Currently available antiretroviral drugs | Download Table">
          <a:extLst>
            <a:ext uri="{FF2B5EF4-FFF2-40B4-BE49-F238E27FC236}">
              <a16:creationId xmlns:a16="http://schemas.microsoft.com/office/drawing/2014/main" id="{77D3719F-F6F9-460C-92C2-3FC2E4D8277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7" name="AutoShape 40" descr="Currently available antiretroviral drugs | Download Table">
          <a:extLst>
            <a:ext uri="{FF2B5EF4-FFF2-40B4-BE49-F238E27FC236}">
              <a16:creationId xmlns:a16="http://schemas.microsoft.com/office/drawing/2014/main" id="{451D84F9-C28D-4874-A975-3125791239B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8" name="AutoShape 40" descr="Currently available antiretroviral drugs | Download Table">
          <a:extLst>
            <a:ext uri="{FF2B5EF4-FFF2-40B4-BE49-F238E27FC236}">
              <a16:creationId xmlns:a16="http://schemas.microsoft.com/office/drawing/2014/main" id="{92E47DDB-7A26-4180-BD6F-7A01A2C76D8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9" name="AutoShape 40" descr="Currently available antiretroviral drugs | Download Table">
          <a:extLst>
            <a:ext uri="{FF2B5EF4-FFF2-40B4-BE49-F238E27FC236}">
              <a16:creationId xmlns:a16="http://schemas.microsoft.com/office/drawing/2014/main" id="{91A6800B-6F50-4ECF-8932-556421D57B8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0" name="AutoShape 40" descr="Currently available antiretroviral drugs | Download Table">
          <a:extLst>
            <a:ext uri="{FF2B5EF4-FFF2-40B4-BE49-F238E27FC236}">
              <a16:creationId xmlns:a16="http://schemas.microsoft.com/office/drawing/2014/main" id="{A2053125-8667-41B0-8CA5-B3C2E2F4D80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1" name="AutoShape 40" descr="Currently available antiretroviral drugs | Download Table">
          <a:extLst>
            <a:ext uri="{FF2B5EF4-FFF2-40B4-BE49-F238E27FC236}">
              <a16:creationId xmlns:a16="http://schemas.microsoft.com/office/drawing/2014/main" id="{3E9D225A-04CD-439A-BEA7-C1508AC33EA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2" name="AutoShape 40" descr="Currently available antiretroviral drugs | Download Table">
          <a:extLst>
            <a:ext uri="{FF2B5EF4-FFF2-40B4-BE49-F238E27FC236}">
              <a16:creationId xmlns:a16="http://schemas.microsoft.com/office/drawing/2014/main" id="{6216F483-56C2-4907-A7D3-22E8004F62D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3578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3" name="AutoShape 40" descr="Currently available antiretroviral drugs | Download Table">
          <a:extLst>
            <a:ext uri="{FF2B5EF4-FFF2-40B4-BE49-F238E27FC236}">
              <a16:creationId xmlns:a16="http://schemas.microsoft.com/office/drawing/2014/main" id="{39B91387-6574-4659-B9AD-4DA2AA126B6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4" name="AutoShape 40" descr="Currently available antiretroviral drugs | Download Table">
          <a:extLst>
            <a:ext uri="{FF2B5EF4-FFF2-40B4-BE49-F238E27FC236}">
              <a16:creationId xmlns:a16="http://schemas.microsoft.com/office/drawing/2014/main" id="{D81FC5DF-0FC1-4F54-8FF8-6BCA24C7BA7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5" name="AutoShape 40" descr="Currently available antiretroviral drugs | Download Table">
          <a:extLst>
            <a:ext uri="{FF2B5EF4-FFF2-40B4-BE49-F238E27FC236}">
              <a16:creationId xmlns:a16="http://schemas.microsoft.com/office/drawing/2014/main" id="{88401C2E-D26E-4D0D-84BC-47B6F6B66CA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6" name="AutoShape 40" descr="Currently available antiretroviral drugs | Download Table">
          <a:extLst>
            <a:ext uri="{FF2B5EF4-FFF2-40B4-BE49-F238E27FC236}">
              <a16:creationId xmlns:a16="http://schemas.microsoft.com/office/drawing/2014/main" id="{FED62570-045F-42EF-A0EA-8AE9FCC43DE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7" name="AutoShape 40" descr="Currently available antiretroviral drugs | Download Table">
          <a:extLst>
            <a:ext uri="{FF2B5EF4-FFF2-40B4-BE49-F238E27FC236}">
              <a16:creationId xmlns:a16="http://schemas.microsoft.com/office/drawing/2014/main" id="{FE2A4105-A568-4E3A-99E1-9207F72C799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15371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8" name="AutoShape 40" descr="Currently available antiretroviral drugs | Download Table">
          <a:extLst>
            <a:ext uri="{FF2B5EF4-FFF2-40B4-BE49-F238E27FC236}">
              <a16:creationId xmlns:a16="http://schemas.microsoft.com/office/drawing/2014/main" id="{57C48529-A5E4-4319-A2E8-9250BE9BE1A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282476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9" name="AutoShape 40" descr="Currently available antiretroviral drugs | Download Table">
          <a:extLst>
            <a:ext uri="{FF2B5EF4-FFF2-40B4-BE49-F238E27FC236}">
              <a16:creationId xmlns:a16="http://schemas.microsoft.com/office/drawing/2014/main" id="{C40C014A-0634-4802-A226-7C88DE9331D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282476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0" name="AutoShape 40" descr="Currently available antiretroviral drugs | Download Table">
          <a:extLst>
            <a:ext uri="{FF2B5EF4-FFF2-40B4-BE49-F238E27FC236}">
              <a16:creationId xmlns:a16="http://schemas.microsoft.com/office/drawing/2014/main" id="{8D5AC617-B5EF-4D1A-A08A-5E5E66F7C2E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282476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13855</xdr:colOff>
      <xdr:row>2363</xdr:row>
      <xdr:rowOff>0</xdr:rowOff>
    </xdr:from>
    <xdr:ext cx="304800" cy="318408"/>
    <xdr:sp macro="" textlink="">
      <xdr:nvSpPr>
        <xdr:cNvPr id="291" name="AutoShape 40" descr="Currently available antiretroviral drugs | Download Table">
          <a:extLst>
            <a:ext uri="{FF2B5EF4-FFF2-40B4-BE49-F238E27FC236}">
              <a16:creationId xmlns:a16="http://schemas.microsoft.com/office/drawing/2014/main" id="{E5C34970-7F7C-42F4-B858-243877ADA56F}"/>
            </a:ext>
          </a:extLst>
        </xdr:cNvPr>
        <xdr:cNvSpPr>
          <a:spLocks noChangeAspect="1" noChangeArrowheads="1"/>
        </xdr:cNvSpPr>
      </xdr:nvSpPr>
      <xdr:spPr bwMode="auto">
        <a:xfrm>
          <a:off x="11956473" y="32954421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2" name="AutoShape 40" descr="Currently available antiretroviral drugs | Download Table">
          <a:extLst>
            <a:ext uri="{FF2B5EF4-FFF2-40B4-BE49-F238E27FC236}">
              <a16:creationId xmlns:a16="http://schemas.microsoft.com/office/drawing/2014/main" id="{6F07DEA8-6DFF-485C-8910-427BD879CC3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3" name="AutoShape 40" descr="Currently available antiretroviral drugs | Download Table">
          <a:extLst>
            <a:ext uri="{FF2B5EF4-FFF2-40B4-BE49-F238E27FC236}">
              <a16:creationId xmlns:a16="http://schemas.microsoft.com/office/drawing/2014/main" id="{95F7DC58-4891-488B-8C56-54BC4F889EA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4" name="AutoShape 40" descr="Currently available antiretroviral drugs | Download Table">
          <a:extLst>
            <a:ext uri="{FF2B5EF4-FFF2-40B4-BE49-F238E27FC236}">
              <a16:creationId xmlns:a16="http://schemas.microsoft.com/office/drawing/2014/main" id="{3250C710-DD2E-43A5-ACCE-1D0C2CA1343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5" name="AutoShape 40" descr="Currently available antiretroviral drugs | Download Table">
          <a:extLst>
            <a:ext uri="{FF2B5EF4-FFF2-40B4-BE49-F238E27FC236}">
              <a16:creationId xmlns:a16="http://schemas.microsoft.com/office/drawing/2014/main" id="{361C3780-87F2-4AD7-BD0C-BB227012503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6" name="AutoShape 40" descr="Currently available antiretroviral drugs | Download Table">
          <a:extLst>
            <a:ext uri="{FF2B5EF4-FFF2-40B4-BE49-F238E27FC236}">
              <a16:creationId xmlns:a16="http://schemas.microsoft.com/office/drawing/2014/main" id="{54F055AD-DD51-4DA6-B9C8-C2C258DDC85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7" name="AutoShape 40" descr="Currently available antiretroviral drugs | Download Table">
          <a:extLst>
            <a:ext uri="{FF2B5EF4-FFF2-40B4-BE49-F238E27FC236}">
              <a16:creationId xmlns:a16="http://schemas.microsoft.com/office/drawing/2014/main" id="{32B43E52-B3F7-44CB-B73B-94955107432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8" name="AutoShape 40" descr="Currently available antiretroviral drugs | Download Table">
          <a:extLst>
            <a:ext uri="{FF2B5EF4-FFF2-40B4-BE49-F238E27FC236}">
              <a16:creationId xmlns:a16="http://schemas.microsoft.com/office/drawing/2014/main" id="{80D9C44B-C543-4DCD-B432-101403B44F1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9" name="AutoShape 40" descr="Currently available antiretroviral drugs | Download Table">
          <a:extLst>
            <a:ext uri="{FF2B5EF4-FFF2-40B4-BE49-F238E27FC236}">
              <a16:creationId xmlns:a16="http://schemas.microsoft.com/office/drawing/2014/main" id="{FBBF6C7B-39D7-408D-B05B-6053F44F5BE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0" name="AutoShape 40" descr="Currently available antiretroviral drugs | Download Table">
          <a:extLst>
            <a:ext uri="{FF2B5EF4-FFF2-40B4-BE49-F238E27FC236}">
              <a16:creationId xmlns:a16="http://schemas.microsoft.com/office/drawing/2014/main" id="{0626BCC6-0504-464C-A42E-5780F9BDEB8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1" name="AutoShape 40" descr="Currently available antiretroviral drugs | Download Table">
          <a:extLst>
            <a:ext uri="{FF2B5EF4-FFF2-40B4-BE49-F238E27FC236}">
              <a16:creationId xmlns:a16="http://schemas.microsoft.com/office/drawing/2014/main" id="{56828D43-7237-42E0-BC62-459D2D90657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2" name="AutoShape 40" descr="Currently available antiretroviral drugs | Download Table">
          <a:extLst>
            <a:ext uri="{FF2B5EF4-FFF2-40B4-BE49-F238E27FC236}">
              <a16:creationId xmlns:a16="http://schemas.microsoft.com/office/drawing/2014/main" id="{CE5E9210-642A-445C-8A35-A14C4087CDD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3" name="AutoShape 40" descr="Currently available antiretroviral drugs | Download Table">
          <a:extLst>
            <a:ext uri="{FF2B5EF4-FFF2-40B4-BE49-F238E27FC236}">
              <a16:creationId xmlns:a16="http://schemas.microsoft.com/office/drawing/2014/main" id="{F8BA78C8-AC56-4754-A659-B078B481D4A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4" name="AutoShape 40" descr="Currently available antiretroviral drugs | Download Table">
          <a:extLst>
            <a:ext uri="{FF2B5EF4-FFF2-40B4-BE49-F238E27FC236}">
              <a16:creationId xmlns:a16="http://schemas.microsoft.com/office/drawing/2014/main" id="{392200CF-D90E-4EE1-BE17-D5FD00E9032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5" name="AutoShape 40" descr="Currently available antiretroviral drugs | Download Table">
          <a:extLst>
            <a:ext uri="{FF2B5EF4-FFF2-40B4-BE49-F238E27FC236}">
              <a16:creationId xmlns:a16="http://schemas.microsoft.com/office/drawing/2014/main" id="{5D83F2BE-3F5C-4C7F-A69C-45D6C90FD44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6" name="AutoShape 40" descr="Currently available antiretroviral drugs | Download Table">
          <a:extLst>
            <a:ext uri="{FF2B5EF4-FFF2-40B4-BE49-F238E27FC236}">
              <a16:creationId xmlns:a16="http://schemas.microsoft.com/office/drawing/2014/main" id="{0FF6FAC5-EA3F-4917-B9C7-06282FC393A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7" name="AutoShape 40" descr="Currently available antiretroviral drugs | Download Table">
          <a:extLst>
            <a:ext uri="{FF2B5EF4-FFF2-40B4-BE49-F238E27FC236}">
              <a16:creationId xmlns:a16="http://schemas.microsoft.com/office/drawing/2014/main" id="{4AD17673-28F4-4FC5-A3DA-2CED84F1855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8" name="AutoShape 40" descr="Currently available antiretroviral drugs | Download Table">
          <a:extLst>
            <a:ext uri="{FF2B5EF4-FFF2-40B4-BE49-F238E27FC236}">
              <a16:creationId xmlns:a16="http://schemas.microsoft.com/office/drawing/2014/main" id="{3BFFBC88-243D-4A63-A3E6-C118466AA5F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9" name="AutoShape 40" descr="Currently available antiretroviral drugs | Download Table">
          <a:extLst>
            <a:ext uri="{FF2B5EF4-FFF2-40B4-BE49-F238E27FC236}">
              <a16:creationId xmlns:a16="http://schemas.microsoft.com/office/drawing/2014/main" id="{FC53E429-2E9A-4714-95C0-A70CB2F05A9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0" name="AutoShape 40" descr="Currently available antiretroviral drugs | Download Table">
          <a:extLst>
            <a:ext uri="{FF2B5EF4-FFF2-40B4-BE49-F238E27FC236}">
              <a16:creationId xmlns:a16="http://schemas.microsoft.com/office/drawing/2014/main" id="{0AA62C78-93DF-41E1-82AF-8BBAC85E811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1" name="AutoShape 40" descr="Currently available antiretroviral drugs | Download Table">
          <a:extLst>
            <a:ext uri="{FF2B5EF4-FFF2-40B4-BE49-F238E27FC236}">
              <a16:creationId xmlns:a16="http://schemas.microsoft.com/office/drawing/2014/main" id="{4F417695-7152-47C1-BFAA-579BB7D18FB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2" name="AutoShape 40" descr="Currently available antiretroviral drugs | Download Table">
          <a:extLst>
            <a:ext uri="{FF2B5EF4-FFF2-40B4-BE49-F238E27FC236}">
              <a16:creationId xmlns:a16="http://schemas.microsoft.com/office/drawing/2014/main" id="{464F185B-4613-4AE5-BDDA-BF882E1591C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3" name="AutoShape 40" descr="Currently available antiretroviral drugs | Download Table">
          <a:extLst>
            <a:ext uri="{FF2B5EF4-FFF2-40B4-BE49-F238E27FC236}">
              <a16:creationId xmlns:a16="http://schemas.microsoft.com/office/drawing/2014/main" id="{67A272B2-265B-413B-B885-D6ADC5F1E65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4" name="AutoShape 40" descr="Currently available antiretroviral drugs | Download Table">
          <a:extLst>
            <a:ext uri="{FF2B5EF4-FFF2-40B4-BE49-F238E27FC236}">
              <a16:creationId xmlns:a16="http://schemas.microsoft.com/office/drawing/2014/main" id="{FF60F1F4-232D-42C9-953B-6E94DBABD7A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5" name="AutoShape 40" descr="Currently available antiretroviral drugs | Download Table">
          <a:extLst>
            <a:ext uri="{FF2B5EF4-FFF2-40B4-BE49-F238E27FC236}">
              <a16:creationId xmlns:a16="http://schemas.microsoft.com/office/drawing/2014/main" id="{E20B4D67-31A8-4AB8-8998-ABBEDFCA81E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6" name="AutoShape 40" descr="Currently available antiretroviral drugs | Download Table">
          <a:extLst>
            <a:ext uri="{FF2B5EF4-FFF2-40B4-BE49-F238E27FC236}">
              <a16:creationId xmlns:a16="http://schemas.microsoft.com/office/drawing/2014/main" id="{EA7EDC2D-B8EF-4EB1-BC1B-3F099B67DF0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7" name="AutoShape 40" descr="Currently available antiretroviral drugs | Download Table">
          <a:extLst>
            <a:ext uri="{FF2B5EF4-FFF2-40B4-BE49-F238E27FC236}">
              <a16:creationId xmlns:a16="http://schemas.microsoft.com/office/drawing/2014/main" id="{F374AA0C-F684-4D60-9020-3E0F080B75F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8" name="AutoShape 40" descr="Currently available antiretroviral drugs | Download Table">
          <a:extLst>
            <a:ext uri="{FF2B5EF4-FFF2-40B4-BE49-F238E27FC236}">
              <a16:creationId xmlns:a16="http://schemas.microsoft.com/office/drawing/2014/main" id="{3AE24337-7EA8-4BC4-9106-5C819BEA882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9" name="AutoShape 40" descr="Currently available antiretroviral drugs | Download Table">
          <a:extLst>
            <a:ext uri="{FF2B5EF4-FFF2-40B4-BE49-F238E27FC236}">
              <a16:creationId xmlns:a16="http://schemas.microsoft.com/office/drawing/2014/main" id="{FC4D249D-49B2-40B1-BBC3-90A62160D66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0" name="AutoShape 40" descr="Currently available antiretroviral drugs | Download Table">
          <a:extLst>
            <a:ext uri="{FF2B5EF4-FFF2-40B4-BE49-F238E27FC236}">
              <a16:creationId xmlns:a16="http://schemas.microsoft.com/office/drawing/2014/main" id="{BE7D15BD-EA8F-4AE4-80BE-27439FAD384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1" name="AutoShape 40" descr="Currently available antiretroviral drugs | Download Table">
          <a:extLst>
            <a:ext uri="{FF2B5EF4-FFF2-40B4-BE49-F238E27FC236}">
              <a16:creationId xmlns:a16="http://schemas.microsoft.com/office/drawing/2014/main" id="{FEB7164A-26F0-490B-9712-0E4C20DF2D0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2" name="AutoShape 40" descr="Currently available antiretroviral drugs | Download Table">
          <a:extLst>
            <a:ext uri="{FF2B5EF4-FFF2-40B4-BE49-F238E27FC236}">
              <a16:creationId xmlns:a16="http://schemas.microsoft.com/office/drawing/2014/main" id="{479A7E6C-A79F-49B1-B6F6-B50C2F2BFA0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3" name="AutoShape 40" descr="Currently available antiretroviral drugs | Download Table">
          <a:extLst>
            <a:ext uri="{FF2B5EF4-FFF2-40B4-BE49-F238E27FC236}">
              <a16:creationId xmlns:a16="http://schemas.microsoft.com/office/drawing/2014/main" id="{F3E0BD88-7829-491E-8B15-3CE3A7A47E8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4" name="AutoShape 40" descr="Currently available antiretroviral drugs | Download Table">
          <a:extLst>
            <a:ext uri="{FF2B5EF4-FFF2-40B4-BE49-F238E27FC236}">
              <a16:creationId xmlns:a16="http://schemas.microsoft.com/office/drawing/2014/main" id="{81B56E42-36EA-47F4-A88E-999949F2DA8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5" name="AutoShape 40" descr="Currently available antiretroviral drugs | Download Table">
          <a:extLst>
            <a:ext uri="{FF2B5EF4-FFF2-40B4-BE49-F238E27FC236}">
              <a16:creationId xmlns:a16="http://schemas.microsoft.com/office/drawing/2014/main" id="{A57D5B84-F23E-42FF-998E-AC0181297DA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6" name="AutoShape 40" descr="Currently available antiretroviral drugs | Download Table">
          <a:extLst>
            <a:ext uri="{FF2B5EF4-FFF2-40B4-BE49-F238E27FC236}">
              <a16:creationId xmlns:a16="http://schemas.microsoft.com/office/drawing/2014/main" id="{86C50410-3270-4AF6-92C3-52D40B347F3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7" name="AutoShape 40" descr="Currently available antiretroviral drugs | Download Table">
          <a:extLst>
            <a:ext uri="{FF2B5EF4-FFF2-40B4-BE49-F238E27FC236}">
              <a16:creationId xmlns:a16="http://schemas.microsoft.com/office/drawing/2014/main" id="{FAFB56FD-4E26-4F30-AC5B-39F6FA8C927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8" name="AutoShape 40" descr="Currently available antiretroviral drugs | Download Table">
          <a:extLst>
            <a:ext uri="{FF2B5EF4-FFF2-40B4-BE49-F238E27FC236}">
              <a16:creationId xmlns:a16="http://schemas.microsoft.com/office/drawing/2014/main" id="{EB088397-E145-48BC-B9A3-E30839C8CAD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9" name="AutoShape 40" descr="Currently available antiretroviral drugs | Download Table">
          <a:extLst>
            <a:ext uri="{FF2B5EF4-FFF2-40B4-BE49-F238E27FC236}">
              <a16:creationId xmlns:a16="http://schemas.microsoft.com/office/drawing/2014/main" id="{3A486AB9-D0F0-484E-9174-36C9EF2A6B1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0" name="AutoShape 40" descr="Currently available antiretroviral drugs | Download Table">
          <a:extLst>
            <a:ext uri="{FF2B5EF4-FFF2-40B4-BE49-F238E27FC236}">
              <a16:creationId xmlns:a16="http://schemas.microsoft.com/office/drawing/2014/main" id="{5A032E79-A063-4B4F-9206-D50F1597934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1" name="AutoShape 40" descr="Currently available antiretroviral drugs | Download Table">
          <a:extLst>
            <a:ext uri="{FF2B5EF4-FFF2-40B4-BE49-F238E27FC236}">
              <a16:creationId xmlns:a16="http://schemas.microsoft.com/office/drawing/2014/main" id="{17B39C49-9AC6-4715-B45F-11821A75375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2" name="AutoShape 40" descr="Currently available antiretroviral drugs | Download Table">
          <a:extLst>
            <a:ext uri="{FF2B5EF4-FFF2-40B4-BE49-F238E27FC236}">
              <a16:creationId xmlns:a16="http://schemas.microsoft.com/office/drawing/2014/main" id="{C308D8FC-0853-47DB-BDA9-12AD74698E2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3" name="AutoShape 40" descr="Currently available antiretroviral drugs | Download Table">
          <a:extLst>
            <a:ext uri="{FF2B5EF4-FFF2-40B4-BE49-F238E27FC236}">
              <a16:creationId xmlns:a16="http://schemas.microsoft.com/office/drawing/2014/main" id="{6BDE5483-7241-4C43-9A3C-C59088EC1DB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4" name="AutoShape 40" descr="Currently available antiretroviral drugs | Download Table">
          <a:extLst>
            <a:ext uri="{FF2B5EF4-FFF2-40B4-BE49-F238E27FC236}">
              <a16:creationId xmlns:a16="http://schemas.microsoft.com/office/drawing/2014/main" id="{16503ADB-BFB4-4B6F-9054-886470D0D78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5" name="AutoShape 40" descr="Currently available antiretroviral drugs | Download Table">
          <a:extLst>
            <a:ext uri="{FF2B5EF4-FFF2-40B4-BE49-F238E27FC236}">
              <a16:creationId xmlns:a16="http://schemas.microsoft.com/office/drawing/2014/main" id="{8B6420F8-3E54-4B1E-BD80-084FCBD2E83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6" name="AutoShape 40" descr="Currently available antiretroviral drugs | Download Table">
          <a:extLst>
            <a:ext uri="{FF2B5EF4-FFF2-40B4-BE49-F238E27FC236}">
              <a16:creationId xmlns:a16="http://schemas.microsoft.com/office/drawing/2014/main" id="{12D044AC-BD5F-4B71-B689-3721B4D726D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7" name="AutoShape 40" descr="Currently available antiretroviral drugs | Download Table">
          <a:extLst>
            <a:ext uri="{FF2B5EF4-FFF2-40B4-BE49-F238E27FC236}">
              <a16:creationId xmlns:a16="http://schemas.microsoft.com/office/drawing/2014/main" id="{A0A464AF-4E89-4F6D-9030-CE19D54BBE5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8" name="AutoShape 40" descr="Currently available antiretroviral drugs | Download Table">
          <a:extLst>
            <a:ext uri="{FF2B5EF4-FFF2-40B4-BE49-F238E27FC236}">
              <a16:creationId xmlns:a16="http://schemas.microsoft.com/office/drawing/2014/main" id="{33459F54-6D74-4D3E-9062-E2608020D9E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9" name="AutoShape 40" descr="Currently available antiretroviral drugs | Download Table">
          <a:extLst>
            <a:ext uri="{FF2B5EF4-FFF2-40B4-BE49-F238E27FC236}">
              <a16:creationId xmlns:a16="http://schemas.microsoft.com/office/drawing/2014/main" id="{593F4DEB-C1C4-4C1B-9DEB-DBF65CB84E0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0" name="AutoShape 40" descr="Currently available antiretroviral drugs | Download Table">
          <a:extLst>
            <a:ext uri="{FF2B5EF4-FFF2-40B4-BE49-F238E27FC236}">
              <a16:creationId xmlns:a16="http://schemas.microsoft.com/office/drawing/2014/main" id="{644DFCC5-979D-4E2D-A3EC-F4032201A27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1" name="AutoShape 40" descr="Currently available antiretroviral drugs | Download Table">
          <a:extLst>
            <a:ext uri="{FF2B5EF4-FFF2-40B4-BE49-F238E27FC236}">
              <a16:creationId xmlns:a16="http://schemas.microsoft.com/office/drawing/2014/main" id="{9381DE37-19E3-4AFA-A893-C54FF546528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2" name="AutoShape 40" descr="Currently available antiretroviral drugs | Download Table">
          <a:extLst>
            <a:ext uri="{FF2B5EF4-FFF2-40B4-BE49-F238E27FC236}">
              <a16:creationId xmlns:a16="http://schemas.microsoft.com/office/drawing/2014/main" id="{2291C9FF-73D5-4A96-91D7-68BDC666110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3" name="AutoShape 40" descr="Currently available antiretroviral drugs | Download Table">
          <a:extLst>
            <a:ext uri="{FF2B5EF4-FFF2-40B4-BE49-F238E27FC236}">
              <a16:creationId xmlns:a16="http://schemas.microsoft.com/office/drawing/2014/main" id="{D1ED6933-BD3A-47BE-8F72-1469D36C481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4" name="AutoShape 40" descr="Currently available antiretroviral drugs | Download Table">
          <a:extLst>
            <a:ext uri="{FF2B5EF4-FFF2-40B4-BE49-F238E27FC236}">
              <a16:creationId xmlns:a16="http://schemas.microsoft.com/office/drawing/2014/main" id="{46F1237D-54B9-46A3-B198-0F77F776894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5" name="AutoShape 40" descr="Currently available antiretroviral drugs | Download Table">
          <a:extLst>
            <a:ext uri="{FF2B5EF4-FFF2-40B4-BE49-F238E27FC236}">
              <a16:creationId xmlns:a16="http://schemas.microsoft.com/office/drawing/2014/main" id="{2917FD44-E5EF-4269-97A9-B3C3D6094D8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6" name="AutoShape 40" descr="Currently available antiretroviral drugs | Download Table">
          <a:extLst>
            <a:ext uri="{FF2B5EF4-FFF2-40B4-BE49-F238E27FC236}">
              <a16:creationId xmlns:a16="http://schemas.microsoft.com/office/drawing/2014/main" id="{A187A802-BCC7-423E-A629-360554683D9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7" name="AutoShape 40" descr="Currently available antiretroviral drugs | Download Table">
          <a:extLst>
            <a:ext uri="{FF2B5EF4-FFF2-40B4-BE49-F238E27FC236}">
              <a16:creationId xmlns:a16="http://schemas.microsoft.com/office/drawing/2014/main" id="{DFFDC4EF-A1B2-49B4-A418-374854B73C3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8" name="AutoShape 40" descr="Currently available antiretroviral drugs | Download Table">
          <a:extLst>
            <a:ext uri="{FF2B5EF4-FFF2-40B4-BE49-F238E27FC236}">
              <a16:creationId xmlns:a16="http://schemas.microsoft.com/office/drawing/2014/main" id="{F79F7E44-A624-4C85-9607-A42EA4FC60C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9" name="AutoShape 40" descr="Currently available antiretroviral drugs | Download Table">
          <a:extLst>
            <a:ext uri="{FF2B5EF4-FFF2-40B4-BE49-F238E27FC236}">
              <a16:creationId xmlns:a16="http://schemas.microsoft.com/office/drawing/2014/main" id="{3D0EFEB5-20DB-4FD5-A040-62767EB2C5F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0" name="AutoShape 40" descr="Currently available antiretroviral drugs | Download Table">
          <a:extLst>
            <a:ext uri="{FF2B5EF4-FFF2-40B4-BE49-F238E27FC236}">
              <a16:creationId xmlns:a16="http://schemas.microsoft.com/office/drawing/2014/main" id="{26B877C8-D941-41AB-ACC0-28EDE6A1F0E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1" name="AutoShape 40" descr="Currently available antiretroviral drugs | Download Table">
          <a:extLst>
            <a:ext uri="{FF2B5EF4-FFF2-40B4-BE49-F238E27FC236}">
              <a16:creationId xmlns:a16="http://schemas.microsoft.com/office/drawing/2014/main" id="{00D4DCCF-5AA0-41B6-A6DD-6F3CB36C073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2" name="AutoShape 40" descr="Currently available antiretroviral drugs | Download Table">
          <a:extLst>
            <a:ext uri="{FF2B5EF4-FFF2-40B4-BE49-F238E27FC236}">
              <a16:creationId xmlns:a16="http://schemas.microsoft.com/office/drawing/2014/main" id="{925784A1-30E2-4BDC-83E5-78D402637AD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3" name="AutoShape 40" descr="Currently available antiretroviral drugs | Download Table">
          <a:extLst>
            <a:ext uri="{FF2B5EF4-FFF2-40B4-BE49-F238E27FC236}">
              <a16:creationId xmlns:a16="http://schemas.microsoft.com/office/drawing/2014/main" id="{4588862E-7CD4-4D04-8D84-2991DBC74E2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4" name="AutoShape 40" descr="Currently available antiretroviral drugs | Download Table">
          <a:extLst>
            <a:ext uri="{FF2B5EF4-FFF2-40B4-BE49-F238E27FC236}">
              <a16:creationId xmlns:a16="http://schemas.microsoft.com/office/drawing/2014/main" id="{9E4F133D-F40C-440B-A107-D5AA03CF1CC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5" name="AutoShape 40" descr="Currently available antiretroviral drugs | Download Table">
          <a:extLst>
            <a:ext uri="{FF2B5EF4-FFF2-40B4-BE49-F238E27FC236}">
              <a16:creationId xmlns:a16="http://schemas.microsoft.com/office/drawing/2014/main" id="{132106B9-C6F2-429F-8BEE-16C31CE7979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6" name="AutoShape 40" descr="Currently available antiretroviral drugs | Download Table">
          <a:extLst>
            <a:ext uri="{FF2B5EF4-FFF2-40B4-BE49-F238E27FC236}">
              <a16:creationId xmlns:a16="http://schemas.microsoft.com/office/drawing/2014/main" id="{DF2F780C-4C3B-41C6-B59E-257D16B7671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7" name="AutoShape 40" descr="Currently available antiretroviral drugs | Download Table">
          <a:extLst>
            <a:ext uri="{FF2B5EF4-FFF2-40B4-BE49-F238E27FC236}">
              <a16:creationId xmlns:a16="http://schemas.microsoft.com/office/drawing/2014/main" id="{F31BC440-F6D4-43E2-8937-62F91238276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8" name="AutoShape 40" descr="Currently available antiretroviral drugs | Download Table">
          <a:extLst>
            <a:ext uri="{FF2B5EF4-FFF2-40B4-BE49-F238E27FC236}">
              <a16:creationId xmlns:a16="http://schemas.microsoft.com/office/drawing/2014/main" id="{03167CA8-9D9D-4B82-801A-E75C282999E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9" name="AutoShape 40" descr="Currently available antiretroviral drugs | Download Table">
          <a:extLst>
            <a:ext uri="{FF2B5EF4-FFF2-40B4-BE49-F238E27FC236}">
              <a16:creationId xmlns:a16="http://schemas.microsoft.com/office/drawing/2014/main" id="{EA12469F-5335-4AA3-8EC3-D33C79E48C5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0" name="AutoShape 40" descr="Currently available antiretroviral drugs | Download Table">
          <a:extLst>
            <a:ext uri="{FF2B5EF4-FFF2-40B4-BE49-F238E27FC236}">
              <a16:creationId xmlns:a16="http://schemas.microsoft.com/office/drawing/2014/main" id="{1D8B9C07-3E88-4D6B-A0E5-CD822DE61E3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1" name="AutoShape 40" descr="Currently available antiretroviral drugs | Download Table">
          <a:extLst>
            <a:ext uri="{FF2B5EF4-FFF2-40B4-BE49-F238E27FC236}">
              <a16:creationId xmlns:a16="http://schemas.microsoft.com/office/drawing/2014/main" id="{8FC4B279-CE09-47F4-B4B3-8957CDE7CD3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2" name="AutoShape 40" descr="Currently available antiretroviral drugs | Download Table">
          <a:extLst>
            <a:ext uri="{FF2B5EF4-FFF2-40B4-BE49-F238E27FC236}">
              <a16:creationId xmlns:a16="http://schemas.microsoft.com/office/drawing/2014/main" id="{EDCFFEB4-CB11-4A1F-8E08-FBFCA1EB119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3" name="AutoShape 40" descr="Currently available antiretroviral drugs | Download Table">
          <a:extLst>
            <a:ext uri="{FF2B5EF4-FFF2-40B4-BE49-F238E27FC236}">
              <a16:creationId xmlns:a16="http://schemas.microsoft.com/office/drawing/2014/main" id="{4B77223A-8910-4A88-8927-132E600E55F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4" name="AutoShape 40" descr="Currently available antiretroviral drugs | Download Table">
          <a:extLst>
            <a:ext uri="{FF2B5EF4-FFF2-40B4-BE49-F238E27FC236}">
              <a16:creationId xmlns:a16="http://schemas.microsoft.com/office/drawing/2014/main" id="{97501326-DAD9-4620-A8D5-7ED36D43CA7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5" name="AutoShape 40" descr="Currently available antiretroviral drugs | Download Table">
          <a:extLst>
            <a:ext uri="{FF2B5EF4-FFF2-40B4-BE49-F238E27FC236}">
              <a16:creationId xmlns:a16="http://schemas.microsoft.com/office/drawing/2014/main" id="{BA9015E5-B212-4ECC-83A6-65171AF00A4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6" name="AutoShape 40" descr="Currently available antiretroviral drugs | Download Table">
          <a:extLst>
            <a:ext uri="{FF2B5EF4-FFF2-40B4-BE49-F238E27FC236}">
              <a16:creationId xmlns:a16="http://schemas.microsoft.com/office/drawing/2014/main" id="{2B82EC2C-E58B-4C00-8153-71FDEEB2F04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7" name="AutoShape 40" descr="Currently available antiretroviral drugs | Download Table">
          <a:extLst>
            <a:ext uri="{FF2B5EF4-FFF2-40B4-BE49-F238E27FC236}">
              <a16:creationId xmlns:a16="http://schemas.microsoft.com/office/drawing/2014/main" id="{34D020DA-4470-4D96-A60E-56F38183D6A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8" name="AutoShape 40" descr="Currently available antiretroviral drugs | Download Table">
          <a:extLst>
            <a:ext uri="{FF2B5EF4-FFF2-40B4-BE49-F238E27FC236}">
              <a16:creationId xmlns:a16="http://schemas.microsoft.com/office/drawing/2014/main" id="{FAF3FA54-6E76-4168-A44E-614638948CF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9" name="AutoShape 40" descr="Currently available antiretroviral drugs | Download Table">
          <a:extLst>
            <a:ext uri="{FF2B5EF4-FFF2-40B4-BE49-F238E27FC236}">
              <a16:creationId xmlns:a16="http://schemas.microsoft.com/office/drawing/2014/main" id="{49E7A889-2E89-4C88-BA78-CC3286EE74A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70" name="AutoShape 40" descr="Currently available antiretroviral drugs | Download Table">
          <a:extLst>
            <a:ext uri="{FF2B5EF4-FFF2-40B4-BE49-F238E27FC236}">
              <a16:creationId xmlns:a16="http://schemas.microsoft.com/office/drawing/2014/main" id="{F349EAF0-8D3A-4736-9747-40F7FEFDE19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71" name="AutoShape 40" descr="Currently available antiretroviral drugs | Download Table">
          <a:extLst>
            <a:ext uri="{FF2B5EF4-FFF2-40B4-BE49-F238E27FC236}">
              <a16:creationId xmlns:a16="http://schemas.microsoft.com/office/drawing/2014/main" id="{AEC32F70-BD44-4AC9-8F55-D5CEA057DCB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72" name="AutoShape 40" descr="Currently available antiretroviral drugs | Download Table">
          <a:extLst>
            <a:ext uri="{FF2B5EF4-FFF2-40B4-BE49-F238E27FC236}">
              <a16:creationId xmlns:a16="http://schemas.microsoft.com/office/drawing/2014/main" id="{D2B2519A-308B-463C-967B-10AF9A650D4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73" name="AutoShape 40" descr="Currently available antiretroviral drugs | Download Table">
          <a:extLst>
            <a:ext uri="{FF2B5EF4-FFF2-40B4-BE49-F238E27FC236}">
              <a16:creationId xmlns:a16="http://schemas.microsoft.com/office/drawing/2014/main" id="{7639B805-9C15-4DBF-ACE1-82EFFDC9D79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74" name="AutoShape 40" descr="Currently available antiretroviral drugs | Download Table">
          <a:extLst>
            <a:ext uri="{FF2B5EF4-FFF2-40B4-BE49-F238E27FC236}">
              <a16:creationId xmlns:a16="http://schemas.microsoft.com/office/drawing/2014/main" id="{B46F6DB3-A05A-42CE-A1FD-EDE16782018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75" name="AutoShape 40" descr="Currently available antiretroviral drugs | Download Table">
          <a:extLst>
            <a:ext uri="{FF2B5EF4-FFF2-40B4-BE49-F238E27FC236}">
              <a16:creationId xmlns:a16="http://schemas.microsoft.com/office/drawing/2014/main" id="{6736B3E8-B6E1-4602-A1F5-FB797E59BBE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76" name="AutoShape 40" descr="Currently available antiretroviral drugs | Download Table">
          <a:extLst>
            <a:ext uri="{FF2B5EF4-FFF2-40B4-BE49-F238E27FC236}">
              <a16:creationId xmlns:a16="http://schemas.microsoft.com/office/drawing/2014/main" id="{DB381DA2-3837-4F3B-85F9-AB630F11230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77" name="AutoShape 40" descr="Currently available antiretroviral drugs | Download Table">
          <a:extLst>
            <a:ext uri="{FF2B5EF4-FFF2-40B4-BE49-F238E27FC236}">
              <a16:creationId xmlns:a16="http://schemas.microsoft.com/office/drawing/2014/main" id="{35BCB40B-64FD-4E33-BDAE-16ECBDDC622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78" name="AutoShape 40" descr="Currently available antiretroviral drugs | Download Table">
          <a:extLst>
            <a:ext uri="{FF2B5EF4-FFF2-40B4-BE49-F238E27FC236}">
              <a16:creationId xmlns:a16="http://schemas.microsoft.com/office/drawing/2014/main" id="{7DA3580D-C417-4C1F-9DDD-1F4AED1A442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79" name="AutoShape 40" descr="Currently available antiretroviral drugs | Download Table">
          <a:extLst>
            <a:ext uri="{FF2B5EF4-FFF2-40B4-BE49-F238E27FC236}">
              <a16:creationId xmlns:a16="http://schemas.microsoft.com/office/drawing/2014/main" id="{9CE15384-A4BC-42D6-B466-09FBB995FE4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80" name="AutoShape 40" descr="Currently available antiretroviral drugs | Download Table">
          <a:extLst>
            <a:ext uri="{FF2B5EF4-FFF2-40B4-BE49-F238E27FC236}">
              <a16:creationId xmlns:a16="http://schemas.microsoft.com/office/drawing/2014/main" id="{AFEDEC2F-DDB2-4C7F-8303-8C52410AF8B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81" name="AutoShape 40" descr="Currently available antiretroviral drugs | Download Table">
          <a:extLst>
            <a:ext uri="{FF2B5EF4-FFF2-40B4-BE49-F238E27FC236}">
              <a16:creationId xmlns:a16="http://schemas.microsoft.com/office/drawing/2014/main" id="{0EC44D1D-8EA4-4C03-B17D-809E4E60341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82" name="AutoShape 40" descr="Currently available antiretroviral drugs | Download Table">
          <a:extLst>
            <a:ext uri="{FF2B5EF4-FFF2-40B4-BE49-F238E27FC236}">
              <a16:creationId xmlns:a16="http://schemas.microsoft.com/office/drawing/2014/main" id="{261E4C39-5C96-457E-901D-779CD14D5C9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83" name="AutoShape 40" descr="Currently available antiretroviral drugs | Download Table">
          <a:extLst>
            <a:ext uri="{FF2B5EF4-FFF2-40B4-BE49-F238E27FC236}">
              <a16:creationId xmlns:a16="http://schemas.microsoft.com/office/drawing/2014/main" id="{F8A4E526-A0E0-4091-8923-ECE81E9F0B8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84" name="AutoShape 40" descr="Currently available antiretroviral drugs | Download Table">
          <a:extLst>
            <a:ext uri="{FF2B5EF4-FFF2-40B4-BE49-F238E27FC236}">
              <a16:creationId xmlns:a16="http://schemas.microsoft.com/office/drawing/2014/main" id="{869C55FD-503F-4D7B-BAD2-5E279B7B7DF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85" name="AutoShape 40" descr="Currently available antiretroviral drugs | Download Table">
          <a:extLst>
            <a:ext uri="{FF2B5EF4-FFF2-40B4-BE49-F238E27FC236}">
              <a16:creationId xmlns:a16="http://schemas.microsoft.com/office/drawing/2014/main" id="{E92400DA-51BA-41BD-9737-ABE91387EB3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86" name="AutoShape 40" descr="Currently available antiretroviral drugs | Download Table">
          <a:extLst>
            <a:ext uri="{FF2B5EF4-FFF2-40B4-BE49-F238E27FC236}">
              <a16:creationId xmlns:a16="http://schemas.microsoft.com/office/drawing/2014/main" id="{BA369A95-2BD8-44B9-9D22-1708DC6A795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87" name="AutoShape 40" descr="Currently available antiretroviral drugs | Download Table">
          <a:extLst>
            <a:ext uri="{FF2B5EF4-FFF2-40B4-BE49-F238E27FC236}">
              <a16:creationId xmlns:a16="http://schemas.microsoft.com/office/drawing/2014/main" id="{595598C1-AA4A-4EF9-AE8F-673A5E004C1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88" name="AutoShape 40" descr="Currently available antiretroviral drugs | Download Table">
          <a:extLst>
            <a:ext uri="{FF2B5EF4-FFF2-40B4-BE49-F238E27FC236}">
              <a16:creationId xmlns:a16="http://schemas.microsoft.com/office/drawing/2014/main" id="{0DD0AD66-D42E-4A28-B23A-5EB81152A03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89" name="AutoShape 40" descr="Currently available antiretroviral drugs | Download Table">
          <a:extLst>
            <a:ext uri="{FF2B5EF4-FFF2-40B4-BE49-F238E27FC236}">
              <a16:creationId xmlns:a16="http://schemas.microsoft.com/office/drawing/2014/main" id="{D58B485A-3C54-436D-8D9F-9A53F5640AB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90" name="AutoShape 40" descr="Currently available antiretroviral drugs | Download Table">
          <a:extLst>
            <a:ext uri="{FF2B5EF4-FFF2-40B4-BE49-F238E27FC236}">
              <a16:creationId xmlns:a16="http://schemas.microsoft.com/office/drawing/2014/main" id="{95F685F6-A4F9-4470-A5BD-F1357E99058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91" name="AutoShape 40" descr="Currently available antiretroviral drugs | Download Table">
          <a:extLst>
            <a:ext uri="{FF2B5EF4-FFF2-40B4-BE49-F238E27FC236}">
              <a16:creationId xmlns:a16="http://schemas.microsoft.com/office/drawing/2014/main" id="{DC1DE342-CAA5-47E0-A55A-F355F979665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92" name="AutoShape 40" descr="Currently available antiretroviral drugs | Download Table">
          <a:extLst>
            <a:ext uri="{FF2B5EF4-FFF2-40B4-BE49-F238E27FC236}">
              <a16:creationId xmlns:a16="http://schemas.microsoft.com/office/drawing/2014/main" id="{44450528-71D2-41CD-817E-654FB6A2D09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93" name="AutoShape 40" descr="Currently available antiretroviral drugs | Download Table">
          <a:extLst>
            <a:ext uri="{FF2B5EF4-FFF2-40B4-BE49-F238E27FC236}">
              <a16:creationId xmlns:a16="http://schemas.microsoft.com/office/drawing/2014/main" id="{82E2FE75-F86F-4FA1-9E4A-3C1ACF02A5B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94" name="AutoShape 40" descr="Currently available antiretroviral drugs | Download Table">
          <a:extLst>
            <a:ext uri="{FF2B5EF4-FFF2-40B4-BE49-F238E27FC236}">
              <a16:creationId xmlns:a16="http://schemas.microsoft.com/office/drawing/2014/main" id="{D42A57E5-B34E-4C57-9052-A1890CDE968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95" name="AutoShape 40" descr="Currently available antiretroviral drugs | Download Table">
          <a:extLst>
            <a:ext uri="{FF2B5EF4-FFF2-40B4-BE49-F238E27FC236}">
              <a16:creationId xmlns:a16="http://schemas.microsoft.com/office/drawing/2014/main" id="{054777FD-58F2-475B-8DC1-553E3748A56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96" name="AutoShape 40" descr="Currently available antiretroviral drugs | Download Table">
          <a:extLst>
            <a:ext uri="{FF2B5EF4-FFF2-40B4-BE49-F238E27FC236}">
              <a16:creationId xmlns:a16="http://schemas.microsoft.com/office/drawing/2014/main" id="{C948875C-0FD5-4505-9803-5F189EBB28F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97" name="AutoShape 40" descr="Currently available antiretroviral drugs | Download Table">
          <a:extLst>
            <a:ext uri="{FF2B5EF4-FFF2-40B4-BE49-F238E27FC236}">
              <a16:creationId xmlns:a16="http://schemas.microsoft.com/office/drawing/2014/main" id="{6E11D75D-5305-4C72-A0CA-3862B26127F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98" name="AutoShape 40" descr="Currently available antiretroviral drugs | Download Table">
          <a:extLst>
            <a:ext uri="{FF2B5EF4-FFF2-40B4-BE49-F238E27FC236}">
              <a16:creationId xmlns:a16="http://schemas.microsoft.com/office/drawing/2014/main" id="{7AEED5E0-5F82-4366-845D-B85C04A13B7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99" name="AutoShape 40" descr="Currently available antiretroviral drugs | Download Table">
          <a:extLst>
            <a:ext uri="{FF2B5EF4-FFF2-40B4-BE49-F238E27FC236}">
              <a16:creationId xmlns:a16="http://schemas.microsoft.com/office/drawing/2014/main" id="{AB73AE16-8C01-43A6-8894-AFC8E2CEA37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00" name="AutoShape 40" descr="Currently available antiretroviral drugs | Download Table">
          <a:extLst>
            <a:ext uri="{FF2B5EF4-FFF2-40B4-BE49-F238E27FC236}">
              <a16:creationId xmlns:a16="http://schemas.microsoft.com/office/drawing/2014/main" id="{23EB6CD5-2692-4C34-9297-57869876A84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01" name="AutoShape 40" descr="Currently available antiretroviral drugs | Download Table">
          <a:extLst>
            <a:ext uri="{FF2B5EF4-FFF2-40B4-BE49-F238E27FC236}">
              <a16:creationId xmlns:a16="http://schemas.microsoft.com/office/drawing/2014/main" id="{3F0ECA25-6879-42DE-8D89-FD65508E7DC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02" name="AutoShape 40" descr="Currently available antiretroviral drugs | Download Table">
          <a:extLst>
            <a:ext uri="{FF2B5EF4-FFF2-40B4-BE49-F238E27FC236}">
              <a16:creationId xmlns:a16="http://schemas.microsoft.com/office/drawing/2014/main" id="{F23E1E41-B4F3-4AA3-B14B-122810A40CC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03" name="AutoShape 40" descr="Currently available antiretroviral drugs | Download Table">
          <a:extLst>
            <a:ext uri="{FF2B5EF4-FFF2-40B4-BE49-F238E27FC236}">
              <a16:creationId xmlns:a16="http://schemas.microsoft.com/office/drawing/2014/main" id="{9B6D4A9A-9321-406E-8150-F27B925CAAA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04" name="AutoShape 40" descr="Currently available antiretroviral drugs | Download Table">
          <a:extLst>
            <a:ext uri="{FF2B5EF4-FFF2-40B4-BE49-F238E27FC236}">
              <a16:creationId xmlns:a16="http://schemas.microsoft.com/office/drawing/2014/main" id="{EAD44C16-0FBE-4306-911B-CC045641A07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05" name="AutoShape 40" descr="Currently available antiretroviral drugs | Download Table">
          <a:extLst>
            <a:ext uri="{FF2B5EF4-FFF2-40B4-BE49-F238E27FC236}">
              <a16:creationId xmlns:a16="http://schemas.microsoft.com/office/drawing/2014/main" id="{DCE5BFBD-F5E7-4271-BC20-B1276E692ED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06" name="AutoShape 40" descr="Currently available antiretroviral drugs | Download Table">
          <a:extLst>
            <a:ext uri="{FF2B5EF4-FFF2-40B4-BE49-F238E27FC236}">
              <a16:creationId xmlns:a16="http://schemas.microsoft.com/office/drawing/2014/main" id="{12097483-F358-46D1-A258-D783D9393EF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07" name="AutoShape 40" descr="Currently available antiretroviral drugs | Download Table">
          <a:extLst>
            <a:ext uri="{FF2B5EF4-FFF2-40B4-BE49-F238E27FC236}">
              <a16:creationId xmlns:a16="http://schemas.microsoft.com/office/drawing/2014/main" id="{8ECE45E3-1B92-4E0F-B1BF-3D80A72A072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08" name="AutoShape 40" descr="Currently available antiretroviral drugs | Download Table">
          <a:extLst>
            <a:ext uri="{FF2B5EF4-FFF2-40B4-BE49-F238E27FC236}">
              <a16:creationId xmlns:a16="http://schemas.microsoft.com/office/drawing/2014/main" id="{E84A3584-EA1D-4A1E-95B8-D25BE61208D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09" name="AutoShape 40" descr="Currently available antiretroviral drugs | Download Table">
          <a:extLst>
            <a:ext uri="{FF2B5EF4-FFF2-40B4-BE49-F238E27FC236}">
              <a16:creationId xmlns:a16="http://schemas.microsoft.com/office/drawing/2014/main" id="{98311D45-9AD4-4BFA-8D96-D0252F5E3ED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10" name="AutoShape 40" descr="Currently available antiretroviral drugs | Download Table">
          <a:extLst>
            <a:ext uri="{FF2B5EF4-FFF2-40B4-BE49-F238E27FC236}">
              <a16:creationId xmlns:a16="http://schemas.microsoft.com/office/drawing/2014/main" id="{D696D71E-9D79-495E-90E2-2B65147CDC9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11" name="AutoShape 40" descr="Currently available antiretroviral drugs | Download Table">
          <a:extLst>
            <a:ext uri="{FF2B5EF4-FFF2-40B4-BE49-F238E27FC236}">
              <a16:creationId xmlns:a16="http://schemas.microsoft.com/office/drawing/2014/main" id="{E2915128-5644-48A2-BC2B-AF6D92BD6C9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12" name="AutoShape 40" descr="Currently available antiretroviral drugs | Download Table">
          <a:extLst>
            <a:ext uri="{FF2B5EF4-FFF2-40B4-BE49-F238E27FC236}">
              <a16:creationId xmlns:a16="http://schemas.microsoft.com/office/drawing/2014/main" id="{3ADEB038-831F-4A8B-B072-BFCA4827312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13" name="AutoShape 40" descr="Currently available antiretroviral drugs | Download Table">
          <a:extLst>
            <a:ext uri="{FF2B5EF4-FFF2-40B4-BE49-F238E27FC236}">
              <a16:creationId xmlns:a16="http://schemas.microsoft.com/office/drawing/2014/main" id="{AB048193-485A-4F2F-BEAC-D988F075057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14" name="AutoShape 40" descr="Currently available antiretroviral drugs | Download Table">
          <a:extLst>
            <a:ext uri="{FF2B5EF4-FFF2-40B4-BE49-F238E27FC236}">
              <a16:creationId xmlns:a16="http://schemas.microsoft.com/office/drawing/2014/main" id="{4BF895BC-5EBD-4170-B35B-1088E767607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15" name="AutoShape 40" descr="Currently available antiretroviral drugs | Download Table">
          <a:extLst>
            <a:ext uri="{FF2B5EF4-FFF2-40B4-BE49-F238E27FC236}">
              <a16:creationId xmlns:a16="http://schemas.microsoft.com/office/drawing/2014/main" id="{8A637EE6-44AD-4D31-A363-028F2EF5C3D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16" name="AutoShape 40" descr="Currently available antiretroviral drugs | Download Table">
          <a:extLst>
            <a:ext uri="{FF2B5EF4-FFF2-40B4-BE49-F238E27FC236}">
              <a16:creationId xmlns:a16="http://schemas.microsoft.com/office/drawing/2014/main" id="{81DC4807-5531-4396-A0BC-86531400C7A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17" name="AutoShape 40" descr="Currently available antiretroviral drugs | Download Table">
          <a:extLst>
            <a:ext uri="{FF2B5EF4-FFF2-40B4-BE49-F238E27FC236}">
              <a16:creationId xmlns:a16="http://schemas.microsoft.com/office/drawing/2014/main" id="{8A094320-53D0-4B9B-96B0-7C4E2B563A4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18" name="AutoShape 40" descr="Currently available antiretroviral drugs | Download Table">
          <a:extLst>
            <a:ext uri="{FF2B5EF4-FFF2-40B4-BE49-F238E27FC236}">
              <a16:creationId xmlns:a16="http://schemas.microsoft.com/office/drawing/2014/main" id="{56DE8491-8BF2-4752-A23C-F7F239FA245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19" name="AutoShape 40" descr="Currently available antiretroviral drugs | Download Table">
          <a:extLst>
            <a:ext uri="{FF2B5EF4-FFF2-40B4-BE49-F238E27FC236}">
              <a16:creationId xmlns:a16="http://schemas.microsoft.com/office/drawing/2014/main" id="{CF2F21A7-7B70-43DB-B484-080930841D9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20" name="AutoShape 40" descr="Currently available antiretroviral drugs | Download Table">
          <a:extLst>
            <a:ext uri="{FF2B5EF4-FFF2-40B4-BE49-F238E27FC236}">
              <a16:creationId xmlns:a16="http://schemas.microsoft.com/office/drawing/2014/main" id="{09DECB40-5091-4CE4-941C-6CD6E51C103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21" name="AutoShape 40" descr="Currently available antiretroviral drugs | Download Table">
          <a:extLst>
            <a:ext uri="{FF2B5EF4-FFF2-40B4-BE49-F238E27FC236}">
              <a16:creationId xmlns:a16="http://schemas.microsoft.com/office/drawing/2014/main" id="{8F71A40F-5E5C-48CB-8216-3F5EBAD6A1D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22" name="AutoShape 40" descr="Currently available antiretroviral drugs | Download Table">
          <a:extLst>
            <a:ext uri="{FF2B5EF4-FFF2-40B4-BE49-F238E27FC236}">
              <a16:creationId xmlns:a16="http://schemas.microsoft.com/office/drawing/2014/main" id="{16DFB6C7-4DA5-4379-B885-F0837000541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23" name="AutoShape 40" descr="Currently available antiretroviral drugs | Download Table">
          <a:extLst>
            <a:ext uri="{FF2B5EF4-FFF2-40B4-BE49-F238E27FC236}">
              <a16:creationId xmlns:a16="http://schemas.microsoft.com/office/drawing/2014/main" id="{395A7506-C50F-45DA-90C3-ACE4B40E76B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24" name="AutoShape 40" descr="Currently available antiretroviral drugs | Download Table">
          <a:extLst>
            <a:ext uri="{FF2B5EF4-FFF2-40B4-BE49-F238E27FC236}">
              <a16:creationId xmlns:a16="http://schemas.microsoft.com/office/drawing/2014/main" id="{86FF1D74-D6C6-4C73-9EAA-10FD2B8E898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25" name="AutoShape 40" descr="Currently available antiretroviral drugs | Download Table">
          <a:extLst>
            <a:ext uri="{FF2B5EF4-FFF2-40B4-BE49-F238E27FC236}">
              <a16:creationId xmlns:a16="http://schemas.microsoft.com/office/drawing/2014/main" id="{6995B49C-8E68-4D02-96A6-A3562652D70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26" name="AutoShape 40" descr="Currently available antiretroviral drugs | Download Table">
          <a:extLst>
            <a:ext uri="{FF2B5EF4-FFF2-40B4-BE49-F238E27FC236}">
              <a16:creationId xmlns:a16="http://schemas.microsoft.com/office/drawing/2014/main" id="{E0C18D05-F925-4EF2-8734-05ACBB2577F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27" name="AutoShape 40" descr="Currently available antiretroviral drugs | Download Table">
          <a:extLst>
            <a:ext uri="{FF2B5EF4-FFF2-40B4-BE49-F238E27FC236}">
              <a16:creationId xmlns:a16="http://schemas.microsoft.com/office/drawing/2014/main" id="{77960814-A863-4EE3-91ED-DA6A0021ACC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28" name="AutoShape 40" descr="Currently available antiretroviral drugs | Download Table">
          <a:extLst>
            <a:ext uri="{FF2B5EF4-FFF2-40B4-BE49-F238E27FC236}">
              <a16:creationId xmlns:a16="http://schemas.microsoft.com/office/drawing/2014/main" id="{937D23D7-AC6D-4CD3-AC00-ADC7E8D13AD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29" name="AutoShape 40" descr="Currently available antiretroviral drugs | Download Table">
          <a:extLst>
            <a:ext uri="{FF2B5EF4-FFF2-40B4-BE49-F238E27FC236}">
              <a16:creationId xmlns:a16="http://schemas.microsoft.com/office/drawing/2014/main" id="{1E67788C-45D3-4B18-820C-4473629158E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30" name="AutoShape 40" descr="Currently available antiretroviral drugs | Download Table">
          <a:extLst>
            <a:ext uri="{FF2B5EF4-FFF2-40B4-BE49-F238E27FC236}">
              <a16:creationId xmlns:a16="http://schemas.microsoft.com/office/drawing/2014/main" id="{73B85C5B-F8CB-40D1-9F36-5E4F55468E8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31" name="AutoShape 40" descr="Currently available antiretroviral drugs | Download Table">
          <a:extLst>
            <a:ext uri="{FF2B5EF4-FFF2-40B4-BE49-F238E27FC236}">
              <a16:creationId xmlns:a16="http://schemas.microsoft.com/office/drawing/2014/main" id="{698A633B-ABEE-4C93-8ADC-36279025955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32" name="AutoShape 40" descr="Currently available antiretroviral drugs | Download Table">
          <a:extLst>
            <a:ext uri="{FF2B5EF4-FFF2-40B4-BE49-F238E27FC236}">
              <a16:creationId xmlns:a16="http://schemas.microsoft.com/office/drawing/2014/main" id="{4DDC11A5-BD9A-49F1-9C9A-0671023B871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33" name="AutoShape 40" descr="Currently available antiretroviral drugs | Download Table">
          <a:extLst>
            <a:ext uri="{FF2B5EF4-FFF2-40B4-BE49-F238E27FC236}">
              <a16:creationId xmlns:a16="http://schemas.microsoft.com/office/drawing/2014/main" id="{8BBABFA1-CD99-4F16-9053-A5BC7D3D4BA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34" name="AutoShape 40" descr="Currently available antiretroviral drugs | Download Table">
          <a:extLst>
            <a:ext uri="{FF2B5EF4-FFF2-40B4-BE49-F238E27FC236}">
              <a16:creationId xmlns:a16="http://schemas.microsoft.com/office/drawing/2014/main" id="{B64A2868-8E52-4909-A2D9-782F55F905E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35" name="AutoShape 40" descr="Currently available antiretroviral drugs | Download Table">
          <a:extLst>
            <a:ext uri="{FF2B5EF4-FFF2-40B4-BE49-F238E27FC236}">
              <a16:creationId xmlns:a16="http://schemas.microsoft.com/office/drawing/2014/main" id="{E8156E82-AE53-4976-9AE1-522E7C6AA49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36" name="AutoShape 40" descr="Currently available antiretroviral drugs | Download Table">
          <a:extLst>
            <a:ext uri="{FF2B5EF4-FFF2-40B4-BE49-F238E27FC236}">
              <a16:creationId xmlns:a16="http://schemas.microsoft.com/office/drawing/2014/main" id="{739BA8E1-1665-4026-87B6-7A74EC98D7F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37" name="AutoShape 40" descr="Currently available antiretroviral drugs | Download Table">
          <a:extLst>
            <a:ext uri="{FF2B5EF4-FFF2-40B4-BE49-F238E27FC236}">
              <a16:creationId xmlns:a16="http://schemas.microsoft.com/office/drawing/2014/main" id="{C539A28F-AF89-43AD-8406-6248EA52D39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38" name="AutoShape 40" descr="Currently available antiretroviral drugs | Download Table">
          <a:extLst>
            <a:ext uri="{FF2B5EF4-FFF2-40B4-BE49-F238E27FC236}">
              <a16:creationId xmlns:a16="http://schemas.microsoft.com/office/drawing/2014/main" id="{81BF2D60-F39B-4FE3-AF5E-A409AEBA6BA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39" name="AutoShape 40" descr="Currently available antiretroviral drugs | Download Table">
          <a:extLst>
            <a:ext uri="{FF2B5EF4-FFF2-40B4-BE49-F238E27FC236}">
              <a16:creationId xmlns:a16="http://schemas.microsoft.com/office/drawing/2014/main" id="{363902A3-8231-4B24-AC11-AAC8F404AD9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40" name="AutoShape 40" descr="Currently available antiretroviral drugs | Download Table">
          <a:extLst>
            <a:ext uri="{FF2B5EF4-FFF2-40B4-BE49-F238E27FC236}">
              <a16:creationId xmlns:a16="http://schemas.microsoft.com/office/drawing/2014/main" id="{0E3054A2-F496-4CED-9174-753E667057E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41" name="AutoShape 40" descr="Currently available antiretroviral drugs | Download Table">
          <a:extLst>
            <a:ext uri="{FF2B5EF4-FFF2-40B4-BE49-F238E27FC236}">
              <a16:creationId xmlns:a16="http://schemas.microsoft.com/office/drawing/2014/main" id="{E90DE4A6-DC27-487D-A070-C861CF50B10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42" name="AutoShape 40" descr="Currently available antiretroviral drugs | Download Table">
          <a:extLst>
            <a:ext uri="{FF2B5EF4-FFF2-40B4-BE49-F238E27FC236}">
              <a16:creationId xmlns:a16="http://schemas.microsoft.com/office/drawing/2014/main" id="{FDE7F3E3-74A2-4072-B10C-1D227CF57E0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43" name="AutoShape 40" descr="Currently available antiretroviral drugs | Download Table">
          <a:extLst>
            <a:ext uri="{FF2B5EF4-FFF2-40B4-BE49-F238E27FC236}">
              <a16:creationId xmlns:a16="http://schemas.microsoft.com/office/drawing/2014/main" id="{3030C793-CC2A-4A70-AC1D-0DDB426DB5E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44" name="AutoShape 40" descr="Currently available antiretroviral drugs | Download Table">
          <a:extLst>
            <a:ext uri="{FF2B5EF4-FFF2-40B4-BE49-F238E27FC236}">
              <a16:creationId xmlns:a16="http://schemas.microsoft.com/office/drawing/2014/main" id="{25C8C3AA-7FFB-4222-AE39-E6E52BDA078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45" name="AutoShape 40" descr="Currently available antiretroviral drugs | Download Table">
          <a:extLst>
            <a:ext uri="{FF2B5EF4-FFF2-40B4-BE49-F238E27FC236}">
              <a16:creationId xmlns:a16="http://schemas.microsoft.com/office/drawing/2014/main" id="{18046894-69BB-47F7-BB8D-1916744DBD2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46" name="AutoShape 40" descr="Currently available antiretroviral drugs | Download Table">
          <a:extLst>
            <a:ext uri="{FF2B5EF4-FFF2-40B4-BE49-F238E27FC236}">
              <a16:creationId xmlns:a16="http://schemas.microsoft.com/office/drawing/2014/main" id="{BE5D1FFD-5E06-4AAC-8F9A-B8CB1194941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47" name="AutoShape 40" descr="Currently available antiretroviral drugs | Download Table">
          <a:extLst>
            <a:ext uri="{FF2B5EF4-FFF2-40B4-BE49-F238E27FC236}">
              <a16:creationId xmlns:a16="http://schemas.microsoft.com/office/drawing/2014/main" id="{0D05E6A1-1EE7-4C95-BF1E-45D748D16A3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48" name="AutoShape 40" descr="Currently available antiretroviral drugs | Download Table">
          <a:extLst>
            <a:ext uri="{FF2B5EF4-FFF2-40B4-BE49-F238E27FC236}">
              <a16:creationId xmlns:a16="http://schemas.microsoft.com/office/drawing/2014/main" id="{DD81E50D-8FC3-4003-BF2A-810A6AF1952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49" name="AutoShape 40" descr="Currently available antiretroviral drugs | Download Table">
          <a:extLst>
            <a:ext uri="{FF2B5EF4-FFF2-40B4-BE49-F238E27FC236}">
              <a16:creationId xmlns:a16="http://schemas.microsoft.com/office/drawing/2014/main" id="{C97B317C-C3AD-493D-A9CC-5E44DB73A9D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50" name="AutoShape 40" descr="Currently available antiretroviral drugs | Download Table">
          <a:extLst>
            <a:ext uri="{FF2B5EF4-FFF2-40B4-BE49-F238E27FC236}">
              <a16:creationId xmlns:a16="http://schemas.microsoft.com/office/drawing/2014/main" id="{8591CB69-3D89-44FB-83C0-477297AD019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51" name="AutoShape 40" descr="Currently available antiretroviral drugs | Download Table">
          <a:extLst>
            <a:ext uri="{FF2B5EF4-FFF2-40B4-BE49-F238E27FC236}">
              <a16:creationId xmlns:a16="http://schemas.microsoft.com/office/drawing/2014/main" id="{49500FB2-BBF8-46A2-8D96-B6889F3DD2D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52" name="AutoShape 40" descr="Currently available antiretroviral drugs | Download Table">
          <a:extLst>
            <a:ext uri="{FF2B5EF4-FFF2-40B4-BE49-F238E27FC236}">
              <a16:creationId xmlns:a16="http://schemas.microsoft.com/office/drawing/2014/main" id="{82836AB3-32C5-4306-82D0-844849CDDCD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53" name="AutoShape 40" descr="Currently available antiretroviral drugs | Download Table">
          <a:extLst>
            <a:ext uri="{FF2B5EF4-FFF2-40B4-BE49-F238E27FC236}">
              <a16:creationId xmlns:a16="http://schemas.microsoft.com/office/drawing/2014/main" id="{7270E326-6F4E-4C99-9DF0-86C940BE087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54" name="AutoShape 40" descr="Currently available antiretroviral drugs | Download Table">
          <a:extLst>
            <a:ext uri="{FF2B5EF4-FFF2-40B4-BE49-F238E27FC236}">
              <a16:creationId xmlns:a16="http://schemas.microsoft.com/office/drawing/2014/main" id="{EE8C8F2F-7A6F-4AB2-A0B1-13C3DA1B344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55" name="AutoShape 40" descr="Currently available antiretroviral drugs | Download Table">
          <a:extLst>
            <a:ext uri="{FF2B5EF4-FFF2-40B4-BE49-F238E27FC236}">
              <a16:creationId xmlns:a16="http://schemas.microsoft.com/office/drawing/2014/main" id="{29ABB6CD-44BA-4C26-A999-1EF2542FA16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56" name="AutoShape 40" descr="Currently available antiretroviral drugs | Download Table">
          <a:extLst>
            <a:ext uri="{FF2B5EF4-FFF2-40B4-BE49-F238E27FC236}">
              <a16:creationId xmlns:a16="http://schemas.microsoft.com/office/drawing/2014/main" id="{AEAA4B3A-2DB8-477A-9852-AF1AD707957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57" name="AutoShape 40" descr="Currently available antiretroviral drugs | Download Table">
          <a:extLst>
            <a:ext uri="{FF2B5EF4-FFF2-40B4-BE49-F238E27FC236}">
              <a16:creationId xmlns:a16="http://schemas.microsoft.com/office/drawing/2014/main" id="{BED2E583-5C3C-47A9-A884-5C79C16E85F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58" name="AutoShape 40" descr="Currently available antiretroviral drugs | Download Table">
          <a:extLst>
            <a:ext uri="{FF2B5EF4-FFF2-40B4-BE49-F238E27FC236}">
              <a16:creationId xmlns:a16="http://schemas.microsoft.com/office/drawing/2014/main" id="{44A2A81D-6CCA-4A47-8A04-E0B2C22CAC5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59" name="AutoShape 40" descr="Currently available antiretroviral drugs | Download Table">
          <a:extLst>
            <a:ext uri="{FF2B5EF4-FFF2-40B4-BE49-F238E27FC236}">
              <a16:creationId xmlns:a16="http://schemas.microsoft.com/office/drawing/2014/main" id="{005C552D-A110-42EE-894A-0D9D49FA89E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60" name="AutoShape 40" descr="Currently available antiretroviral drugs | Download Table">
          <a:extLst>
            <a:ext uri="{FF2B5EF4-FFF2-40B4-BE49-F238E27FC236}">
              <a16:creationId xmlns:a16="http://schemas.microsoft.com/office/drawing/2014/main" id="{11836236-E8CC-4E36-8BBF-2773DA4599D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61" name="AutoShape 40" descr="Currently available antiretroviral drugs | Download Table">
          <a:extLst>
            <a:ext uri="{FF2B5EF4-FFF2-40B4-BE49-F238E27FC236}">
              <a16:creationId xmlns:a16="http://schemas.microsoft.com/office/drawing/2014/main" id="{5FADB209-808D-4431-B158-C488AFEB6C3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62" name="AutoShape 40" descr="Currently available antiretroviral drugs | Download Table">
          <a:extLst>
            <a:ext uri="{FF2B5EF4-FFF2-40B4-BE49-F238E27FC236}">
              <a16:creationId xmlns:a16="http://schemas.microsoft.com/office/drawing/2014/main" id="{436DD296-9915-4B5A-BA6A-C80A5489FF7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63" name="AutoShape 40" descr="Currently available antiretroviral drugs | Download Table">
          <a:extLst>
            <a:ext uri="{FF2B5EF4-FFF2-40B4-BE49-F238E27FC236}">
              <a16:creationId xmlns:a16="http://schemas.microsoft.com/office/drawing/2014/main" id="{99D2E665-BF23-48DF-B8B7-2FAB1777CDC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64" name="AutoShape 40" descr="Currently available antiretroviral drugs | Download Table">
          <a:extLst>
            <a:ext uri="{FF2B5EF4-FFF2-40B4-BE49-F238E27FC236}">
              <a16:creationId xmlns:a16="http://schemas.microsoft.com/office/drawing/2014/main" id="{1C9ACCF1-92F5-4D61-A1A8-5C2EDEF3750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65" name="AutoShape 40" descr="Currently available antiretroviral drugs | Download Table">
          <a:extLst>
            <a:ext uri="{FF2B5EF4-FFF2-40B4-BE49-F238E27FC236}">
              <a16:creationId xmlns:a16="http://schemas.microsoft.com/office/drawing/2014/main" id="{263CB727-CBDC-4A28-8B11-7E244210E6C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66" name="AutoShape 40" descr="Currently available antiretroviral drugs | Download Table">
          <a:extLst>
            <a:ext uri="{FF2B5EF4-FFF2-40B4-BE49-F238E27FC236}">
              <a16:creationId xmlns:a16="http://schemas.microsoft.com/office/drawing/2014/main" id="{EB827EC2-83F4-440B-99C2-8000E7DED65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67" name="AutoShape 40" descr="Currently available antiretroviral drugs | Download Table">
          <a:extLst>
            <a:ext uri="{FF2B5EF4-FFF2-40B4-BE49-F238E27FC236}">
              <a16:creationId xmlns:a16="http://schemas.microsoft.com/office/drawing/2014/main" id="{FD9C396D-2E1E-4028-8C25-275D39FF53F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68" name="AutoShape 40" descr="Currently available antiretroviral drugs | Download Table">
          <a:extLst>
            <a:ext uri="{FF2B5EF4-FFF2-40B4-BE49-F238E27FC236}">
              <a16:creationId xmlns:a16="http://schemas.microsoft.com/office/drawing/2014/main" id="{C2077242-0F4C-4B1C-B0BA-A0182B2E787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69" name="AutoShape 40" descr="Currently available antiretroviral drugs | Download Table">
          <a:extLst>
            <a:ext uri="{FF2B5EF4-FFF2-40B4-BE49-F238E27FC236}">
              <a16:creationId xmlns:a16="http://schemas.microsoft.com/office/drawing/2014/main" id="{DA9E61A1-4477-43FD-A9EF-01B0D222499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70" name="AutoShape 40" descr="Currently available antiretroviral drugs | Download Table">
          <a:extLst>
            <a:ext uri="{FF2B5EF4-FFF2-40B4-BE49-F238E27FC236}">
              <a16:creationId xmlns:a16="http://schemas.microsoft.com/office/drawing/2014/main" id="{3E8C27F7-A3BF-4632-9ED9-F421B1815F4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71" name="AutoShape 40" descr="Currently available antiretroviral drugs | Download Table">
          <a:extLst>
            <a:ext uri="{FF2B5EF4-FFF2-40B4-BE49-F238E27FC236}">
              <a16:creationId xmlns:a16="http://schemas.microsoft.com/office/drawing/2014/main" id="{A53EFA11-98AF-4B4D-9C7A-8E7C486D03E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72" name="AutoShape 40" descr="Currently available antiretroviral drugs | Download Table">
          <a:extLst>
            <a:ext uri="{FF2B5EF4-FFF2-40B4-BE49-F238E27FC236}">
              <a16:creationId xmlns:a16="http://schemas.microsoft.com/office/drawing/2014/main" id="{67E36DB5-A479-4630-A198-007C9B677E2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73" name="AutoShape 40" descr="Currently available antiretroviral drugs | Download Table">
          <a:extLst>
            <a:ext uri="{FF2B5EF4-FFF2-40B4-BE49-F238E27FC236}">
              <a16:creationId xmlns:a16="http://schemas.microsoft.com/office/drawing/2014/main" id="{C1FF753A-F561-4D56-A059-DC3C5EF67E3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74" name="AutoShape 40" descr="Currently available antiretroviral drugs | Download Table">
          <a:extLst>
            <a:ext uri="{FF2B5EF4-FFF2-40B4-BE49-F238E27FC236}">
              <a16:creationId xmlns:a16="http://schemas.microsoft.com/office/drawing/2014/main" id="{9096140A-E5BD-47CC-803E-033A80F19BA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75" name="AutoShape 40" descr="Currently available antiretroviral drugs | Download Table">
          <a:extLst>
            <a:ext uri="{FF2B5EF4-FFF2-40B4-BE49-F238E27FC236}">
              <a16:creationId xmlns:a16="http://schemas.microsoft.com/office/drawing/2014/main" id="{D3EA90E7-4A48-423A-A895-3BA50E86FF0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76" name="AutoShape 40" descr="Currently available antiretroviral drugs | Download Table">
          <a:extLst>
            <a:ext uri="{FF2B5EF4-FFF2-40B4-BE49-F238E27FC236}">
              <a16:creationId xmlns:a16="http://schemas.microsoft.com/office/drawing/2014/main" id="{634AD4EC-F03D-4A0F-B24A-0392FECA4CB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77" name="AutoShape 40" descr="Currently available antiretroviral drugs | Download Table">
          <a:extLst>
            <a:ext uri="{FF2B5EF4-FFF2-40B4-BE49-F238E27FC236}">
              <a16:creationId xmlns:a16="http://schemas.microsoft.com/office/drawing/2014/main" id="{BF0E8C54-8E7B-40F0-AEC5-E4176BC857D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78" name="AutoShape 40" descr="Currently available antiretroviral drugs | Download Table">
          <a:extLst>
            <a:ext uri="{FF2B5EF4-FFF2-40B4-BE49-F238E27FC236}">
              <a16:creationId xmlns:a16="http://schemas.microsoft.com/office/drawing/2014/main" id="{BE8A407A-6926-4169-BABD-98A8ED95B1F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79" name="AutoShape 40" descr="Currently available antiretroviral drugs | Download Table">
          <a:extLst>
            <a:ext uri="{FF2B5EF4-FFF2-40B4-BE49-F238E27FC236}">
              <a16:creationId xmlns:a16="http://schemas.microsoft.com/office/drawing/2014/main" id="{2FE8B9F1-5D87-4948-88F8-98455B68FC8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80" name="AutoShape 40" descr="Currently available antiretroviral drugs | Download Table">
          <a:extLst>
            <a:ext uri="{FF2B5EF4-FFF2-40B4-BE49-F238E27FC236}">
              <a16:creationId xmlns:a16="http://schemas.microsoft.com/office/drawing/2014/main" id="{5EF71E44-66B5-481D-95FE-1D45F242BF7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81" name="AutoShape 40" descr="Currently available antiretroviral drugs | Download Table">
          <a:extLst>
            <a:ext uri="{FF2B5EF4-FFF2-40B4-BE49-F238E27FC236}">
              <a16:creationId xmlns:a16="http://schemas.microsoft.com/office/drawing/2014/main" id="{9FE6B62C-C375-486C-831F-926964BD6E9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82" name="AutoShape 40" descr="Currently available antiretroviral drugs | Download Table">
          <a:extLst>
            <a:ext uri="{FF2B5EF4-FFF2-40B4-BE49-F238E27FC236}">
              <a16:creationId xmlns:a16="http://schemas.microsoft.com/office/drawing/2014/main" id="{BD39A58D-F26F-4674-821E-B6AE806518F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83" name="AutoShape 40" descr="Currently available antiretroviral drugs | Download Table">
          <a:extLst>
            <a:ext uri="{FF2B5EF4-FFF2-40B4-BE49-F238E27FC236}">
              <a16:creationId xmlns:a16="http://schemas.microsoft.com/office/drawing/2014/main" id="{3E99E3E1-371F-46AA-9A19-55C77D50414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84" name="AutoShape 40" descr="Currently available antiretroviral drugs | Download Table">
          <a:extLst>
            <a:ext uri="{FF2B5EF4-FFF2-40B4-BE49-F238E27FC236}">
              <a16:creationId xmlns:a16="http://schemas.microsoft.com/office/drawing/2014/main" id="{9CCC4BF6-86E8-4BB1-944E-C3DB3747266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85" name="AutoShape 40" descr="Currently available antiretroviral drugs | Download Table">
          <a:extLst>
            <a:ext uri="{FF2B5EF4-FFF2-40B4-BE49-F238E27FC236}">
              <a16:creationId xmlns:a16="http://schemas.microsoft.com/office/drawing/2014/main" id="{D7DD9682-B932-4E54-9FA2-7BD141B4FB7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86" name="AutoShape 40" descr="Currently available antiretroviral drugs | Download Table">
          <a:extLst>
            <a:ext uri="{FF2B5EF4-FFF2-40B4-BE49-F238E27FC236}">
              <a16:creationId xmlns:a16="http://schemas.microsoft.com/office/drawing/2014/main" id="{17D8B802-6EA0-491A-9F42-355E0127F7A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87" name="AutoShape 40" descr="Currently available antiretroviral drugs | Download Table">
          <a:extLst>
            <a:ext uri="{FF2B5EF4-FFF2-40B4-BE49-F238E27FC236}">
              <a16:creationId xmlns:a16="http://schemas.microsoft.com/office/drawing/2014/main" id="{E15805ED-D30C-4302-AD4F-29EFAA82814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88" name="AutoShape 40" descr="Currently available antiretroviral drugs | Download Table">
          <a:extLst>
            <a:ext uri="{FF2B5EF4-FFF2-40B4-BE49-F238E27FC236}">
              <a16:creationId xmlns:a16="http://schemas.microsoft.com/office/drawing/2014/main" id="{96B05873-9750-4745-9987-E3C9C2A55C9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89" name="AutoShape 40" descr="Currently available antiretroviral drugs | Download Table">
          <a:extLst>
            <a:ext uri="{FF2B5EF4-FFF2-40B4-BE49-F238E27FC236}">
              <a16:creationId xmlns:a16="http://schemas.microsoft.com/office/drawing/2014/main" id="{AD11579F-C826-4011-8078-49B8E8FF5CD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90" name="AutoShape 40" descr="Currently available antiretroviral drugs | Download Table">
          <a:extLst>
            <a:ext uri="{FF2B5EF4-FFF2-40B4-BE49-F238E27FC236}">
              <a16:creationId xmlns:a16="http://schemas.microsoft.com/office/drawing/2014/main" id="{63C91121-71C2-4355-9590-AD046D8472B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91" name="AutoShape 40" descr="Currently available antiretroviral drugs | Download Table">
          <a:extLst>
            <a:ext uri="{FF2B5EF4-FFF2-40B4-BE49-F238E27FC236}">
              <a16:creationId xmlns:a16="http://schemas.microsoft.com/office/drawing/2014/main" id="{336F5BB5-A7F0-49FA-8646-AD3CA50A49D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92" name="AutoShape 40" descr="Currently available antiretroviral drugs | Download Table">
          <a:extLst>
            <a:ext uri="{FF2B5EF4-FFF2-40B4-BE49-F238E27FC236}">
              <a16:creationId xmlns:a16="http://schemas.microsoft.com/office/drawing/2014/main" id="{2451B239-98F9-4E0D-BA6B-5D8992F3217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93" name="AutoShape 40" descr="Currently available antiretroviral drugs | Download Table">
          <a:extLst>
            <a:ext uri="{FF2B5EF4-FFF2-40B4-BE49-F238E27FC236}">
              <a16:creationId xmlns:a16="http://schemas.microsoft.com/office/drawing/2014/main" id="{6753378D-BE55-4984-9526-1DF06DA599D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94" name="AutoShape 40" descr="Currently available antiretroviral drugs | Download Table">
          <a:extLst>
            <a:ext uri="{FF2B5EF4-FFF2-40B4-BE49-F238E27FC236}">
              <a16:creationId xmlns:a16="http://schemas.microsoft.com/office/drawing/2014/main" id="{A78DB4E7-B1C9-4D15-9EA3-15217C51E98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95" name="AutoShape 40" descr="Currently available antiretroviral drugs | Download Table">
          <a:extLst>
            <a:ext uri="{FF2B5EF4-FFF2-40B4-BE49-F238E27FC236}">
              <a16:creationId xmlns:a16="http://schemas.microsoft.com/office/drawing/2014/main" id="{78FF67F2-2054-4AAB-A7F9-D4030462E04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96" name="AutoShape 40" descr="Currently available antiretroviral drugs | Download Table">
          <a:extLst>
            <a:ext uri="{FF2B5EF4-FFF2-40B4-BE49-F238E27FC236}">
              <a16:creationId xmlns:a16="http://schemas.microsoft.com/office/drawing/2014/main" id="{9F632E8C-EDE2-489B-9A04-58163FC99D3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97" name="AutoShape 40" descr="Currently available antiretroviral drugs | Download Table">
          <a:extLst>
            <a:ext uri="{FF2B5EF4-FFF2-40B4-BE49-F238E27FC236}">
              <a16:creationId xmlns:a16="http://schemas.microsoft.com/office/drawing/2014/main" id="{EECBD2E6-0359-471D-B213-2C7FE83C524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98" name="AutoShape 40" descr="Currently available antiretroviral drugs | Download Table">
          <a:extLst>
            <a:ext uri="{FF2B5EF4-FFF2-40B4-BE49-F238E27FC236}">
              <a16:creationId xmlns:a16="http://schemas.microsoft.com/office/drawing/2014/main" id="{D958538E-4814-44C1-98F1-B9F683A8311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499" name="AutoShape 40" descr="Currently available antiretroviral drugs | Download Table">
          <a:extLst>
            <a:ext uri="{FF2B5EF4-FFF2-40B4-BE49-F238E27FC236}">
              <a16:creationId xmlns:a16="http://schemas.microsoft.com/office/drawing/2014/main" id="{EB46D443-B776-464A-A625-0E2A02D95C7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00" name="AutoShape 40" descr="Currently available antiretroviral drugs | Download Table">
          <a:extLst>
            <a:ext uri="{FF2B5EF4-FFF2-40B4-BE49-F238E27FC236}">
              <a16:creationId xmlns:a16="http://schemas.microsoft.com/office/drawing/2014/main" id="{2D680B75-972B-48E7-BD6E-B65F9B2DA4B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01" name="AutoShape 40" descr="Currently available antiretroviral drugs | Download Table">
          <a:extLst>
            <a:ext uri="{FF2B5EF4-FFF2-40B4-BE49-F238E27FC236}">
              <a16:creationId xmlns:a16="http://schemas.microsoft.com/office/drawing/2014/main" id="{6AF61D43-A0BF-46DB-86B0-947325045F9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02" name="AutoShape 40" descr="Currently available antiretroviral drugs | Download Table">
          <a:extLst>
            <a:ext uri="{FF2B5EF4-FFF2-40B4-BE49-F238E27FC236}">
              <a16:creationId xmlns:a16="http://schemas.microsoft.com/office/drawing/2014/main" id="{4C6C88E9-3B79-49FC-8A5A-D2493586C31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03" name="AutoShape 40" descr="Currently available antiretroviral drugs | Download Table">
          <a:extLst>
            <a:ext uri="{FF2B5EF4-FFF2-40B4-BE49-F238E27FC236}">
              <a16:creationId xmlns:a16="http://schemas.microsoft.com/office/drawing/2014/main" id="{5FE2C918-FDE8-4FBF-9CBD-9E3C1AD6621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04" name="AutoShape 40" descr="Currently available antiretroviral drugs | Download Table">
          <a:extLst>
            <a:ext uri="{FF2B5EF4-FFF2-40B4-BE49-F238E27FC236}">
              <a16:creationId xmlns:a16="http://schemas.microsoft.com/office/drawing/2014/main" id="{7F9D1C3B-98A5-4926-9AEE-5D53B93F93E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05" name="AutoShape 40" descr="Currently available antiretroviral drugs | Download Table">
          <a:extLst>
            <a:ext uri="{FF2B5EF4-FFF2-40B4-BE49-F238E27FC236}">
              <a16:creationId xmlns:a16="http://schemas.microsoft.com/office/drawing/2014/main" id="{9A347BC9-5C86-46FF-841F-89B695279C2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06" name="AutoShape 40" descr="Currently available antiretroviral drugs | Download Table">
          <a:extLst>
            <a:ext uri="{FF2B5EF4-FFF2-40B4-BE49-F238E27FC236}">
              <a16:creationId xmlns:a16="http://schemas.microsoft.com/office/drawing/2014/main" id="{2DBEA282-ABD0-4C68-8DF2-8599D9152B2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07" name="AutoShape 40" descr="Currently available antiretroviral drugs | Download Table">
          <a:extLst>
            <a:ext uri="{FF2B5EF4-FFF2-40B4-BE49-F238E27FC236}">
              <a16:creationId xmlns:a16="http://schemas.microsoft.com/office/drawing/2014/main" id="{1EAC26DF-7E8D-4170-A7F1-2E723A90D4D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08" name="AutoShape 40" descr="Currently available antiretroviral drugs | Download Table">
          <a:extLst>
            <a:ext uri="{FF2B5EF4-FFF2-40B4-BE49-F238E27FC236}">
              <a16:creationId xmlns:a16="http://schemas.microsoft.com/office/drawing/2014/main" id="{CE98C86D-B354-4A33-B697-68526CADBC4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09" name="AutoShape 40" descr="Currently available antiretroviral drugs | Download Table">
          <a:extLst>
            <a:ext uri="{FF2B5EF4-FFF2-40B4-BE49-F238E27FC236}">
              <a16:creationId xmlns:a16="http://schemas.microsoft.com/office/drawing/2014/main" id="{B29F190A-30BE-4656-AD19-BC2EB05F8F5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10" name="AutoShape 40" descr="Currently available antiretroviral drugs | Download Table">
          <a:extLst>
            <a:ext uri="{FF2B5EF4-FFF2-40B4-BE49-F238E27FC236}">
              <a16:creationId xmlns:a16="http://schemas.microsoft.com/office/drawing/2014/main" id="{CD5283EA-FC67-4C8A-8F48-3014CA29B12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11" name="AutoShape 40" descr="Currently available antiretroviral drugs | Download Table">
          <a:extLst>
            <a:ext uri="{FF2B5EF4-FFF2-40B4-BE49-F238E27FC236}">
              <a16:creationId xmlns:a16="http://schemas.microsoft.com/office/drawing/2014/main" id="{5FA0A5C7-A881-4E2E-A17C-5F750769FC2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12" name="AutoShape 40" descr="Currently available antiretroviral drugs | Download Table">
          <a:extLst>
            <a:ext uri="{FF2B5EF4-FFF2-40B4-BE49-F238E27FC236}">
              <a16:creationId xmlns:a16="http://schemas.microsoft.com/office/drawing/2014/main" id="{8FF24BA8-1BF5-422C-9BB7-E75C8C17F65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13" name="AutoShape 40" descr="Currently available antiretroviral drugs | Download Table">
          <a:extLst>
            <a:ext uri="{FF2B5EF4-FFF2-40B4-BE49-F238E27FC236}">
              <a16:creationId xmlns:a16="http://schemas.microsoft.com/office/drawing/2014/main" id="{259E82C0-4C56-45CA-9F6F-127AA13959C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14" name="AutoShape 40" descr="Currently available antiretroviral drugs | Download Table">
          <a:extLst>
            <a:ext uri="{FF2B5EF4-FFF2-40B4-BE49-F238E27FC236}">
              <a16:creationId xmlns:a16="http://schemas.microsoft.com/office/drawing/2014/main" id="{5206CA27-44EC-4F46-9E90-2EB9859F199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15" name="AutoShape 40" descr="Currently available antiretroviral drugs | Download Table">
          <a:extLst>
            <a:ext uri="{FF2B5EF4-FFF2-40B4-BE49-F238E27FC236}">
              <a16:creationId xmlns:a16="http://schemas.microsoft.com/office/drawing/2014/main" id="{D6E24C59-1505-4B66-8EC9-F8D77128920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16" name="AutoShape 40" descr="Currently available antiretroviral drugs | Download Table">
          <a:extLst>
            <a:ext uri="{FF2B5EF4-FFF2-40B4-BE49-F238E27FC236}">
              <a16:creationId xmlns:a16="http://schemas.microsoft.com/office/drawing/2014/main" id="{D6AB93F4-9281-400D-B55E-B7D156C580A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17" name="AutoShape 40" descr="Currently available antiretroviral drugs | Download Table">
          <a:extLst>
            <a:ext uri="{FF2B5EF4-FFF2-40B4-BE49-F238E27FC236}">
              <a16:creationId xmlns:a16="http://schemas.microsoft.com/office/drawing/2014/main" id="{FDE9E081-D19C-4567-8448-4A5CE9CBC11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18" name="AutoShape 40" descr="Currently available antiretroviral drugs | Download Table">
          <a:extLst>
            <a:ext uri="{FF2B5EF4-FFF2-40B4-BE49-F238E27FC236}">
              <a16:creationId xmlns:a16="http://schemas.microsoft.com/office/drawing/2014/main" id="{27FF65F4-21C8-40DB-A2A6-BA15697073D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19" name="AutoShape 40" descr="Currently available antiretroviral drugs | Download Table">
          <a:extLst>
            <a:ext uri="{FF2B5EF4-FFF2-40B4-BE49-F238E27FC236}">
              <a16:creationId xmlns:a16="http://schemas.microsoft.com/office/drawing/2014/main" id="{F3FAF31F-FFA9-487C-BB13-5694283CC83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20" name="AutoShape 40" descr="Currently available antiretroviral drugs | Download Table">
          <a:extLst>
            <a:ext uri="{FF2B5EF4-FFF2-40B4-BE49-F238E27FC236}">
              <a16:creationId xmlns:a16="http://schemas.microsoft.com/office/drawing/2014/main" id="{2D439B3F-EF4F-4D3E-9626-EE959382B81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21" name="AutoShape 40" descr="Currently available antiretroviral drugs | Download Table">
          <a:extLst>
            <a:ext uri="{FF2B5EF4-FFF2-40B4-BE49-F238E27FC236}">
              <a16:creationId xmlns:a16="http://schemas.microsoft.com/office/drawing/2014/main" id="{7F701C7A-32AD-40BD-9557-95A9FA4AEFF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22" name="AutoShape 40" descr="Currently available antiretroviral drugs | Download Table">
          <a:extLst>
            <a:ext uri="{FF2B5EF4-FFF2-40B4-BE49-F238E27FC236}">
              <a16:creationId xmlns:a16="http://schemas.microsoft.com/office/drawing/2014/main" id="{1E8B3C2F-AE92-4EC0-BD41-A33A8E0205B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23" name="AutoShape 40" descr="Currently available antiretroviral drugs | Download Table">
          <a:extLst>
            <a:ext uri="{FF2B5EF4-FFF2-40B4-BE49-F238E27FC236}">
              <a16:creationId xmlns:a16="http://schemas.microsoft.com/office/drawing/2014/main" id="{D17E9CC1-CFB2-4E6A-A5D6-E8DFE47751D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24" name="AutoShape 40" descr="Currently available antiretroviral drugs | Download Table">
          <a:extLst>
            <a:ext uri="{FF2B5EF4-FFF2-40B4-BE49-F238E27FC236}">
              <a16:creationId xmlns:a16="http://schemas.microsoft.com/office/drawing/2014/main" id="{DAF54E79-B22F-4968-B513-5F2C7098025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25" name="AutoShape 40" descr="Currently available antiretroviral drugs | Download Table">
          <a:extLst>
            <a:ext uri="{FF2B5EF4-FFF2-40B4-BE49-F238E27FC236}">
              <a16:creationId xmlns:a16="http://schemas.microsoft.com/office/drawing/2014/main" id="{0EF59663-E206-45AC-90E5-6179690A198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26" name="AutoShape 40" descr="Currently available antiretroviral drugs | Download Table">
          <a:extLst>
            <a:ext uri="{FF2B5EF4-FFF2-40B4-BE49-F238E27FC236}">
              <a16:creationId xmlns:a16="http://schemas.microsoft.com/office/drawing/2014/main" id="{081A8CAE-6C0D-43AA-B1B0-16F7CC46CA6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27" name="AutoShape 40" descr="Currently available antiretroviral drugs | Download Table">
          <a:extLst>
            <a:ext uri="{FF2B5EF4-FFF2-40B4-BE49-F238E27FC236}">
              <a16:creationId xmlns:a16="http://schemas.microsoft.com/office/drawing/2014/main" id="{40DB4F92-6AC8-4D78-BF60-C49EF1055F9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28" name="AutoShape 40" descr="Currently available antiretroviral drugs | Download Table">
          <a:extLst>
            <a:ext uri="{FF2B5EF4-FFF2-40B4-BE49-F238E27FC236}">
              <a16:creationId xmlns:a16="http://schemas.microsoft.com/office/drawing/2014/main" id="{70D2C478-A48B-4D5E-95F5-B86B1762FC7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29" name="AutoShape 40" descr="Currently available antiretroviral drugs | Download Table">
          <a:extLst>
            <a:ext uri="{FF2B5EF4-FFF2-40B4-BE49-F238E27FC236}">
              <a16:creationId xmlns:a16="http://schemas.microsoft.com/office/drawing/2014/main" id="{DA0DDA1C-4213-4735-BB37-D02B1EA6132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30" name="AutoShape 40" descr="Currently available antiretroviral drugs | Download Table">
          <a:extLst>
            <a:ext uri="{FF2B5EF4-FFF2-40B4-BE49-F238E27FC236}">
              <a16:creationId xmlns:a16="http://schemas.microsoft.com/office/drawing/2014/main" id="{D1177180-A381-4E98-A3F4-32C3AA45A8C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31" name="AutoShape 40" descr="Currently available antiretroviral drugs | Download Table">
          <a:extLst>
            <a:ext uri="{FF2B5EF4-FFF2-40B4-BE49-F238E27FC236}">
              <a16:creationId xmlns:a16="http://schemas.microsoft.com/office/drawing/2014/main" id="{93DCCD52-CA4D-44AC-B4FB-5B406882FEA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32" name="AutoShape 40" descr="Currently available antiretroviral drugs | Download Table">
          <a:extLst>
            <a:ext uri="{FF2B5EF4-FFF2-40B4-BE49-F238E27FC236}">
              <a16:creationId xmlns:a16="http://schemas.microsoft.com/office/drawing/2014/main" id="{7C777595-660D-4BFD-9C6A-BC8E9C2FD9C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33" name="AutoShape 40" descr="Currently available antiretroviral drugs | Download Table">
          <a:extLst>
            <a:ext uri="{FF2B5EF4-FFF2-40B4-BE49-F238E27FC236}">
              <a16:creationId xmlns:a16="http://schemas.microsoft.com/office/drawing/2014/main" id="{D338D355-F9C3-416F-886B-2BBEA1757B4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34" name="AutoShape 40" descr="Currently available antiretroviral drugs | Download Table">
          <a:extLst>
            <a:ext uri="{FF2B5EF4-FFF2-40B4-BE49-F238E27FC236}">
              <a16:creationId xmlns:a16="http://schemas.microsoft.com/office/drawing/2014/main" id="{C79B73EF-E9C4-4636-B4C5-07D3D6B3BC4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35" name="AutoShape 40" descr="Currently available antiretroviral drugs | Download Table">
          <a:extLst>
            <a:ext uri="{FF2B5EF4-FFF2-40B4-BE49-F238E27FC236}">
              <a16:creationId xmlns:a16="http://schemas.microsoft.com/office/drawing/2014/main" id="{8E9F6C45-71A0-47E3-B360-36E7C13F5FF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36" name="AutoShape 40" descr="Currently available antiretroviral drugs | Download Table">
          <a:extLst>
            <a:ext uri="{FF2B5EF4-FFF2-40B4-BE49-F238E27FC236}">
              <a16:creationId xmlns:a16="http://schemas.microsoft.com/office/drawing/2014/main" id="{7608DEEE-10D1-4DCE-A33A-214F5D2C2AE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37" name="AutoShape 40" descr="Currently available antiretroviral drugs | Download Table">
          <a:extLst>
            <a:ext uri="{FF2B5EF4-FFF2-40B4-BE49-F238E27FC236}">
              <a16:creationId xmlns:a16="http://schemas.microsoft.com/office/drawing/2014/main" id="{46B19892-6915-46E4-89A5-831431B6403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38" name="AutoShape 40" descr="Currently available antiretroviral drugs | Download Table">
          <a:extLst>
            <a:ext uri="{FF2B5EF4-FFF2-40B4-BE49-F238E27FC236}">
              <a16:creationId xmlns:a16="http://schemas.microsoft.com/office/drawing/2014/main" id="{9A230B03-A99F-4317-9EF6-64BDDD5B5D6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39" name="AutoShape 40" descr="Currently available antiretroviral drugs | Download Table">
          <a:extLst>
            <a:ext uri="{FF2B5EF4-FFF2-40B4-BE49-F238E27FC236}">
              <a16:creationId xmlns:a16="http://schemas.microsoft.com/office/drawing/2014/main" id="{F43AA0C3-8D9A-49B6-8C8D-22DA9A5E8D6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40" name="AutoShape 40" descr="Currently available antiretroviral drugs | Download Table">
          <a:extLst>
            <a:ext uri="{FF2B5EF4-FFF2-40B4-BE49-F238E27FC236}">
              <a16:creationId xmlns:a16="http://schemas.microsoft.com/office/drawing/2014/main" id="{5421FAE4-FCD9-4CE9-B5CD-17369F60FCF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41" name="AutoShape 40" descr="Currently available antiretroviral drugs | Download Table">
          <a:extLst>
            <a:ext uri="{FF2B5EF4-FFF2-40B4-BE49-F238E27FC236}">
              <a16:creationId xmlns:a16="http://schemas.microsoft.com/office/drawing/2014/main" id="{871273F2-5F5D-4B9E-B3E0-153E04CDC4F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42" name="AutoShape 40" descr="Currently available antiretroviral drugs | Download Table">
          <a:extLst>
            <a:ext uri="{FF2B5EF4-FFF2-40B4-BE49-F238E27FC236}">
              <a16:creationId xmlns:a16="http://schemas.microsoft.com/office/drawing/2014/main" id="{6C331053-79C8-48AF-9AEA-8FA1FD21A49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43" name="AutoShape 40" descr="Currently available antiretroviral drugs | Download Table">
          <a:extLst>
            <a:ext uri="{FF2B5EF4-FFF2-40B4-BE49-F238E27FC236}">
              <a16:creationId xmlns:a16="http://schemas.microsoft.com/office/drawing/2014/main" id="{A8EA4522-1C5F-4EEF-B812-B300BC9195A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44" name="AutoShape 40" descr="Currently available antiretroviral drugs | Download Table">
          <a:extLst>
            <a:ext uri="{FF2B5EF4-FFF2-40B4-BE49-F238E27FC236}">
              <a16:creationId xmlns:a16="http://schemas.microsoft.com/office/drawing/2014/main" id="{E55FA27E-AD81-43FE-80D6-5B50DDD4E41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45" name="AutoShape 40" descr="Currently available antiretroviral drugs | Download Table">
          <a:extLst>
            <a:ext uri="{FF2B5EF4-FFF2-40B4-BE49-F238E27FC236}">
              <a16:creationId xmlns:a16="http://schemas.microsoft.com/office/drawing/2014/main" id="{6F1E76FA-7B38-4019-8B86-7800FE9E761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46" name="AutoShape 40" descr="Currently available antiretroviral drugs | Download Table">
          <a:extLst>
            <a:ext uri="{FF2B5EF4-FFF2-40B4-BE49-F238E27FC236}">
              <a16:creationId xmlns:a16="http://schemas.microsoft.com/office/drawing/2014/main" id="{0EFE72CA-3BCF-4417-91CF-E8B691B72FC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47" name="AutoShape 40" descr="Currently available antiretroviral drugs | Download Table">
          <a:extLst>
            <a:ext uri="{FF2B5EF4-FFF2-40B4-BE49-F238E27FC236}">
              <a16:creationId xmlns:a16="http://schemas.microsoft.com/office/drawing/2014/main" id="{269185CC-907B-401D-8794-7DC66738F8B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48" name="AutoShape 40" descr="Currently available antiretroviral drugs | Download Table">
          <a:extLst>
            <a:ext uri="{FF2B5EF4-FFF2-40B4-BE49-F238E27FC236}">
              <a16:creationId xmlns:a16="http://schemas.microsoft.com/office/drawing/2014/main" id="{3B62FF8C-D9EE-4B1A-8098-21EA3571E54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49" name="AutoShape 40" descr="Currently available antiretroviral drugs | Download Table">
          <a:extLst>
            <a:ext uri="{FF2B5EF4-FFF2-40B4-BE49-F238E27FC236}">
              <a16:creationId xmlns:a16="http://schemas.microsoft.com/office/drawing/2014/main" id="{4F7CC305-C8F6-4A5D-90F7-6B78FF06AAD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50" name="AutoShape 40" descr="Currently available antiretroviral drugs | Download Table">
          <a:extLst>
            <a:ext uri="{FF2B5EF4-FFF2-40B4-BE49-F238E27FC236}">
              <a16:creationId xmlns:a16="http://schemas.microsoft.com/office/drawing/2014/main" id="{CC48064F-443C-4CC2-8AA5-7CE8D701341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51" name="AutoShape 40" descr="Currently available antiretroviral drugs | Download Table">
          <a:extLst>
            <a:ext uri="{FF2B5EF4-FFF2-40B4-BE49-F238E27FC236}">
              <a16:creationId xmlns:a16="http://schemas.microsoft.com/office/drawing/2014/main" id="{A29F1783-7A8F-4290-8D39-8B748FF1372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52" name="AutoShape 40" descr="Currently available antiretroviral drugs | Download Table">
          <a:extLst>
            <a:ext uri="{FF2B5EF4-FFF2-40B4-BE49-F238E27FC236}">
              <a16:creationId xmlns:a16="http://schemas.microsoft.com/office/drawing/2014/main" id="{EA783C46-B36A-46C0-ABC3-462BB6E606E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53" name="AutoShape 40" descr="Currently available antiretroviral drugs | Download Table">
          <a:extLst>
            <a:ext uri="{FF2B5EF4-FFF2-40B4-BE49-F238E27FC236}">
              <a16:creationId xmlns:a16="http://schemas.microsoft.com/office/drawing/2014/main" id="{47ADD444-B4B9-453D-BF49-3F0023B3331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54" name="AutoShape 40" descr="Currently available antiretroviral drugs | Download Table">
          <a:extLst>
            <a:ext uri="{FF2B5EF4-FFF2-40B4-BE49-F238E27FC236}">
              <a16:creationId xmlns:a16="http://schemas.microsoft.com/office/drawing/2014/main" id="{A5387619-D2F2-46DF-B88B-8CFCBA3C5BA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55" name="AutoShape 40" descr="Currently available antiretroviral drugs | Download Table">
          <a:extLst>
            <a:ext uri="{FF2B5EF4-FFF2-40B4-BE49-F238E27FC236}">
              <a16:creationId xmlns:a16="http://schemas.microsoft.com/office/drawing/2014/main" id="{7B48BA49-5293-4D20-9FD1-1004E0BC358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56" name="AutoShape 40" descr="Currently available antiretroviral drugs | Download Table">
          <a:extLst>
            <a:ext uri="{FF2B5EF4-FFF2-40B4-BE49-F238E27FC236}">
              <a16:creationId xmlns:a16="http://schemas.microsoft.com/office/drawing/2014/main" id="{E67C54D7-2DBC-4F25-B601-183A34E1039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57" name="AutoShape 40" descr="Currently available antiretroviral drugs | Download Table">
          <a:extLst>
            <a:ext uri="{FF2B5EF4-FFF2-40B4-BE49-F238E27FC236}">
              <a16:creationId xmlns:a16="http://schemas.microsoft.com/office/drawing/2014/main" id="{FB79D9AD-EBFE-41D6-8329-3CCC80C88F2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58" name="AutoShape 40" descr="Currently available antiretroviral drugs | Download Table">
          <a:extLst>
            <a:ext uri="{FF2B5EF4-FFF2-40B4-BE49-F238E27FC236}">
              <a16:creationId xmlns:a16="http://schemas.microsoft.com/office/drawing/2014/main" id="{8C9C90BF-5EA7-42FB-B446-580979C1923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59" name="AutoShape 40" descr="Currently available antiretroviral drugs | Download Table">
          <a:extLst>
            <a:ext uri="{FF2B5EF4-FFF2-40B4-BE49-F238E27FC236}">
              <a16:creationId xmlns:a16="http://schemas.microsoft.com/office/drawing/2014/main" id="{D67E3E2D-379F-49A3-B7ED-0839618C602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60" name="AutoShape 40" descr="Currently available antiretroviral drugs | Download Table">
          <a:extLst>
            <a:ext uri="{FF2B5EF4-FFF2-40B4-BE49-F238E27FC236}">
              <a16:creationId xmlns:a16="http://schemas.microsoft.com/office/drawing/2014/main" id="{3B2E36D1-38F2-4131-B01A-98B29944EB8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61" name="AutoShape 40" descr="Currently available antiretroviral drugs | Download Table">
          <a:extLst>
            <a:ext uri="{FF2B5EF4-FFF2-40B4-BE49-F238E27FC236}">
              <a16:creationId xmlns:a16="http://schemas.microsoft.com/office/drawing/2014/main" id="{16A97737-EC04-4897-B4C7-31F0CEBE285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62" name="AutoShape 40" descr="Currently available antiretroviral drugs | Download Table">
          <a:extLst>
            <a:ext uri="{FF2B5EF4-FFF2-40B4-BE49-F238E27FC236}">
              <a16:creationId xmlns:a16="http://schemas.microsoft.com/office/drawing/2014/main" id="{973ABF62-4049-457E-B7E9-EF4E5EB1AA4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63" name="AutoShape 40" descr="Currently available antiretroviral drugs | Download Table">
          <a:extLst>
            <a:ext uri="{FF2B5EF4-FFF2-40B4-BE49-F238E27FC236}">
              <a16:creationId xmlns:a16="http://schemas.microsoft.com/office/drawing/2014/main" id="{C4F643C8-AAEB-4DE2-9DE0-FDEAF2B103F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64" name="AutoShape 40" descr="Currently available antiretroviral drugs | Download Table">
          <a:extLst>
            <a:ext uri="{FF2B5EF4-FFF2-40B4-BE49-F238E27FC236}">
              <a16:creationId xmlns:a16="http://schemas.microsoft.com/office/drawing/2014/main" id="{89876012-D05A-4C25-AC28-7FA994DB2C7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65" name="AutoShape 40" descr="Currently available antiretroviral drugs | Download Table">
          <a:extLst>
            <a:ext uri="{FF2B5EF4-FFF2-40B4-BE49-F238E27FC236}">
              <a16:creationId xmlns:a16="http://schemas.microsoft.com/office/drawing/2014/main" id="{0A1A42FF-1F59-4B34-B9B0-89534E60773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66" name="AutoShape 40" descr="Currently available antiretroviral drugs | Download Table">
          <a:extLst>
            <a:ext uri="{FF2B5EF4-FFF2-40B4-BE49-F238E27FC236}">
              <a16:creationId xmlns:a16="http://schemas.microsoft.com/office/drawing/2014/main" id="{5708F5DE-DCE1-41E8-98C1-CBC9CAC631E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67" name="AutoShape 40" descr="Currently available antiretroviral drugs | Download Table">
          <a:extLst>
            <a:ext uri="{FF2B5EF4-FFF2-40B4-BE49-F238E27FC236}">
              <a16:creationId xmlns:a16="http://schemas.microsoft.com/office/drawing/2014/main" id="{EAE8A80B-5BBF-4142-AD89-B264C5B1C20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68" name="AutoShape 40" descr="Currently available antiretroviral drugs | Download Table">
          <a:extLst>
            <a:ext uri="{FF2B5EF4-FFF2-40B4-BE49-F238E27FC236}">
              <a16:creationId xmlns:a16="http://schemas.microsoft.com/office/drawing/2014/main" id="{68A59FE8-861A-4A02-912E-C0A8FFC53F1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69" name="AutoShape 40" descr="Currently available antiretroviral drugs | Download Table">
          <a:extLst>
            <a:ext uri="{FF2B5EF4-FFF2-40B4-BE49-F238E27FC236}">
              <a16:creationId xmlns:a16="http://schemas.microsoft.com/office/drawing/2014/main" id="{D5EE353E-0BEA-47A4-918B-68AFEC342A8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70" name="AutoShape 40" descr="Currently available antiretroviral drugs | Download Table">
          <a:extLst>
            <a:ext uri="{FF2B5EF4-FFF2-40B4-BE49-F238E27FC236}">
              <a16:creationId xmlns:a16="http://schemas.microsoft.com/office/drawing/2014/main" id="{66034B2F-BD7C-42EE-9E61-B96CDC5B994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71" name="AutoShape 40" descr="Currently available antiretroviral drugs | Download Table">
          <a:extLst>
            <a:ext uri="{FF2B5EF4-FFF2-40B4-BE49-F238E27FC236}">
              <a16:creationId xmlns:a16="http://schemas.microsoft.com/office/drawing/2014/main" id="{06F06769-8FB2-4677-9E54-DCA4C5CD48C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72" name="AutoShape 40" descr="Currently available antiretroviral drugs | Download Table">
          <a:extLst>
            <a:ext uri="{FF2B5EF4-FFF2-40B4-BE49-F238E27FC236}">
              <a16:creationId xmlns:a16="http://schemas.microsoft.com/office/drawing/2014/main" id="{BEF7E6DD-3C2A-4E4C-81C7-42684A3AB74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73" name="AutoShape 40" descr="Currently available antiretroviral drugs | Download Table">
          <a:extLst>
            <a:ext uri="{FF2B5EF4-FFF2-40B4-BE49-F238E27FC236}">
              <a16:creationId xmlns:a16="http://schemas.microsoft.com/office/drawing/2014/main" id="{BE100FD1-AE4F-4643-8EE6-E2660D64E9C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74" name="AutoShape 40" descr="Currently available antiretroviral drugs | Download Table">
          <a:extLst>
            <a:ext uri="{FF2B5EF4-FFF2-40B4-BE49-F238E27FC236}">
              <a16:creationId xmlns:a16="http://schemas.microsoft.com/office/drawing/2014/main" id="{1643A753-9698-4FA1-8A81-42B1FE9A449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75" name="AutoShape 40" descr="Currently available antiretroviral drugs | Download Table">
          <a:extLst>
            <a:ext uri="{FF2B5EF4-FFF2-40B4-BE49-F238E27FC236}">
              <a16:creationId xmlns:a16="http://schemas.microsoft.com/office/drawing/2014/main" id="{B9AAE1CB-BFA0-4E3F-BDBE-DD8EF4EE41D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76" name="AutoShape 40" descr="Currently available antiretroviral drugs | Download Table">
          <a:extLst>
            <a:ext uri="{FF2B5EF4-FFF2-40B4-BE49-F238E27FC236}">
              <a16:creationId xmlns:a16="http://schemas.microsoft.com/office/drawing/2014/main" id="{2290A65C-C81B-48F0-B291-85EF929515C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77" name="AutoShape 40" descr="Currently available antiretroviral drugs | Download Table">
          <a:extLst>
            <a:ext uri="{FF2B5EF4-FFF2-40B4-BE49-F238E27FC236}">
              <a16:creationId xmlns:a16="http://schemas.microsoft.com/office/drawing/2014/main" id="{3A4D476E-59D0-4488-AF23-E15B138E7A6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78" name="AutoShape 40" descr="Currently available antiretroviral drugs | Download Table">
          <a:extLst>
            <a:ext uri="{FF2B5EF4-FFF2-40B4-BE49-F238E27FC236}">
              <a16:creationId xmlns:a16="http://schemas.microsoft.com/office/drawing/2014/main" id="{E6678C14-C210-42C1-9A73-2E6643DA5DD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79" name="AutoShape 40" descr="Currently available antiretroviral drugs | Download Table">
          <a:extLst>
            <a:ext uri="{FF2B5EF4-FFF2-40B4-BE49-F238E27FC236}">
              <a16:creationId xmlns:a16="http://schemas.microsoft.com/office/drawing/2014/main" id="{F8FD8C04-39A5-48C2-BD71-F8E09E0DDC3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80" name="AutoShape 40" descr="Currently available antiretroviral drugs | Download Table">
          <a:extLst>
            <a:ext uri="{FF2B5EF4-FFF2-40B4-BE49-F238E27FC236}">
              <a16:creationId xmlns:a16="http://schemas.microsoft.com/office/drawing/2014/main" id="{2B3A2614-4E8C-44E0-9D60-D72DA847489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81" name="AutoShape 40" descr="Currently available antiretroviral drugs | Download Table">
          <a:extLst>
            <a:ext uri="{FF2B5EF4-FFF2-40B4-BE49-F238E27FC236}">
              <a16:creationId xmlns:a16="http://schemas.microsoft.com/office/drawing/2014/main" id="{69626734-9527-4F84-9413-459EDD99020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82" name="AutoShape 40" descr="Currently available antiretroviral drugs | Download Table">
          <a:extLst>
            <a:ext uri="{FF2B5EF4-FFF2-40B4-BE49-F238E27FC236}">
              <a16:creationId xmlns:a16="http://schemas.microsoft.com/office/drawing/2014/main" id="{1E513649-F64D-48FB-BCCE-C0FF600B477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83" name="AutoShape 40" descr="Currently available antiretroviral drugs | Download Table">
          <a:extLst>
            <a:ext uri="{FF2B5EF4-FFF2-40B4-BE49-F238E27FC236}">
              <a16:creationId xmlns:a16="http://schemas.microsoft.com/office/drawing/2014/main" id="{5773A2D5-E56E-41BB-94C6-EFA49227DC6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84" name="AutoShape 40" descr="Currently available antiretroviral drugs | Download Table">
          <a:extLst>
            <a:ext uri="{FF2B5EF4-FFF2-40B4-BE49-F238E27FC236}">
              <a16:creationId xmlns:a16="http://schemas.microsoft.com/office/drawing/2014/main" id="{BC245125-5B65-4B41-8786-3139C4A02DE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85" name="AutoShape 40" descr="Currently available antiretroviral drugs | Download Table">
          <a:extLst>
            <a:ext uri="{FF2B5EF4-FFF2-40B4-BE49-F238E27FC236}">
              <a16:creationId xmlns:a16="http://schemas.microsoft.com/office/drawing/2014/main" id="{A542F762-C097-4FF3-BCD1-419AB96AB35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86" name="AutoShape 40" descr="Currently available antiretroviral drugs | Download Table">
          <a:extLst>
            <a:ext uri="{FF2B5EF4-FFF2-40B4-BE49-F238E27FC236}">
              <a16:creationId xmlns:a16="http://schemas.microsoft.com/office/drawing/2014/main" id="{ACA2815F-3297-4D91-8E6B-F928113CE5A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87" name="AutoShape 40" descr="Currently available antiretroviral drugs | Download Table">
          <a:extLst>
            <a:ext uri="{FF2B5EF4-FFF2-40B4-BE49-F238E27FC236}">
              <a16:creationId xmlns:a16="http://schemas.microsoft.com/office/drawing/2014/main" id="{4176BA16-60D4-478F-9AFC-D8EBFE946AC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88" name="AutoShape 40" descr="Currently available antiretroviral drugs | Download Table">
          <a:extLst>
            <a:ext uri="{FF2B5EF4-FFF2-40B4-BE49-F238E27FC236}">
              <a16:creationId xmlns:a16="http://schemas.microsoft.com/office/drawing/2014/main" id="{7338AE88-5C13-4CB8-B7B1-82BF9695F9E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89" name="AutoShape 40" descr="Currently available antiretroviral drugs | Download Table">
          <a:extLst>
            <a:ext uri="{FF2B5EF4-FFF2-40B4-BE49-F238E27FC236}">
              <a16:creationId xmlns:a16="http://schemas.microsoft.com/office/drawing/2014/main" id="{1307B6F0-2428-4B28-876F-1232A7CE762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90" name="AutoShape 40" descr="Currently available antiretroviral drugs | Download Table">
          <a:extLst>
            <a:ext uri="{FF2B5EF4-FFF2-40B4-BE49-F238E27FC236}">
              <a16:creationId xmlns:a16="http://schemas.microsoft.com/office/drawing/2014/main" id="{406073D7-BE46-43F8-B306-C54D5468D97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91" name="AutoShape 40" descr="Currently available antiretroviral drugs | Download Table">
          <a:extLst>
            <a:ext uri="{FF2B5EF4-FFF2-40B4-BE49-F238E27FC236}">
              <a16:creationId xmlns:a16="http://schemas.microsoft.com/office/drawing/2014/main" id="{55987C4E-ABE6-4B6D-8FB3-69195912CCD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92" name="AutoShape 40" descr="Currently available antiretroviral drugs | Download Table">
          <a:extLst>
            <a:ext uri="{FF2B5EF4-FFF2-40B4-BE49-F238E27FC236}">
              <a16:creationId xmlns:a16="http://schemas.microsoft.com/office/drawing/2014/main" id="{54B1DC5C-16E2-41D9-8E43-8AEF0E71A73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93" name="AutoShape 40" descr="Currently available antiretroviral drugs | Download Table">
          <a:extLst>
            <a:ext uri="{FF2B5EF4-FFF2-40B4-BE49-F238E27FC236}">
              <a16:creationId xmlns:a16="http://schemas.microsoft.com/office/drawing/2014/main" id="{3FDBDA9D-9391-4531-8CA5-127E2A54DDB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94" name="AutoShape 40" descr="Currently available antiretroviral drugs | Download Table">
          <a:extLst>
            <a:ext uri="{FF2B5EF4-FFF2-40B4-BE49-F238E27FC236}">
              <a16:creationId xmlns:a16="http://schemas.microsoft.com/office/drawing/2014/main" id="{44F3F2AF-83E5-44B8-9078-86B3C149C9C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95" name="AutoShape 40" descr="Currently available antiretroviral drugs | Download Table">
          <a:extLst>
            <a:ext uri="{FF2B5EF4-FFF2-40B4-BE49-F238E27FC236}">
              <a16:creationId xmlns:a16="http://schemas.microsoft.com/office/drawing/2014/main" id="{9612EC49-F8AF-4BD3-96BB-779B5401A42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96" name="AutoShape 40" descr="Currently available antiretroviral drugs | Download Table">
          <a:extLst>
            <a:ext uri="{FF2B5EF4-FFF2-40B4-BE49-F238E27FC236}">
              <a16:creationId xmlns:a16="http://schemas.microsoft.com/office/drawing/2014/main" id="{9F8E5293-E3FA-46C4-B599-D8BC81E6BE4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97" name="AutoShape 40" descr="Currently available antiretroviral drugs | Download Table">
          <a:extLst>
            <a:ext uri="{FF2B5EF4-FFF2-40B4-BE49-F238E27FC236}">
              <a16:creationId xmlns:a16="http://schemas.microsoft.com/office/drawing/2014/main" id="{A1A417B8-BC4B-4625-8547-9C984502ECE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98" name="AutoShape 40" descr="Currently available antiretroviral drugs | Download Table">
          <a:extLst>
            <a:ext uri="{FF2B5EF4-FFF2-40B4-BE49-F238E27FC236}">
              <a16:creationId xmlns:a16="http://schemas.microsoft.com/office/drawing/2014/main" id="{C4DF489C-43DD-40C3-9944-09C505E8852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599" name="AutoShape 40" descr="Currently available antiretroviral drugs | Download Table">
          <a:extLst>
            <a:ext uri="{FF2B5EF4-FFF2-40B4-BE49-F238E27FC236}">
              <a16:creationId xmlns:a16="http://schemas.microsoft.com/office/drawing/2014/main" id="{6BC15135-2817-4065-959D-501EAAA6EE4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00" name="AutoShape 40" descr="Currently available antiretroviral drugs | Download Table">
          <a:extLst>
            <a:ext uri="{FF2B5EF4-FFF2-40B4-BE49-F238E27FC236}">
              <a16:creationId xmlns:a16="http://schemas.microsoft.com/office/drawing/2014/main" id="{FAF7A592-D04F-402C-957B-9DC5BA4CAD4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01" name="AutoShape 40" descr="Currently available antiretroviral drugs | Download Table">
          <a:extLst>
            <a:ext uri="{FF2B5EF4-FFF2-40B4-BE49-F238E27FC236}">
              <a16:creationId xmlns:a16="http://schemas.microsoft.com/office/drawing/2014/main" id="{E2DED4F6-ED85-48EB-A096-B5D3FC01C17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02" name="AutoShape 40" descr="Currently available antiretroviral drugs | Download Table">
          <a:extLst>
            <a:ext uri="{FF2B5EF4-FFF2-40B4-BE49-F238E27FC236}">
              <a16:creationId xmlns:a16="http://schemas.microsoft.com/office/drawing/2014/main" id="{AE7B377C-E731-41CD-A142-40C09B13922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03" name="AutoShape 40" descr="Currently available antiretroviral drugs | Download Table">
          <a:extLst>
            <a:ext uri="{FF2B5EF4-FFF2-40B4-BE49-F238E27FC236}">
              <a16:creationId xmlns:a16="http://schemas.microsoft.com/office/drawing/2014/main" id="{D4B413FE-1C1B-4B62-A9D2-CF3699957DD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04" name="AutoShape 40" descr="Currently available antiretroviral drugs | Download Table">
          <a:extLst>
            <a:ext uri="{FF2B5EF4-FFF2-40B4-BE49-F238E27FC236}">
              <a16:creationId xmlns:a16="http://schemas.microsoft.com/office/drawing/2014/main" id="{8B827A4B-39D5-4F80-8144-B93525CA3EE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05" name="AutoShape 40" descr="Currently available antiretroviral drugs | Download Table">
          <a:extLst>
            <a:ext uri="{FF2B5EF4-FFF2-40B4-BE49-F238E27FC236}">
              <a16:creationId xmlns:a16="http://schemas.microsoft.com/office/drawing/2014/main" id="{C2333A26-31C0-4CD7-AC3A-EEFA47DB89B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06" name="AutoShape 40" descr="Currently available antiretroviral drugs | Download Table">
          <a:extLst>
            <a:ext uri="{FF2B5EF4-FFF2-40B4-BE49-F238E27FC236}">
              <a16:creationId xmlns:a16="http://schemas.microsoft.com/office/drawing/2014/main" id="{BD600133-BE6B-40DF-BA4F-3980F1B6759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07" name="AutoShape 40" descr="Currently available antiretroviral drugs | Download Table">
          <a:extLst>
            <a:ext uri="{FF2B5EF4-FFF2-40B4-BE49-F238E27FC236}">
              <a16:creationId xmlns:a16="http://schemas.microsoft.com/office/drawing/2014/main" id="{BEB0BCD8-E010-45E0-95A3-131AD561922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08" name="AutoShape 40" descr="Currently available antiretroviral drugs | Download Table">
          <a:extLst>
            <a:ext uri="{FF2B5EF4-FFF2-40B4-BE49-F238E27FC236}">
              <a16:creationId xmlns:a16="http://schemas.microsoft.com/office/drawing/2014/main" id="{473D1001-AE65-42E6-B9E4-E85A16D9E57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09" name="AutoShape 40" descr="Currently available antiretroviral drugs | Download Table">
          <a:extLst>
            <a:ext uri="{FF2B5EF4-FFF2-40B4-BE49-F238E27FC236}">
              <a16:creationId xmlns:a16="http://schemas.microsoft.com/office/drawing/2014/main" id="{6CC4563C-CF13-4BDF-BCA7-96D161D22FD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10" name="AutoShape 40" descr="Currently available antiretroviral drugs | Download Table">
          <a:extLst>
            <a:ext uri="{FF2B5EF4-FFF2-40B4-BE49-F238E27FC236}">
              <a16:creationId xmlns:a16="http://schemas.microsoft.com/office/drawing/2014/main" id="{FC9C163A-1E49-4AD5-B21E-3E58BBC94CC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11" name="AutoShape 40" descr="Currently available antiretroviral drugs | Download Table">
          <a:extLst>
            <a:ext uri="{FF2B5EF4-FFF2-40B4-BE49-F238E27FC236}">
              <a16:creationId xmlns:a16="http://schemas.microsoft.com/office/drawing/2014/main" id="{639783A3-F82F-4B5A-840C-36ECDD5BECE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12" name="AutoShape 40" descr="Currently available antiretroviral drugs | Download Table">
          <a:extLst>
            <a:ext uri="{FF2B5EF4-FFF2-40B4-BE49-F238E27FC236}">
              <a16:creationId xmlns:a16="http://schemas.microsoft.com/office/drawing/2014/main" id="{7F72B217-507B-4CAE-A74E-CD011DD8E8F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13" name="AutoShape 40" descr="Currently available antiretroviral drugs | Download Table">
          <a:extLst>
            <a:ext uri="{FF2B5EF4-FFF2-40B4-BE49-F238E27FC236}">
              <a16:creationId xmlns:a16="http://schemas.microsoft.com/office/drawing/2014/main" id="{C1F7E8E2-CDDC-4844-A5EC-B182E3C9BDA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14" name="AutoShape 40" descr="Currently available antiretroviral drugs | Download Table">
          <a:extLst>
            <a:ext uri="{FF2B5EF4-FFF2-40B4-BE49-F238E27FC236}">
              <a16:creationId xmlns:a16="http://schemas.microsoft.com/office/drawing/2014/main" id="{5E4392AB-FE4C-4E9F-88F9-FE85C06460F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15" name="AutoShape 40" descr="Currently available antiretroviral drugs | Download Table">
          <a:extLst>
            <a:ext uri="{FF2B5EF4-FFF2-40B4-BE49-F238E27FC236}">
              <a16:creationId xmlns:a16="http://schemas.microsoft.com/office/drawing/2014/main" id="{76C1843A-5D0F-4B67-8C05-694A218908E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16" name="AutoShape 40" descr="Currently available antiretroviral drugs | Download Table">
          <a:extLst>
            <a:ext uri="{FF2B5EF4-FFF2-40B4-BE49-F238E27FC236}">
              <a16:creationId xmlns:a16="http://schemas.microsoft.com/office/drawing/2014/main" id="{74E111A7-21B0-4C02-9AED-1157BFE645E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17" name="AutoShape 40" descr="Currently available antiretroviral drugs | Download Table">
          <a:extLst>
            <a:ext uri="{FF2B5EF4-FFF2-40B4-BE49-F238E27FC236}">
              <a16:creationId xmlns:a16="http://schemas.microsoft.com/office/drawing/2014/main" id="{F87A5FE1-45A6-4F90-BE51-77E97687956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18" name="AutoShape 40" descr="Currently available antiretroviral drugs | Download Table">
          <a:extLst>
            <a:ext uri="{FF2B5EF4-FFF2-40B4-BE49-F238E27FC236}">
              <a16:creationId xmlns:a16="http://schemas.microsoft.com/office/drawing/2014/main" id="{2F72265C-C291-49F5-9649-41381ED0ECD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19" name="AutoShape 40" descr="Currently available antiretroviral drugs | Download Table">
          <a:extLst>
            <a:ext uri="{FF2B5EF4-FFF2-40B4-BE49-F238E27FC236}">
              <a16:creationId xmlns:a16="http://schemas.microsoft.com/office/drawing/2014/main" id="{C23334BE-8DA5-44B9-8F9B-4DACE18D3EF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20" name="AutoShape 40" descr="Currently available antiretroviral drugs | Download Table">
          <a:extLst>
            <a:ext uri="{FF2B5EF4-FFF2-40B4-BE49-F238E27FC236}">
              <a16:creationId xmlns:a16="http://schemas.microsoft.com/office/drawing/2014/main" id="{9BBA1A7E-A88A-4153-A580-DF4AA349041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21" name="AutoShape 40" descr="Currently available antiretroviral drugs | Download Table">
          <a:extLst>
            <a:ext uri="{FF2B5EF4-FFF2-40B4-BE49-F238E27FC236}">
              <a16:creationId xmlns:a16="http://schemas.microsoft.com/office/drawing/2014/main" id="{3675CC07-6DBA-4632-A4A5-78ED4303776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22" name="AutoShape 40" descr="Currently available antiretroviral drugs | Download Table">
          <a:extLst>
            <a:ext uri="{FF2B5EF4-FFF2-40B4-BE49-F238E27FC236}">
              <a16:creationId xmlns:a16="http://schemas.microsoft.com/office/drawing/2014/main" id="{D869F791-EDAB-44A3-9056-F2FDE30BF8B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696727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23" name="AutoShape 40" descr="Currently available antiretroviral drugs | Download Table">
          <a:extLst>
            <a:ext uri="{FF2B5EF4-FFF2-40B4-BE49-F238E27FC236}">
              <a16:creationId xmlns:a16="http://schemas.microsoft.com/office/drawing/2014/main" id="{ED34309D-AB38-47D7-99A5-2E8D195AD49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24" name="AutoShape 40" descr="Currently available antiretroviral drugs | Download Table">
          <a:extLst>
            <a:ext uri="{FF2B5EF4-FFF2-40B4-BE49-F238E27FC236}">
              <a16:creationId xmlns:a16="http://schemas.microsoft.com/office/drawing/2014/main" id="{033C3F5F-21FA-422E-A6B5-6909FBBBE77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25" name="AutoShape 40" descr="Currently available antiretroviral drugs | Download Table">
          <a:extLst>
            <a:ext uri="{FF2B5EF4-FFF2-40B4-BE49-F238E27FC236}">
              <a16:creationId xmlns:a16="http://schemas.microsoft.com/office/drawing/2014/main" id="{12493513-1528-4F07-A961-1B2D7C43912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26" name="AutoShape 40" descr="Currently available antiretroviral drugs | Download Table">
          <a:extLst>
            <a:ext uri="{FF2B5EF4-FFF2-40B4-BE49-F238E27FC236}">
              <a16:creationId xmlns:a16="http://schemas.microsoft.com/office/drawing/2014/main" id="{1501E65B-4E4F-4520-9AB5-023998D5A53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27" name="AutoShape 40" descr="Currently available antiretroviral drugs | Download Table">
          <a:extLst>
            <a:ext uri="{FF2B5EF4-FFF2-40B4-BE49-F238E27FC236}">
              <a16:creationId xmlns:a16="http://schemas.microsoft.com/office/drawing/2014/main" id="{1BA26E8E-A06C-4A6F-B41F-23BDED65C90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28" name="AutoShape 40" descr="Currently available antiretroviral drugs | Download Table">
          <a:extLst>
            <a:ext uri="{FF2B5EF4-FFF2-40B4-BE49-F238E27FC236}">
              <a16:creationId xmlns:a16="http://schemas.microsoft.com/office/drawing/2014/main" id="{429E4BD6-4FB5-4DEB-B589-ED7F8912E45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29" name="AutoShape 40" descr="Currently available antiretroviral drugs | Download Table">
          <a:extLst>
            <a:ext uri="{FF2B5EF4-FFF2-40B4-BE49-F238E27FC236}">
              <a16:creationId xmlns:a16="http://schemas.microsoft.com/office/drawing/2014/main" id="{1DBC0F79-82BB-45AD-9862-342C23B1501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30" name="AutoShape 40" descr="Currently available antiretroviral drugs | Download Table">
          <a:extLst>
            <a:ext uri="{FF2B5EF4-FFF2-40B4-BE49-F238E27FC236}">
              <a16:creationId xmlns:a16="http://schemas.microsoft.com/office/drawing/2014/main" id="{749BFC58-010B-4812-818D-F8B08F44A69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31" name="AutoShape 40" descr="Currently available antiretroviral drugs | Download Table">
          <a:extLst>
            <a:ext uri="{FF2B5EF4-FFF2-40B4-BE49-F238E27FC236}">
              <a16:creationId xmlns:a16="http://schemas.microsoft.com/office/drawing/2014/main" id="{ACF44298-4D66-4B5D-9364-D6A2835591D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71473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32" name="AutoShape 40" descr="Currently available antiretroviral drugs | Download Table">
          <a:extLst>
            <a:ext uri="{FF2B5EF4-FFF2-40B4-BE49-F238E27FC236}">
              <a16:creationId xmlns:a16="http://schemas.microsoft.com/office/drawing/2014/main" id="{1FF380B3-6C18-4976-8165-221315A9EB0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822803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33" name="AutoShape 40" descr="Currently available antiretroviral drugs | Download Table">
          <a:extLst>
            <a:ext uri="{FF2B5EF4-FFF2-40B4-BE49-F238E27FC236}">
              <a16:creationId xmlns:a16="http://schemas.microsoft.com/office/drawing/2014/main" id="{7F6FE235-6A9E-41A3-9947-6606CA19264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822803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34" name="AutoShape 40" descr="Currently available antiretroviral drugs | Download Table">
          <a:extLst>
            <a:ext uri="{FF2B5EF4-FFF2-40B4-BE49-F238E27FC236}">
              <a16:creationId xmlns:a16="http://schemas.microsoft.com/office/drawing/2014/main" id="{21AF70D0-94AF-4A71-8EF1-1260A18F0C6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822803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35" name="AutoShape 40" descr="Currently available antiretroviral drugs | Download Table">
          <a:extLst>
            <a:ext uri="{FF2B5EF4-FFF2-40B4-BE49-F238E27FC236}">
              <a16:creationId xmlns:a16="http://schemas.microsoft.com/office/drawing/2014/main" id="{60575EE9-DF28-4A41-A577-9878BD5ACEA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822803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36" name="AutoShape 40" descr="Currently available antiretroviral drugs | Download Table">
          <a:extLst>
            <a:ext uri="{FF2B5EF4-FFF2-40B4-BE49-F238E27FC236}">
              <a16:creationId xmlns:a16="http://schemas.microsoft.com/office/drawing/2014/main" id="{29F9BC01-7AAB-402D-852F-E6B7FD26394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822803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37" name="AutoShape 40" descr="Currently available antiretroviral drugs | Download Table">
          <a:extLst>
            <a:ext uri="{FF2B5EF4-FFF2-40B4-BE49-F238E27FC236}">
              <a16:creationId xmlns:a16="http://schemas.microsoft.com/office/drawing/2014/main" id="{29F90E69-136F-428E-9579-AB24701EECE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822803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38" name="AutoShape 40" descr="Currently available antiretroviral drugs | Download Table">
          <a:extLst>
            <a:ext uri="{FF2B5EF4-FFF2-40B4-BE49-F238E27FC236}">
              <a16:creationId xmlns:a16="http://schemas.microsoft.com/office/drawing/2014/main" id="{B1C3356C-6D59-4068-B4CC-CC5B7924826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822803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39" name="AutoShape 40" descr="Currently available antiretroviral drugs | Download Table">
          <a:extLst>
            <a:ext uri="{FF2B5EF4-FFF2-40B4-BE49-F238E27FC236}">
              <a16:creationId xmlns:a16="http://schemas.microsoft.com/office/drawing/2014/main" id="{1697147C-FAB0-4FD4-A074-D186DDB06A4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822803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40" name="AutoShape 40" descr="Currently available antiretroviral drugs | Download Table">
          <a:extLst>
            <a:ext uri="{FF2B5EF4-FFF2-40B4-BE49-F238E27FC236}">
              <a16:creationId xmlns:a16="http://schemas.microsoft.com/office/drawing/2014/main" id="{C54833B6-728C-47C6-9FB1-CB38E6A3D76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822803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41" name="AutoShape 40" descr="Currently available antiretroviral drugs | Download Table">
          <a:extLst>
            <a:ext uri="{FF2B5EF4-FFF2-40B4-BE49-F238E27FC236}">
              <a16:creationId xmlns:a16="http://schemas.microsoft.com/office/drawing/2014/main" id="{F3C7786B-D8EB-4641-903A-7B11612E66A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822803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42" name="AutoShape 40" descr="Currently available antiretroviral drugs | Download Table">
          <a:extLst>
            <a:ext uri="{FF2B5EF4-FFF2-40B4-BE49-F238E27FC236}">
              <a16:creationId xmlns:a16="http://schemas.microsoft.com/office/drawing/2014/main" id="{B9788DF6-5DA1-4E88-9841-CE61F5A96CF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822803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43" name="AutoShape 40" descr="Currently available antiretroviral drugs | Download Table">
          <a:extLst>
            <a:ext uri="{FF2B5EF4-FFF2-40B4-BE49-F238E27FC236}">
              <a16:creationId xmlns:a16="http://schemas.microsoft.com/office/drawing/2014/main" id="{377D64D8-72AE-42A1-ACD1-0A41048C5CA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840814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44" name="AutoShape 40" descr="Currently available antiretroviral drugs | Download Table">
          <a:extLst>
            <a:ext uri="{FF2B5EF4-FFF2-40B4-BE49-F238E27FC236}">
              <a16:creationId xmlns:a16="http://schemas.microsoft.com/office/drawing/2014/main" id="{F9F733F4-9B98-421F-9060-94CA67A0936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822803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45" name="AutoShape 40" descr="Currently available antiretroviral drugs | Download Table">
          <a:extLst>
            <a:ext uri="{FF2B5EF4-FFF2-40B4-BE49-F238E27FC236}">
              <a16:creationId xmlns:a16="http://schemas.microsoft.com/office/drawing/2014/main" id="{3E530C1D-DBAD-42BA-B7E3-6F9D2705340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822803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46" name="AutoShape 40" descr="Currently available antiretroviral drugs | Download Table">
          <a:extLst>
            <a:ext uri="{FF2B5EF4-FFF2-40B4-BE49-F238E27FC236}">
              <a16:creationId xmlns:a16="http://schemas.microsoft.com/office/drawing/2014/main" id="{679D3B0F-A740-45D4-9AF1-03A4D9223F1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840814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47" name="AutoShape 40" descr="Currently available antiretroviral drugs | Download Table">
          <a:extLst>
            <a:ext uri="{FF2B5EF4-FFF2-40B4-BE49-F238E27FC236}">
              <a16:creationId xmlns:a16="http://schemas.microsoft.com/office/drawing/2014/main" id="{F2FEB3A8-8914-4AA8-A2B2-D18645CCA12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840814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48" name="AutoShape 40" descr="Currently available antiretroviral drugs | Download Table">
          <a:extLst>
            <a:ext uri="{FF2B5EF4-FFF2-40B4-BE49-F238E27FC236}">
              <a16:creationId xmlns:a16="http://schemas.microsoft.com/office/drawing/2014/main" id="{396A3D2C-2016-4232-A3D5-AF073FB0079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840814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49" name="AutoShape 40" descr="Currently available antiretroviral drugs | Download Table">
          <a:extLst>
            <a:ext uri="{FF2B5EF4-FFF2-40B4-BE49-F238E27FC236}">
              <a16:creationId xmlns:a16="http://schemas.microsoft.com/office/drawing/2014/main" id="{093EB890-6A25-4FC0-B7FD-68E7C701789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840814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50" name="AutoShape 40" descr="Currently available antiretroviral drugs | Download Table">
          <a:extLst>
            <a:ext uri="{FF2B5EF4-FFF2-40B4-BE49-F238E27FC236}">
              <a16:creationId xmlns:a16="http://schemas.microsoft.com/office/drawing/2014/main" id="{DF55DC2B-2CEE-41D1-B8C7-2303E81C75B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840814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51" name="AutoShape 40" descr="Currently available antiretroviral drugs | Download Table">
          <a:extLst>
            <a:ext uri="{FF2B5EF4-FFF2-40B4-BE49-F238E27FC236}">
              <a16:creationId xmlns:a16="http://schemas.microsoft.com/office/drawing/2014/main" id="{76CCF868-8CDF-417A-A44A-4AF41B8F779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840814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52" name="AutoShape 40" descr="Currently available antiretroviral drugs | Download Table">
          <a:extLst>
            <a:ext uri="{FF2B5EF4-FFF2-40B4-BE49-F238E27FC236}">
              <a16:creationId xmlns:a16="http://schemas.microsoft.com/office/drawing/2014/main" id="{211E6BE7-21A9-4208-A9F1-4D353E5D585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840814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53" name="AutoShape 40" descr="Currently available antiretroviral drugs | Download Table">
          <a:extLst>
            <a:ext uri="{FF2B5EF4-FFF2-40B4-BE49-F238E27FC236}">
              <a16:creationId xmlns:a16="http://schemas.microsoft.com/office/drawing/2014/main" id="{6168FA1D-7ABD-4206-960A-0F77679AEA6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840814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54" name="AutoShape 40" descr="Currently available antiretroviral drugs | Download Table">
          <a:extLst>
            <a:ext uri="{FF2B5EF4-FFF2-40B4-BE49-F238E27FC236}">
              <a16:creationId xmlns:a16="http://schemas.microsoft.com/office/drawing/2014/main" id="{AF4CD44A-AC17-4B06-B623-24F94B08D55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840814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55" name="AutoShape 40" descr="Currently available antiretroviral drugs | Download Table">
          <a:extLst>
            <a:ext uri="{FF2B5EF4-FFF2-40B4-BE49-F238E27FC236}">
              <a16:creationId xmlns:a16="http://schemas.microsoft.com/office/drawing/2014/main" id="{C191C922-0E72-457E-B807-22A1D61768A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840814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56" name="AutoShape 40" descr="Currently available antiretroviral drugs | Download Table">
          <a:extLst>
            <a:ext uri="{FF2B5EF4-FFF2-40B4-BE49-F238E27FC236}">
              <a16:creationId xmlns:a16="http://schemas.microsoft.com/office/drawing/2014/main" id="{7957A7B0-4597-4423-82FC-078A0F666D5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840814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57" name="AutoShape 40" descr="Currently available antiretroviral drugs | Download Table">
          <a:extLst>
            <a:ext uri="{FF2B5EF4-FFF2-40B4-BE49-F238E27FC236}">
              <a16:creationId xmlns:a16="http://schemas.microsoft.com/office/drawing/2014/main" id="{73184138-5E1A-485E-A70F-DEFC84895B6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840814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58" name="AutoShape 40" descr="Currently available antiretroviral drugs | Download Table">
          <a:extLst>
            <a:ext uri="{FF2B5EF4-FFF2-40B4-BE49-F238E27FC236}">
              <a16:creationId xmlns:a16="http://schemas.microsoft.com/office/drawing/2014/main" id="{76433720-C3C3-4BDE-8B83-0BE8FF79063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840814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59" name="AutoShape 40" descr="Currently available antiretroviral drugs | Download Table">
          <a:extLst>
            <a:ext uri="{FF2B5EF4-FFF2-40B4-BE49-F238E27FC236}">
              <a16:creationId xmlns:a16="http://schemas.microsoft.com/office/drawing/2014/main" id="{088628B4-5DF9-48D5-92BF-60A6C523F75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840814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60" name="AutoShape 40" descr="Currently available antiretroviral drugs | Download Table">
          <a:extLst>
            <a:ext uri="{FF2B5EF4-FFF2-40B4-BE49-F238E27FC236}">
              <a16:creationId xmlns:a16="http://schemas.microsoft.com/office/drawing/2014/main" id="{C4FB67BC-0ABA-4EE3-A3D3-9EF4968D542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840814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61" name="AutoShape 40" descr="Currently available antiretroviral drugs | Download Table">
          <a:extLst>
            <a:ext uri="{FF2B5EF4-FFF2-40B4-BE49-F238E27FC236}">
              <a16:creationId xmlns:a16="http://schemas.microsoft.com/office/drawing/2014/main" id="{8A851D31-C9EB-4CD7-A819-9A8812F2DFD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840814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62" name="AutoShape 40" descr="Currently available antiretroviral drugs | Download Table">
          <a:extLst>
            <a:ext uri="{FF2B5EF4-FFF2-40B4-BE49-F238E27FC236}">
              <a16:creationId xmlns:a16="http://schemas.microsoft.com/office/drawing/2014/main" id="{3067AC89-D4B2-43AC-965F-FAD95588274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840814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63" name="AutoShape 40" descr="Currently available antiretroviral drugs | Download Table">
          <a:extLst>
            <a:ext uri="{FF2B5EF4-FFF2-40B4-BE49-F238E27FC236}">
              <a16:creationId xmlns:a16="http://schemas.microsoft.com/office/drawing/2014/main" id="{6A9D6A48-C5C3-4FE6-8131-CF7A6B7FF74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840814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64" name="AutoShape 40" descr="Currently available antiretroviral drugs | Download Table">
          <a:extLst>
            <a:ext uri="{FF2B5EF4-FFF2-40B4-BE49-F238E27FC236}">
              <a16:creationId xmlns:a16="http://schemas.microsoft.com/office/drawing/2014/main" id="{3E61B34A-D000-4204-90D5-9B17106E3DE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840814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65" name="AutoShape 40" descr="Currently available antiretroviral drugs | Download Table">
          <a:extLst>
            <a:ext uri="{FF2B5EF4-FFF2-40B4-BE49-F238E27FC236}">
              <a16:creationId xmlns:a16="http://schemas.microsoft.com/office/drawing/2014/main" id="{5AB4CACD-EC27-444B-AF7D-8D613E3DC36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822803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66" name="AutoShape 40" descr="Currently available antiretroviral drugs | Download Table">
          <a:extLst>
            <a:ext uri="{FF2B5EF4-FFF2-40B4-BE49-F238E27FC236}">
              <a16:creationId xmlns:a16="http://schemas.microsoft.com/office/drawing/2014/main" id="{E29E738C-87FB-4ED8-A9AE-657D6699D82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822803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67" name="AutoShape 40" descr="Currently available antiretroviral drugs | Download Table">
          <a:extLst>
            <a:ext uri="{FF2B5EF4-FFF2-40B4-BE49-F238E27FC236}">
              <a16:creationId xmlns:a16="http://schemas.microsoft.com/office/drawing/2014/main" id="{C2AD4DFF-AC02-4C3C-987F-7EE7340293D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822803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68" name="AutoShape 40" descr="Currently available antiretroviral drugs | Download Table">
          <a:extLst>
            <a:ext uri="{FF2B5EF4-FFF2-40B4-BE49-F238E27FC236}">
              <a16:creationId xmlns:a16="http://schemas.microsoft.com/office/drawing/2014/main" id="{AE035CE1-22B5-4E3C-912B-D34E2D17B0D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822803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69" name="AutoShape 40" descr="Currently available antiretroviral drugs | Download Table">
          <a:extLst>
            <a:ext uri="{FF2B5EF4-FFF2-40B4-BE49-F238E27FC236}">
              <a16:creationId xmlns:a16="http://schemas.microsoft.com/office/drawing/2014/main" id="{B5A3AC4D-D513-49F8-A1BD-9596734326C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822803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70" name="AutoShape 40" descr="Currently available antiretroviral drugs | Download Table">
          <a:extLst>
            <a:ext uri="{FF2B5EF4-FFF2-40B4-BE49-F238E27FC236}">
              <a16:creationId xmlns:a16="http://schemas.microsoft.com/office/drawing/2014/main" id="{99ECB01A-E6B5-4F92-A988-3C81074F3C5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822803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71" name="AutoShape 40" descr="Currently available antiretroviral drugs | Download Table">
          <a:extLst>
            <a:ext uri="{FF2B5EF4-FFF2-40B4-BE49-F238E27FC236}">
              <a16:creationId xmlns:a16="http://schemas.microsoft.com/office/drawing/2014/main" id="{A8DA10F7-7A37-4468-8F8F-A04ABEABC56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822803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72" name="AutoShape 40" descr="Currently available antiretroviral drugs | Download Table">
          <a:extLst>
            <a:ext uri="{FF2B5EF4-FFF2-40B4-BE49-F238E27FC236}">
              <a16:creationId xmlns:a16="http://schemas.microsoft.com/office/drawing/2014/main" id="{D84BD915-A142-4332-9F58-CA6157AA8ED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822803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73" name="AutoShape 40" descr="Currently available antiretroviral drugs | Download Table">
          <a:extLst>
            <a:ext uri="{FF2B5EF4-FFF2-40B4-BE49-F238E27FC236}">
              <a16:creationId xmlns:a16="http://schemas.microsoft.com/office/drawing/2014/main" id="{D2B0BA82-9EB5-4387-9F33-D9927BE5042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822803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74" name="AutoShape 40" descr="Currently available antiretroviral drugs | Download Table">
          <a:extLst>
            <a:ext uri="{FF2B5EF4-FFF2-40B4-BE49-F238E27FC236}">
              <a16:creationId xmlns:a16="http://schemas.microsoft.com/office/drawing/2014/main" id="{77D59CCF-78EF-426C-9BF9-779BC599961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822803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75" name="AutoShape 40" descr="Currently available antiretroviral drugs | Download Table">
          <a:extLst>
            <a:ext uri="{FF2B5EF4-FFF2-40B4-BE49-F238E27FC236}">
              <a16:creationId xmlns:a16="http://schemas.microsoft.com/office/drawing/2014/main" id="{B1CD1EFE-20F7-490F-8FB9-5752C976BC8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822803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76" name="AutoShape 40" descr="Currently available antiretroviral drugs | Download Table">
          <a:extLst>
            <a:ext uri="{FF2B5EF4-FFF2-40B4-BE49-F238E27FC236}">
              <a16:creationId xmlns:a16="http://schemas.microsoft.com/office/drawing/2014/main" id="{CA9FD39E-F59D-4F0B-A189-A0A4624AA34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840814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77" name="AutoShape 40" descr="Currently available antiretroviral drugs | Download Table">
          <a:extLst>
            <a:ext uri="{FF2B5EF4-FFF2-40B4-BE49-F238E27FC236}">
              <a16:creationId xmlns:a16="http://schemas.microsoft.com/office/drawing/2014/main" id="{3416FF8B-C077-406A-B729-D73DD9A81D3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822803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78" name="AutoShape 40" descr="Currently available antiretroviral drugs | Download Table">
          <a:extLst>
            <a:ext uri="{FF2B5EF4-FFF2-40B4-BE49-F238E27FC236}">
              <a16:creationId xmlns:a16="http://schemas.microsoft.com/office/drawing/2014/main" id="{D83DEF83-1F23-4B80-B1A7-B2CB67B1563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822803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79" name="AutoShape 40" descr="Currently available antiretroviral drugs | Download Table">
          <a:extLst>
            <a:ext uri="{FF2B5EF4-FFF2-40B4-BE49-F238E27FC236}">
              <a16:creationId xmlns:a16="http://schemas.microsoft.com/office/drawing/2014/main" id="{DD5DEC58-82D4-42F0-9E8D-DFC643E8A13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840814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80" name="AutoShape 40" descr="Currently available antiretroviral drugs | Download Table">
          <a:extLst>
            <a:ext uri="{FF2B5EF4-FFF2-40B4-BE49-F238E27FC236}">
              <a16:creationId xmlns:a16="http://schemas.microsoft.com/office/drawing/2014/main" id="{B383BEE0-B864-4AFF-B463-297043AD068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840814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81" name="AutoShape 40" descr="Currently available antiretroviral drugs | Download Table">
          <a:extLst>
            <a:ext uri="{FF2B5EF4-FFF2-40B4-BE49-F238E27FC236}">
              <a16:creationId xmlns:a16="http://schemas.microsoft.com/office/drawing/2014/main" id="{0B9702D3-55A4-43EF-8EFB-7B5EB1EFA30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840814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82" name="AutoShape 40" descr="Currently available antiretroviral drugs | Download Table">
          <a:extLst>
            <a:ext uri="{FF2B5EF4-FFF2-40B4-BE49-F238E27FC236}">
              <a16:creationId xmlns:a16="http://schemas.microsoft.com/office/drawing/2014/main" id="{376C369B-4691-4CBD-B034-1BD518FA533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840814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83" name="AutoShape 40" descr="Currently available antiretroviral drugs | Download Table">
          <a:extLst>
            <a:ext uri="{FF2B5EF4-FFF2-40B4-BE49-F238E27FC236}">
              <a16:creationId xmlns:a16="http://schemas.microsoft.com/office/drawing/2014/main" id="{F9A43BFC-E5DE-4003-BE89-EE4DB9E81D8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840814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84" name="AutoShape 40" descr="Currently available antiretroviral drugs | Download Table">
          <a:extLst>
            <a:ext uri="{FF2B5EF4-FFF2-40B4-BE49-F238E27FC236}">
              <a16:creationId xmlns:a16="http://schemas.microsoft.com/office/drawing/2014/main" id="{6EB6416E-D822-4226-AAD9-D6126F84E53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840814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85" name="AutoShape 40" descr="Currently available antiretroviral drugs | Download Table">
          <a:extLst>
            <a:ext uri="{FF2B5EF4-FFF2-40B4-BE49-F238E27FC236}">
              <a16:creationId xmlns:a16="http://schemas.microsoft.com/office/drawing/2014/main" id="{D8193030-527D-45EB-A209-A576014C982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840814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86" name="AutoShape 40" descr="Currently available antiretroviral drugs | Download Table">
          <a:extLst>
            <a:ext uri="{FF2B5EF4-FFF2-40B4-BE49-F238E27FC236}">
              <a16:creationId xmlns:a16="http://schemas.microsoft.com/office/drawing/2014/main" id="{154DEA89-83F7-4BC5-9030-0E6C696A30F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840814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87" name="AutoShape 40" descr="Currently available antiretroviral drugs | Download Table">
          <a:extLst>
            <a:ext uri="{FF2B5EF4-FFF2-40B4-BE49-F238E27FC236}">
              <a16:creationId xmlns:a16="http://schemas.microsoft.com/office/drawing/2014/main" id="{026A7F7D-C9B1-4344-AB4E-D76A81A1D55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840814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88" name="AutoShape 40" descr="Currently available antiretroviral drugs | Download Table">
          <a:extLst>
            <a:ext uri="{FF2B5EF4-FFF2-40B4-BE49-F238E27FC236}">
              <a16:creationId xmlns:a16="http://schemas.microsoft.com/office/drawing/2014/main" id="{7F4EDE6B-7467-4CE6-A5DC-DAF80104913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840814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89" name="AutoShape 40" descr="Currently available antiretroviral drugs | Download Table">
          <a:extLst>
            <a:ext uri="{FF2B5EF4-FFF2-40B4-BE49-F238E27FC236}">
              <a16:creationId xmlns:a16="http://schemas.microsoft.com/office/drawing/2014/main" id="{BE5F51FE-D3BC-49D2-91D1-A68AB10FA82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840814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90" name="AutoShape 40" descr="Currently available antiretroviral drugs | Download Table">
          <a:extLst>
            <a:ext uri="{FF2B5EF4-FFF2-40B4-BE49-F238E27FC236}">
              <a16:creationId xmlns:a16="http://schemas.microsoft.com/office/drawing/2014/main" id="{551F7078-1EBC-44C1-B8B6-D5DD71AB8D1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840814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91" name="AutoShape 40" descr="Currently available antiretroviral drugs | Download Table">
          <a:extLst>
            <a:ext uri="{FF2B5EF4-FFF2-40B4-BE49-F238E27FC236}">
              <a16:creationId xmlns:a16="http://schemas.microsoft.com/office/drawing/2014/main" id="{EACA60E3-932D-4E47-A6BF-74208D3D839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840814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92" name="AutoShape 40" descr="Currently available antiretroviral drugs | Download Table">
          <a:extLst>
            <a:ext uri="{FF2B5EF4-FFF2-40B4-BE49-F238E27FC236}">
              <a16:creationId xmlns:a16="http://schemas.microsoft.com/office/drawing/2014/main" id="{65B661E5-CD3A-4200-BFE5-FB646989E15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840814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93" name="AutoShape 40" descr="Currently available antiretroviral drugs | Download Table">
          <a:extLst>
            <a:ext uri="{FF2B5EF4-FFF2-40B4-BE49-F238E27FC236}">
              <a16:creationId xmlns:a16="http://schemas.microsoft.com/office/drawing/2014/main" id="{BEBB1027-1F78-4BBA-A84A-415C2645A25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840814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94" name="AutoShape 40" descr="Currently available antiretroviral drugs | Download Table">
          <a:extLst>
            <a:ext uri="{FF2B5EF4-FFF2-40B4-BE49-F238E27FC236}">
              <a16:creationId xmlns:a16="http://schemas.microsoft.com/office/drawing/2014/main" id="{9CA55E3E-FBD9-4E14-ADE7-198BF70B3D7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840814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95" name="AutoShape 40" descr="Currently available antiretroviral drugs | Download Table">
          <a:extLst>
            <a:ext uri="{FF2B5EF4-FFF2-40B4-BE49-F238E27FC236}">
              <a16:creationId xmlns:a16="http://schemas.microsoft.com/office/drawing/2014/main" id="{217B6000-B7DF-47E0-BAD7-44899C5317E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840814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96" name="AutoShape 40" descr="Currently available antiretroviral drugs | Download Table">
          <a:extLst>
            <a:ext uri="{FF2B5EF4-FFF2-40B4-BE49-F238E27FC236}">
              <a16:creationId xmlns:a16="http://schemas.microsoft.com/office/drawing/2014/main" id="{EFF0DA1C-F855-4F7E-AF12-C778C1BA372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840814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97" name="AutoShape 40" descr="Currently available antiretroviral drugs | Download Table">
          <a:extLst>
            <a:ext uri="{FF2B5EF4-FFF2-40B4-BE49-F238E27FC236}">
              <a16:creationId xmlns:a16="http://schemas.microsoft.com/office/drawing/2014/main" id="{E4446D97-F5F1-4EFE-B319-24B98111054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840814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98" name="AutoShape 40" descr="Currently available antiretroviral drugs | Download Table">
          <a:extLst>
            <a:ext uri="{FF2B5EF4-FFF2-40B4-BE49-F238E27FC236}">
              <a16:creationId xmlns:a16="http://schemas.microsoft.com/office/drawing/2014/main" id="{E89BADD0-A090-4661-B1D1-7D90A400349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699" name="AutoShape 40" descr="Currently available antiretroviral drugs | Download Table">
          <a:extLst>
            <a:ext uri="{FF2B5EF4-FFF2-40B4-BE49-F238E27FC236}">
              <a16:creationId xmlns:a16="http://schemas.microsoft.com/office/drawing/2014/main" id="{35E7359D-BE26-4149-B1A2-CAC19BB86B3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00" name="AutoShape 40" descr="Currently available antiretroviral drugs | Download Table">
          <a:extLst>
            <a:ext uri="{FF2B5EF4-FFF2-40B4-BE49-F238E27FC236}">
              <a16:creationId xmlns:a16="http://schemas.microsoft.com/office/drawing/2014/main" id="{A3AB9B62-81F6-4B12-BBF6-E1E08373FED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01" name="AutoShape 40" descr="Currently available antiretroviral drugs | Download Table">
          <a:extLst>
            <a:ext uri="{FF2B5EF4-FFF2-40B4-BE49-F238E27FC236}">
              <a16:creationId xmlns:a16="http://schemas.microsoft.com/office/drawing/2014/main" id="{D7165EB5-FF9A-4344-B82A-5F720835FBD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02" name="AutoShape 40" descr="Currently available antiretroviral drugs | Download Table">
          <a:extLst>
            <a:ext uri="{FF2B5EF4-FFF2-40B4-BE49-F238E27FC236}">
              <a16:creationId xmlns:a16="http://schemas.microsoft.com/office/drawing/2014/main" id="{E56206E4-2400-46EC-B13E-CEFCB906A4D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03" name="AutoShape 40" descr="Currently available antiretroviral drugs | Download Table">
          <a:extLst>
            <a:ext uri="{FF2B5EF4-FFF2-40B4-BE49-F238E27FC236}">
              <a16:creationId xmlns:a16="http://schemas.microsoft.com/office/drawing/2014/main" id="{76EFB6EA-E691-4496-BE78-CA9A54C1028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04" name="AutoShape 40" descr="Currently available antiretroviral drugs | Download Table">
          <a:extLst>
            <a:ext uri="{FF2B5EF4-FFF2-40B4-BE49-F238E27FC236}">
              <a16:creationId xmlns:a16="http://schemas.microsoft.com/office/drawing/2014/main" id="{D991D502-6154-47D3-8DCC-EB238621952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05" name="AutoShape 40" descr="Currently available antiretroviral drugs | Download Table">
          <a:extLst>
            <a:ext uri="{FF2B5EF4-FFF2-40B4-BE49-F238E27FC236}">
              <a16:creationId xmlns:a16="http://schemas.microsoft.com/office/drawing/2014/main" id="{11961F45-57E1-4C2F-8B6B-66605CA26BF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06" name="AutoShape 40" descr="Currently available antiretroviral drugs | Download Table">
          <a:extLst>
            <a:ext uri="{FF2B5EF4-FFF2-40B4-BE49-F238E27FC236}">
              <a16:creationId xmlns:a16="http://schemas.microsoft.com/office/drawing/2014/main" id="{8AF056CC-3287-43A2-9C07-709B51BCA79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07" name="AutoShape 40" descr="Currently available antiretroviral drugs | Download Table">
          <a:extLst>
            <a:ext uri="{FF2B5EF4-FFF2-40B4-BE49-F238E27FC236}">
              <a16:creationId xmlns:a16="http://schemas.microsoft.com/office/drawing/2014/main" id="{B98482D9-B3ED-4C8F-824A-FE19A89CFC5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08" name="AutoShape 40" descr="Currently available antiretroviral drugs | Download Table">
          <a:extLst>
            <a:ext uri="{FF2B5EF4-FFF2-40B4-BE49-F238E27FC236}">
              <a16:creationId xmlns:a16="http://schemas.microsoft.com/office/drawing/2014/main" id="{B1A615E8-0EB3-4552-96F1-D82C8478996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09" name="AutoShape 40" descr="Currently available antiretroviral drugs | Download Table">
          <a:extLst>
            <a:ext uri="{FF2B5EF4-FFF2-40B4-BE49-F238E27FC236}">
              <a16:creationId xmlns:a16="http://schemas.microsoft.com/office/drawing/2014/main" id="{1EFFB382-7F8E-42B9-AA58-1996FADF908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10" name="AutoShape 40" descr="Currently available antiretroviral drugs | Download Table">
          <a:extLst>
            <a:ext uri="{FF2B5EF4-FFF2-40B4-BE49-F238E27FC236}">
              <a16:creationId xmlns:a16="http://schemas.microsoft.com/office/drawing/2014/main" id="{BE3C7ADD-7130-48F6-8C35-B3FBF297764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11" name="AutoShape 40" descr="Currently available antiretroviral drugs | Download Table">
          <a:extLst>
            <a:ext uri="{FF2B5EF4-FFF2-40B4-BE49-F238E27FC236}">
              <a16:creationId xmlns:a16="http://schemas.microsoft.com/office/drawing/2014/main" id="{082D3EBD-84E9-4694-9FFF-3C27886C34D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12" name="AutoShape 40" descr="Currently available antiretroviral drugs | Download Table">
          <a:extLst>
            <a:ext uri="{FF2B5EF4-FFF2-40B4-BE49-F238E27FC236}">
              <a16:creationId xmlns:a16="http://schemas.microsoft.com/office/drawing/2014/main" id="{1B78CE76-8D41-4714-95F8-02CE3977CBF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13" name="AutoShape 40" descr="Currently available antiretroviral drugs | Download Table">
          <a:extLst>
            <a:ext uri="{FF2B5EF4-FFF2-40B4-BE49-F238E27FC236}">
              <a16:creationId xmlns:a16="http://schemas.microsoft.com/office/drawing/2014/main" id="{7EB34161-0C2E-4115-9BBE-FDA24243FD3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14" name="AutoShape 40" descr="Currently available antiretroviral drugs | Download Table">
          <a:extLst>
            <a:ext uri="{FF2B5EF4-FFF2-40B4-BE49-F238E27FC236}">
              <a16:creationId xmlns:a16="http://schemas.microsoft.com/office/drawing/2014/main" id="{790EB64A-049B-4755-977E-BED40A47203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15" name="AutoShape 40" descr="Currently available antiretroviral drugs | Download Table">
          <a:extLst>
            <a:ext uri="{FF2B5EF4-FFF2-40B4-BE49-F238E27FC236}">
              <a16:creationId xmlns:a16="http://schemas.microsoft.com/office/drawing/2014/main" id="{F5F398BB-9652-4AE2-986D-FEEA19B7E83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16" name="AutoShape 40" descr="Currently available antiretroviral drugs | Download Table">
          <a:extLst>
            <a:ext uri="{FF2B5EF4-FFF2-40B4-BE49-F238E27FC236}">
              <a16:creationId xmlns:a16="http://schemas.microsoft.com/office/drawing/2014/main" id="{0E30AD3C-E972-4EC8-8D8C-B67CF34F8BC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17" name="AutoShape 40" descr="Currently available antiretroviral drugs | Download Table">
          <a:extLst>
            <a:ext uri="{FF2B5EF4-FFF2-40B4-BE49-F238E27FC236}">
              <a16:creationId xmlns:a16="http://schemas.microsoft.com/office/drawing/2014/main" id="{87F8BE1E-3C45-4398-B883-ED12EB24885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18" name="AutoShape 40" descr="Currently available antiretroviral drugs | Download Table">
          <a:extLst>
            <a:ext uri="{FF2B5EF4-FFF2-40B4-BE49-F238E27FC236}">
              <a16:creationId xmlns:a16="http://schemas.microsoft.com/office/drawing/2014/main" id="{AB61BF50-7C7B-4CFC-9FEB-491DB31D3FD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19" name="AutoShape 40" descr="Currently available antiretroviral drugs | Download Table">
          <a:extLst>
            <a:ext uri="{FF2B5EF4-FFF2-40B4-BE49-F238E27FC236}">
              <a16:creationId xmlns:a16="http://schemas.microsoft.com/office/drawing/2014/main" id="{6F9BD3CE-EDB6-48FE-8A2B-0B06DE2AA2F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20" name="AutoShape 40" descr="Currently available antiretroviral drugs | Download Table">
          <a:extLst>
            <a:ext uri="{FF2B5EF4-FFF2-40B4-BE49-F238E27FC236}">
              <a16:creationId xmlns:a16="http://schemas.microsoft.com/office/drawing/2014/main" id="{2F7568B4-A07B-4274-BA09-DDE2AEBE322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21" name="AutoShape 40" descr="Currently available antiretroviral drugs | Download Table">
          <a:extLst>
            <a:ext uri="{FF2B5EF4-FFF2-40B4-BE49-F238E27FC236}">
              <a16:creationId xmlns:a16="http://schemas.microsoft.com/office/drawing/2014/main" id="{03A0E534-6FB0-4E89-ABFF-1D9249B65C7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22" name="AutoShape 40" descr="Currently available antiretroviral drugs | Download Table">
          <a:extLst>
            <a:ext uri="{FF2B5EF4-FFF2-40B4-BE49-F238E27FC236}">
              <a16:creationId xmlns:a16="http://schemas.microsoft.com/office/drawing/2014/main" id="{6BCCA56D-4FF2-41E8-AD05-14661064EF8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23" name="AutoShape 40" descr="Currently available antiretroviral drugs | Download Table">
          <a:extLst>
            <a:ext uri="{FF2B5EF4-FFF2-40B4-BE49-F238E27FC236}">
              <a16:creationId xmlns:a16="http://schemas.microsoft.com/office/drawing/2014/main" id="{0DEB1580-E1FD-4C0C-BCDC-2318BB26E41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24" name="AutoShape 40" descr="Currently available antiretroviral drugs | Download Table">
          <a:extLst>
            <a:ext uri="{FF2B5EF4-FFF2-40B4-BE49-F238E27FC236}">
              <a16:creationId xmlns:a16="http://schemas.microsoft.com/office/drawing/2014/main" id="{B8E71A01-2340-456D-BBF1-809A607A21C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25" name="AutoShape 40" descr="Currently available antiretroviral drugs | Download Table">
          <a:extLst>
            <a:ext uri="{FF2B5EF4-FFF2-40B4-BE49-F238E27FC236}">
              <a16:creationId xmlns:a16="http://schemas.microsoft.com/office/drawing/2014/main" id="{E6C36AC7-DE51-43BA-A6D7-354A7973E61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26" name="AutoShape 40" descr="Currently available antiretroviral drugs | Download Table">
          <a:extLst>
            <a:ext uri="{FF2B5EF4-FFF2-40B4-BE49-F238E27FC236}">
              <a16:creationId xmlns:a16="http://schemas.microsoft.com/office/drawing/2014/main" id="{AA7DF479-894C-4B9D-BE37-1A526AB18E4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27" name="AutoShape 40" descr="Currently available antiretroviral drugs | Download Table">
          <a:extLst>
            <a:ext uri="{FF2B5EF4-FFF2-40B4-BE49-F238E27FC236}">
              <a16:creationId xmlns:a16="http://schemas.microsoft.com/office/drawing/2014/main" id="{1E15A6AB-5DE2-42B9-A2E7-8E95160A7E9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28" name="AutoShape 40" descr="Currently available antiretroviral drugs | Download Table">
          <a:extLst>
            <a:ext uri="{FF2B5EF4-FFF2-40B4-BE49-F238E27FC236}">
              <a16:creationId xmlns:a16="http://schemas.microsoft.com/office/drawing/2014/main" id="{D776E917-42DE-402F-BFFE-827B4B5E436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29" name="AutoShape 40" descr="Currently available antiretroviral drugs | Download Table">
          <a:extLst>
            <a:ext uri="{FF2B5EF4-FFF2-40B4-BE49-F238E27FC236}">
              <a16:creationId xmlns:a16="http://schemas.microsoft.com/office/drawing/2014/main" id="{35DBB200-DE7C-4384-8D55-C44EFEEA403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30" name="AutoShape 40" descr="Currently available antiretroviral drugs | Download Table">
          <a:extLst>
            <a:ext uri="{FF2B5EF4-FFF2-40B4-BE49-F238E27FC236}">
              <a16:creationId xmlns:a16="http://schemas.microsoft.com/office/drawing/2014/main" id="{2905EC75-89AA-4C27-B90C-6F7E99E1C4F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31" name="AutoShape 40" descr="Currently available antiretroviral drugs | Download Table">
          <a:extLst>
            <a:ext uri="{FF2B5EF4-FFF2-40B4-BE49-F238E27FC236}">
              <a16:creationId xmlns:a16="http://schemas.microsoft.com/office/drawing/2014/main" id="{BA65891D-2780-447A-B773-EF4DFA3CAEC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32" name="AutoShape 40" descr="Currently available antiretroviral drugs | Download Table">
          <a:extLst>
            <a:ext uri="{FF2B5EF4-FFF2-40B4-BE49-F238E27FC236}">
              <a16:creationId xmlns:a16="http://schemas.microsoft.com/office/drawing/2014/main" id="{26DC8B17-D24A-4B0E-A8E0-6FEE240BDE4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33" name="AutoShape 40" descr="Currently available antiretroviral drugs | Download Table">
          <a:extLst>
            <a:ext uri="{FF2B5EF4-FFF2-40B4-BE49-F238E27FC236}">
              <a16:creationId xmlns:a16="http://schemas.microsoft.com/office/drawing/2014/main" id="{4539303A-D32D-48A5-941C-9EF62DE7E71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34" name="AutoShape 40" descr="Currently available antiretroviral drugs | Download Table">
          <a:extLst>
            <a:ext uri="{FF2B5EF4-FFF2-40B4-BE49-F238E27FC236}">
              <a16:creationId xmlns:a16="http://schemas.microsoft.com/office/drawing/2014/main" id="{0CAEDFF6-9101-410E-9C3B-0ACE62EECD2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35" name="AutoShape 40" descr="Currently available antiretroviral drugs | Download Table">
          <a:extLst>
            <a:ext uri="{FF2B5EF4-FFF2-40B4-BE49-F238E27FC236}">
              <a16:creationId xmlns:a16="http://schemas.microsoft.com/office/drawing/2014/main" id="{56ADB9E9-90D0-4262-B6BE-B002B4785B5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36" name="AutoShape 40" descr="Currently available antiretroviral drugs | Download Table">
          <a:extLst>
            <a:ext uri="{FF2B5EF4-FFF2-40B4-BE49-F238E27FC236}">
              <a16:creationId xmlns:a16="http://schemas.microsoft.com/office/drawing/2014/main" id="{5A342A94-8CC6-434A-9C89-4BA47103534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37" name="AutoShape 40" descr="Currently available antiretroviral drugs | Download Table">
          <a:extLst>
            <a:ext uri="{FF2B5EF4-FFF2-40B4-BE49-F238E27FC236}">
              <a16:creationId xmlns:a16="http://schemas.microsoft.com/office/drawing/2014/main" id="{9FC93B28-301E-408C-905E-B2BED0DD5FE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38" name="AutoShape 40" descr="Currently available antiretroviral drugs | Download Table">
          <a:extLst>
            <a:ext uri="{FF2B5EF4-FFF2-40B4-BE49-F238E27FC236}">
              <a16:creationId xmlns:a16="http://schemas.microsoft.com/office/drawing/2014/main" id="{3F9FBEFA-F27D-4D31-AB31-B1C4C3D3CB2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39" name="AutoShape 40" descr="Currently available antiretroviral drugs | Download Table">
          <a:extLst>
            <a:ext uri="{FF2B5EF4-FFF2-40B4-BE49-F238E27FC236}">
              <a16:creationId xmlns:a16="http://schemas.microsoft.com/office/drawing/2014/main" id="{8DEA1152-E673-46EC-8735-7384218CDAA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40" name="AutoShape 40" descr="Currently available antiretroviral drugs | Download Table">
          <a:extLst>
            <a:ext uri="{FF2B5EF4-FFF2-40B4-BE49-F238E27FC236}">
              <a16:creationId xmlns:a16="http://schemas.microsoft.com/office/drawing/2014/main" id="{7772508A-BB72-4110-BE14-FE53F7CC746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41" name="AutoShape 40" descr="Currently available antiretroviral drugs | Download Table">
          <a:extLst>
            <a:ext uri="{FF2B5EF4-FFF2-40B4-BE49-F238E27FC236}">
              <a16:creationId xmlns:a16="http://schemas.microsoft.com/office/drawing/2014/main" id="{2EAE106D-6474-4F80-A26F-6B381A4758F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42" name="AutoShape 40" descr="Currently available antiretroviral drugs | Download Table">
          <a:extLst>
            <a:ext uri="{FF2B5EF4-FFF2-40B4-BE49-F238E27FC236}">
              <a16:creationId xmlns:a16="http://schemas.microsoft.com/office/drawing/2014/main" id="{117E5596-8DEE-4CB5-BCAD-02BA7EA05FD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43" name="AutoShape 40" descr="Currently available antiretroviral drugs | Download Table">
          <a:extLst>
            <a:ext uri="{FF2B5EF4-FFF2-40B4-BE49-F238E27FC236}">
              <a16:creationId xmlns:a16="http://schemas.microsoft.com/office/drawing/2014/main" id="{9A0509C8-9F34-4FE9-823E-51BF1B8BD68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44" name="AutoShape 40" descr="Currently available antiretroviral drugs | Download Table">
          <a:extLst>
            <a:ext uri="{FF2B5EF4-FFF2-40B4-BE49-F238E27FC236}">
              <a16:creationId xmlns:a16="http://schemas.microsoft.com/office/drawing/2014/main" id="{57BF92A7-FA6D-4AB1-AF2B-51C28B9CA90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45" name="AutoShape 40" descr="Currently available antiretroviral drugs | Download Table">
          <a:extLst>
            <a:ext uri="{FF2B5EF4-FFF2-40B4-BE49-F238E27FC236}">
              <a16:creationId xmlns:a16="http://schemas.microsoft.com/office/drawing/2014/main" id="{E0222A2B-07FB-4460-A6E0-A65F4458CA4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46" name="AutoShape 40" descr="Currently available antiretroviral drugs | Download Table">
          <a:extLst>
            <a:ext uri="{FF2B5EF4-FFF2-40B4-BE49-F238E27FC236}">
              <a16:creationId xmlns:a16="http://schemas.microsoft.com/office/drawing/2014/main" id="{A0A4EE4A-F3B0-4B8E-9071-8DA88108079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47" name="AutoShape 40" descr="Currently available antiretroviral drugs | Download Table">
          <a:extLst>
            <a:ext uri="{FF2B5EF4-FFF2-40B4-BE49-F238E27FC236}">
              <a16:creationId xmlns:a16="http://schemas.microsoft.com/office/drawing/2014/main" id="{57D1BD87-7B3B-4E32-937F-05B090149C7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48" name="AutoShape 40" descr="Currently available antiretroviral drugs | Download Table">
          <a:extLst>
            <a:ext uri="{FF2B5EF4-FFF2-40B4-BE49-F238E27FC236}">
              <a16:creationId xmlns:a16="http://schemas.microsoft.com/office/drawing/2014/main" id="{BDD98839-9004-41C4-935D-DE0C3174AAE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49" name="AutoShape 40" descr="Currently available antiretroviral drugs | Download Table">
          <a:extLst>
            <a:ext uri="{FF2B5EF4-FFF2-40B4-BE49-F238E27FC236}">
              <a16:creationId xmlns:a16="http://schemas.microsoft.com/office/drawing/2014/main" id="{F3D34057-A41D-48F5-879A-28BDC279DE2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50" name="AutoShape 40" descr="Currently available antiretroviral drugs | Download Table">
          <a:extLst>
            <a:ext uri="{FF2B5EF4-FFF2-40B4-BE49-F238E27FC236}">
              <a16:creationId xmlns:a16="http://schemas.microsoft.com/office/drawing/2014/main" id="{44EA151B-279C-42DD-89EB-B6F3FAE51C8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51" name="AutoShape 40" descr="Currently available antiretroviral drugs | Download Table">
          <a:extLst>
            <a:ext uri="{FF2B5EF4-FFF2-40B4-BE49-F238E27FC236}">
              <a16:creationId xmlns:a16="http://schemas.microsoft.com/office/drawing/2014/main" id="{1C7FA42C-947F-46B4-95AF-F0DC77AFDB4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52" name="AutoShape 40" descr="Currently available antiretroviral drugs | Download Table">
          <a:extLst>
            <a:ext uri="{FF2B5EF4-FFF2-40B4-BE49-F238E27FC236}">
              <a16:creationId xmlns:a16="http://schemas.microsoft.com/office/drawing/2014/main" id="{72948A78-0AEB-4822-B3AE-3BEF104B985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53" name="AutoShape 40" descr="Currently available antiretroviral drugs | Download Table">
          <a:extLst>
            <a:ext uri="{FF2B5EF4-FFF2-40B4-BE49-F238E27FC236}">
              <a16:creationId xmlns:a16="http://schemas.microsoft.com/office/drawing/2014/main" id="{5F899E8A-0CBA-4448-B828-F6F1531C7CF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54" name="AutoShape 40" descr="Currently available antiretroviral drugs | Download Table">
          <a:extLst>
            <a:ext uri="{FF2B5EF4-FFF2-40B4-BE49-F238E27FC236}">
              <a16:creationId xmlns:a16="http://schemas.microsoft.com/office/drawing/2014/main" id="{12B5916B-A12E-4B0F-BE95-DC608E385B4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55" name="AutoShape 40" descr="Currently available antiretroviral drugs | Download Table">
          <a:extLst>
            <a:ext uri="{FF2B5EF4-FFF2-40B4-BE49-F238E27FC236}">
              <a16:creationId xmlns:a16="http://schemas.microsoft.com/office/drawing/2014/main" id="{CE4FE1FA-22E9-4E36-85F3-E570AEBA1A5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56" name="AutoShape 40" descr="Currently available antiretroviral drugs | Download Table">
          <a:extLst>
            <a:ext uri="{FF2B5EF4-FFF2-40B4-BE49-F238E27FC236}">
              <a16:creationId xmlns:a16="http://schemas.microsoft.com/office/drawing/2014/main" id="{978FEBAF-6EFA-4FFA-B828-9648239BF36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57" name="AutoShape 40" descr="Currently available antiretroviral drugs | Download Table">
          <a:extLst>
            <a:ext uri="{FF2B5EF4-FFF2-40B4-BE49-F238E27FC236}">
              <a16:creationId xmlns:a16="http://schemas.microsoft.com/office/drawing/2014/main" id="{76C14B9F-10FD-4FBF-A022-4635126BD53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58" name="AutoShape 40" descr="Currently available antiretroviral drugs | Download Table">
          <a:extLst>
            <a:ext uri="{FF2B5EF4-FFF2-40B4-BE49-F238E27FC236}">
              <a16:creationId xmlns:a16="http://schemas.microsoft.com/office/drawing/2014/main" id="{B6676728-6F95-4C00-AF90-0B7535807E8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59" name="AutoShape 40" descr="Currently available antiretroviral drugs | Download Table">
          <a:extLst>
            <a:ext uri="{FF2B5EF4-FFF2-40B4-BE49-F238E27FC236}">
              <a16:creationId xmlns:a16="http://schemas.microsoft.com/office/drawing/2014/main" id="{2AACDF0F-F42B-4C34-BE23-BB7FFDBE227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60" name="AutoShape 40" descr="Currently available antiretroviral drugs | Download Table">
          <a:extLst>
            <a:ext uri="{FF2B5EF4-FFF2-40B4-BE49-F238E27FC236}">
              <a16:creationId xmlns:a16="http://schemas.microsoft.com/office/drawing/2014/main" id="{DF825E1E-B06B-4222-B613-B6F15E6DCD5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61" name="AutoShape 40" descr="Currently available antiretroviral drugs | Download Table">
          <a:extLst>
            <a:ext uri="{FF2B5EF4-FFF2-40B4-BE49-F238E27FC236}">
              <a16:creationId xmlns:a16="http://schemas.microsoft.com/office/drawing/2014/main" id="{A6D40872-F9DC-4837-8FA5-317A8B41DB0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62" name="AutoShape 40" descr="Currently available antiretroviral drugs | Download Table">
          <a:extLst>
            <a:ext uri="{FF2B5EF4-FFF2-40B4-BE49-F238E27FC236}">
              <a16:creationId xmlns:a16="http://schemas.microsoft.com/office/drawing/2014/main" id="{696711F9-78C2-4968-9DEF-3A272A2A15B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63" name="AutoShape 40" descr="Currently available antiretroviral drugs | Download Table">
          <a:extLst>
            <a:ext uri="{FF2B5EF4-FFF2-40B4-BE49-F238E27FC236}">
              <a16:creationId xmlns:a16="http://schemas.microsoft.com/office/drawing/2014/main" id="{71001663-3B1C-416B-A46A-85147AC329F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64" name="AutoShape 40" descr="Currently available antiretroviral drugs | Download Table">
          <a:extLst>
            <a:ext uri="{FF2B5EF4-FFF2-40B4-BE49-F238E27FC236}">
              <a16:creationId xmlns:a16="http://schemas.microsoft.com/office/drawing/2014/main" id="{1768EEE4-AC57-46C7-859E-EA3A00E8655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65" name="AutoShape 40" descr="Currently available antiretroviral drugs | Download Table">
          <a:extLst>
            <a:ext uri="{FF2B5EF4-FFF2-40B4-BE49-F238E27FC236}">
              <a16:creationId xmlns:a16="http://schemas.microsoft.com/office/drawing/2014/main" id="{D26FF1DF-3563-415F-9788-490612B21BC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66" name="AutoShape 40" descr="Currently available antiretroviral drugs | Download Table">
          <a:extLst>
            <a:ext uri="{FF2B5EF4-FFF2-40B4-BE49-F238E27FC236}">
              <a16:creationId xmlns:a16="http://schemas.microsoft.com/office/drawing/2014/main" id="{1DD3E4D4-871B-4BD1-BBC6-44385BFD92D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67" name="AutoShape 40" descr="Currently available antiretroviral drugs | Download Table">
          <a:extLst>
            <a:ext uri="{FF2B5EF4-FFF2-40B4-BE49-F238E27FC236}">
              <a16:creationId xmlns:a16="http://schemas.microsoft.com/office/drawing/2014/main" id="{5ECF85FE-3489-476B-87CD-7161697AA2E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68" name="AutoShape 40" descr="Currently available antiretroviral drugs | Download Table">
          <a:extLst>
            <a:ext uri="{FF2B5EF4-FFF2-40B4-BE49-F238E27FC236}">
              <a16:creationId xmlns:a16="http://schemas.microsoft.com/office/drawing/2014/main" id="{2963F0ED-C902-43F9-84EB-8B498C13CDD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69" name="AutoShape 40" descr="Currently available antiretroviral drugs | Download Table">
          <a:extLst>
            <a:ext uri="{FF2B5EF4-FFF2-40B4-BE49-F238E27FC236}">
              <a16:creationId xmlns:a16="http://schemas.microsoft.com/office/drawing/2014/main" id="{1CCDA605-5C02-479B-A8ED-B87EC411535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70" name="AutoShape 40" descr="Currently available antiretroviral drugs | Download Table">
          <a:extLst>
            <a:ext uri="{FF2B5EF4-FFF2-40B4-BE49-F238E27FC236}">
              <a16:creationId xmlns:a16="http://schemas.microsoft.com/office/drawing/2014/main" id="{DD7C46DB-22BB-4D01-B65F-16873E1944E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71" name="AutoShape 40" descr="Currently available antiretroviral drugs | Download Table">
          <a:extLst>
            <a:ext uri="{FF2B5EF4-FFF2-40B4-BE49-F238E27FC236}">
              <a16:creationId xmlns:a16="http://schemas.microsoft.com/office/drawing/2014/main" id="{989FA103-072A-4EDB-BAD0-8A73381E766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72" name="AutoShape 40" descr="Currently available antiretroviral drugs | Download Table">
          <a:extLst>
            <a:ext uri="{FF2B5EF4-FFF2-40B4-BE49-F238E27FC236}">
              <a16:creationId xmlns:a16="http://schemas.microsoft.com/office/drawing/2014/main" id="{0C9F5E86-EDC2-4B83-9727-90F0A864812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73" name="AutoShape 40" descr="Currently available antiretroviral drugs | Download Table">
          <a:extLst>
            <a:ext uri="{FF2B5EF4-FFF2-40B4-BE49-F238E27FC236}">
              <a16:creationId xmlns:a16="http://schemas.microsoft.com/office/drawing/2014/main" id="{31590627-610C-47FB-90E6-D10864B6818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74" name="AutoShape 40" descr="Currently available antiretroviral drugs | Download Table">
          <a:extLst>
            <a:ext uri="{FF2B5EF4-FFF2-40B4-BE49-F238E27FC236}">
              <a16:creationId xmlns:a16="http://schemas.microsoft.com/office/drawing/2014/main" id="{A0BCE7E7-BC5D-407D-85CA-1D177013096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75" name="AutoShape 40" descr="Currently available antiretroviral drugs | Download Table">
          <a:extLst>
            <a:ext uri="{FF2B5EF4-FFF2-40B4-BE49-F238E27FC236}">
              <a16:creationId xmlns:a16="http://schemas.microsoft.com/office/drawing/2014/main" id="{04E5EFF4-6AC4-449E-B799-32E601F2CDF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76" name="AutoShape 40" descr="Currently available antiretroviral drugs | Download Table">
          <a:extLst>
            <a:ext uri="{FF2B5EF4-FFF2-40B4-BE49-F238E27FC236}">
              <a16:creationId xmlns:a16="http://schemas.microsoft.com/office/drawing/2014/main" id="{EB8979B2-B342-499F-9B20-3663444B2E4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77" name="AutoShape 40" descr="Currently available antiretroviral drugs | Download Table">
          <a:extLst>
            <a:ext uri="{FF2B5EF4-FFF2-40B4-BE49-F238E27FC236}">
              <a16:creationId xmlns:a16="http://schemas.microsoft.com/office/drawing/2014/main" id="{538312C7-8993-4B07-9AE2-9D6E6E89FBA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78" name="AutoShape 40" descr="Currently available antiretroviral drugs | Download Table">
          <a:extLst>
            <a:ext uri="{FF2B5EF4-FFF2-40B4-BE49-F238E27FC236}">
              <a16:creationId xmlns:a16="http://schemas.microsoft.com/office/drawing/2014/main" id="{6C7F7415-0D30-4E83-8FCD-95E727EE9D3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79" name="AutoShape 40" descr="Currently available antiretroviral drugs | Download Table">
          <a:extLst>
            <a:ext uri="{FF2B5EF4-FFF2-40B4-BE49-F238E27FC236}">
              <a16:creationId xmlns:a16="http://schemas.microsoft.com/office/drawing/2014/main" id="{D8B10D7E-3F70-4059-A045-DD5BD23E016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80" name="AutoShape 40" descr="Currently available antiretroviral drugs | Download Table">
          <a:extLst>
            <a:ext uri="{FF2B5EF4-FFF2-40B4-BE49-F238E27FC236}">
              <a16:creationId xmlns:a16="http://schemas.microsoft.com/office/drawing/2014/main" id="{BCA246C4-8EE8-40C3-A36A-25CC9BDE9B1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81" name="AutoShape 40" descr="Currently available antiretroviral drugs | Download Table">
          <a:extLst>
            <a:ext uri="{FF2B5EF4-FFF2-40B4-BE49-F238E27FC236}">
              <a16:creationId xmlns:a16="http://schemas.microsoft.com/office/drawing/2014/main" id="{51A0075D-548A-4830-9C50-96412B834D0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82" name="AutoShape 40" descr="Currently available antiretroviral drugs | Download Table">
          <a:extLst>
            <a:ext uri="{FF2B5EF4-FFF2-40B4-BE49-F238E27FC236}">
              <a16:creationId xmlns:a16="http://schemas.microsoft.com/office/drawing/2014/main" id="{0CC9D2EB-F71B-4423-AC52-10CFD174F2B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83" name="AutoShape 40" descr="Currently available antiretroviral drugs | Download Table">
          <a:extLst>
            <a:ext uri="{FF2B5EF4-FFF2-40B4-BE49-F238E27FC236}">
              <a16:creationId xmlns:a16="http://schemas.microsoft.com/office/drawing/2014/main" id="{642A9861-25E2-45E2-A9DA-4743E060C15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84" name="AutoShape 40" descr="Currently available antiretroviral drugs | Download Table">
          <a:extLst>
            <a:ext uri="{FF2B5EF4-FFF2-40B4-BE49-F238E27FC236}">
              <a16:creationId xmlns:a16="http://schemas.microsoft.com/office/drawing/2014/main" id="{9C9A18C5-C9F7-424F-A9BD-A485BCF432C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85" name="AutoShape 40" descr="Currently available antiretroviral drugs | Download Table">
          <a:extLst>
            <a:ext uri="{FF2B5EF4-FFF2-40B4-BE49-F238E27FC236}">
              <a16:creationId xmlns:a16="http://schemas.microsoft.com/office/drawing/2014/main" id="{7C7741E7-CDF2-41B2-A89C-BB35B58A755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86" name="AutoShape 40" descr="Currently available antiretroviral drugs | Download Table">
          <a:extLst>
            <a:ext uri="{FF2B5EF4-FFF2-40B4-BE49-F238E27FC236}">
              <a16:creationId xmlns:a16="http://schemas.microsoft.com/office/drawing/2014/main" id="{5E00DCE9-8736-4AF9-93C9-532343AF28F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87" name="AutoShape 40" descr="Currently available antiretroviral drugs | Download Table">
          <a:extLst>
            <a:ext uri="{FF2B5EF4-FFF2-40B4-BE49-F238E27FC236}">
              <a16:creationId xmlns:a16="http://schemas.microsoft.com/office/drawing/2014/main" id="{6564213D-56FD-40E6-9F92-BB9CFBBAAD6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88" name="AutoShape 40" descr="Currently available antiretroviral drugs | Download Table">
          <a:extLst>
            <a:ext uri="{FF2B5EF4-FFF2-40B4-BE49-F238E27FC236}">
              <a16:creationId xmlns:a16="http://schemas.microsoft.com/office/drawing/2014/main" id="{CDAAC95F-0EFE-4260-9BC2-D00BBC76A87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89" name="AutoShape 40" descr="Currently available antiretroviral drugs | Download Table">
          <a:extLst>
            <a:ext uri="{FF2B5EF4-FFF2-40B4-BE49-F238E27FC236}">
              <a16:creationId xmlns:a16="http://schemas.microsoft.com/office/drawing/2014/main" id="{81D62A47-54A0-4E5E-846F-D360A884B94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90" name="AutoShape 40" descr="Currently available antiretroviral drugs | Download Table">
          <a:extLst>
            <a:ext uri="{FF2B5EF4-FFF2-40B4-BE49-F238E27FC236}">
              <a16:creationId xmlns:a16="http://schemas.microsoft.com/office/drawing/2014/main" id="{14EF95E8-A4A8-4E88-BA0B-F4CF55C859B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91" name="AutoShape 40" descr="Currently available antiretroviral drugs | Download Table">
          <a:extLst>
            <a:ext uri="{FF2B5EF4-FFF2-40B4-BE49-F238E27FC236}">
              <a16:creationId xmlns:a16="http://schemas.microsoft.com/office/drawing/2014/main" id="{C0F09B97-CA3F-42B4-A45F-F7623648D51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92" name="AutoShape 40" descr="Currently available antiretroviral drugs | Download Table">
          <a:extLst>
            <a:ext uri="{FF2B5EF4-FFF2-40B4-BE49-F238E27FC236}">
              <a16:creationId xmlns:a16="http://schemas.microsoft.com/office/drawing/2014/main" id="{1CECB5D9-FF36-4833-91AC-590FD3ACB29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93" name="AutoShape 40" descr="Currently available antiretroviral drugs | Download Table">
          <a:extLst>
            <a:ext uri="{FF2B5EF4-FFF2-40B4-BE49-F238E27FC236}">
              <a16:creationId xmlns:a16="http://schemas.microsoft.com/office/drawing/2014/main" id="{93D444D7-DD62-4168-A322-0883A9D8CF4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94" name="AutoShape 40" descr="Currently available antiretroviral drugs | Download Table">
          <a:extLst>
            <a:ext uri="{FF2B5EF4-FFF2-40B4-BE49-F238E27FC236}">
              <a16:creationId xmlns:a16="http://schemas.microsoft.com/office/drawing/2014/main" id="{3D35083C-DB7C-40A9-9F38-91E3279E721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95" name="AutoShape 40" descr="Currently available antiretroviral drugs | Download Table">
          <a:extLst>
            <a:ext uri="{FF2B5EF4-FFF2-40B4-BE49-F238E27FC236}">
              <a16:creationId xmlns:a16="http://schemas.microsoft.com/office/drawing/2014/main" id="{584E3078-7B90-4A80-9C6F-B5DEFE3C202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96" name="AutoShape 40" descr="Currently available antiretroviral drugs | Download Table">
          <a:extLst>
            <a:ext uri="{FF2B5EF4-FFF2-40B4-BE49-F238E27FC236}">
              <a16:creationId xmlns:a16="http://schemas.microsoft.com/office/drawing/2014/main" id="{A6B83A5B-2C91-484B-B9B5-24BAC8AE8CB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97" name="AutoShape 40" descr="Currently available antiretroviral drugs | Download Table">
          <a:extLst>
            <a:ext uri="{FF2B5EF4-FFF2-40B4-BE49-F238E27FC236}">
              <a16:creationId xmlns:a16="http://schemas.microsoft.com/office/drawing/2014/main" id="{296B9F22-AA7F-4F2A-8D6A-06624F03984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98" name="AutoShape 40" descr="Currently available antiretroviral drugs | Download Table">
          <a:extLst>
            <a:ext uri="{FF2B5EF4-FFF2-40B4-BE49-F238E27FC236}">
              <a16:creationId xmlns:a16="http://schemas.microsoft.com/office/drawing/2014/main" id="{01462DEF-1156-4108-A77D-CB7AF3A6C8C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799" name="AutoShape 40" descr="Currently available antiretroviral drugs | Download Table">
          <a:extLst>
            <a:ext uri="{FF2B5EF4-FFF2-40B4-BE49-F238E27FC236}">
              <a16:creationId xmlns:a16="http://schemas.microsoft.com/office/drawing/2014/main" id="{938FC277-9076-4C75-AD7C-F89DA17FFE0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00" name="AutoShape 40" descr="Currently available antiretroviral drugs | Download Table">
          <a:extLst>
            <a:ext uri="{FF2B5EF4-FFF2-40B4-BE49-F238E27FC236}">
              <a16:creationId xmlns:a16="http://schemas.microsoft.com/office/drawing/2014/main" id="{C2F29AE0-D6CB-41E8-880C-F6B79418C1D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01" name="AutoShape 40" descr="Currently available antiretroviral drugs | Download Table">
          <a:extLst>
            <a:ext uri="{FF2B5EF4-FFF2-40B4-BE49-F238E27FC236}">
              <a16:creationId xmlns:a16="http://schemas.microsoft.com/office/drawing/2014/main" id="{D592FAB3-B027-47B3-B726-EF08CD97685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02" name="AutoShape 40" descr="Currently available antiretroviral drugs | Download Table">
          <a:extLst>
            <a:ext uri="{FF2B5EF4-FFF2-40B4-BE49-F238E27FC236}">
              <a16:creationId xmlns:a16="http://schemas.microsoft.com/office/drawing/2014/main" id="{8BE4E0FA-7783-4E97-81CA-7DFAAC67FDE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03" name="AutoShape 40" descr="Currently available antiretroviral drugs | Download Table">
          <a:extLst>
            <a:ext uri="{FF2B5EF4-FFF2-40B4-BE49-F238E27FC236}">
              <a16:creationId xmlns:a16="http://schemas.microsoft.com/office/drawing/2014/main" id="{8D0577E5-3EAD-47E7-990F-46105826742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04" name="AutoShape 40" descr="Currently available antiretroviral drugs | Download Table">
          <a:extLst>
            <a:ext uri="{FF2B5EF4-FFF2-40B4-BE49-F238E27FC236}">
              <a16:creationId xmlns:a16="http://schemas.microsoft.com/office/drawing/2014/main" id="{667F0D7E-B5FA-457B-81AB-41F7AC8D356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05" name="AutoShape 40" descr="Currently available antiretroviral drugs | Download Table">
          <a:extLst>
            <a:ext uri="{FF2B5EF4-FFF2-40B4-BE49-F238E27FC236}">
              <a16:creationId xmlns:a16="http://schemas.microsoft.com/office/drawing/2014/main" id="{3DE1E1AE-A706-4575-BB2F-7ECA083341D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06" name="AutoShape 40" descr="Currently available antiretroviral drugs | Download Table">
          <a:extLst>
            <a:ext uri="{FF2B5EF4-FFF2-40B4-BE49-F238E27FC236}">
              <a16:creationId xmlns:a16="http://schemas.microsoft.com/office/drawing/2014/main" id="{0A94D1E9-3F5A-4911-876B-F104E026434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07" name="AutoShape 40" descr="Currently available antiretroviral drugs | Download Table">
          <a:extLst>
            <a:ext uri="{FF2B5EF4-FFF2-40B4-BE49-F238E27FC236}">
              <a16:creationId xmlns:a16="http://schemas.microsoft.com/office/drawing/2014/main" id="{7711A513-C184-413E-A6D0-CDD4891F141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08" name="AutoShape 40" descr="Currently available antiretroviral drugs | Download Table">
          <a:extLst>
            <a:ext uri="{FF2B5EF4-FFF2-40B4-BE49-F238E27FC236}">
              <a16:creationId xmlns:a16="http://schemas.microsoft.com/office/drawing/2014/main" id="{9A74B1D2-BFBD-400E-8F7E-F6E328F2CD9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09" name="AutoShape 40" descr="Currently available antiretroviral drugs | Download Table">
          <a:extLst>
            <a:ext uri="{FF2B5EF4-FFF2-40B4-BE49-F238E27FC236}">
              <a16:creationId xmlns:a16="http://schemas.microsoft.com/office/drawing/2014/main" id="{3898A665-2F8B-46F6-A795-AEC0A63A416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10" name="AutoShape 40" descr="Currently available antiretroviral drugs | Download Table">
          <a:extLst>
            <a:ext uri="{FF2B5EF4-FFF2-40B4-BE49-F238E27FC236}">
              <a16:creationId xmlns:a16="http://schemas.microsoft.com/office/drawing/2014/main" id="{366DAFF8-2245-42B2-B015-EBFD81BB41F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11" name="AutoShape 40" descr="Currently available antiretroviral drugs | Download Table">
          <a:extLst>
            <a:ext uri="{FF2B5EF4-FFF2-40B4-BE49-F238E27FC236}">
              <a16:creationId xmlns:a16="http://schemas.microsoft.com/office/drawing/2014/main" id="{E0ACE61A-E722-4EB0-9FF5-A6EB45765E1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12" name="AutoShape 40" descr="Currently available antiretroviral drugs | Download Table">
          <a:extLst>
            <a:ext uri="{FF2B5EF4-FFF2-40B4-BE49-F238E27FC236}">
              <a16:creationId xmlns:a16="http://schemas.microsoft.com/office/drawing/2014/main" id="{81947A1D-0EEA-413B-9170-71DD7117F4A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13" name="AutoShape 40" descr="Currently available antiretroviral drugs | Download Table">
          <a:extLst>
            <a:ext uri="{FF2B5EF4-FFF2-40B4-BE49-F238E27FC236}">
              <a16:creationId xmlns:a16="http://schemas.microsoft.com/office/drawing/2014/main" id="{71C41F4B-0EEF-4AF7-83F8-53B8C4E0A91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14" name="AutoShape 40" descr="Currently available antiretroviral drugs | Download Table">
          <a:extLst>
            <a:ext uri="{FF2B5EF4-FFF2-40B4-BE49-F238E27FC236}">
              <a16:creationId xmlns:a16="http://schemas.microsoft.com/office/drawing/2014/main" id="{FD027E9D-0914-422D-BA4F-D38F21441BD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15" name="AutoShape 40" descr="Currently available antiretroviral drugs | Download Table">
          <a:extLst>
            <a:ext uri="{FF2B5EF4-FFF2-40B4-BE49-F238E27FC236}">
              <a16:creationId xmlns:a16="http://schemas.microsoft.com/office/drawing/2014/main" id="{D19D864A-CD0B-4211-A0CD-D3340D15164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16" name="AutoShape 40" descr="Currently available antiretroviral drugs | Download Table">
          <a:extLst>
            <a:ext uri="{FF2B5EF4-FFF2-40B4-BE49-F238E27FC236}">
              <a16:creationId xmlns:a16="http://schemas.microsoft.com/office/drawing/2014/main" id="{333CADB2-71D5-47D0-A2BA-89E921CF725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17" name="AutoShape 40" descr="Currently available antiretroviral drugs | Download Table">
          <a:extLst>
            <a:ext uri="{FF2B5EF4-FFF2-40B4-BE49-F238E27FC236}">
              <a16:creationId xmlns:a16="http://schemas.microsoft.com/office/drawing/2014/main" id="{35AAC5A0-18B0-4655-9316-F2A78748187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18" name="AutoShape 40" descr="Currently available antiretroviral drugs | Download Table">
          <a:extLst>
            <a:ext uri="{FF2B5EF4-FFF2-40B4-BE49-F238E27FC236}">
              <a16:creationId xmlns:a16="http://schemas.microsoft.com/office/drawing/2014/main" id="{A289472C-B37B-4CCE-A639-8B2F56706D2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19" name="AutoShape 40" descr="Currently available antiretroviral drugs | Download Table">
          <a:extLst>
            <a:ext uri="{FF2B5EF4-FFF2-40B4-BE49-F238E27FC236}">
              <a16:creationId xmlns:a16="http://schemas.microsoft.com/office/drawing/2014/main" id="{CDC77EC5-5DEF-4D2B-80B4-E6C005925F7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20" name="AutoShape 40" descr="Currently available antiretroviral drugs | Download Table">
          <a:extLst>
            <a:ext uri="{FF2B5EF4-FFF2-40B4-BE49-F238E27FC236}">
              <a16:creationId xmlns:a16="http://schemas.microsoft.com/office/drawing/2014/main" id="{2FEE9DF3-076E-41DC-929E-FDE274F3909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21" name="AutoShape 40" descr="Currently available antiretroviral drugs | Download Table">
          <a:extLst>
            <a:ext uri="{FF2B5EF4-FFF2-40B4-BE49-F238E27FC236}">
              <a16:creationId xmlns:a16="http://schemas.microsoft.com/office/drawing/2014/main" id="{164D0137-9BBC-4A26-A57A-E79E1E0F949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22" name="AutoShape 40" descr="Currently available antiretroviral drugs | Download Table">
          <a:extLst>
            <a:ext uri="{FF2B5EF4-FFF2-40B4-BE49-F238E27FC236}">
              <a16:creationId xmlns:a16="http://schemas.microsoft.com/office/drawing/2014/main" id="{3E753F22-B56D-46BF-87DD-9FD91BF44F4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23" name="AutoShape 40" descr="Currently available antiretroviral drugs | Download Table">
          <a:extLst>
            <a:ext uri="{FF2B5EF4-FFF2-40B4-BE49-F238E27FC236}">
              <a16:creationId xmlns:a16="http://schemas.microsoft.com/office/drawing/2014/main" id="{CCFE1B74-839E-41AA-9E0C-DCF30DB6DCB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24" name="AutoShape 40" descr="Currently available antiretroviral drugs | Download Table">
          <a:extLst>
            <a:ext uri="{FF2B5EF4-FFF2-40B4-BE49-F238E27FC236}">
              <a16:creationId xmlns:a16="http://schemas.microsoft.com/office/drawing/2014/main" id="{A64ADDCA-0026-471E-BBE7-22FD94CA9FD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25" name="AutoShape 40" descr="Currently available antiretroviral drugs | Download Table">
          <a:extLst>
            <a:ext uri="{FF2B5EF4-FFF2-40B4-BE49-F238E27FC236}">
              <a16:creationId xmlns:a16="http://schemas.microsoft.com/office/drawing/2014/main" id="{EF2AAFBD-89E2-4176-A117-75238E09585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26" name="AutoShape 40" descr="Currently available antiretroviral drugs | Download Table">
          <a:extLst>
            <a:ext uri="{FF2B5EF4-FFF2-40B4-BE49-F238E27FC236}">
              <a16:creationId xmlns:a16="http://schemas.microsoft.com/office/drawing/2014/main" id="{31B31D92-8E8C-4F2A-9282-DC0F6FAEB3B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27" name="AutoShape 40" descr="Currently available antiretroviral drugs | Download Table">
          <a:extLst>
            <a:ext uri="{FF2B5EF4-FFF2-40B4-BE49-F238E27FC236}">
              <a16:creationId xmlns:a16="http://schemas.microsoft.com/office/drawing/2014/main" id="{70EF34CA-CC3A-4231-87EA-87FF39C3BDF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28" name="AutoShape 40" descr="Currently available antiretroviral drugs | Download Table">
          <a:extLst>
            <a:ext uri="{FF2B5EF4-FFF2-40B4-BE49-F238E27FC236}">
              <a16:creationId xmlns:a16="http://schemas.microsoft.com/office/drawing/2014/main" id="{B2D7E053-48A6-440A-B284-3CBCC1B0237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29" name="AutoShape 40" descr="Currently available antiretroviral drugs | Download Table">
          <a:extLst>
            <a:ext uri="{FF2B5EF4-FFF2-40B4-BE49-F238E27FC236}">
              <a16:creationId xmlns:a16="http://schemas.microsoft.com/office/drawing/2014/main" id="{EAC04349-CA4E-45A6-A35C-FB8576A6D1D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30" name="AutoShape 40" descr="Currently available antiretroviral drugs | Download Table">
          <a:extLst>
            <a:ext uri="{FF2B5EF4-FFF2-40B4-BE49-F238E27FC236}">
              <a16:creationId xmlns:a16="http://schemas.microsoft.com/office/drawing/2014/main" id="{DD7B7699-F554-45EA-9908-4110E8DCA30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31" name="AutoShape 40" descr="Currently available antiretroviral drugs | Download Table">
          <a:extLst>
            <a:ext uri="{FF2B5EF4-FFF2-40B4-BE49-F238E27FC236}">
              <a16:creationId xmlns:a16="http://schemas.microsoft.com/office/drawing/2014/main" id="{310001D5-140C-4EE6-8BB4-4CA22B6EB7E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32" name="AutoShape 40" descr="Currently available antiretroviral drugs | Download Table">
          <a:extLst>
            <a:ext uri="{FF2B5EF4-FFF2-40B4-BE49-F238E27FC236}">
              <a16:creationId xmlns:a16="http://schemas.microsoft.com/office/drawing/2014/main" id="{CAEE10C5-817A-457F-99AB-BC0A570EB6D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33" name="AutoShape 40" descr="Currently available antiretroviral drugs | Download Table">
          <a:extLst>
            <a:ext uri="{FF2B5EF4-FFF2-40B4-BE49-F238E27FC236}">
              <a16:creationId xmlns:a16="http://schemas.microsoft.com/office/drawing/2014/main" id="{72200938-AC62-4F3D-98CB-B6DBDCB9250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34" name="AutoShape 40" descr="Currently available antiretroviral drugs | Download Table">
          <a:extLst>
            <a:ext uri="{FF2B5EF4-FFF2-40B4-BE49-F238E27FC236}">
              <a16:creationId xmlns:a16="http://schemas.microsoft.com/office/drawing/2014/main" id="{4592CF07-A37A-4C93-98A0-D2B2D5E3330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35" name="AutoShape 40" descr="Currently available antiretroviral drugs | Download Table">
          <a:extLst>
            <a:ext uri="{FF2B5EF4-FFF2-40B4-BE49-F238E27FC236}">
              <a16:creationId xmlns:a16="http://schemas.microsoft.com/office/drawing/2014/main" id="{43489344-5B86-42CB-9F87-4698A3C51CE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36" name="AutoShape 40" descr="Currently available antiretroviral drugs | Download Table">
          <a:extLst>
            <a:ext uri="{FF2B5EF4-FFF2-40B4-BE49-F238E27FC236}">
              <a16:creationId xmlns:a16="http://schemas.microsoft.com/office/drawing/2014/main" id="{0BF5E83B-05A4-45FB-A4B4-508A7C69B6B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37" name="AutoShape 40" descr="Currently available antiretroviral drugs | Download Table">
          <a:extLst>
            <a:ext uri="{FF2B5EF4-FFF2-40B4-BE49-F238E27FC236}">
              <a16:creationId xmlns:a16="http://schemas.microsoft.com/office/drawing/2014/main" id="{5DFA1993-45B7-4431-8C11-565DC448D0B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38" name="AutoShape 40" descr="Currently available antiretroviral drugs | Download Table">
          <a:extLst>
            <a:ext uri="{FF2B5EF4-FFF2-40B4-BE49-F238E27FC236}">
              <a16:creationId xmlns:a16="http://schemas.microsoft.com/office/drawing/2014/main" id="{F3BB9DA8-63E7-4995-B728-DF4DD2D15E6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39" name="AutoShape 40" descr="Currently available antiretroviral drugs | Download Table">
          <a:extLst>
            <a:ext uri="{FF2B5EF4-FFF2-40B4-BE49-F238E27FC236}">
              <a16:creationId xmlns:a16="http://schemas.microsoft.com/office/drawing/2014/main" id="{7672A23D-0DA2-47F4-B4D0-CB5A0F8A229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40" name="AutoShape 40" descr="Currently available antiretroviral drugs | Download Table">
          <a:extLst>
            <a:ext uri="{FF2B5EF4-FFF2-40B4-BE49-F238E27FC236}">
              <a16:creationId xmlns:a16="http://schemas.microsoft.com/office/drawing/2014/main" id="{BBD5C618-C050-4EAC-B0D6-B6F33364517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41" name="AutoShape 40" descr="Currently available antiretroviral drugs | Download Table">
          <a:extLst>
            <a:ext uri="{FF2B5EF4-FFF2-40B4-BE49-F238E27FC236}">
              <a16:creationId xmlns:a16="http://schemas.microsoft.com/office/drawing/2014/main" id="{60DC1CF1-0F79-4317-B0A3-33F692F4ED5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42" name="AutoShape 40" descr="Currently available antiretroviral drugs | Download Table">
          <a:extLst>
            <a:ext uri="{FF2B5EF4-FFF2-40B4-BE49-F238E27FC236}">
              <a16:creationId xmlns:a16="http://schemas.microsoft.com/office/drawing/2014/main" id="{BBA75D94-6086-422D-A7FE-21A34D2BCCA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43" name="AutoShape 40" descr="Currently available antiretroviral drugs | Download Table">
          <a:extLst>
            <a:ext uri="{FF2B5EF4-FFF2-40B4-BE49-F238E27FC236}">
              <a16:creationId xmlns:a16="http://schemas.microsoft.com/office/drawing/2014/main" id="{2846B244-67EB-4157-9C34-8CC0611C04B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44" name="AutoShape 40" descr="Currently available antiretroviral drugs | Download Table">
          <a:extLst>
            <a:ext uri="{FF2B5EF4-FFF2-40B4-BE49-F238E27FC236}">
              <a16:creationId xmlns:a16="http://schemas.microsoft.com/office/drawing/2014/main" id="{9284D9CE-D4E1-4F81-9363-4544C7B4EB6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45" name="AutoShape 40" descr="Currently available antiretroviral drugs | Download Table">
          <a:extLst>
            <a:ext uri="{FF2B5EF4-FFF2-40B4-BE49-F238E27FC236}">
              <a16:creationId xmlns:a16="http://schemas.microsoft.com/office/drawing/2014/main" id="{AB349D58-4903-4065-ADE5-16DE53CC3C5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46" name="AutoShape 40" descr="Currently available antiretroviral drugs | Download Table">
          <a:extLst>
            <a:ext uri="{FF2B5EF4-FFF2-40B4-BE49-F238E27FC236}">
              <a16:creationId xmlns:a16="http://schemas.microsoft.com/office/drawing/2014/main" id="{3FA441BE-07E4-4160-BF79-5AC7D138DB3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47" name="AutoShape 40" descr="Currently available antiretroviral drugs | Download Table">
          <a:extLst>
            <a:ext uri="{FF2B5EF4-FFF2-40B4-BE49-F238E27FC236}">
              <a16:creationId xmlns:a16="http://schemas.microsoft.com/office/drawing/2014/main" id="{7FC1FD36-B940-45A4-AF92-D89280A0932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48" name="AutoShape 40" descr="Currently available antiretroviral drugs | Download Table">
          <a:extLst>
            <a:ext uri="{FF2B5EF4-FFF2-40B4-BE49-F238E27FC236}">
              <a16:creationId xmlns:a16="http://schemas.microsoft.com/office/drawing/2014/main" id="{D4DD91AF-C08A-442D-B0B0-4F6480D6227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49" name="AutoShape 40" descr="Currently available antiretroviral drugs | Download Table">
          <a:extLst>
            <a:ext uri="{FF2B5EF4-FFF2-40B4-BE49-F238E27FC236}">
              <a16:creationId xmlns:a16="http://schemas.microsoft.com/office/drawing/2014/main" id="{629B59E8-9EA5-404F-B9E4-EEFC460CDA9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50" name="AutoShape 40" descr="Currently available antiretroviral drugs | Download Table">
          <a:extLst>
            <a:ext uri="{FF2B5EF4-FFF2-40B4-BE49-F238E27FC236}">
              <a16:creationId xmlns:a16="http://schemas.microsoft.com/office/drawing/2014/main" id="{731721EE-9676-467F-BEFC-A5CD7B485D1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51" name="AutoShape 40" descr="Currently available antiretroviral drugs | Download Table">
          <a:extLst>
            <a:ext uri="{FF2B5EF4-FFF2-40B4-BE49-F238E27FC236}">
              <a16:creationId xmlns:a16="http://schemas.microsoft.com/office/drawing/2014/main" id="{7CF48CD9-9E4E-4F41-9A73-DC8F69A7DB3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52" name="AutoShape 40" descr="Currently available antiretroviral drugs | Download Table">
          <a:extLst>
            <a:ext uri="{FF2B5EF4-FFF2-40B4-BE49-F238E27FC236}">
              <a16:creationId xmlns:a16="http://schemas.microsoft.com/office/drawing/2014/main" id="{32ED78FA-D7D4-4AE0-97D4-D2FC7F9203B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53" name="AutoShape 40" descr="Currently available antiretroviral drugs | Download Table">
          <a:extLst>
            <a:ext uri="{FF2B5EF4-FFF2-40B4-BE49-F238E27FC236}">
              <a16:creationId xmlns:a16="http://schemas.microsoft.com/office/drawing/2014/main" id="{B0D82343-AC85-43BE-9225-986C4CE3ED8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54" name="AutoShape 40" descr="Currently available antiretroviral drugs | Download Table">
          <a:extLst>
            <a:ext uri="{FF2B5EF4-FFF2-40B4-BE49-F238E27FC236}">
              <a16:creationId xmlns:a16="http://schemas.microsoft.com/office/drawing/2014/main" id="{9D4B59C9-FB05-41EE-A7FC-1A0918C3398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55" name="AutoShape 40" descr="Currently available antiretroviral drugs | Download Table">
          <a:extLst>
            <a:ext uri="{FF2B5EF4-FFF2-40B4-BE49-F238E27FC236}">
              <a16:creationId xmlns:a16="http://schemas.microsoft.com/office/drawing/2014/main" id="{51CE72ED-6A87-4502-AF2C-8A1A9B76DCA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56" name="AutoShape 40" descr="Currently available antiretroviral drugs | Download Table">
          <a:extLst>
            <a:ext uri="{FF2B5EF4-FFF2-40B4-BE49-F238E27FC236}">
              <a16:creationId xmlns:a16="http://schemas.microsoft.com/office/drawing/2014/main" id="{7F4142E2-8AA3-4B67-960C-54484E9350E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57" name="AutoShape 40" descr="Currently available antiretroviral drugs | Download Table">
          <a:extLst>
            <a:ext uri="{FF2B5EF4-FFF2-40B4-BE49-F238E27FC236}">
              <a16:creationId xmlns:a16="http://schemas.microsoft.com/office/drawing/2014/main" id="{62E8BA13-95D3-4214-A1C5-445F2825E56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58" name="AutoShape 40" descr="Currently available antiretroviral drugs | Download Table">
          <a:extLst>
            <a:ext uri="{FF2B5EF4-FFF2-40B4-BE49-F238E27FC236}">
              <a16:creationId xmlns:a16="http://schemas.microsoft.com/office/drawing/2014/main" id="{E23895BD-C097-4B4A-A4BE-DFE3D010D5B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59" name="AutoShape 40" descr="Currently available antiretroviral drugs | Download Table">
          <a:extLst>
            <a:ext uri="{FF2B5EF4-FFF2-40B4-BE49-F238E27FC236}">
              <a16:creationId xmlns:a16="http://schemas.microsoft.com/office/drawing/2014/main" id="{52E25E29-3F2B-4572-8E84-10E2C4BAFC5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60" name="AutoShape 40" descr="Currently available antiretroviral drugs | Download Table">
          <a:extLst>
            <a:ext uri="{FF2B5EF4-FFF2-40B4-BE49-F238E27FC236}">
              <a16:creationId xmlns:a16="http://schemas.microsoft.com/office/drawing/2014/main" id="{4EF129AD-7CF7-4568-B81E-9C4A611AC0D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61" name="AutoShape 40" descr="Currently available antiretroviral drugs | Download Table">
          <a:extLst>
            <a:ext uri="{FF2B5EF4-FFF2-40B4-BE49-F238E27FC236}">
              <a16:creationId xmlns:a16="http://schemas.microsoft.com/office/drawing/2014/main" id="{A28F4AAD-E53D-4581-BB47-D500718748B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62" name="AutoShape 40" descr="Currently available antiretroviral drugs | Download Table">
          <a:extLst>
            <a:ext uri="{FF2B5EF4-FFF2-40B4-BE49-F238E27FC236}">
              <a16:creationId xmlns:a16="http://schemas.microsoft.com/office/drawing/2014/main" id="{B35AE90C-9302-499B-AA45-7601CFD683C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63" name="AutoShape 40" descr="Currently available antiretroviral drugs | Download Table">
          <a:extLst>
            <a:ext uri="{FF2B5EF4-FFF2-40B4-BE49-F238E27FC236}">
              <a16:creationId xmlns:a16="http://schemas.microsoft.com/office/drawing/2014/main" id="{68EC1501-8E60-4294-8635-8110B984507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64" name="AutoShape 40" descr="Currently available antiretroviral drugs | Download Table">
          <a:extLst>
            <a:ext uri="{FF2B5EF4-FFF2-40B4-BE49-F238E27FC236}">
              <a16:creationId xmlns:a16="http://schemas.microsoft.com/office/drawing/2014/main" id="{F8FA7942-5A6F-4A6F-AA99-63EFF4DCB0A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65" name="AutoShape 40" descr="Currently available antiretroviral drugs | Download Table">
          <a:extLst>
            <a:ext uri="{FF2B5EF4-FFF2-40B4-BE49-F238E27FC236}">
              <a16:creationId xmlns:a16="http://schemas.microsoft.com/office/drawing/2014/main" id="{0D20450D-564F-4B6C-A8B9-559B5D18BEC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66" name="AutoShape 40" descr="Currently available antiretroviral drugs | Download Table">
          <a:extLst>
            <a:ext uri="{FF2B5EF4-FFF2-40B4-BE49-F238E27FC236}">
              <a16:creationId xmlns:a16="http://schemas.microsoft.com/office/drawing/2014/main" id="{9058B53B-D42E-45C7-B483-D3A481C8381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67" name="AutoShape 40" descr="Currently available antiretroviral drugs | Download Table">
          <a:extLst>
            <a:ext uri="{FF2B5EF4-FFF2-40B4-BE49-F238E27FC236}">
              <a16:creationId xmlns:a16="http://schemas.microsoft.com/office/drawing/2014/main" id="{E59B8688-A889-431B-9894-898209F9ADC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68" name="AutoShape 40" descr="Currently available antiretroviral drugs | Download Table">
          <a:extLst>
            <a:ext uri="{FF2B5EF4-FFF2-40B4-BE49-F238E27FC236}">
              <a16:creationId xmlns:a16="http://schemas.microsoft.com/office/drawing/2014/main" id="{64E77DE4-64FA-4BDE-877B-C47440E04F2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69" name="AutoShape 40" descr="Currently available antiretroviral drugs | Download Table">
          <a:extLst>
            <a:ext uri="{FF2B5EF4-FFF2-40B4-BE49-F238E27FC236}">
              <a16:creationId xmlns:a16="http://schemas.microsoft.com/office/drawing/2014/main" id="{F9E16EF3-4DE8-463C-BFE6-1306B442DFD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70" name="AutoShape 40" descr="Currently available antiretroviral drugs | Download Table">
          <a:extLst>
            <a:ext uri="{FF2B5EF4-FFF2-40B4-BE49-F238E27FC236}">
              <a16:creationId xmlns:a16="http://schemas.microsoft.com/office/drawing/2014/main" id="{B61E1086-287C-406A-BD50-76C7EE54932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71" name="AutoShape 40" descr="Currently available antiretroviral drugs | Download Table">
          <a:extLst>
            <a:ext uri="{FF2B5EF4-FFF2-40B4-BE49-F238E27FC236}">
              <a16:creationId xmlns:a16="http://schemas.microsoft.com/office/drawing/2014/main" id="{8BA500A2-F1FF-4468-8AE0-BDB7DC1E345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72" name="AutoShape 40" descr="Currently available antiretroviral drugs | Download Table">
          <a:extLst>
            <a:ext uri="{FF2B5EF4-FFF2-40B4-BE49-F238E27FC236}">
              <a16:creationId xmlns:a16="http://schemas.microsoft.com/office/drawing/2014/main" id="{8C1686A2-1EB7-49B4-8417-0D17AE15845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73" name="AutoShape 40" descr="Currently available antiretroviral drugs | Download Table">
          <a:extLst>
            <a:ext uri="{FF2B5EF4-FFF2-40B4-BE49-F238E27FC236}">
              <a16:creationId xmlns:a16="http://schemas.microsoft.com/office/drawing/2014/main" id="{219697B4-7F75-4F51-9E6F-A4AEAA92062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74" name="AutoShape 40" descr="Currently available antiretroviral drugs | Download Table">
          <a:extLst>
            <a:ext uri="{FF2B5EF4-FFF2-40B4-BE49-F238E27FC236}">
              <a16:creationId xmlns:a16="http://schemas.microsoft.com/office/drawing/2014/main" id="{AFE25B70-9ABA-4E95-A77B-077761DB711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75" name="AutoShape 40" descr="Currently available antiretroviral drugs | Download Table">
          <a:extLst>
            <a:ext uri="{FF2B5EF4-FFF2-40B4-BE49-F238E27FC236}">
              <a16:creationId xmlns:a16="http://schemas.microsoft.com/office/drawing/2014/main" id="{57017C7F-7127-4A86-8629-540310BB0FF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76" name="AutoShape 40" descr="Currently available antiretroviral drugs | Download Table">
          <a:extLst>
            <a:ext uri="{FF2B5EF4-FFF2-40B4-BE49-F238E27FC236}">
              <a16:creationId xmlns:a16="http://schemas.microsoft.com/office/drawing/2014/main" id="{E672E035-10AA-43BC-A312-89670063FB3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77" name="AutoShape 40" descr="Currently available antiretroviral drugs | Download Table">
          <a:extLst>
            <a:ext uri="{FF2B5EF4-FFF2-40B4-BE49-F238E27FC236}">
              <a16:creationId xmlns:a16="http://schemas.microsoft.com/office/drawing/2014/main" id="{7A49506C-9731-4AF0-8BDE-5478B01DB7B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78" name="AutoShape 40" descr="Currently available antiretroviral drugs | Download Table">
          <a:extLst>
            <a:ext uri="{FF2B5EF4-FFF2-40B4-BE49-F238E27FC236}">
              <a16:creationId xmlns:a16="http://schemas.microsoft.com/office/drawing/2014/main" id="{5BB09B28-7723-4A3A-8908-EE3D83CF69F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79" name="AutoShape 40" descr="Currently available antiretroviral drugs | Download Table">
          <a:extLst>
            <a:ext uri="{FF2B5EF4-FFF2-40B4-BE49-F238E27FC236}">
              <a16:creationId xmlns:a16="http://schemas.microsoft.com/office/drawing/2014/main" id="{A3E7D999-3E62-4AF5-B931-5ED0E58D02A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80" name="AutoShape 40" descr="Currently available antiretroviral drugs | Download Table">
          <a:extLst>
            <a:ext uri="{FF2B5EF4-FFF2-40B4-BE49-F238E27FC236}">
              <a16:creationId xmlns:a16="http://schemas.microsoft.com/office/drawing/2014/main" id="{6A4F04AC-3CDB-4CAE-BBAA-61485E48EA4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81" name="AutoShape 40" descr="Currently available antiretroviral drugs | Download Table">
          <a:extLst>
            <a:ext uri="{FF2B5EF4-FFF2-40B4-BE49-F238E27FC236}">
              <a16:creationId xmlns:a16="http://schemas.microsoft.com/office/drawing/2014/main" id="{2BC5F6B0-BBA7-4015-BDFB-AE75C04F8C6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82" name="AutoShape 40" descr="Currently available antiretroviral drugs | Download Table">
          <a:extLst>
            <a:ext uri="{FF2B5EF4-FFF2-40B4-BE49-F238E27FC236}">
              <a16:creationId xmlns:a16="http://schemas.microsoft.com/office/drawing/2014/main" id="{7D1E2435-05EC-45A6-A3C3-664AABBC672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83" name="AutoShape 40" descr="Currently available antiretroviral drugs | Download Table">
          <a:extLst>
            <a:ext uri="{FF2B5EF4-FFF2-40B4-BE49-F238E27FC236}">
              <a16:creationId xmlns:a16="http://schemas.microsoft.com/office/drawing/2014/main" id="{CADA78E2-91D4-482F-86EA-FDD08ABB583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84" name="AutoShape 40" descr="Currently available antiretroviral drugs | Download Table">
          <a:extLst>
            <a:ext uri="{FF2B5EF4-FFF2-40B4-BE49-F238E27FC236}">
              <a16:creationId xmlns:a16="http://schemas.microsoft.com/office/drawing/2014/main" id="{DFC406E0-A1BA-4985-9554-D0E7A083CA0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85" name="AutoShape 40" descr="Currently available antiretroviral drugs | Download Table">
          <a:extLst>
            <a:ext uri="{FF2B5EF4-FFF2-40B4-BE49-F238E27FC236}">
              <a16:creationId xmlns:a16="http://schemas.microsoft.com/office/drawing/2014/main" id="{7FEFEBD4-9CC2-4C5D-9786-C72BEC9BF6F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86" name="AutoShape 40" descr="Currently available antiretroviral drugs | Download Table">
          <a:extLst>
            <a:ext uri="{FF2B5EF4-FFF2-40B4-BE49-F238E27FC236}">
              <a16:creationId xmlns:a16="http://schemas.microsoft.com/office/drawing/2014/main" id="{6FA555FA-4F85-4302-9DA3-3E6EC801098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87" name="AutoShape 40" descr="Currently available antiretroviral drugs | Download Table">
          <a:extLst>
            <a:ext uri="{FF2B5EF4-FFF2-40B4-BE49-F238E27FC236}">
              <a16:creationId xmlns:a16="http://schemas.microsoft.com/office/drawing/2014/main" id="{C97CC4E2-39FF-4DEB-8BF3-7E8C658CB6D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88" name="AutoShape 40" descr="Currently available antiretroviral drugs | Download Table">
          <a:extLst>
            <a:ext uri="{FF2B5EF4-FFF2-40B4-BE49-F238E27FC236}">
              <a16:creationId xmlns:a16="http://schemas.microsoft.com/office/drawing/2014/main" id="{AB8D54FD-E2E9-4063-BDDF-F326A2FAC97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89" name="AutoShape 40" descr="Currently available antiretroviral drugs | Download Table">
          <a:extLst>
            <a:ext uri="{FF2B5EF4-FFF2-40B4-BE49-F238E27FC236}">
              <a16:creationId xmlns:a16="http://schemas.microsoft.com/office/drawing/2014/main" id="{725CC4B5-B9F5-4965-9476-1A3383F76D0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90" name="AutoShape 40" descr="Currently available antiretroviral drugs | Download Table">
          <a:extLst>
            <a:ext uri="{FF2B5EF4-FFF2-40B4-BE49-F238E27FC236}">
              <a16:creationId xmlns:a16="http://schemas.microsoft.com/office/drawing/2014/main" id="{19C33B8D-D23F-4098-9EFF-1CA931672CE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91" name="AutoShape 40" descr="Currently available antiretroviral drugs | Download Table">
          <a:extLst>
            <a:ext uri="{FF2B5EF4-FFF2-40B4-BE49-F238E27FC236}">
              <a16:creationId xmlns:a16="http://schemas.microsoft.com/office/drawing/2014/main" id="{C97AC1E2-8539-4BB0-B880-250A95B51EB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92" name="AutoShape 40" descr="Currently available antiretroviral drugs | Download Table">
          <a:extLst>
            <a:ext uri="{FF2B5EF4-FFF2-40B4-BE49-F238E27FC236}">
              <a16:creationId xmlns:a16="http://schemas.microsoft.com/office/drawing/2014/main" id="{7099AAA4-43B6-4FC3-89EF-E0E87E19B80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93" name="AutoShape 40" descr="Currently available antiretroviral drugs | Download Table">
          <a:extLst>
            <a:ext uri="{FF2B5EF4-FFF2-40B4-BE49-F238E27FC236}">
              <a16:creationId xmlns:a16="http://schemas.microsoft.com/office/drawing/2014/main" id="{72E59312-F973-455D-A564-CA56BA3D979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94" name="AutoShape 40" descr="Currently available antiretroviral drugs | Download Table">
          <a:extLst>
            <a:ext uri="{FF2B5EF4-FFF2-40B4-BE49-F238E27FC236}">
              <a16:creationId xmlns:a16="http://schemas.microsoft.com/office/drawing/2014/main" id="{F061A119-462C-4DB4-8D9F-878800BA7EF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95" name="AutoShape 40" descr="Currently available antiretroviral drugs | Download Table">
          <a:extLst>
            <a:ext uri="{FF2B5EF4-FFF2-40B4-BE49-F238E27FC236}">
              <a16:creationId xmlns:a16="http://schemas.microsoft.com/office/drawing/2014/main" id="{2BB2F300-CBED-46B7-A277-CA18AA3F514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96" name="AutoShape 40" descr="Currently available antiretroviral drugs | Download Table">
          <a:extLst>
            <a:ext uri="{FF2B5EF4-FFF2-40B4-BE49-F238E27FC236}">
              <a16:creationId xmlns:a16="http://schemas.microsoft.com/office/drawing/2014/main" id="{6CBAD26B-798C-4180-BF55-9CCE97C1234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97" name="AutoShape 40" descr="Currently available antiretroviral drugs | Download Table">
          <a:extLst>
            <a:ext uri="{FF2B5EF4-FFF2-40B4-BE49-F238E27FC236}">
              <a16:creationId xmlns:a16="http://schemas.microsoft.com/office/drawing/2014/main" id="{9E2096E8-7632-458C-A345-4207717D595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98" name="AutoShape 40" descr="Currently available antiretroviral drugs | Download Table">
          <a:extLst>
            <a:ext uri="{FF2B5EF4-FFF2-40B4-BE49-F238E27FC236}">
              <a16:creationId xmlns:a16="http://schemas.microsoft.com/office/drawing/2014/main" id="{C6EE3853-8E9A-4045-B3D1-EA8D8ABB04F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899" name="AutoShape 40" descr="Currently available antiretroviral drugs | Download Table">
          <a:extLst>
            <a:ext uri="{FF2B5EF4-FFF2-40B4-BE49-F238E27FC236}">
              <a16:creationId xmlns:a16="http://schemas.microsoft.com/office/drawing/2014/main" id="{60632ACE-D42D-4085-A08F-852D51839CB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00" name="AutoShape 40" descr="Currently available antiretroviral drugs | Download Table">
          <a:extLst>
            <a:ext uri="{FF2B5EF4-FFF2-40B4-BE49-F238E27FC236}">
              <a16:creationId xmlns:a16="http://schemas.microsoft.com/office/drawing/2014/main" id="{DB6ABFBE-B98A-42A0-B829-16FA160E83F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01" name="AutoShape 40" descr="Currently available antiretroviral drugs | Download Table">
          <a:extLst>
            <a:ext uri="{FF2B5EF4-FFF2-40B4-BE49-F238E27FC236}">
              <a16:creationId xmlns:a16="http://schemas.microsoft.com/office/drawing/2014/main" id="{0C7720B0-59FE-4A46-B7A6-F998BBFAA7B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02" name="AutoShape 40" descr="Currently available antiretroviral drugs | Download Table">
          <a:extLst>
            <a:ext uri="{FF2B5EF4-FFF2-40B4-BE49-F238E27FC236}">
              <a16:creationId xmlns:a16="http://schemas.microsoft.com/office/drawing/2014/main" id="{6870D730-82E8-443A-A94C-19A7042DCB8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03" name="AutoShape 40" descr="Currently available antiretroviral drugs | Download Table">
          <a:extLst>
            <a:ext uri="{FF2B5EF4-FFF2-40B4-BE49-F238E27FC236}">
              <a16:creationId xmlns:a16="http://schemas.microsoft.com/office/drawing/2014/main" id="{82DA405C-D174-4F51-9735-5E366E05DDC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04" name="AutoShape 40" descr="Currently available antiretroviral drugs | Download Table">
          <a:extLst>
            <a:ext uri="{FF2B5EF4-FFF2-40B4-BE49-F238E27FC236}">
              <a16:creationId xmlns:a16="http://schemas.microsoft.com/office/drawing/2014/main" id="{7974E39E-CC46-4C5E-A19A-DB8B77D2B66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05" name="AutoShape 40" descr="Currently available antiretroviral drugs | Download Table">
          <a:extLst>
            <a:ext uri="{FF2B5EF4-FFF2-40B4-BE49-F238E27FC236}">
              <a16:creationId xmlns:a16="http://schemas.microsoft.com/office/drawing/2014/main" id="{C9C6460D-9288-49E8-AF0A-D0AD70FC375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06" name="AutoShape 40" descr="Currently available antiretroviral drugs | Download Table">
          <a:extLst>
            <a:ext uri="{FF2B5EF4-FFF2-40B4-BE49-F238E27FC236}">
              <a16:creationId xmlns:a16="http://schemas.microsoft.com/office/drawing/2014/main" id="{E8024942-6091-4DF9-9CC9-9388E8F3D4F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07" name="AutoShape 40" descr="Currently available antiretroviral drugs | Download Table">
          <a:extLst>
            <a:ext uri="{FF2B5EF4-FFF2-40B4-BE49-F238E27FC236}">
              <a16:creationId xmlns:a16="http://schemas.microsoft.com/office/drawing/2014/main" id="{549C8446-5FA1-40CC-B218-C820B37D0EA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08" name="AutoShape 40" descr="Currently available antiretroviral drugs | Download Table">
          <a:extLst>
            <a:ext uri="{FF2B5EF4-FFF2-40B4-BE49-F238E27FC236}">
              <a16:creationId xmlns:a16="http://schemas.microsoft.com/office/drawing/2014/main" id="{11442C18-3B6B-46FC-9184-83FBA11C811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09" name="AutoShape 40" descr="Currently available antiretroviral drugs | Download Table">
          <a:extLst>
            <a:ext uri="{FF2B5EF4-FFF2-40B4-BE49-F238E27FC236}">
              <a16:creationId xmlns:a16="http://schemas.microsoft.com/office/drawing/2014/main" id="{D2F039B9-1B9E-4BAC-9916-B292FDC47D4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10" name="AutoShape 40" descr="Currently available antiretroviral drugs | Download Table">
          <a:extLst>
            <a:ext uri="{FF2B5EF4-FFF2-40B4-BE49-F238E27FC236}">
              <a16:creationId xmlns:a16="http://schemas.microsoft.com/office/drawing/2014/main" id="{619C483E-CA1F-4398-AE88-52C930D33ED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11" name="AutoShape 40" descr="Currently available antiretroviral drugs | Download Table">
          <a:extLst>
            <a:ext uri="{FF2B5EF4-FFF2-40B4-BE49-F238E27FC236}">
              <a16:creationId xmlns:a16="http://schemas.microsoft.com/office/drawing/2014/main" id="{BFBBE911-6815-456A-A831-4DD57F7993B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12" name="AutoShape 40" descr="Currently available antiretroviral drugs | Download Table">
          <a:extLst>
            <a:ext uri="{FF2B5EF4-FFF2-40B4-BE49-F238E27FC236}">
              <a16:creationId xmlns:a16="http://schemas.microsoft.com/office/drawing/2014/main" id="{669D2523-B44D-42DD-A877-F8C55E6C4BF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13" name="AutoShape 40" descr="Currently available antiretroviral drugs | Download Table">
          <a:extLst>
            <a:ext uri="{FF2B5EF4-FFF2-40B4-BE49-F238E27FC236}">
              <a16:creationId xmlns:a16="http://schemas.microsoft.com/office/drawing/2014/main" id="{1CDEF849-6317-4B6D-9642-77AEF4515B3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14" name="AutoShape 40" descr="Currently available antiretroviral drugs | Download Table">
          <a:extLst>
            <a:ext uri="{FF2B5EF4-FFF2-40B4-BE49-F238E27FC236}">
              <a16:creationId xmlns:a16="http://schemas.microsoft.com/office/drawing/2014/main" id="{D86B4182-BF85-4922-89EC-9F36585ADDE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15" name="AutoShape 40" descr="Currently available antiretroviral drugs | Download Table">
          <a:extLst>
            <a:ext uri="{FF2B5EF4-FFF2-40B4-BE49-F238E27FC236}">
              <a16:creationId xmlns:a16="http://schemas.microsoft.com/office/drawing/2014/main" id="{08BEFCB4-A5EF-4E58-A40A-88A039A72A4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16" name="AutoShape 40" descr="Currently available antiretroviral drugs | Download Table">
          <a:extLst>
            <a:ext uri="{FF2B5EF4-FFF2-40B4-BE49-F238E27FC236}">
              <a16:creationId xmlns:a16="http://schemas.microsoft.com/office/drawing/2014/main" id="{EA890E3A-DC65-427D-8FE2-D986D4E73BC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17" name="AutoShape 40" descr="Currently available antiretroviral drugs | Download Table">
          <a:extLst>
            <a:ext uri="{FF2B5EF4-FFF2-40B4-BE49-F238E27FC236}">
              <a16:creationId xmlns:a16="http://schemas.microsoft.com/office/drawing/2014/main" id="{74E30C14-882D-4FD8-9F96-A583E180189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18" name="AutoShape 40" descr="Currently available antiretroviral drugs | Download Table">
          <a:extLst>
            <a:ext uri="{FF2B5EF4-FFF2-40B4-BE49-F238E27FC236}">
              <a16:creationId xmlns:a16="http://schemas.microsoft.com/office/drawing/2014/main" id="{A528A753-9604-430E-B66F-76A888F8E21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19" name="AutoShape 40" descr="Currently available antiretroviral drugs | Download Table">
          <a:extLst>
            <a:ext uri="{FF2B5EF4-FFF2-40B4-BE49-F238E27FC236}">
              <a16:creationId xmlns:a16="http://schemas.microsoft.com/office/drawing/2014/main" id="{58864207-E793-4374-9016-BE9D8C7852A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20" name="AutoShape 40" descr="Currently available antiretroviral drugs | Download Table">
          <a:extLst>
            <a:ext uri="{FF2B5EF4-FFF2-40B4-BE49-F238E27FC236}">
              <a16:creationId xmlns:a16="http://schemas.microsoft.com/office/drawing/2014/main" id="{EF07AEAF-A9EF-4C03-8EB1-7187911214F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21" name="AutoShape 40" descr="Currently available antiretroviral drugs | Download Table">
          <a:extLst>
            <a:ext uri="{FF2B5EF4-FFF2-40B4-BE49-F238E27FC236}">
              <a16:creationId xmlns:a16="http://schemas.microsoft.com/office/drawing/2014/main" id="{D4589CBD-6364-4BBD-B1C6-01BC6D33524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22" name="AutoShape 40" descr="Currently available antiretroviral drugs | Download Table">
          <a:extLst>
            <a:ext uri="{FF2B5EF4-FFF2-40B4-BE49-F238E27FC236}">
              <a16:creationId xmlns:a16="http://schemas.microsoft.com/office/drawing/2014/main" id="{AE907C4C-E5D0-4CFA-A2BB-7082FBEEDE1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23" name="AutoShape 40" descr="Currently available antiretroviral drugs | Download Table">
          <a:extLst>
            <a:ext uri="{FF2B5EF4-FFF2-40B4-BE49-F238E27FC236}">
              <a16:creationId xmlns:a16="http://schemas.microsoft.com/office/drawing/2014/main" id="{D2E8423F-3EE2-4375-BBCF-8CFE4371066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24" name="AutoShape 40" descr="Currently available antiretroviral drugs | Download Table">
          <a:extLst>
            <a:ext uri="{FF2B5EF4-FFF2-40B4-BE49-F238E27FC236}">
              <a16:creationId xmlns:a16="http://schemas.microsoft.com/office/drawing/2014/main" id="{D220E4F4-6627-40F6-A571-B2CE5D2D4EC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25" name="AutoShape 40" descr="Currently available antiretroviral drugs | Download Table">
          <a:extLst>
            <a:ext uri="{FF2B5EF4-FFF2-40B4-BE49-F238E27FC236}">
              <a16:creationId xmlns:a16="http://schemas.microsoft.com/office/drawing/2014/main" id="{045ECDD3-5AEF-4953-BB91-EE003580968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26" name="AutoShape 40" descr="Currently available antiretroviral drugs | Download Table">
          <a:extLst>
            <a:ext uri="{FF2B5EF4-FFF2-40B4-BE49-F238E27FC236}">
              <a16:creationId xmlns:a16="http://schemas.microsoft.com/office/drawing/2014/main" id="{89E608D8-FF3C-4A8F-A229-27244A3CAA8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27" name="AutoShape 40" descr="Currently available antiretroviral drugs | Download Table">
          <a:extLst>
            <a:ext uri="{FF2B5EF4-FFF2-40B4-BE49-F238E27FC236}">
              <a16:creationId xmlns:a16="http://schemas.microsoft.com/office/drawing/2014/main" id="{BB47E0FE-7E97-4CE7-99CC-FD1E5157EF9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28" name="AutoShape 40" descr="Currently available antiretroviral drugs | Download Table">
          <a:extLst>
            <a:ext uri="{FF2B5EF4-FFF2-40B4-BE49-F238E27FC236}">
              <a16:creationId xmlns:a16="http://schemas.microsoft.com/office/drawing/2014/main" id="{40A90274-F36E-499C-A3B3-1445B3939E8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29" name="AutoShape 40" descr="Currently available antiretroviral drugs | Download Table">
          <a:extLst>
            <a:ext uri="{FF2B5EF4-FFF2-40B4-BE49-F238E27FC236}">
              <a16:creationId xmlns:a16="http://schemas.microsoft.com/office/drawing/2014/main" id="{19E6B9EC-8610-4060-B7D0-460F83D9746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30" name="AutoShape 40" descr="Currently available antiretroviral drugs | Download Table">
          <a:extLst>
            <a:ext uri="{FF2B5EF4-FFF2-40B4-BE49-F238E27FC236}">
              <a16:creationId xmlns:a16="http://schemas.microsoft.com/office/drawing/2014/main" id="{C283ACCE-C610-4B39-A2A2-1FACCDD5DC1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31" name="AutoShape 40" descr="Currently available antiretroviral drugs | Download Table">
          <a:extLst>
            <a:ext uri="{FF2B5EF4-FFF2-40B4-BE49-F238E27FC236}">
              <a16:creationId xmlns:a16="http://schemas.microsoft.com/office/drawing/2014/main" id="{39BA142D-205F-46E4-A059-A150C8D3ED6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32" name="AutoShape 40" descr="Currently available antiretroviral drugs | Download Table">
          <a:extLst>
            <a:ext uri="{FF2B5EF4-FFF2-40B4-BE49-F238E27FC236}">
              <a16:creationId xmlns:a16="http://schemas.microsoft.com/office/drawing/2014/main" id="{08231540-6BE4-4318-BE85-3FA92CE810B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33" name="AutoShape 40" descr="Currently available antiretroviral drugs | Download Table">
          <a:extLst>
            <a:ext uri="{FF2B5EF4-FFF2-40B4-BE49-F238E27FC236}">
              <a16:creationId xmlns:a16="http://schemas.microsoft.com/office/drawing/2014/main" id="{24183497-2746-4FE5-BD95-7D3BB2754C1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34" name="AutoShape 40" descr="Currently available antiretroviral drugs | Download Table">
          <a:extLst>
            <a:ext uri="{FF2B5EF4-FFF2-40B4-BE49-F238E27FC236}">
              <a16:creationId xmlns:a16="http://schemas.microsoft.com/office/drawing/2014/main" id="{7DDD7B9D-748B-40DD-8C80-BFC6C68D92F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35" name="AutoShape 40" descr="Currently available antiretroviral drugs | Download Table">
          <a:extLst>
            <a:ext uri="{FF2B5EF4-FFF2-40B4-BE49-F238E27FC236}">
              <a16:creationId xmlns:a16="http://schemas.microsoft.com/office/drawing/2014/main" id="{6EB32A26-880E-4714-B3FD-990F3A94DCF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36" name="AutoShape 40" descr="Currently available antiretroviral drugs | Download Table">
          <a:extLst>
            <a:ext uri="{FF2B5EF4-FFF2-40B4-BE49-F238E27FC236}">
              <a16:creationId xmlns:a16="http://schemas.microsoft.com/office/drawing/2014/main" id="{4D223224-5DEF-4860-8D4D-9F622B7C2E8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37" name="AutoShape 40" descr="Currently available antiretroviral drugs | Download Table">
          <a:extLst>
            <a:ext uri="{FF2B5EF4-FFF2-40B4-BE49-F238E27FC236}">
              <a16:creationId xmlns:a16="http://schemas.microsoft.com/office/drawing/2014/main" id="{509E2815-B01B-4EC6-9409-22F6C09E521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38" name="AutoShape 40" descr="Currently available antiretroviral drugs | Download Table">
          <a:extLst>
            <a:ext uri="{FF2B5EF4-FFF2-40B4-BE49-F238E27FC236}">
              <a16:creationId xmlns:a16="http://schemas.microsoft.com/office/drawing/2014/main" id="{7420BE2A-6808-47D3-855D-48F757CC874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39" name="AutoShape 40" descr="Currently available antiretroviral drugs | Download Table">
          <a:extLst>
            <a:ext uri="{FF2B5EF4-FFF2-40B4-BE49-F238E27FC236}">
              <a16:creationId xmlns:a16="http://schemas.microsoft.com/office/drawing/2014/main" id="{4C9D1E6E-C595-4C1F-9847-A809CC9439D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40" name="AutoShape 40" descr="Currently available antiretroviral drugs | Download Table">
          <a:extLst>
            <a:ext uri="{FF2B5EF4-FFF2-40B4-BE49-F238E27FC236}">
              <a16:creationId xmlns:a16="http://schemas.microsoft.com/office/drawing/2014/main" id="{06F7FE68-32ED-4671-9DD9-FF4EA8ADA0D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41" name="AutoShape 40" descr="Currently available antiretroviral drugs | Download Table">
          <a:extLst>
            <a:ext uri="{FF2B5EF4-FFF2-40B4-BE49-F238E27FC236}">
              <a16:creationId xmlns:a16="http://schemas.microsoft.com/office/drawing/2014/main" id="{DB902E71-4A2A-4FF0-876C-F890A63189C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42" name="AutoShape 40" descr="Currently available antiretroviral drugs | Download Table">
          <a:extLst>
            <a:ext uri="{FF2B5EF4-FFF2-40B4-BE49-F238E27FC236}">
              <a16:creationId xmlns:a16="http://schemas.microsoft.com/office/drawing/2014/main" id="{875FB741-08BF-4B79-BFA4-77B1F57A5CA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43" name="AutoShape 40" descr="Currently available antiretroviral drugs | Download Table">
          <a:extLst>
            <a:ext uri="{FF2B5EF4-FFF2-40B4-BE49-F238E27FC236}">
              <a16:creationId xmlns:a16="http://schemas.microsoft.com/office/drawing/2014/main" id="{4C9AB9B7-1C5C-4958-AB9B-FE691390AB4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44" name="AutoShape 40" descr="Currently available antiretroviral drugs | Download Table">
          <a:extLst>
            <a:ext uri="{FF2B5EF4-FFF2-40B4-BE49-F238E27FC236}">
              <a16:creationId xmlns:a16="http://schemas.microsoft.com/office/drawing/2014/main" id="{8264AE9E-04AE-41A0-8011-2DC8BF636E3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45" name="AutoShape 40" descr="Currently available antiretroviral drugs | Download Table">
          <a:extLst>
            <a:ext uri="{FF2B5EF4-FFF2-40B4-BE49-F238E27FC236}">
              <a16:creationId xmlns:a16="http://schemas.microsoft.com/office/drawing/2014/main" id="{1F690833-D01A-4AC0-B0AA-E468FF310A5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46" name="AutoShape 40" descr="Currently available antiretroviral drugs | Download Table">
          <a:extLst>
            <a:ext uri="{FF2B5EF4-FFF2-40B4-BE49-F238E27FC236}">
              <a16:creationId xmlns:a16="http://schemas.microsoft.com/office/drawing/2014/main" id="{4C8DE1F8-32A2-4659-8306-2ECB59E72F0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47" name="AutoShape 40" descr="Currently available antiretroviral drugs | Download Table">
          <a:extLst>
            <a:ext uri="{FF2B5EF4-FFF2-40B4-BE49-F238E27FC236}">
              <a16:creationId xmlns:a16="http://schemas.microsoft.com/office/drawing/2014/main" id="{52EC443D-1892-4457-B35F-518B80DA200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48" name="AutoShape 40" descr="Currently available antiretroviral drugs | Download Table">
          <a:extLst>
            <a:ext uri="{FF2B5EF4-FFF2-40B4-BE49-F238E27FC236}">
              <a16:creationId xmlns:a16="http://schemas.microsoft.com/office/drawing/2014/main" id="{8100CF9F-5A2C-4FF9-AFB6-55525AFDB4B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49" name="AutoShape 40" descr="Currently available antiretroviral drugs | Download Table">
          <a:extLst>
            <a:ext uri="{FF2B5EF4-FFF2-40B4-BE49-F238E27FC236}">
              <a16:creationId xmlns:a16="http://schemas.microsoft.com/office/drawing/2014/main" id="{B7562B7E-B736-43DA-AD64-BEB3B08AA10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50" name="AutoShape 40" descr="Currently available antiretroviral drugs | Download Table">
          <a:extLst>
            <a:ext uri="{FF2B5EF4-FFF2-40B4-BE49-F238E27FC236}">
              <a16:creationId xmlns:a16="http://schemas.microsoft.com/office/drawing/2014/main" id="{6D3190BF-6D23-4117-8A61-DE355E85DD2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51" name="AutoShape 40" descr="Currently available antiretroviral drugs | Download Table">
          <a:extLst>
            <a:ext uri="{FF2B5EF4-FFF2-40B4-BE49-F238E27FC236}">
              <a16:creationId xmlns:a16="http://schemas.microsoft.com/office/drawing/2014/main" id="{99387105-B9DF-4DCA-AC54-436DFDC0CFE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52" name="AutoShape 40" descr="Currently available antiretroviral drugs | Download Table">
          <a:extLst>
            <a:ext uri="{FF2B5EF4-FFF2-40B4-BE49-F238E27FC236}">
              <a16:creationId xmlns:a16="http://schemas.microsoft.com/office/drawing/2014/main" id="{F1A62176-038D-4B69-A376-87787057AAC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53" name="AutoShape 40" descr="Currently available antiretroviral drugs | Download Table">
          <a:extLst>
            <a:ext uri="{FF2B5EF4-FFF2-40B4-BE49-F238E27FC236}">
              <a16:creationId xmlns:a16="http://schemas.microsoft.com/office/drawing/2014/main" id="{F67DED57-B29A-4D8C-837F-6FA24E0800C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54" name="AutoShape 40" descr="Currently available antiretroviral drugs | Download Table">
          <a:extLst>
            <a:ext uri="{FF2B5EF4-FFF2-40B4-BE49-F238E27FC236}">
              <a16:creationId xmlns:a16="http://schemas.microsoft.com/office/drawing/2014/main" id="{C963DC29-FD7C-4C53-9882-942B52C348D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55" name="AutoShape 40" descr="Currently available antiretroviral drugs | Download Table">
          <a:extLst>
            <a:ext uri="{FF2B5EF4-FFF2-40B4-BE49-F238E27FC236}">
              <a16:creationId xmlns:a16="http://schemas.microsoft.com/office/drawing/2014/main" id="{C721A90A-B4BA-4F38-A3C1-9311902B031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56" name="AutoShape 40" descr="Currently available antiretroviral drugs | Download Table">
          <a:extLst>
            <a:ext uri="{FF2B5EF4-FFF2-40B4-BE49-F238E27FC236}">
              <a16:creationId xmlns:a16="http://schemas.microsoft.com/office/drawing/2014/main" id="{9C0D26CC-479B-4C31-90AA-497C1D3D060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57" name="AutoShape 40" descr="Currently available antiretroviral drugs | Download Table">
          <a:extLst>
            <a:ext uri="{FF2B5EF4-FFF2-40B4-BE49-F238E27FC236}">
              <a16:creationId xmlns:a16="http://schemas.microsoft.com/office/drawing/2014/main" id="{77FF0580-86C5-4CF3-AB6B-F477C62C47E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58" name="AutoShape 40" descr="Currently available antiretroviral drugs | Download Table">
          <a:extLst>
            <a:ext uri="{FF2B5EF4-FFF2-40B4-BE49-F238E27FC236}">
              <a16:creationId xmlns:a16="http://schemas.microsoft.com/office/drawing/2014/main" id="{ACD8F49A-23A9-4565-9896-0C3413C8036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59" name="AutoShape 40" descr="Currently available antiretroviral drugs | Download Table">
          <a:extLst>
            <a:ext uri="{FF2B5EF4-FFF2-40B4-BE49-F238E27FC236}">
              <a16:creationId xmlns:a16="http://schemas.microsoft.com/office/drawing/2014/main" id="{22CD2812-2426-4818-9BE4-6CEE3CF25A0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60" name="AutoShape 40" descr="Currently available antiretroviral drugs | Download Table">
          <a:extLst>
            <a:ext uri="{FF2B5EF4-FFF2-40B4-BE49-F238E27FC236}">
              <a16:creationId xmlns:a16="http://schemas.microsoft.com/office/drawing/2014/main" id="{9692920E-B890-4729-93AB-2464441C620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61" name="AutoShape 40" descr="Currently available antiretroviral drugs | Download Table">
          <a:extLst>
            <a:ext uri="{FF2B5EF4-FFF2-40B4-BE49-F238E27FC236}">
              <a16:creationId xmlns:a16="http://schemas.microsoft.com/office/drawing/2014/main" id="{0476B719-AB14-40AE-A635-A069F70ACD3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62" name="AutoShape 40" descr="Currently available antiretroviral drugs | Download Table">
          <a:extLst>
            <a:ext uri="{FF2B5EF4-FFF2-40B4-BE49-F238E27FC236}">
              <a16:creationId xmlns:a16="http://schemas.microsoft.com/office/drawing/2014/main" id="{2C7D42CD-8607-4E5B-B004-E6C79DE4E92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63" name="AutoShape 40" descr="Currently available antiretroviral drugs | Download Table">
          <a:extLst>
            <a:ext uri="{FF2B5EF4-FFF2-40B4-BE49-F238E27FC236}">
              <a16:creationId xmlns:a16="http://schemas.microsoft.com/office/drawing/2014/main" id="{02B60A46-F6E8-4987-87D3-CC5D2DA401F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64" name="AutoShape 40" descr="Currently available antiretroviral drugs | Download Table">
          <a:extLst>
            <a:ext uri="{FF2B5EF4-FFF2-40B4-BE49-F238E27FC236}">
              <a16:creationId xmlns:a16="http://schemas.microsoft.com/office/drawing/2014/main" id="{8961C0F3-856B-47E6-A6A7-A0E9F56F251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65" name="AutoShape 40" descr="Currently available antiretroviral drugs | Download Table">
          <a:extLst>
            <a:ext uri="{FF2B5EF4-FFF2-40B4-BE49-F238E27FC236}">
              <a16:creationId xmlns:a16="http://schemas.microsoft.com/office/drawing/2014/main" id="{7070B055-2014-4CF7-975B-C6E39023828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66" name="AutoShape 40" descr="Currently available antiretroviral drugs | Download Table">
          <a:extLst>
            <a:ext uri="{FF2B5EF4-FFF2-40B4-BE49-F238E27FC236}">
              <a16:creationId xmlns:a16="http://schemas.microsoft.com/office/drawing/2014/main" id="{F724C95B-BC34-4439-90B4-70E330042C1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67" name="AutoShape 40" descr="Currently available antiretroviral drugs | Download Table">
          <a:extLst>
            <a:ext uri="{FF2B5EF4-FFF2-40B4-BE49-F238E27FC236}">
              <a16:creationId xmlns:a16="http://schemas.microsoft.com/office/drawing/2014/main" id="{6F9AC582-692F-4878-B475-B08E439D06E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68" name="AutoShape 40" descr="Currently available antiretroviral drugs | Download Table">
          <a:extLst>
            <a:ext uri="{FF2B5EF4-FFF2-40B4-BE49-F238E27FC236}">
              <a16:creationId xmlns:a16="http://schemas.microsoft.com/office/drawing/2014/main" id="{034BA4B1-7353-4F2A-B913-5463A71388D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69" name="AutoShape 40" descr="Currently available antiretroviral drugs | Download Table">
          <a:extLst>
            <a:ext uri="{FF2B5EF4-FFF2-40B4-BE49-F238E27FC236}">
              <a16:creationId xmlns:a16="http://schemas.microsoft.com/office/drawing/2014/main" id="{B68BCDBA-A548-497B-89EA-FFE4891E931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70" name="AutoShape 40" descr="Currently available antiretroviral drugs | Download Table">
          <a:extLst>
            <a:ext uri="{FF2B5EF4-FFF2-40B4-BE49-F238E27FC236}">
              <a16:creationId xmlns:a16="http://schemas.microsoft.com/office/drawing/2014/main" id="{B0DC9009-6AFF-464B-A593-8715F8302C2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71" name="AutoShape 40" descr="Currently available antiretroviral drugs | Download Table">
          <a:extLst>
            <a:ext uri="{FF2B5EF4-FFF2-40B4-BE49-F238E27FC236}">
              <a16:creationId xmlns:a16="http://schemas.microsoft.com/office/drawing/2014/main" id="{1B9C24D4-0102-4CB4-81F2-25B3E71ED04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72" name="AutoShape 40" descr="Currently available antiretroviral drugs | Download Table">
          <a:extLst>
            <a:ext uri="{FF2B5EF4-FFF2-40B4-BE49-F238E27FC236}">
              <a16:creationId xmlns:a16="http://schemas.microsoft.com/office/drawing/2014/main" id="{C80BD8D9-0DB6-40F4-A70B-1B1F40490C9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73" name="AutoShape 40" descr="Currently available antiretroviral drugs | Download Table">
          <a:extLst>
            <a:ext uri="{FF2B5EF4-FFF2-40B4-BE49-F238E27FC236}">
              <a16:creationId xmlns:a16="http://schemas.microsoft.com/office/drawing/2014/main" id="{E9A37176-8F06-4245-A2A3-EA34A65C7B7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74" name="AutoShape 40" descr="Currently available antiretroviral drugs | Download Table">
          <a:extLst>
            <a:ext uri="{FF2B5EF4-FFF2-40B4-BE49-F238E27FC236}">
              <a16:creationId xmlns:a16="http://schemas.microsoft.com/office/drawing/2014/main" id="{B9A96A79-4A19-4B71-854D-3627740B0C1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75" name="AutoShape 40" descr="Currently available antiretroviral drugs | Download Table">
          <a:extLst>
            <a:ext uri="{FF2B5EF4-FFF2-40B4-BE49-F238E27FC236}">
              <a16:creationId xmlns:a16="http://schemas.microsoft.com/office/drawing/2014/main" id="{1D86F531-75E7-421A-B53A-DA6CFD3A780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76" name="AutoShape 40" descr="Currently available antiretroviral drugs | Download Table">
          <a:extLst>
            <a:ext uri="{FF2B5EF4-FFF2-40B4-BE49-F238E27FC236}">
              <a16:creationId xmlns:a16="http://schemas.microsoft.com/office/drawing/2014/main" id="{86CC26B0-BA6C-4ACD-89B9-D9ED12F0E6C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77" name="AutoShape 40" descr="Currently available antiretroviral drugs | Download Table">
          <a:extLst>
            <a:ext uri="{FF2B5EF4-FFF2-40B4-BE49-F238E27FC236}">
              <a16:creationId xmlns:a16="http://schemas.microsoft.com/office/drawing/2014/main" id="{5FD3CB15-F2FF-4751-A5AA-92B2DF3E715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78" name="AutoShape 40" descr="Currently available antiretroviral drugs | Download Table">
          <a:extLst>
            <a:ext uri="{FF2B5EF4-FFF2-40B4-BE49-F238E27FC236}">
              <a16:creationId xmlns:a16="http://schemas.microsoft.com/office/drawing/2014/main" id="{F885290B-A917-4BEF-A6F1-277E2A8A8B4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79" name="AutoShape 40" descr="Currently available antiretroviral drugs | Download Table">
          <a:extLst>
            <a:ext uri="{FF2B5EF4-FFF2-40B4-BE49-F238E27FC236}">
              <a16:creationId xmlns:a16="http://schemas.microsoft.com/office/drawing/2014/main" id="{5A38350F-4474-46FA-8117-4D0AA0D37C5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80" name="AutoShape 40" descr="Currently available antiretroviral drugs | Download Table">
          <a:extLst>
            <a:ext uri="{FF2B5EF4-FFF2-40B4-BE49-F238E27FC236}">
              <a16:creationId xmlns:a16="http://schemas.microsoft.com/office/drawing/2014/main" id="{E39514F4-7265-4E23-9258-B375A338CC2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81" name="AutoShape 40" descr="Currently available antiretroviral drugs | Download Table">
          <a:extLst>
            <a:ext uri="{FF2B5EF4-FFF2-40B4-BE49-F238E27FC236}">
              <a16:creationId xmlns:a16="http://schemas.microsoft.com/office/drawing/2014/main" id="{2947E76E-2F9A-4B69-BD3D-A41FA95B6BD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82" name="AutoShape 40" descr="Currently available antiretroviral drugs | Download Table">
          <a:extLst>
            <a:ext uri="{FF2B5EF4-FFF2-40B4-BE49-F238E27FC236}">
              <a16:creationId xmlns:a16="http://schemas.microsoft.com/office/drawing/2014/main" id="{3FE797F1-7368-48B6-A177-442774D322B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83" name="AutoShape 40" descr="Currently available antiretroviral drugs | Download Table">
          <a:extLst>
            <a:ext uri="{FF2B5EF4-FFF2-40B4-BE49-F238E27FC236}">
              <a16:creationId xmlns:a16="http://schemas.microsoft.com/office/drawing/2014/main" id="{0630724C-F9AA-47EB-8256-7FFC2827289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84" name="AutoShape 40" descr="Currently available antiretroviral drugs | Download Table">
          <a:extLst>
            <a:ext uri="{FF2B5EF4-FFF2-40B4-BE49-F238E27FC236}">
              <a16:creationId xmlns:a16="http://schemas.microsoft.com/office/drawing/2014/main" id="{01E94C8A-A623-46C0-9089-C188F35570E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85" name="AutoShape 40" descr="Currently available antiretroviral drugs | Download Table">
          <a:extLst>
            <a:ext uri="{FF2B5EF4-FFF2-40B4-BE49-F238E27FC236}">
              <a16:creationId xmlns:a16="http://schemas.microsoft.com/office/drawing/2014/main" id="{A0DC13B4-2348-4B21-8B26-46221BA1C29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86" name="AutoShape 40" descr="Currently available antiretroviral drugs | Download Table">
          <a:extLst>
            <a:ext uri="{FF2B5EF4-FFF2-40B4-BE49-F238E27FC236}">
              <a16:creationId xmlns:a16="http://schemas.microsoft.com/office/drawing/2014/main" id="{F544F1DF-9CEC-4843-88E0-20979826E17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87" name="AutoShape 40" descr="Currently available antiretroviral drugs | Download Table">
          <a:extLst>
            <a:ext uri="{FF2B5EF4-FFF2-40B4-BE49-F238E27FC236}">
              <a16:creationId xmlns:a16="http://schemas.microsoft.com/office/drawing/2014/main" id="{648AE521-D8C5-49D1-812B-58F13C6D53C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88" name="AutoShape 40" descr="Currently available antiretroviral drugs | Download Table">
          <a:extLst>
            <a:ext uri="{FF2B5EF4-FFF2-40B4-BE49-F238E27FC236}">
              <a16:creationId xmlns:a16="http://schemas.microsoft.com/office/drawing/2014/main" id="{5C0959A3-7BA3-45F8-929E-3B3D03702D7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89" name="AutoShape 40" descr="Currently available antiretroviral drugs | Download Table">
          <a:extLst>
            <a:ext uri="{FF2B5EF4-FFF2-40B4-BE49-F238E27FC236}">
              <a16:creationId xmlns:a16="http://schemas.microsoft.com/office/drawing/2014/main" id="{90AF94FE-2345-4A2B-915C-189DE6801AA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90" name="AutoShape 40" descr="Currently available antiretroviral drugs | Download Table">
          <a:extLst>
            <a:ext uri="{FF2B5EF4-FFF2-40B4-BE49-F238E27FC236}">
              <a16:creationId xmlns:a16="http://schemas.microsoft.com/office/drawing/2014/main" id="{45E4A0C9-78E8-4510-9925-303C9005690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91" name="AutoShape 40" descr="Currently available antiretroviral drugs | Download Table">
          <a:extLst>
            <a:ext uri="{FF2B5EF4-FFF2-40B4-BE49-F238E27FC236}">
              <a16:creationId xmlns:a16="http://schemas.microsoft.com/office/drawing/2014/main" id="{2DDBD2C4-B057-4009-8A09-722561DFD96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92" name="AutoShape 40" descr="Currently available antiretroviral drugs | Download Table">
          <a:extLst>
            <a:ext uri="{FF2B5EF4-FFF2-40B4-BE49-F238E27FC236}">
              <a16:creationId xmlns:a16="http://schemas.microsoft.com/office/drawing/2014/main" id="{6382858F-16B4-4899-8F7D-45EA493DACF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93" name="AutoShape 40" descr="Currently available antiretroviral drugs | Download Table">
          <a:extLst>
            <a:ext uri="{FF2B5EF4-FFF2-40B4-BE49-F238E27FC236}">
              <a16:creationId xmlns:a16="http://schemas.microsoft.com/office/drawing/2014/main" id="{1F043BE1-0151-4DFE-8031-7EFF3B614E6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94" name="AutoShape 40" descr="Currently available antiretroviral drugs | Download Table">
          <a:extLst>
            <a:ext uri="{FF2B5EF4-FFF2-40B4-BE49-F238E27FC236}">
              <a16:creationId xmlns:a16="http://schemas.microsoft.com/office/drawing/2014/main" id="{91A3397E-B157-49EC-906A-F20617810B7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95" name="AutoShape 40" descr="Currently available antiretroviral drugs | Download Table">
          <a:extLst>
            <a:ext uri="{FF2B5EF4-FFF2-40B4-BE49-F238E27FC236}">
              <a16:creationId xmlns:a16="http://schemas.microsoft.com/office/drawing/2014/main" id="{2BD55FE9-24A5-4821-9C5E-5BF340C26B3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96" name="AutoShape 40" descr="Currently available antiretroviral drugs | Download Table">
          <a:extLst>
            <a:ext uri="{FF2B5EF4-FFF2-40B4-BE49-F238E27FC236}">
              <a16:creationId xmlns:a16="http://schemas.microsoft.com/office/drawing/2014/main" id="{44E4E9B1-239A-4C3C-AA60-5F9E937291E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97" name="AutoShape 40" descr="Currently available antiretroviral drugs | Download Table">
          <a:extLst>
            <a:ext uri="{FF2B5EF4-FFF2-40B4-BE49-F238E27FC236}">
              <a16:creationId xmlns:a16="http://schemas.microsoft.com/office/drawing/2014/main" id="{77BAEC9F-2DFD-4777-81BA-CA43F701AF4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98" name="AutoShape 40" descr="Currently available antiretroviral drugs | Download Table">
          <a:extLst>
            <a:ext uri="{FF2B5EF4-FFF2-40B4-BE49-F238E27FC236}">
              <a16:creationId xmlns:a16="http://schemas.microsoft.com/office/drawing/2014/main" id="{4550E500-2C17-4B15-A2EE-F85BCE08D2F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999" name="AutoShape 40" descr="Currently available antiretroviral drugs | Download Table">
          <a:extLst>
            <a:ext uri="{FF2B5EF4-FFF2-40B4-BE49-F238E27FC236}">
              <a16:creationId xmlns:a16="http://schemas.microsoft.com/office/drawing/2014/main" id="{52701366-E777-470D-A1D2-55055340A7C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00" name="AutoShape 40" descr="Currently available antiretroviral drugs | Download Table">
          <a:extLst>
            <a:ext uri="{FF2B5EF4-FFF2-40B4-BE49-F238E27FC236}">
              <a16:creationId xmlns:a16="http://schemas.microsoft.com/office/drawing/2014/main" id="{D67B8A23-5604-4EF8-A9E7-2E13B8381D4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01" name="AutoShape 40" descr="Currently available antiretroviral drugs | Download Table">
          <a:extLst>
            <a:ext uri="{FF2B5EF4-FFF2-40B4-BE49-F238E27FC236}">
              <a16:creationId xmlns:a16="http://schemas.microsoft.com/office/drawing/2014/main" id="{927A3F98-5AFD-404E-8445-1672511DFBB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02" name="AutoShape 40" descr="Currently available antiretroviral drugs | Download Table">
          <a:extLst>
            <a:ext uri="{FF2B5EF4-FFF2-40B4-BE49-F238E27FC236}">
              <a16:creationId xmlns:a16="http://schemas.microsoft.com/office/drawing/2014/main" id="{F1B65EBC-D305-468D-9C7B-CCB589BD209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03" name="AutoShape 40" descr="Currently available antiretroviral drugs | Download Table">
          <a:extLst>
            <a:ext uri="{FF2B5EF4-FFF2-40B4-BE49-F238E27FC236}">
              <a16:creationId xmlns:a16="http://schemas.microsoft.com/office/drawing/2014/main" id="{E8EC29D6-703A-4035-A780-AA170D7C926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04" name="AutoShape 40" descr="Currently available antiretroviral drugs | Download Table">
          <a:extLst>
            <a:ext uri="{FF2B5EF4-FFF2-40B4-BE49-F238E27FC236}">
              <a16:creationId xmlns:a16="http://schemas.microsoft.com/office/drawing/2014/main" id="{0BA573BD-09AA-4D84-A0F7-B91BEE97F75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05" name="AutoShape 40" descr="Currently available antiretroviral drugs | Download Table">
          <a:extLst>
            <a:ext uri="{FF2B5EF4-FFF2-40B4-BE49-F238E27FC236}">
              <a16:creationId xmlns:a16="http://schemas.microsoft.com/office/drawing/2014/main" id="{CABACD0F-53E1-4407-A850-2821787EE9E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06" name="AutoShape 40" descr="Currently available antiretroviral drugs | Download Table">
          <a:extLst>
            <a:ext uri="{FF2B5EF4-FFF2-40B4-BE49-F238E27FC236}">
              <a16:creationId xmlns:a16="http://schemas.microsoft.com/office/drawing/2014/main" id="{060A70AE-39BD-47E4-AEC5-A5167801CB5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07" name="AutoShape 40" descr="Currently available antiretroviral drugs | Download Table">
          <a:extLst>
            <a:ext uri="{FF2B5EF4-FFF2-40B4-BE49-F238E27FC236}">
              <a16:creationId xmlns:a16="http://schemas.microsoft.com/office/drawing/2014/main" id="{2C6423C5-3B31-4E18-99B4-FC4A9DDC0B9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08" name="AutoShape 40" descr="Currently available antiretroviral drugs | Download Table">
          <a:extLst>
            <a:ext uri="{FF2B5EF4-FFF2-40B4-BE49-F238E27FC236}">
              <a16:creationId xmlns:a16="http://schemas.microsoft.com/office/drawing/2014/main" id="{282ACA46-EEFB-4966-A647-C25C89063BD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09" name="AutoShape 40" descr="Currently available antiretroviral drugs | Download Table">
          <a:extLst>
            <a:ext uri="{FF2B5EF4-FFF2-40B4-BE49-F238E27FC236}">
              <a16:creationId xmlns:a16="http://schemas.microsoft.com/office/drawing/2014/main" id="{CAEB7BFD-E88B-4108-AEF9-CC18C381387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10" name="AutoShape 40" descr="Currently available antiretroviral drugs | Download Table">
          <a:extLst>
            <a:ext uri="{FF2B5EF4-FFF2-40B4-BE49-F238E27FC236}">
              <a16:creationId xmlns:a16="http://schemas.microsoft.com/office/drawing/2014/main" id="{EEEA2CF5-B157-4A58-B0C5-EAE6ED27FEC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11" name="AutoShape 40" descr="Currently available antiretroviral drugs | Download Table">
          <a:extLst>
            <a:ext uri="{FF2B5EF4-FFF2-40B4-BE49-F238E27FC236}">
              <a16:creationId xmlns:a16="http://schemas.microsoft.com/office/drawing/2014/main" id="{451962A7-BDA6-42A2-B7EF-5AED33DDFE6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12" name="AutoShape 40" descr="Currently available antiretroviral drugs | Download Table">
          <a:extLst>
            <a:ext uri="{FF2B5EF4-FFF2-40B4-BE49-F238E27FC236}">
              <a16:creationId xmlns:a16="http://schemas.microsoft.com/office/drawing/2014/main" id="{59CAA55A-60A6-432E-B4F4-F05C618E0DD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13" name="AutoShape 40" descr="Currently available antiretroviral drugs | Download Table">
          <a:extLst>
            <a:ext uri="{FF2B5EF4-FFF2-40B4-BE49-F238E27FC236}">
              <a16:creationId xmlns:a16="http://schemas.microsoft.com/office/drawing/2014/main" id="{95C70941-003E-4EF5-97D4-B6777017D5A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14" name="AutoShape 40" descr="Currently available antiretroviral drugs | Download Table">
          <a:extLst>
            <a:ext uri="{FF2B5EF4-FFF2-40B4-BE49-F238E27FC236}">
              <a16:creationId xmlns:a16="http://schemas.microsoft.com/office/drawing/2014/main" id="{3AA932FC-6733-4036-9875-E945FA6D822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15" name="AutoShape 40" descr="Currently available antiretroviral drugs | Download Table">
          <a:extLst>
            <a:ext uri="{FF2B5EF4-FFF2-40B4-BE49-F238E27FC236}">
              <a16:creationId xmlns:a16="http://schemas.microsoft.com/office/drawing/2014/main" id="{54A05BC5-D2E2-4037-9E66-3091BE9C61E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16" name="AutoShape 40" descr="Currently available antiretroviral drugs | Download Table">
          <a:extLst>
            <a:ext uri="{FF2B5EF4-FFF2-40B4-BE49-F238E27FC236}">
              <a16:creationId xmlns:a16="http://schemas.microsoft.com/office/drawing/2014/main" id="{70E0D229-9F79-4E9A-B70F-5CCBF3B4ACB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17" name="AutoShape 40" descr="Currently available antiretroviral drugs | Download Table">
          <a:extLst>
            <a:ext uri="{FF2B5EF4-FFF2-40B4-BE49-F238E27FC236}">
              <a16:creationId xmlns:a16="http://schemas.microsoft.com/office/drawing/2014/main" id="{5AD6AE53-0152-42BF-91BC-6C40F5C6B48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18" name="AutoShape 40" descr="Currently available antiretroviral drugs | Download Table">
          <a:extLst>
            <a:ext uri="{FF2B5EF4-FFF2-40B4-BE49-F238E27FC236}">
              <a16:creationId xmlns:a16="http://schemas.microsoft.com/office/drawing/2014/main" id="{860213A0-8D8F-4A4E-95CB-2B4D3BAEEF8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19" name="AutoShape 40" descr="Currently available antiretroviral drugs | Download Table">
          <a:extLst>
            <a:ext uri="{FF2B5EF4-FFF2-40B4-BE49-F238E27FC236}">
              <a16:creationId xmlns:a16="http://schemas.microsoft.com/office/drawing/2014/main" id="{824A3328-41F2-40A3-B384-5109B45D420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20" name="AutoShape 40" descr="Currently available antiretroviral drugs | Download Table">
          <a:extLst>
            <a:ext uri="{FF2B5EF4-FFF2-40B4-BE49-F238E27FC236}">
              <a16:creationId xmlns:a16="http://schemas.microsoft.com/office/drawing/2014/main" id="{B49BFA6E-B2A6-46D6-8101-CE28B82995F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21" name="AutoShape 40" descr="Currently available antiretroviral drugs | Download Table">
          <a:extLst>
            <a:ext uri="{FF2B5EF4-FFF2-40B4-BE49-F238E27FC236}">
              <a16:creationId xmlns:a16="http://schemas.microsoft.com/office/drawing/2014/main" id="{9BE5A9D6-223B-478B-A81B-0AF15AB83EF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22" name="AutoShape 40" descr="Currently available antiretroviral drugs | Download Table">
          <a:extLst>
            <a:ext uri="{FF2B5EF4-FFF2-40B4-BE49-F238E27FC236}">
              <a16:creationId xmlns:a16="http://schemas.microsoft.com/office/drawing/2014/main" id="{8F5566E9-EF65-4EEA-93B5-FFCB64E0083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23" name="AutoShape 40" descr="Currently available antiretroviral drugs | Download Table">
          <a:extLst>
            <a:ext uri="{FF2B5EF4-FFF2-40B4-BE49-F238E27FC236}">
              <a16:creationId xmlns:a16="http://schemas.microsoft.com/office/drawing/2014/main" id="{4BAC05A7-F011-4C01-A10C-526958A013D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24" name="AutoShape 40" descr="Currently available antiretroviral drugs | Download Table">
          <a:extLst>
            <a:ext uri="{FF2B5EF4-FFF2-40B4-BE49-F238E27FC236}">
              <a16:creationId xmlns:a16="http://schemas.microsoft.com/office/drawing/2014/main" id="{0E00A419-FF60-4F27-8D9A-00B6135C332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25" name="AutoShape 40" descr="Currently available antiretroviral drugs | Download Table">
          <a:extLst>
            <a:ext uri="{FF2B5EF4-FFF2-40B4-BE49-F238E27FC236}">
              <a16:creationId xmlns:a16="http://schemas.microsoft.com/office/drawing/2014/main" id="{551E3E00-E54E-44A9-83B3-B8DF58D3E30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26" name="AutoShape 40" descr="Currently available antiretroviral drugs | Download Table">
          <a:extLst>
            <a:ext uri="{FF2B5EF4-FFF2-40B4-BE49-F238E27FC236}">
              <a16:creationId xmlns:a16="http://schemas.microsoft.com/office/drawing/2014/main" id="{DD9524A6-AFA6-4ACD-9CD3-99A2B2E6B04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27" name="AutoShape 40" descr="Currently available antiretroviral drugs | Download Table">
          <a:extLst>
            <a:ext uri="{FF2B5EF4-FFF2-40B4-BE49-F238E27FC236}">
              <a16:creationId xmlns:a16="http://schemas.microsoft.com/office/drawing/2014/main" id="{8527BA06-0D25-4401-B51F-40261F10698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28" name="AutoShape 40" descr="Currently available antiretroviral drugs | Download Table">
          <a:extLst>
            <a:ext uri="{FF2B5EF4-FFF2-40B4-BE49-F238E27FC236}">
              <a16:creationId xmlns:a16="http://schemas.microsoft.com/office/drawing/2014/main" id="{AFC056A1-A474-4ED9-A833-0612077556D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29" name="AutoShape 40" descr="Currently available antiretroviral drugs | Download Table">
          <a:extLst>
            <a:ext uri="{FF2B5EF4-FFF2-40B4-BE49-F238E27FC236}">
              <a16:creationId xmlns:a16="http://schemas.microsoft.com/office/drawing/2014/main" id="{DD10AB28-03D6-4D93-B035-128B9036240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30" name="AutoShape 40" descr="Currently available antiretroviral drugs | Download Table">
          <a:extLst>
            <a:ext uri="{FF2B5EF4-FFF2-40B4-BE49-F238E27FC236}">
              <a16:creationId xmlns:a16="http://schemas.microsoft.com/office/drawing/2014/main" id="{E8B91B4D-1740-4141-BE7A-F3330A81A80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31" name="AutoShape 40" descr="Currently available antiretroviral drugs | Download Table">
          <a:extLst>
            <a:ext uri="{FF2B5EF4-FFF2-40B4-BE49-F238E27FC236}">
              <a16:creationId xmlns:a16="http://schemas.microsoft.com/office/drawing/2014/main" id="{2B64D313-6C8F-42D7-A5E8-90605639F06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32" name="AutoShape 40" descr="Currently available antiretroviral drugs | Download Table">
          <a:extLst>
            <a:ext uri="{FF2B5EF4-FFF2-40B4-BE49-F238E27FC236}">
              <a16:creationId xmlns:a16="http://schemas.microsoft.com/office/drawing/2014/main" id="{B3C8F0A1-2C04-4598-8B92-FAF285CA8F4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33" name="AutoShape 40" descr="Currently available antiretroviral drugs | Download Table">
          <a:extLst>
            <a:ext uri="{FF2B5EF4-FFF2-40B4-BE49-F238E27FC236}">
              <a16:creationId xmlns:a16="http://schemas.microsoft.com/office/drawing/2014/main" id="{EB379E87-5297-425A-B45D-95E5644CE87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34" name="AutoShape 40" descr="Currently available antiretroviral drugs | Download Table">
          <a:extLst>
            <a:ext uri="{FF2B5EF4-FFF2-40B4-BE49-F238E27FC236}">
              <a16:creationId xmlns:a16="http://schemas.microsoft.com/office/drawing/2014/main" id="{F6D653CB-91D2-4921-9C58-4840204A1DE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35" name="AutoShape 40" descr="Currently available antiretroviral drugs | Download Table">
          <a:extLst>
            <a:ext uri="{FF2B5EF4-FFF2-40B4-BE49-F238E27FC236}">
              <a16:creationId xmlns:a16="http://schemas.microsoft.com/office/drawing/2014/main" id="{FB534CEB-E3D5-4791-A44D-C932D0E82E5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36" name="AutoShape 40" descr="Currently available antiretroviral drugs | Download Table">
          <a:extLst>
            <a:ext uri="{FF2B5EF4-FFF2-40B4-BE49-F238E27FC236}">
              <a16:creationId xmlns:a16="http://schemas.microsoft.com/office/drawing/2014/main" id="{C0B111B6-6327-4B35-B4B8-2238BF0AD75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37" name="AutoShape 40" descr="Currently available antiretroviral drugs | Download Table">
          <a:extLst>
            <a:ext uri="{FF2B5EF4-FFF2-40B4-BE49-F238E27FC236}">
              <a16:creationId xmlns:a16="http://schemas.microsoft.com/office/drawing/2014/main" id="{5146EF26-92FF-4233-A9F7-041F6CABC1A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38" name="AutoShape 40" descr="Currently available antiretroviral drugs | Download Table">
          <a:extLst>
            <a:ext uri="{FF2B5EF4-FFF2-40B4-BE49-F238E27FC236}">
              <a16:creationId xmlns:a16="http://schemas.microsoft.com/office/drawing/2014/main" id="{4C63C13D-5AC2-4F85-8F21-076A942C058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39" name="AutoShape 40" descr="Currently available antiretroviral drugs | Download Table">
          <a:extLst>
            <a:ext uri="{FF2B5EF4-FFF2-40B4-BE49-F238E27FC236}">
              <a16:creationId xmlns:a16="http://schemas.microsoft.com/office/drawing/2014/main" id="{831BD25C-AA5E-4BAF-AC18-15A79567DD6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40" name="AutoShape 40" descr="Currently available antiretroviral drugs | Download Table">
          <a:extLst>
            <a:ext uri="{FF2B5EF4-FFF2-40B4-BE49-F238E27FC236}">
              <a16:creationId xmlns:a16="http://schemas.microsoft.com/office/drawing/2014/main" id="{5F314FDF-EA29-4ABB-93A4-CE6EE390487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41" name="AutoShape 40" descr="Currently available antiretroviral drugs | Download Table">
          <a:extLst>
            <a:ext uri="{FF2B5EF4-FFF2-40B4-BE49-F238E27FC236}">
              <a16:creationId xmlns:a16="http://schemas.microsoft.com/office/drawing/2014/main" id="{35527DE3-B12C-47F8-95AF-683763F1AF6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42" name="AutoShape 40" descr="Currently available antiretroviral drugs | Download Table">
          <a:extLst>
            <a:ext uri="{FF2B5EF4-FFF2-40B4-BE49-F238E27FC236}">
              <a16:creationId xmlns:a16="http://schemas.microsoft.com/office/drawing/2014/main" id="{7AB5772F-C8B6-41D6-819E-541E5C8510B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43" name="AutoShape 40" descr="Currently available antiretroviral drugs | Download Table">
          <a:extLst>
            <a:ext uri="{FF2B5EF4-FFF2-40B4-BE49-F238E27FC236}">
              <a16:creationId xmlns:a16="http://schemas.microsoft.com/office/drawing/2014/main" id="{7673DDBC-640D-45BE-BA07-EC80084AE51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44" name="AutoShape 40" descr="Currently available antiretroviral drugs | Download Table">
          <a:extLst>
            <a:ext uri="{FF2B5EF4-FFF2-40B4-BE49-F238E27FC236}">
              <a16:creationId xmlns:a16="http://schemas.microsoft.com/office/drawing/2014/main" id="{ABA45B41-58E3-4641-881E-907AF5CD213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45" name="AutoShape 40" descr="Currently available antiretroviral drugs | Download Table">
          <a:extLst>
            <a:ext uri="{FF2B5EF4-FFF2-40B4-BE49-F238E27FC236}">
              <a16:creationId xmlns:a16="http://schemas.microsoft.com/office/drawing/2014/main" id="{2365E4AD-0538-4C57-9F1E-AA4B5CE41DB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46" name="AutoShape 40" descr="Currently available antiretroviral drugs | Download Table">
          <a:extLst>
            <a:ext uri="{FF2B5EF4-FFF2-40B4-BE49-F238E27FC236}">
              <a16:creationId xmlns:a16="http://schemas.microsoft.com/office/drawing/2014/main" id="{188297B1-38CC-4390-A9D3-F6699DA2A98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47" name="AutoShape 40" descr="Currently available antiretroviral drugs | Download Table">
          <a:extLst>
            <a:ext uri="{FF2B5EF4-FFF2-40B4-BE49-F238E27FC236}">
              <a16:creationId xmlns:a16="http://schemas.microsoft.com/office/drawing/2014/main" id="{86E1C391-DBED-44D8-89F2-57DD6EEBB83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48" name="AutoShape 40" descr="Currently available antiretroviral drugs | Download Table">
          <a:extLst>
            <a:ext uri="{FF2B5EF4-FFF2-40B4-BE49-F238E27FC236}">
              <a16:creationId xmlns:a16="http://schemas.microsoft.com/office/drawing/2014/main" id="{D48C239B-A9C2-4113-BFF6-35D44AE26B7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49" name="AutoShape 40" descr="Currently available antiretroviral drugs | Download Table">
          <a:extLst>
            <a:ext uri="{FF2B5EF4-FFF2-40B4-BE49-F238E27FC236}">
              <a16:creationId xmlns:a16="http://schemas.microsoft.com/office/drawing/2014/main" id="{71EB509C-AD8C-484A-BA74-788ECE8C5CA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50" name="AutoShape 40" descr="Currently available antiretroviral drugs | Download Table">
          <a:extLst>
            <a:ext uri="{FF2B5EF4-FFF2-40B4-BE49-F238E27FC236}">
              <a16:creationId xmlns:a16="http://schemas.microsoft.com/office/drawing/2014/main" id="{2524D9B7-D648-4419-9F12-50C48A93412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51" name="AutoShape 40" descr="Currently available antiretroviral drugs | Download Table">
          <a:extLst>
            <a:ext uri="{FF2B5EF4-FFF2-40B4-BE49-F238E27FC236}">
              <a16:creationId xmlns:a16="http://schemas.microsoft.com/office/drawing/2014/main" id="{2132CA7D-5CB3-46CA-8BB5-96F3E2F71BF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52" name="AutoShape 40" descr="Currently available antiretroviral drugs | Download Table">
          <a:extLst>
            <a:ext uri="{FF2B5EF4-FFF2-40B4-BE49-F238E27FC236}">
              <a16:creationId xmlns:a16="http://schemas.microsoft.com/office/drawing/2014/main" id="{BE5E5146-435C-455B-9836-4E5004D0B1A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53" name="AutoShape 40" descr="Currently available antiretroviral drugs | Download Table">
          <a:extLst>
            <a:ext uri="{FF2B5EF4-FFF2-40B4-BE49-F238E27FC236}">
              <a16:creationId xmlns:a16="http://schemas.microsoft.com/office/drawing/2014/main" id="{B858CFF2-54C1-4BC7-8144-29FC4AA5B1A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54" name="AutoShape 40" descr="Currently available antiretroviral drugs | Download Table">
          <a:extLst>
            <a:ext uri="{FF2B5EF4-FFF2-40B4-BE49-F238E27FC236}">
              <a16:creationId xmlns:a16="http://schemas.microsoft.com/office/drawing/2014/main" id="{052EB514-63F0-4399-95EA-8017F01C77E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55" name="AutoShape 40" descr="Currently available antiretroviral drugs | Download Table">
          <a:extLst>
            <a:ext uri="{FF2B5EF4-FFF2-40B4-BE49-F238E27FC236}">
              <a16:creationId xmlns:a16="http://schemas.microsoft.com/office/drawing/2014/main" id="{D4582F3C-9690-46E0-8689-A7D1102A197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56" name="AutoShape 40" descr="Currently available antiretroviral drugs | Download Table">
          <a:extLst>
            <a:ext uri="{FF2B5EF4-FFF2-40B4-BE49-F238E27FC236}">
              <a16:creationId xmlns:a16="http://schemas.microsoft.com/office/drawing/2014/main" id="{78D033AB-A3FA-41B8-A94A-0D1362FA79C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57" name="AutoShape 40" descr="Currently available antiretroviral drugs | Download Table">
          <a:extLst>
            <a:ext uri="{FF2B5EF4-FFF2-40B4-BE49-F238E27FC236}">
              <a16:creationId xmlns:a16="http://schemas.microsoft.com/office/drawing/2014/main" id="{0B20937C-F19A-4453-867B-26B84581103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58" name="AutoShape 40" descr="Currently available antiretroviral drugs | Download Table">
          <a:extLst>
            <a:ext uri="{FF2B5EF4-FFF2-40B4-BE49-F238E27FC236}">
              <a16:creationId xmlns:a16="http://schemas.microsoft.com/office/drawing/2014/main" id="{1328DFD7-A432-412F-8123-00C4438C585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59" name="AutoShape 40" descr="Currently available antiretroviral drugs | Download Table">
          <a:extLst>
            <a:ext uri="{FF2B5EF4-FFF2-40B4-BE49-F238E27FC236}">
              <a16:creationId xmlns:a16="http://schemas.microsoft.com/office/drawing/2014/main" id="{4867CFA8-5C91-457B-A52C-722DAD8ECFE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60" name="AutoShape 40" descr="Currently available antiretroviral drugs | Download Table">
          <a:extLst>
            <a:ext uri="{FF2B5EF4-FFF2-40B4-BE49-F238E27FC236}">
              <a16:creationId xmlns:a16="http://schemas.microsoft.com/office/drawing/2014/main" id="{25719418-B54D-42B5-A61D-5CCD82ECB7D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61" name="AutoShape 40" descr="Currently available antiretroviral drugs | Download Table">
          <a:extLst>
            <a:ext uri="{FF2B5EF4-FFF2-40B4-BE49-F238E27FC236}">
              <a16:creationId xmlns:a16="http://schemas.microsoft.com/office/drawing/2014/main" id="{595395C0-9DBD-491B-BECE-2F3736470E9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62" name="AutoShape 40" descr="Currently available antiretroviral drugs | Download Table">
          <a:extLst>
            <a:ext uri="{FF2B5EF4-FFF2-40B4-BE49-F238E27FC236}">
              <a16:creationId xmlns:a16="http://schemas.microsoft.com/office/drawing/2014/main" id="{34B87933-C8BF-4A11-AE01-6C4F21E7762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63" name="AutoShape 40" descr="Currently available antiretroviral drugs | Download Table">
          <a:extLst>
            <a:ext uri="{FF2B5EF4-FFF2-40B4-BE49-F238E27FC236}">
              <a16:creationId xmlns:a16="http://schemas.microsoft.com/office/drawing/2014/main" id="{09FAA3DF-1E12-48FB-8F6E-7BA3C3D1BC7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64" name="AutoShape 40" descr="Currently available antiretroviral drugs | Download Table">
          <a:extLst>
            <a:ext uri="{FF2B5EF4-FFF2-40B4-BE49-F238E27FC236}">
              <a16:creationId xmlns:a16="http://schemas.microsoft.com/office/drawing/2014/main" id="{20A4BD96-3D3D-4AA2-9127-174C532114B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65" name="AutoShape 40" descr="Currently available antiretroviral drugs | Download Table">
          <a:extLst>
            <a:ext uri="{FF2B5EF4-FFF2-40B4-BE49-F238E27FC236}">
              <a16:creationId xmlns:a16="http://schemas.microsoft.com/office/drawing/2014/main" id="{01686FB2-D75C-4B4D-8E78-0011DC577D1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66" name="AutoShape 40" descr="Currently available antiretroviral drugs | Download Table">
          <a:extLst>
            <a:ext uri="{FF2B5EF4-FFF2-40B4-BE49-F238E27FC236}">
              <a16:creationId xmlns:a16="http://schemas.microsoft.com/office/drawing/2014/main" id="{B90E268B-EA7D-404D-9BC3-564C68F88A0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67" name="AutoShape 40" descr="Currently available antiretroviral drugs | Download Table">
          <a:extLst>
            <a:ext uri="{FF2B5EF4-FFF2-40B4-BE49-F238E27FC236}">
              <a16:creationId xmlns:a16="http://schemas.microsoft.com/office/drawing/2014/main" id="{B630930D-1C5C-45E1-BDEF-A314AAB6CA3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68" name="AutoShape 40" descr="Currently available antiretroviral drugs | Download Table">
          <a:extLst>
            <a:ext uri="{FF2B5EF4-FFF2-40B4-BE49-F238E27FC236}">
              <a16:creationId xmlns:a16="http://schemas.microsoft.com/office/drawing/2014/main" id="{6AEFD2C1-4066-4849-982E-EBA9A4807F7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69" name="AutoShape 40" descr="Currently available antiretroviral drugs | Download Table">
          <a:extLst>
            <a:ext uri="{FF2B5EF4-FFF2-40B4-BE49-F238E27FC236}">
              <a16:creationId xmlns:a16="http://schemas.microsoft.com/office/drawing/2014/main" id="{7C13FB46-52BA-453E-845B-C8215489AB9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70" name="AutoShape 40" descr="Currently available antiretroviral drugs | Download Table">
          <a:extLst>
            <a:ext uri="{FF2B5EF4-FFF2-40B4-BE49-F238E27FC236}">
              <a16:creationId xmlns:a16="http://schemas.microsoft.com/office/drawing/2014/main" id="{40CC7C83-88EC-4FBF-981B-0624A5962A5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71" name="AutoShape 40" descr="Currently available antiretroviral drugs | Download Table">
          <a:extLst>
            <a:ext uri="{FF2B5EF4-FFF2-40B4-BE49-F238E27FC236}">
              <a16:creationId xmlns:a16="http://schemas.microsoft.com/office/drawing/2014/main" id="{3959AF9F-9F79-4C4A-97F0-6D9BA3A3D99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72" name="AutoShape 40" descr="Currently available antiretroviral drugs | Download Table">
          <a:extLst>
            <a:ext uri="{FF2B5EF4-FFF2-40B4-BE49-F238E27FC236}">
              <a16:creationId xmlns:a16="http://schemas.microsoft.com/office/drawing/2014/main" id="{E2B77849-60EE-4FCF-A0EF-8F595C14A70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73" name="AutoShape 40" descr="Currently available antiretroviral drugs | Download Table">
          <a:extLst>
            <a:ext uri="{FF2B5EF4-FFF2-40B4-BE49-F238E27FC236}">
              <a16:creationId xmlns:a16="http://schemas.microsoft.com/office/drawing/2014/main" id="{ADC46DB7-1BC0-4815-A67E-BE19508B537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74" name="AutoShape 40" descr="Currently available antiretroviral drugs | Download Table">
          <a:extLst>
            <a:ext uri="{FF2B5EF4-FFF2-40B4-BE49-F238E27FC236}">
              <a16:creationId xmlns:a16="http://schemas.microsoft.com/office/drawing/2014/main" id="{9947CCA1-1828-45A6-85E8-7680091624E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75" name="AutoShape 40" descr="Currently available antiretroviral drugs | Download Table">
          <a:extLst>
            <a:ext uri="{FF2B5EF4-FFF2-40B4-BE49-F238E27FC236}">
              <a16:creationId xmlns:a16="http://schemas.microsoft.com/office/drawing/2014/main" id="{9E4EAF83-16CF-4542-A6D0-012DEA7A1D0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76" name="AutoShape 40" descr="Currently available antiretroviral drugs | Download Table">
          <a:extLst>
            <a:ext uri="{FF2B5EF4-FFF2-40B4-BE49-F238E27FC236}">
              <a16:creationId xmlns:a16="http://schemas.microsoft.com/office/drawing/2014/main" id="{0D07305F-025D-4049-9A59-A7D30BD46D0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77" name="AutoShape 40" descr="Currently available antiretroviral drugs | Download Table">
          <a:extLst>
            <a:ext uri="{FF2B5EF4-FFF2-40B4-BE49-F238E27FC236}">
              <a16:creationId xmlns:a16="http://schemas.microsoft.com/office/drawing/2014/main" id="{E58E423E-C587-4661-B7F6-C70C7B4A8BD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78" name="AutoShape 40" descr="Currently available antiretroviral drugs | Download Table">
          <a:extLst>
            <a:ext uri="{FF2B5EF4-FFF2-40B4-BE49-F238E27FC236}">
              <a16:creationId xmlns:a16="http://schemas.microsoft.com/office/drawing/2014/main" id="{3A58A7B4-CCA0-4F3E-8DFF-31674DEE965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79" name="AutoShape 40" descr="Currently available antiretroviral drugs | Download Table">
          <a:extLst>
            <a:ext uri="{FF2B5EF4-FFF2-40B4-BE49-F238E27FC236}">
              <a16:creationId xmlns:a16="http://schemas.microsoft.com/office/drawing/2014/main" id="{C29FC2E3-07B2-40E1-9626-6E604E515B6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80" name="AutoShape 40" descr="Currently available antiretroviral drugs | Download Table">
          <a:extLst>
            <a:ext uri="{FF2B5EF4-FFF2-40B4-BE49-F238E27FC236}">
              <a16:creationId xmlns:a16="http://schemas.microsoft.com/office/drawing/2014/main" id="{658E2F46-7BE7-4AA9-A5BF-AD4A3F7160D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81" name="AutoShape 40" descr="Currently available antiretroviral drugs | Download Table">
          <a:extLst>
            <a:ext uri="{FF2B5EF4-FFF2-40B4-BE49-F238E27FC236}">
              <a16:creationId xmlns:a16="http://schemas.microsoft.com/office/drawing/2014/main" id="{7B549185-932F-4909-9A86-CD867557568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82" name="AutoShape 40" descr="Currently available antiretroviral drugs | Download Table">
          <a:extLst>
            <a:ext uri="{FF2B5EF4-FFF2-40B4-BE49-F238E27FC236}">
              <a16:creationId xmlns:a16="http://schemas.microsoft.com/office/drawing/2014/main" id="{9A503CAD-0EF7-49FE-9848-A1D9BDCBC3A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83" name="AutoShape 40" descr="Currently available antiretroviral drugs | Download Table">
          <a:extLst>
            <a:ext uri="{FF2B5EF4-FFF2-40B4-BE49-F238E27FC236}">
              <a16:creationId xmlns:a16="http://schemas.microsoft.com/office/drawing/2014/main" id="{BBF8E242-C896-4065-A040-E5C31D1A7B6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84" name="AutoShape 40" descr="Currently available antiretroviral drugs | Download Table">
          <a:extLst>
            <a:ext uri="{FF2B5EF4-FFF2-40B4-BE49-F238E27FC236}">
              <a16:creationId xmlns:a16="http://schemas.microsoft.com/office/drawing/2014/main" id="{B738A9D6-564D-48CB-9478-7F01A9C85E4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85" name="AutoShape 40" descr="Currently available antiretroviral drugs | Download Table">
          <a:extLst>
            <a:ext uri="{FF2B5EF4-FFF2-40B4-BE49-F238E27FC236}">
              <a16:creationId xmlns:a16="http://schemas.microsoft.com/office/drawing/2014/main" id="{81DC0D32-DFCD-4BDE-833D-2110413D2E0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86" name="AutoShape 40" descr="Currently available antiretroviral drugs | Download Table">
          <a:extLst>
            <a:ext uri="{FF2B5EF4-FFF2-40B4-BE49-F238E27FC236}">
              <a16:creationId xmlns:a16="http://schemas.microsoft.com/office/drawing/2014/main" id="{9630C81C-1D66-4462-9FF8-602AF9A23A4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87" name="AutoShape 40" descr="Currently available antiretroviral drugs | Download Table">
          <a:extLst>
            <a:ext uri="{FF2B5EF4-FFF2-40B4-BE49-F238E27FC236}">
              <a16:creationId xmlns:a16="http://schemas.microsoft.com/office/drawing/2014/main" id="{02276BE8-A889-44C7-A76F-81A9F071F7A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88" name="AutoShape 40" descr="Currently available antiretroviral drugs | Download Table">
          <a:extLst>
            <a:ext uri="{FF2B5EF4-FFF2-40B4-BE49-F238E27FC236}">
              <a16:creationId xmlns:a16="http://schemas.microsoft.com/office/drawing/2014/main" id="{A347CFF1-3DFA-4924-B9C9-F32C1A00C46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89" name="AutoShape 40" descr="Currently available antiretroviral drugs | Download Table">
          <a:extLst>
            <a:ext uri="{FF2B5EF4-FFF2-40B4-BE49-F238E27FC236}">
              <a16:creationId xmlns:a16="http://schemas.microsoft.com/office/drawing/2014/main" id="{10DEDB08-ACDA-45F2-AF6C-9DB56EF7081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90" name="AutoShape 40" descr="Currently available antiretroviral drugs | Download Table">
          <a:extLst>
            <a:ext uri="{FF2B5EF4-FFF2-40B4-BE49-F238E27FC236}">
              <a16:creationId xmlns:a16="http://schemas.microsoft.com/office/drawing/2014/main" id="{1311C1DB-A56F-4FA9-9F4B-DEEEF037BCB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91" name="AutoShape 40" descr="Currently available antiretroviral drugs | Download Table">
          <a:extLst>
            <a:ext uri="{FF2B5EF4-FFF2-40B4-BE49-F238E27FC236}">
              <a16:creationId xmlns:a16="http://schemas.microsoft.com/office/drawing/2014/main" id="{F8FF3E71-0320-4828-BD8E-6EDBE708593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92" name="AutoShape 40" descr="Currently available antiretroviral drugs | Download Table">
          <a:extLst>
            <a:ext uri="{FF2B5EF4-FFF2-40B4-BE49-F238E27FC236}">
              <a16:creationId xmlns:a16="http://schemas.microsoft.com/office/drawing/2014/main" id="{52E0BEDC-6A04-404C-80A7-8D86FC6FD60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93" name="AutoShape 40" descr="Currently available antiretroviral drugs | Download Table">
          <a:extLst>
            <a:ext uri="{FF2B5EF4-FFF2-40B4-BE49-F238E27FC236}">
              <a16:creationId xmlns:a16="http://schemas.microsoft.com/office/drawing/2014/main" id="{1FA64661-2494-4135-869A-C719DED8E42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94" name="AutoShape 40" descr="Currently available antiretroviral drugs | Download Table">
          <a:extLst>
            <a:ext uri="{FF2B5EF4-FFF2-40B4-BE49-F238E27FC236}">
              <a16:creationId xmlns:a16="http://schemas.microsoft.com/office/drawing/2014/main" id="{F40D705E-B72A-4EB9-AF87-16A6C7865DE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95" name="AutoShape 40" descr="Currently available antiretroviral drugs | Download Table">
          <a:extLst>
            <a:ext uri="{FF2B5EF4-FFF2-40B4-BE49-F238E27FC236}">
              <a16:creationId xmlns:a16="http://schemas.microsoft.com/office/drawing/2014/main" id="{0298E545-499E-4D30-98DB-3302F3360A9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96" name="AutoShape 40" descr="Currently available antiretroviral drugs | Download Table">
          <a:extLst>
            <a:ext uri="{FF2B5EF4-FFF2-40B4-BE49-F238E27FC236}">
              <a16:creationId xmlns:a16="http://schemas.microsoft.com/office/drawing/2014/main" id="{CA834EAD-1A01-4F2C-B578-09FBFCA467A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97" name="AutoShape 40" descr="Currently available antiretroviral drugs | Download Table">
          <a:extLst>
            <a:ext uri="{FF2B5EF4-FFF2-40B4-BE49-F238E27FC236}">
              <a16:creationId xmlns:a16="http://schemas.microsoft.com/office/drawing/2014/main" id="{8ADEEDC8-0FDB-4ECB-B4E3-C2F90F39E47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98" name="AutoShape 40" descr="Currently available antiretroviral drugs | Download Table">
          <a:extLst>
            <a:ext uri="{FF2B5EF4-FFF2-40B4-BE49-F238E27FC236}">
              <a16:creationId xmlns:a16="http://schemas.microsoft.com/office/drawing/2014/main" id="{D7999CC0-6C9A-4DA2-A5EF-C8FFD3077DF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099" name="AutoShape 40" descr="Currently available antiretroviral drugs | Download Table">
          <a:extLst>
            <a:ext uri="{FF2B5EF4-FFF2-40B4-BE49-F238E27FC236}">
              <a16:creationId xmlns:a16="http://schemas.microsoft.com/office/drawing/2014/main" id="{788996E6-FCD2-473E-93F3-48887BF91AB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00" name="AutoShape 40" descr="Currently available antiretroviral drugs | Download Table">
          <a:extLst>
            <a:ext uri="{FF2B5EF4-FFF2-40B4-BE49-F238E27FC236}">
              <a16:creationId xmlns:a16="http://schemas.microsoft.com/office/drawing/2014/main" id="{1C770847-A4AA-4CB3-A366-08BAC28F36E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01" name="AutoShape 40" descr="Currently available antiretroviral drugs | Download Table">
          <a:extLst>
            <a:ext uri="{FF2B5EF4-FFF2-40B4-BE49-F238E27FC236}">
              <a16:creationId xmlns:a16="http://schemas.microsoft.com/office/drawing/2014/main" id="{1B343490-A438-4C34-BAD1-E67913F0CB1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02" name="AutoShape 40" descr="Currently available antiretroviral drugs | Download Table">
          <a:extLst>
            <a:ext uri="{FF2B5EF4-FFF2-40B4-BE49-F238E27FC236}">
              <a16:creationId xmlns:a16="http://schemas.microsoft.com/office/drawing/2014/main" id="{8E4C350C-1EDE-4CB1-BACD-1C8E03FFB0D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03" name="AutoShape 40" descr="Currently available antiretroviral drugs | Download Table">
          <a:extLst>
            <a:ext uri="{FF2B5EF4-FFF2-40B4-BE49-F238E27FC236}">
              <a16:creationId xmlns:a16="http://schemas.microsoft.com/office/drawing/2014/main" id="{9DF72EAC-10A7-4B23-81A5-E1A206E4C51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04" name="AutoShape 40" descr="Currently available antiretroviral drugs | Download Table">
          <a:extLst>
            <a:ext uri="{FF2B5EF4-FFF2-40B4-BE49-F238E27FC236}">
              <a16:creationId xmlns:a16="http://schemas.microsoft.com/office/drawing/2014/main" id="{EB102F7D-8B6C-4D60-BAC6-C1B4C67EBD6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05" name="AutoShape 40" descr="Currently available antiretroviral drugs | Download Table">
          <a:extLst>
            <a:ext uri="{FF2B5EF4-FFF2-40B4-BE49-F238E27FC236}">
              <a16:creationId xmlns:a16="http://schemas.microsoft.com/office/drawing/2014/main" id="{0AD62DAA-6BA8-4EE5-8FFC-420B9C8AE12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06" name="AutoShape 40" descr="Currently available antiretroviral drugs | Download Table">
          <a:extLst>
            <a:ext uri="{FF2B5EF4-FFF2-40B4-BE49-F238E27FC236}">
              <a16:creationId xmlns:a16="http://schemas.microsoft.com/office/drawing/2014/main" id="{BEB3E365-DF17-4E4C-99FE-E48B4FBB6DA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07" name="AutoShape 40" descr="Currently available antiretroviral drugs | Download Table">
          <a:extLst>
            <a:ext uri="{FF2B5EF4-FFF2-40B4-BE49-F238E27FC236}">
              <a16:creationId xmlns:a16="http://schemas.microsoft.com/office/drawing/2014/main" id="{EA0A32B7-CB9D-4267-AD96-CF502D735B4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08" name="AutoShape 40" descr="Currently available antiretroviral drugs | Download Table">
          <a:extLst>
            <a:ext uri="{FF2B5EF4-FFF2-40B4-BE49-F238E27FC236}">
              <a16:creationId xmlns:a16="http://schemas.microsoft.com/office/drawing/2014/main" id="{1B10AAA5-0B9B-46DE-AB09-7C46DF4C639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09" name="AutoShape 40" descr="Currently available antiretroviral drugs | Download Table">
          <a:extLst>
            <a:ext uri="{FF2B5EF4-FFF2-40B4-BE49-F238E27FC236}">
              <a16:creationId xmlns:a16="http://schemas.microsoft.com/office/drawing/2014/main" id="{7942535F-43D1-409D-B2B3-5665452CC29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10" name="AutoShape 40" descr="Currently available antiretroviral drugs | Download Table">
          <a:extLst>
            <a:ext uri="{FF2B5EF4-FFF2-40B4-BE49-F238E27FC236}">
              <a16:creationId xmlns:a16="http://schemas.microsoft.com/office/drawing/2014/main" id="{E5831128-B44A-4F5D-BE70-EF873580079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11" name="AutoShape 40" descr="Currently available antiretroviral drugs | Download Table">
          <a:extLst>
            <a:ext uri="{FF2B5EF4-FFF2-40B4-BE49-F238E27FC236}">
              <a16:creationId xmlns:a16="http://schemas.microsoft.com/office/drawing/2014/main" id="{82A35BC8-4AF9-4740-80B5-A6F8D267B87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12" name="AutoShape 40" descr="Currently available antiretroviral drugs | Download Table">
          <a:extLst>
            <a:ext uri="{FF2B5EF4-FFF2-40B4-BE49-F238E27FC236}">
              <a16:creationId xmlns:a16="http://schemas.microsoft.com/office/drawing/2014/main" id="{A5601E52-852F-4380-BBC2-5A260B151F8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13" name="AutoShape 40" descr="Currently available antiretroviral drugs | Download Table">
          <a:extLst>
            <a:ext uri="{FF2B5EF4-FFF2-40B4-BE49-F238E27FC236}">
              <a16:creationId xmlns:a16="http://schemas.microsoft.com/office/drawing/2014/main" id="{B3DD446D-0AAF-4DCA-B82A-FFF5D0D7B82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14" name="AutoShape 40" descr="Currently available antiretroviral drugs | Download Table">
          <a:extLst>
            <a:ext uri="{FF2B5EF4-FFF2-40B4-BE49-F238E27FC236}">
              <a16:creationId xmlns:a16="http://schemas.microsoft.com/office/drawing/2014/main" id="{29D70F44-0C9E-4D2C-96E1-CF8258327B1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15" name="AutoShape 40" descr="Currently available antiretroviral drugs | Download Table">
          <a:extLst>
            <a:ext uri="{FF2B5EF4-FFF2-40B4-BE49-F238E27FC236}">
              <a16:creationId xmlns:a16="http://schemas.microsoft.com/office/drawing/2014/main" id="{A5FBF88F-4200-4EDD-B782-794044C0F86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16" name="AutoShape 40" descr="Currently available antiretroviral drugs | Download Table">
          <a:extLst>
            <a:ext uri="{FF2B5EF4-FFF2-40B4-BE49-F238E27FC236}">
              <a16:creationId xmlns:a16="http://schemas.microsoft.com/office/drawing/2014/main" id="{1B583718-775D-4FCF-9AE0-2DE0FECAD65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17" name="AutoShape 40" descr="Currently available antiretroviral drugs | Download Table">
          <a:extLst>
            <a:ext uri="{FF2B5EF4-FFF2-40B4-BE49-F238E27FC236}">
              <a16:creationId xmlns:a16="http://schemas.microsoft.com/office/drawing/2014/main" id="{534A90D6-9B26-4A1D-AA35-79382B8B204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18" name="AutoShape 40" descr="Currently available antiretroviral drugs | Download Table">
          <a:extLst>
            <a:ext uri="{FF2B5EF4-FFF2-40B4-BE49-F238E27FC236}">
              <a16:creationId xmlns:a16="http://schemas.microsoft.com/office/drawing/2014/main" id="{C67D3D7F-2656-481F-A64A-E6EE45A8F80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19" name="AutoShape 40" descr="Currently available antiretroviral drugs | Download Table">
          <a:extLst>
            <a:ext uri="{FF2B5EF4-FFF2-40B4-BE49-F238E27FC236}">
              <a16:creationId xmlns:a16="http://schemas.microsoft.com/office/drawing/2014/main" id="{16FE4AB5-9BEB-4D9C-A377-8C03D6A7005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20" name="AutoShape 40" descr="Currently available antiretroviral drugs | Download Table">
          <a:extLst>
            <a:ext uri="{FF2B5EF4-FFF2-40B4-BE49-F238E27FC236}">
              <a16:creationId xmlns:a16="http://schemas.microsoft.com/office/drawing/2014/main" id="{F762CB8B-0C4A-4EDD-98C5-85B136A90B1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21" name="AutoShape 40" descr="Currently available antiretroviral drugs | Download Table">
          <a:extLst>
            <a:ext uri="{FF2B5EF4-FFF2-40B4-BE49-F238E27FC236}">
              <a16:creationId xmlns:a16="http://schemas.microsoft.com/office/drawing/2014/main" id="{9072AEF3-E34B-48D2-9BDC-0F9850C72BE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22" name="AutoShape 40" descr="Currently available antiretroviral drugs | Download Table">
          <a:extLst>
            <a:ext uri="{FF2B5EF4-FFF2-40B4-BE49-F238E27FC236}">
              <a16:creationId xmlns:a16="http://schemas.microsoft.com/office/drawing/2014/main" id="{80C7255A-48C8-400E-8A91-A982499C3AB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23" name="AutoShape 40" descr="Currently available antiretroviral drugs | Download Table">
          <a:extLst>
            <a:ext uri="{FF2B5EF4-FFF2-40B4-BE49-F238E27FC236}">
              <a16:creationId xmlns:a16="http://schemas.microsoft.com/office/drawing/2014/main" id="{CC021E02-EB68-4E9C-94F6-C342AC2BA46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24" name="AutoShape 40" descr="Currently available antiretroviral drugs | Download Table">
          <a:extLst>
            <a:ext uri="{FF2B5EF4-FFF2-40B4-BE49-F238E27FC236}">
              <a16:creationId xmlns:a16="http://schemas.microsoft.com/office/drawing/2014/main" id="{BC965276-1583-49F1-8FEF-755FF62FFCD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25" name="AutoShape 40" descr="Currently available antiretroviral drugs | Download Table">
          <a:extLst>
            <a:ext uri="{FF2B5EF4-FFF2-40B4-BE49-F238E27FC236}">
              <a16:creationId xmlns:a16="http://schemas.microsoft.com/office/drawing/2014/main" id="{D3F27713-75C2-47AA-81D7-ADFFC404F05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26" name="AutoShape 40" descr="Currently available antiretroviral drugs | Download Table">
          <a:extLst>
            <a:ext uri="{FF2B5EF4-FFF2-40B4-BE49-F238E27FC236}">
              <a16:creationId xmlns:a16="http://schemas.microsoft.com/office/drawing/2014/main" id="{B88450A5-56CA-4C82-BA2A-1E0A91CA470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27" name="AutoShape 40" descr="Currently available antiretroviral drugs | Download Table">
          <a:extLst>
            <a:ext uri="{FF2B5EF4-FFF2-40B4-BE49-F238E27FC236}">
              <a16:creationId xmlns:a16="http://schemas.microsoft.com/office/drawing/2014/main" id="{BB243D60-5957-4163-875E-7FCBD1216E7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28" name="AutoShape 40" descr="Currently available antiretroviral drugs | Download Table">
          <a:extLst>
            <a:ext uri="{FF2B5EF4-FFF2-40B4-BE49-F238E27FC236}">
              <a16:creationId xmlns:a16="http://schemas.microsoft.com/office/drawing/2014/main" id="{C86CDE8F-AB53-47C2-A39E-8C7F8321A96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29" name="AutoShape 40" descr="Currently available antiretroviral drugs | Download Table">
          <a:extLst>
            <a:ext uri="{FF2B5EF4-FFF2-40B4-BE49-F238E27FC236}">
              <a16:creationId xmlns:a16="http://schemas.microsoft.com/office/drawing/2014/main" id="{B5FE0A5F-BCAD-44DB-9FF2-A359874C8FD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30" name="AutoShape 40" descr="Currently available antiretroviral drugs | Download Table">
          <a:extLst>
            <a:ext uri="{FF2B5EF4-FFF2-40B4-BE49-F238E27FC236}">
              <a16:creationId xmlns:a16="http://schemas.microsoft.com/office/drawing/2014/main" id="{21596563-C3C7-48B4-BD53-C09F9AA8EB9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31" name="AutoShape 40" descr="Currently available antiretroviral drugs | Download Table">
          <a:extLst>
            <a:ext uri="{FF2B5EF4-FFF2-40B4-BE49-F238E27FC236}">
              <a16:creationId xmlns:a16="http://schemas.microsoft.com/office/drawing/2014/main" id="{5CAFDEAB-E6C6-44AC-92BB-C72FB10972F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32" name="AutoShape 40" descr="Currently available antiretroviral drugs | Download Table">
          <a:extLst>
            <a:ext uri="{FF2B5EF4-FFF2-40B4-BE49-F238E27FC236}">
              <a16:creationId xmlns:a16="http://schemas.microsoft.com/office/drawing/2014/main" id="{80C98790-23F6-48D5-B4E8-BDFBAEB695D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33" name="AutoShape 40" descr="Currently available antiretroviral drugs | Download Table">
          <a:extLst>
            <a:ext uri="{FF2B5EF4-FFF2-40B4-BE49-F238E27FC236}">
              <a16:creationId xmlns:a16="http://schemas.microsoft.com/office/drawing/2014/main" id="{8F910991-9C3D-4F2E-97E6-6E8E7DCC831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34" name="AutoShape 40" descr="Currently available antiretroviral drugs | Download Table">
          <a:extLst>
            <a:ext uri="{FF2B5EF4-FFF2-40B4-BE49-F238E27FC236}">
              <a16:creationId xmlns:a16="http://schemas.microsoft.com/office/drawing/2014/main" id="{6FA4B388-FA34-42EE-BBBF-CE47DDC83C1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35" name="AutoShape 40" descr="Currently available antiretroviral drugs | Download Table">
          <a:extLst>
            <a:ext uri="{FF2B5EF4-FFF2-40B4-BE49-F238E27FC236}">
              <a16:creationId xmlns:a16="http://schemas.microsoft.com/office/drawing/2014/main" id="{91DBEACB-B41C-4602-9CC9-D7AD1AA2AEA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36" name="AutoShape 40" descr="Currently available antiretroviral drugs | Download Table">
          <a:extLst>
            <a:ext uri="{FF2B5EF4-FFF2-40B4-BE49-F238E27FC236}">
              <a16:creationId xmlns:a16="http://schemas.microsoft.com/office/drawing/2014/main" id="{5428371D-8FDB-45F7-9485-BBBA3913B92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37" name="AutoShape 40" descr="Currently available antiretroviral drugs | Download Table">
          <a:extLst>
            <a:ext uri="{FF2B5EF4-FFF2-40B4-BE49-F238E27FC236}">
              <a16:creationId xmlns:a16="http://schemas.microsoft.com/office/drawing/2014/main" id="{E6083AD5-EE94-4D23-8525-35DCC095F2C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38" name="AutoShape 40" descr="Currently available antiretroviral drugs | Download Table">
          <a:extLst>
            <a:ext uri="{FF2B5EF4-FFF2-40B4-BE49-F238E27FC236}">
              <a16:creationId xmlns:a16="http://schemas.microsoft.com/office/drawing/2014/main" id="{577B400E-4036-4654-80C9-5E020F09FDE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39" name="AutoShape 40" descr="Currently available antiretroviral drugs | Download Table">
          <a:extLst>
            <a:ext uri="{FF2B5EF4-FFF2-40B4-BE49-F238E27FC236}">
              <a16:creationId xmlns:a16="http://schemas.microsoft.com/office/drawing/2014/main" id="{DCE8D35D-4F6C-4F07-9B9D-C87AEA3FFB3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40" name="AutoShape 40" descr="Currently available antiretroviral drugs | Download Table">
          <a:extLst>
            <a:ext uri="{FF2B5EF4-FFF2-40B4-BE49-F238E27FC236}">
              <a16:creationId xmlns:a16="http://schemas.microsoft.com/office/drawing/2014/main" id="{3D3ADF27-BBC4-4419-B33C-47B49C02823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41" name="AutoShape 40" descr="Currently available antiretroviral drugs | Download Table">
          <a:extLst>
            <a:ext uri="{FF2B5EF4-FFF2-40B4-BE49-F238E27FC236}">
              <a16:creationId xmlns:a16="http://schemas.microsoft.com/office/drawing/2014/main" id="{3707EBD2-45A8-4867-A4C3-15956CCB1AA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42" name="AutoShape 40" descr="Currently available antiretroviral drugs | Download Table">
          <a:extLst>
            <a:ext uri="{FF2B5EF4-FFF2-40B4-BE49-F238E27FC236}">
              <a16:creationId xmlns:a16="http://schemas.microsoft.com/office/drawing/2014/main" id="{505C8C74-469D-4233-80EC-E06FCCCDD4C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43" name="AutoShape 40" descr="Currently available antiretroviral drugs | Download Table">
          <a:extLst>
            <a:ext uri="{FF2B5EF4-FFF2-40B4-BE49-F238E27FC236}">
              <a16:creationId xmlns:a16="http://schemas.microsoft.com/office/drawing/2014/main" id="{BE6CBA05-0B70-4AE7-9B13-008704167FE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44" name="AutoShape 40" descr="Currently available antiretroviral drugs | Download Table">
          <a:extLst>
            <a:ext uri="{FF2B5EF4-FFF2-40B4-BE49-F238E27FC236}">
              <a16:creationId xmlns:a16="http://schemas.microsoft.com/office/drawing/2014/main" id="{89056E34-8A89-4CDF-A5DF-FEF3D3AFF53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45" name="AutoShape 40" descr="Currently available antiretroviral drugs | Download Table">
          <a:extLst>
            <a:ext uri="{FF2B5EF4-FFF2-40B4-BE49-F238E27FC236}">
              <a16:creationId xmlns:a16="http://schemas.microsoft.com/office/drawing/2014/main" id="{8E34EEC2-C331-41D5-9A72-2809CF8EB29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46" name="AutoShape 40" descr="Currently available antiretroviral drugs | Download Table">
          <a:extLst>
            <a:ext uri="{FF2B5EF4-FFF2-40B4-BE49-F238E27FC236}">
              <a16:creationId xmlns:a16="http://schemas.microsoft.com/office/drawing/2014/main" id="{B5012EB1-36A9-40E7-B165-AC9E9BA9D17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47" name="AutoShape 40" descr="Currently available antiretroviral drugs | Download Table">
          <a:extLst>
            <a:ext uri="{FF2B5EF4-FFF2-40B4-BE49-F238E27FC236}">
              <a16:creationId xmlns:a16="http://schemas.microsoft.com/office/drawing/2014/main" id="{BDAA3302-787A-4BF4-9577-D6F04E7FEB7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48" name="AutoShape 40" descr="Currently available antiretroviral drugs | Download Table">
          <a:extLst>
            <a:ext uri="{FF2B5EF4-FFF2-40B4-BE49-F238E27FC236}">
              <a16:creationId xmlns:a16="http://schemas.microsoft.com/office/drawing/2014/main" id="{16CF5F22-BA01-45C7-A718-738C5E04DF9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49" name="AutoShape 40" descr="Currently available antiretroviral drugs | Download Table">
          <a:extLst>
            <a:ext uri="{FF2B5EF4-FFF2-40B4-BE49-F238E27FC236}">
              <a16:creationId xmlns:a16="http://schemas.microsoft.com/office/drawing/2014/main" id="{C4781A7A-C16F-433E-8B58-C666287C4C5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50" name="AutoShape 40" descr="Currently available antiretroviral drugs | Download Table">
          <a:extLst>
            <a:ext uri="{FF2B5EF4-FFF2-40B4-BE49-F238E27FC236}">
              <a16:creationId xmlns:a16="http://schemas.microsoft.com/office/drawing/2014/main" id="{705AEBAF-5017-4451-B39E-C97E52D106A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51" name="AutoShape 40" descr="Currently available antiretroviral drugs | Download Table">
          <a:extLst>
            <a:ext uri="{FF2B5EF4-FFF2-40B4-BE49-F238E27FC236}">
              <a16:creationId xmlns:a16="http://schemas.microsoft.com/office/drawing/2014/main" id="{63311994-5A5B-4365-8AE6-DA2C189F5E8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52" name="AutoShape 40" descr="Currently available antiretroviral drugs | Download Table">
          <a:extLst>
            <a:ext uri="{FF2B5EF4-FFF2-40B4-BE49-F238E27FC236}">
              <a16:creationId xmlns:a16="http://schemas.microsoft.com/office/drawing/2014/main" id="{57C8B242-8286-4E50-8952-53DEEF26A43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53" name="AutoShape 40" descr="Currently available antiretroviral drugs | Download Table">
          <a:extLst>
            <a:ext uri="{FF2B5EF4-FFF2-40B4-BE49-F238E27FC236}">
              <a16:creationId xmlns:a16="http://schemas.microsoft.com/office/drawing/2014/main" id="{B5E30C5D-0EDB-433D-89DF-30CD3C4523F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54" name="AutoShape 40" descr="Currently available antiretroviral drugs | Download Table">
          <a:extLst>
            <a:ext uri="{FF2B5EF4-FFF2-40B4-BE49-F238E27FC236}">
              <a16:creationId xmlns:a16="http://schemas.microsoft.com/office/drawing/2014/main" id="{67F502FA-1B4D-4575-A9C0-A9FB9FE5558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55" name="AutoShape 40" descr="Currently available antiretroviral drugs | Download Table">
          <a:extLst>
            <a:ext uri="{FF2B5EF4-FFF2-40B4-BE49-F238E27FC236}">
              <a16:creationId xmlns:a16="http://schemas.microsoft.com/office/drawing/2014/main" id="{D20F6DCB-2489-4153-A953-608935C1001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56" name="AutoShape 40" descr="Currently available antiretroviral drugs | Download Table">
          <a:extLst>
            <a:ext uri="{FF2B5EF4-FFF2-40B4-BE49-F238E27FC236}">
              <a16:creationId xmlns:a16="http://schemas.microsoft.com/office/drawing/2014/main" id="{98AB1426-37DD-4C5E-9306-50251FC07CF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57" name="AutoShape 40" descr="Currently available antiretroviral drugs | Download Table">
          <a:extLst>
            <a:ext uri="{FF2B5EF4-FFF2-40B4-BE49-F238E27FC236}">
              <a16:creationId xmlns:a16="http://schemas.microsoft.com/office/drawing/2014/main" id="{338BAF41-BED0-4665-9D28-919FDF5BF5E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58" name="AutoShape 40" descr="Currently available antiretroviral drugs | Download Table">
          <a:extLst>
            <a:ext uri="{FF2B5EF4-FFF2-40B4-BE49-F238E27FC236}">
              <a16:creationId xmlns:a16="http://schemas.microsoft.com/office/drawing/2014/main" id="{6B2F04D4-CAEC-4B83-BBD8-1B328517473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59" name="AutoShape 40" descr="Currently available antiretroviral drugs | Download Table">
          <a:extLst>
            <a:ext uri="{FF2B5EF4-FFF2-40B4-BE49-F238E27FC236}">
              <a16:creationId xmlns:a16="http://schemas.microsoft.com/office/drawing/2014/main" id="{A718BE8B-63EC-4345-A04B-BCD383E3B8B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60" name="AutoShape 40" descr="Currently available antiretroviral drugs | Download Table">
          <a:extLst>
            <a:ext uri="{FF2B5EF4-FFF2-40B4-BE49-F238E27FC236}">
              <a16:creationId xmlns:a16="http://schemas.microsoft.com/office/drawing/2014/main" id="{43FE133B-75DC-49F2-A193-3966DB9543C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61" name="AutoShape 40" descr="Currently available antiretroviral drugs | Download Table">
          <a:extLst>
            <a:ext uri="{FF2B5EF4-FFF2-40B4-BE49-F238E27FC236}">
              <a16:creationId xmlns:a16="http://schemas.microsoft.com/office/drawing/2014/main" id="{2611AAB2-A652-4691-B7F0-52A10B61124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62" name="AutoShape 40" descr="Currently available antiretroviral drugs | Download Table">
          <a:extLst>
            <a:ext uri="{FF2B5EF4-FFF2-40B4-BE49-F238E27FC236}">
              <a16:creationId xmlns:a16="http://schemas.microsoft.com/office/drawing/2014/main" id="{336AD535-A08A-4EFB-8CFD-3A9D95D2EAF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63" name="AutoShape 40" descr="Currently available antiretroviral drugs | Download Table">
          <a:extLst>
            <a:ext uri="{FF2B5EF4-FFF2-40B4-BE49-F238E27FC236}">
              <a16:creationId xmlns:a16="http://schemas.microsoft.com/office/drawing/2014/main" id="{9300AAB0-A457-4D55-A8E9-8CD26D7A20E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64" name="AutoShape 40" descr="Currently available antiretroviral drugs | Download Table">
          <a:extLst>
            <a:ext uri="{FF2B5EF4-FFF2-40B4-BE49-F238E27FC236}">
              <a16:creationId xmlns:a16="http://schemas.microsoft.com/office/drawing/2014/main" id="{C1865520-EDA2-46B2-B329-ACD1961F4C5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65" name="AutoShape 40" descr="Currently available antiretroviral drugs | Download Table">
          <a:extLst>
            <a:ext uri="{FF2B5EF4-FFF2-40B4-BE49-F238E27FC236}">
              <a16:creationId xmlns:a16="http://schemas.microsoft.com/office/drawing/2014/main" id="{625C1209-0032-4E49-A107-009172D92E8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66" name="AutoShape 40" descr="Currently available antiretroviral drugs | Download Table">
          <a:extLst>
            <a:ext uri="{FF2B5EF4-FFF2-40B4-BE49-F238E27FC236}">
              <a16:creationId xmlns:a16="http://schemas.microsoft.com/office/drawing/2014/main" id="{796B337D-C208-48E9-AD54-7D5A8AF4F57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67" name="AutoShape 40" descr="Currently available antiretroviral drugs | Download Table">
          <a:extLst>
            <a:ext uri="{FF2B5EF4-FFF2-40B4-BE49-F238E27FC236}">
              <a16:creationId xmlns:a16="http://schemas.microsoft.com/office/drawing/2014/main" id="{EF744468-5FC4-45F0-9A24-CCFA788A547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68" name="AutoShape 40" descr="Currently available antiretroviral drugs | Download Table">
          <a:extLst>
            <a:ext uri="{FF2B5EF4-FFF2-40B4-BE49-F238E27FC236}">
              <a16:creationId xmlns:a16="http://schemas.microsoft.com/office/drawing/2014/main" id="{E86784DD-38E9-48C4-AFD8-3517D8E2C0C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69" name="AutoShape 40" descr="Currently available antiretroviral drugs | Download Table">
          <a:extLst>
            <a:ext uri="{FF2B5EF4-FFF2-40B4-BE49-F238E27FC236}">
              <a16:creationId xmlns:a16="http://schemas.microsoft.com/office/drawing/2014/main" id="{603889E5-9710-49CC-8B87-AD376D832E5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70" name="AutoShape 40" descr="Currently available antiretroviral drugs | Download Table">
          <a:extLst>
            <a:ext uri="{FF2B5EF4-FFF2-40B4-BE49-F238E27FC236}">
              <a16:creationId xmlns:a16="http://schemas.microsoft.com/office/drawing/2014/main" id="{A747A901-4C95-4B44-9F58-F5226874D40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71" name="AutoShape 40" descr="Currently available antiretroviral drugs | Download Table">
          <a:extLst>
            <a:ext uri="{FF2B5EF4-FFF2-40B4-BE49-F238E27FC236}">
              <a16:creationId xmlns:a16="http://schemas.microsoft.com/office/drawing/2014/main" id="{37B93EE6-8D99-486F-BEE9-EF477BE3CC2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72" name="AutoShape 40" descr="Currently available antiretroviral drugs | Download Table">
          <a:extLst>
            <a:ext uri="{FF2B5EF4-FFF2-40B4-BE49-F238E27FC236}">
              <a16:creationId xmlns:a16="http://schemas.microsoft.com/office/drawing/2014/main" id="{7E23E67D-CE1E-48BB-8445-4A9A69CBFBB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73" name="AutoShape 40" descr="Currently available antiretroviral drugs | Download Table">
          <a:extLst>
            <a:ext uri="{FF2B5EF4-FFF2-40B4-BE49-F238E27FC236}">
              <a16:creationId xmlns:a16="http://schemas.microsoft.com/office/drawing/2014/main" id="{00B165BA-B390-4201-8875-154B6690454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74" name="AutoShape 40" descr="Currently available antiretroviral drugs | Download Table">
          <a:extLst>
            <a:ext uri="{FF2B5EF4-FFF2-40B4-BE49-F238E27FC236}">
              <a16:creationId xmlns:a16="http://schemas.microsoft.com/office/drawing/2014/main" id="{F76FC5A2-C287-42C8-9717-F9D60A5905B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75" name="AutoShape 40" descr="Currently available antiretroviral drugs | Download Table">
          <a:extLst>
            <a:ext uri="{FF2B5EF4-FFF2-40B4-BE49-F238E27FC236}">
              <a16:creationId xmlns:a16="http://schemas.microsoft.com/office/drawing/2014/main" id="{792195F9-C005-4C52-834C-09D3401239C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76" name="AutoShape 40" descr="Currently available antiretroviral drugs | Download Table">
          <a:extLst>
            <a:ext uri="{FF2B5EF4-FFF2-40B4-BE49-F238E27FC236}">
              <a16:creationId xmlns:a16="http://schemas.microsoft.com/office/drawing/2014/main" id="{19984ADF-6465-4163-AF25-74FA2BEEA44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77" name="AutoShape 40" descr="Currently available antiretroviral drugs | Download Table">
          <a:extLst>
            <a:ext uri="{FF2B5EF4-FFF2-40B4-BE49-F238E27FC236}">
              <a16:creationId xmlns:a16="http://schemas.microsoft.com/office/drawing/2014/main" id="{8AD513F3-832F-445C-B46A-DB16A7BB96C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78" name="AutoShape 40" descr="Currently available antiretroviral drugs | Download Table">
          <a:extLst>
            <a:ext uri="{FF2B5EF4-FFF2-40B4-BE49-F238E27FC236}">
              <a16:creationId xmlns:a16="http://schemas.microsoft.com/office/drawing/2014/main" id="{64308200-43B9-4A85-9C78-111F56A3ED2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79" name="AutoShape 40" descr="Currently available antiretroviral drugs | Download Table">
          <a:extLst>
            <a:ext uri="{FF2B5EF4-FFF2-40B4-BE49-F238E27FC236}">
              <a16:creationId xmlns:a16="http://schemas.microsoft.com/office/drawing/2014/main" id="{3CEF976D-852A-489D-9592-823D1ED5D3A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80" name="AutoShape 40" descr="Currently available antiretroviral drugs | Download Table">
          <a:extLst>
            <a:ext uri="{FF2B5EF4-FFF2-40B4-BE49-F238E27FC236}">
              <a16:creationId xmlns:a16="http://schemas.microsoft.com/office/drawing/2014/main" id="{7FFE6F74-AB0E-4DB3-B83A-4AF584B33B8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81" name="AutoShape 40" descr="Currently available antiretroviral drugs | Download Table">
          <a:extLst>
            <a:ext uri="{FF2B5EF4-FFF2-40B4-BE49-F238E27FC236}">
              <a16:creationId xmlns:a16="http://schemas.microsoft.com/office/drawing/2014/main" id="{BC928E13-EE2B-4122-B23A-E96B24B06D8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82" name="AutoShape 40" descr="Currently available antiretroviral drugs | Download Table">
          <a:extLst>
            <a:ext uri="{FF2B5EF4-FFF2-40B4-BE49-F238E27FC236}">
              <a16:creationId xmlns:a16="http://schemas.microsoft.com/office/drawing/2014/main" id="{1FEC174C-37CB-4851-9CD9-F9F229E3E6B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83" name="AutoShape 40" descr="Currently available antiretroviral drugs | Download Table">
          <a:extLst>
            <a:ext uri="{FF2B5EF4-FFF2-40B4-BE49-F238E27FC236}">
              <a16:creationId xmlns:a16="http://schemas.microsoft.com/office/drawing/2014/main" id="{A2DF2A66-614E-4736-9B97-94CADBE124A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84" name="AutoShape 40" descr="Currently available antiretroviral drugs | Download Table">
          <a:extLst>
            <a:ext uri="{FF2B5EF4-FFF2-40B4-BE49-F238E27FC236}">
              <a16:creationId xmlns:a16="http://schemas.microsoft.com/office/drawing/2014/main" id="{AC78A5EC-CA1E-4BA7-8C38-C3DB9C744C5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85" name="AutoShape 40" descr="Currently available antiretroviral drugs | Download Table">
          <a:extLst>
            <a:ext uri="{FF2B5EF4-FFF2-40B4-BE49-F238E27FC236}">
              <a16:creationId xmlns:a16="http://schemas.microsoft.com/office/drawing/2014/main" id="{630E9CA5-4DD6-4A2A-9BB7-2965461FACB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86" name="AutoShape 40" descr="Currently available antiretroviral drugs | Download Table">
          <a:extLst>
            <a:ext uri="{FF2B5EF4-FFF2-40B4-BE49-F238E27FC236}">
              <a16:creationId xmlns:a16="http://schemas.microsoft.com/office/drawing/2014/main" id="{7D5BE8F0-A415-4690-BF56-E9492FCB838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87" name="AutoShape 40" descr="Currently available antiretroviral drugs | Download Table">
          <a:extLst>
            <a:ext uri="{FF2B5EF4-FFF2-40B4-BE49-F238E27FC236}">
              <a16:creationId xmlns:a16="http://schemas.microsoft.com/office/drawing/2014/main" id="{759F5856-70E5-4B3E-BEEA-0A86F94AECB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88" name="AutoShape 40" descr="Currently available antiretroviral drugs | Download Table">
          <a:extLst>
            <a:ext uri="{FF2B5EF4-FFF2-40B4-BE49-F238E27FC236}">
              <a16:creationId xmlns:a16="http://schemas.microsoft.com/office/drawing/2014/main" id="{E07EEDA9-336B-4936-8D72-13152320C63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89" name="AutoShape 40" descr="Currently available antiretroviral drugs | Download Table">
          <a:extLst>
            <a:ext uri="{FF2B5EF4-FFF2-40B4-BE49-F238E27FC236}">
              <a16:creationId xmlns:a16="http://schemas.microsoft.com/office/drawing/2014/main" id="{CD2F4996-56AD-4456-8C40-D2E92317116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90" name="AutoShape 40" descr="Currently available antiretroviral drugs | Download Table">
          <a:extLst>
            <a:ext uri="{FF2B5EF4-FFF2-40B4-BE49-F238E27FC236}">
              <a16:creationId xmlns:a16="http://schemas.microsoft.com/office/drawing/2014/main" id="{B353908A-D7EB-48E6-89DA-695CD5E9164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91" name="AutoShape 40" descr="Currently available antiretroviral drugs | Download Table">
          <a:extLst>
            <a:ext uri="{FF2B5EF4-FFF2-40B4-BE49-F238E27FC236}">
              <a16:creationId xmlns:a16="http://schemas.microsoft.com/office/drawing/2014/main" id="{7244C3FB-8CAF-424C-9CFD-652EC9019C5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92" name="AutoShape 40" descr="Currently available antiretroviral drugs | Download Table">
          <a:extLst>
            <a:ext uri="{FF2B5EF4-FFF2-40B4-BE49-F238E27FC236}">
              <a16:creationId xmlns:a16="http://schemas.microsoft.com/office/drawing/2014/main" id="{5C4E842C-5BC8-4BDD-A8CA-03D14CFEA8D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93" name="AutoShape 40" descr="Currently available antiretroviral drugs | Download Table">
          <a:extLst>
            <a:ext uri="{FF2B5EF4-FFF2-40B4-BE49-F238E27FC236}">
              <a16:creationId xmlns:a16="http://schemas.microsoft.com/office/drawing/2014/main" id="{9E045C4E-40EE-46E0-B63A-BA34EF02838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94" name="AutoShape 40" descr="Currently available antiretroviral drugs | Download Table">
          <a:extLst>
            <a:ext uri="{FF2B5EF4-FFF2-40B4-BE49-F238E27FC236}">
              <a16:creationId xmlns:a16="http://schemas.microsoft.com/office/drawing/2014/main" id="{F312D729-B4B3-4CEB-A948-1538A97EC7F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95" name="AutoShape 40" descr="Currently available antiretroviral drugs | Download Table">
          <a:extLst>
            <a:ext uri="{FF2B5EF4-FFF2-40B4-BE49-F238E27FC236}">
              <a16:creationId xmlns:a16="http://schemas.microsoft.com/office/drawing/2014/main" id="{4CA7410A-8DD0-46FA-9DB1-13D9710CA72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96" name="AutoShape 40" descr="Currently available antiretroviral drugs | Download Table">
          <a:extLst>
            <a:ext uri="{FF2B5EF4-FFF2-40B4-BE49-F238E27FC236}">
              <a16:creationId xmlns:a16="http://schemas.microsoft.com/office/drawing/2014/main" id="{364FD8BC-E5FE-4D8D-9BB1-B6718BC1AD7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97" name="AutoShape 40" descr="Currently available antiretroviral drugs | Download Table">
          <a:extLst>
            <a:ext uri="{FF2B5EF4-FFF2-40B4-BE49-F238E27FC236}">
              <a16:creationId xmlns:a16="http://schemas.microsoft.com/office/drawing/2014/main" id="{F76226C3-4E3A-4586-A9F9-3309F8D07CE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98" name="AutoShape 40" descr="Currently available antiretroviral drugs | Download Table">
          <a:extLst>
            <a:ext uri="{FF2B5EF4-FFF2-40B4-BE49-F238E27FC236}">
              <a16:creationId xmlns:a16="http://schemas.microsoft.com/office/drawing/2014/main" id="{995407C6-AB40-4372-867D-510F59CFE6C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199" name="AutoShape 40" descr="Currently available antiretroviral drugs | Download Table">
          <a:extLst>
            <a:ext uri="{FF2B5EF4-FFF2-40B4-BE49-F238E27FC236}">
              <a16:creationId xmlns:a16="http://schemas.microsoft.com/office/drawing/2014/main" id="{2E1916CB-7D26-4A3D-89D0-FE23454C6CF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00" name="AutoShape 40" descr="Currently available antiretroviral drugs | Download Table">
          <a:extLst>
            <a:ext uri="{FF2B5EF4-FFF2-40B4-BE49-F238E27FC236}">
              <a16:creationId xmlns:a16="http://schemas.microsoft.com/office/drawing/2014/main" id="{F77169EC-6147-4E0F-9043-462EBE31CCD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01" name="AutoShape 40" descr="Currently available antiretroviral drugs | Download Table">
          <a:extLst>
            <a:ext uri="{FF2B5EF4-FFF2-40B4-BE49-F238E27FC236}">
              <a16:creationId xmlns:a16="http://schemas.microsoft.com/office/drawing/2014/main" id="{2F141352-DC25-4322-A201-CF41D7AB1DE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02" name="AutoShape 40" descr="Currently available antiretroviral drugs | Download Table">
          <a:extLst>
            <a:ext uri="{FF2B5EF4-FFF2-40B4-BE49-F238E27FC236}">
              <a16:creationId xmlns:a16="http://schemas.microsoft.com/office/drawing/2014/main" id="{C65CCC32-00BC-4026-BFA9-7F217B8CD93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03" name="AutoShape 40" descr="Currently available antiretroviral drugs | Download Table">
          <a:extLst>
            <a:ext uri="{FF2B5EF4-FFF2-40B4-BE49-F238E27FC236}">
              <a16:creationId xmlns:a16="http://schemas.microsoft.com/office/drawing/2014/main" id="{C14E5969-A9E6-4C93-83E4-324557AAAC4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04" name="AutoShape 40" descr="Currently available antiretroviral drugs | Download Table">
          <a:extLst>
            <a:ext uri="{FF2B5EF4-FFF2-40B4-BE49-F238E27FC236}">
              <a16:creationId xmlns:a16="http://schemas.microsoft.com/office/drawing/2014/main" id="{6C89E3C7-0CF3-4A58-ABC2-FBA2332664B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05" name="AutoShape 40" descr="Currently available antiretroviral drugs | Download Table">
          <a:extLst>
            <a:ext uri="{FF2B5EF4-FFF2-40B4-BE49-F238E27FC236}">
              <a16:creationId xmlns:a16="http://schemas.microsoft.com/office/drawing/2014/main" id="{B8180DB5-E364-404B-8679-D4DD41050EA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06" name="AutoShape 40" descr="Currently available antiretroviral drugs | Download Table">
          <a:extLst>
            <a:ext uri="{FF2B5EF4-FFF2-40B4-BE49-F238E27FC236}">
              <a16:creationId xmlns:a16="http://schemas.microsoft.com/office/drawing/2014/main" id="{0AED5C17-B4C0-4538-90F9-638BA642B9D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07" name="AutoShape 40" descr="Currently available antiretroviral drugs | Download Table">
          <a:extLst>
            <a:ext uri="{FF2B5EF4-FFF2-40B4-BE49-F238E27FC236}">
              <a16:creationId xmlns:a16="http://schemas.microsoft.com/office/drawing/2014/main" id="{A812C217-CC39-4AD8-A9CF-300F6DE3057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08" name="AutoShape 40" descr="Currently available antiretroviral drugs | Download Table">
          <a:extLst>
            <a:ext uri="{FF2B5EF4-FFF2-40B4-BE49-F238E27FC236}">
              <a16:creationId xmlns:a16="http://schemas.microsoft.com/office/drawing/2014/main" id="{162106B1-1D70-4434-ABE5-D3BCA2569DB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09" name="AutoShape 40" descr="Currently available antiretroviral drugs | Download Table">
          <a:extLst>
            <a:ext uri="{FF2B5EF4-FFF2-40B4-BE49-F238E27FC236}">
              <a16:creationId xmlns:a16="http://schemas.microsoft.com/office/drawing/2014/main" id="{345635D0-A8DA-4D77-8D52-4B753532223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10" name="AutoShape 40" descr="Currently available antiretroviral drugs | Download Table">
          <a:extLst>
            <a:ext uri="{FF2B5EF4-FFF2-40B4-BE49-F238E27FC236}">
              <a16:creationId xmlns:a16="http://schemas.microsoft.com/office/drawing/2014/main" id="{F097E889-885B-4A6C-AECC-4DE4765E116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11" name="AutoShape 40" descr="Currently available antiretroviral drugs | Download Table">
          <a:extLst>
            <a:ext uri="{FF2B5EF4-FFF2-40B4-BE49-F238E27FC236}">
              <a16:creationId xmlns:a16="http://schemas.microsoft.com/office/drawing/2014/main" id="{8EB8FD96-1099-4480-B01B-055467E3E59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12" name="AutoShape 40" descr="Currently available antiretroviral drugs | Download Table">
          <a:extLst>
            <a:ext uri="{FF2B5EF4-FFF2-40B4-BE49-F238E27FC236}">
              <a16:creationId xmlns:a16="http://schemas.microsoft.com/office/drawing/2014/main" id="{9FDE52AF-285B-437D-AD9E-905C06021C8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13" name="AutoShape 40" descr="Currently available antiretroviral drugs | Download Table">
          <a:extLst>
            <a:ext uri="{FF2B5EF4-FFF2-40B4-BE49-F238E27FC236}">
              <a16:creationId xmlns:a16="http://schemas.microsoft.com/office/drawing/2014/main" id="{973BB1D1-D3B4-4AC7-8987-653D2D96C08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14" name="AutoShape 40" descr="Currently available antiretroviral drugs | Download Table">
          <a:extLst>
            <a:ext uri="{FF2B5EF4-FFF2-40B4-BE49-F238E27FC236}">
              <a16:creationId xmlns:a16="http://schemas.microsoft.com/office/drawing/2014/main" id="{661BCD61-5507-48D6-9788-8F76FFCA92A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15" name="AutoShape 40" descr="Currently available antiretroviral drugs | Download Table">
          <a:extLst>
            <a:ext uri="{FF2B5EF4-FFF2-40B4-BE49-F238E27FC236}">
              <a16:creationId xmlns:a16="http://schemas.microsoft.com/office/drawing/2014/main" id="{2F78F117-B1DA-44EB-888A-2B51F186BF2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16" name="AutoShape 40" descr="Currently available antiretroviral drugs | Download Table">
          <a:extLst>
            <a:ext uri="{FF2B5EF4-FFF2-40B4-BE49-F238E27FC236}">
              <a16:creationId xmlns:a16="http://schemas.microsoft.com/office/drawing/2014/main" id="{A31686F2-FE82-4FCC-9AF5-CF3BF941F61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17" name="AutoShape 40" descr="Currently available antiretroviral drugs | Download Table">
          <a:extLst>
            <a:ext uri="{FF2B5EF4-FFF2-40B4-BE49-F238E27FC236}">
              <a16:creationId xmlns:a16="http://schemas.microsoft.com/office/drawing/2014/main" id="{BF47CB0B-0DD0-46B0-A555-C729EA6FA36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18" name="AutoShape 40" descr="Currently available antiretroviral drugs | Download Table">
          <a:extLst>
            <a:ext uri="{FF2B5EF4-FFF2-40B4-BE49-F238E27FC236}">
              <a16:creationId xmlns:a16="http://schemas.microsoft.com/office/drawing/2014/main" id="{4686E9C4-27ED-4039-A54F-1445B071EF6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19" name="AutoShape 40" descr="Currently available antiretroviral drugs | Download Table">
          <a:extLst>
            <a:ext uri="{FF2B5EF4-FFF2-40B4-BE49-F238E27FC236}">
              <a16:creationId xmlns:a16="http://schemas.microsoft.com/office/drawing/2014/main" id="{15EFE1A5-B2FF-4F39-8C6D-2548AC4699F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20" name="AutoShape 40" descr="Currently available antiretroviral drugs | Download Table">
          <a:extLst>
            <a:ext uri="{FF2B5EF4-FFF2-40B4-BE49-F238E27FC236}">
              <a16:creationId xmlns:a16="http://schemas.microsoft.com/office/drawing/2014/main" id="{2D1B7B68-0478-432C-80C6-EF658B0821D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21" name="AutoShape 40" descr="Currently available antiretroviral drugs | Download Table">
          <a:extLst>
            <a:ext uri="{FF2B5EF4-FFF2-40B4-BE49-F238E27FC236}">
              <a16:creationId xmlns:a16="http://schemas.microsoft.com/office/drawing/2014/main" id="{A8809C66-598D-4C5E-B620-A2A700B3260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22" name="AutoShape 40" descr="Currently available antiretroviral drugs | Download Table">
          <a:extLst>
            <a:ext uri="{FF2B5EF4-FFF2-40B4-BE49-F238E27FC236}">
              <a16:creationId xmlns:a16="http://schemas.microsoft.com/office/drawing/2014/main" id="{E54CF55A-85AF-4102-81D5-CE473C59192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23" name="AutoShape 40" descr="Currently available antiretroviral drugs | Download Table">
          <a:extLst>
            <a:ext uri="{FF2B5EF4-FFF2-40B4-BE49-F238E27FC236}">
              <a16:creationId xmlns:a16="http://schemas.microsoft.com/office/drawing/2014/main" id="{65A6BE0D-5B15-418F-8506-5BDB5532BAB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24" name="AutoShape 40" descr="Currently available antiretroviral drugs | Download Table">
          <a:extLst>
            <a:ext uri="{FF2B5EF4-FFF2-40B4-BE49-F238E27FC236}">
              <a16:creationId xmlns:a16="http://schemas.microsoft.com/office/drawing/2014/main" id="{BE089FC8-ED09-4D48-B2C1-6202322CEEC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25" name="AutoShape 40" descr="Currently available antiretroviral drugs | Download Table">
          <a:extLst>
            <a:ext uri="{FF2B5EF4-FFF2-40B4-BE49-F238E27FC236}">
              <a16:creationId xmlns:a16="http://schemas.microsoft.com/office/drawing/2014/main" id="{C7F4D846-CA99-4DCA-A630-54A669D45FF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26" name="AutoShape 40" descr="Currently available antiretroviral drugs | Download Table">
          <a:extLst>
            <a:ext uri="{FF2B5EF4-FFF2-40B4-BE49-F238E27FC236}">
              <a16:creationId xmlns:a16="http://schemas.microsoft.com/office/drawing/2014/main" id="{3B3137D7-FC46-4075-9A62-F4C3021F283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27" name="AutoShape 40" descr="Currently available antiretroviral drugs | Download Table">
          <a:extLst>
            <a:ext uri="{FF2B5EF4-FFF2-40B4-BE49-F238E27FC236}">
              <a16:creationId xmlns:a16="http://schemas.microsoft.com/office/drawing/2014/main" id="{E5C08D44-4757-4EEB-BC83-AF79DACA6D7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28" name="AutoShape 40" descr="Currently available antiretroviral drugs | Download Table">
          <a:extLst>
            <a:ext uri="{FF2B5EF4-FFF2-40B4-BE49-F238E27FC236}">
              <a16:creationId xmlns:a16="http://schemas.microsoft.com/office/drawing/2014/main" id="{FCF93A93-5C84-4BC8-A036-29C219AD2C3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29" name="AutoShape 40" descr="Currently available antiretroviral drugs | Download Table">
          <a:extLst>
            <a:ext uri="{FF2B5EF4-FFF2-40B4-BE49-F238E27FC236}">
              <a16:creationId xmlns:a16="http://schemas.microsoft.com/office/drawing/2014/main" id="{67C41355-2213-4DF2-ADC3-C7F7BB9FA4A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30" name="AutoShape 40" descr="Currently available antiretroviral drugs | Download Table">
          <a:extLst>
            <a:ext uri="{FF2B5EF4-FFF2-40B4-BE49-F238E27FC236}">
              <a16:creationId xmlns:a16="http://schemas.microsoft.com/office/drawing/2014/main" id="{B0493CA6-0442-49D0-99B1-F181B25CC1E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31" name="AutoShape 40" descr="Currently available antiretroviral drugs | Download Table">
          <a:extLst>
            <a:ext uri="{FF2B5EF4-FFF2-40B4-BE49-F238E27FC236}">
              <a16:creationId xmlns:a16="http://schemas.microsoft.com/office/drawing/2014/main" id="{B4C561C4-A497-44B8-A785-39E74CED6F0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32" name="AutoShape 40" descr="Currently available antiretroviral drugs | Download Table">
          <a:extLst>
            <a:ext uri="{FF2B5EF4-FFF2-40B4-BE49-F238E27FC236}">
              <a16:creationId xmlns:a16="http://schemas.microsoft.com/office/drawing/2014/main" id="{EFC75E5F-393D-4128-A8BC-D764DF27434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33" name="AutoShape 40" descr="Currently available antiretroviral drugs | Download Table">
          <a:extLst>
            <a:ext uri="{FF2B5EF4-FFF2-40B4-BE49-F238E27FC236}">
              <a16:creationId xmlns:a16="http://schemas.microsoft.com/office/drawing/2014/main" id="{AF1A0F4D-CE2F-48FB-8DF4-00F66F5831A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34" name="AutoShape 40" descr="Currently available antiretroviral drugs | Download Table">
          <a:extLst>
            <a:ext uri="{FF2B5EF4-FFF2-40B4-BE49-F238E27FC236}">
              <a16:creationId xmlns:a16="http://schemas.microsoft.com/office/drawing/2014/main" id="{918AFC07-D25C-414B-8ED7-01C6F673C85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35" name="AutoShape 40" descr="Currently available antiretroviral drugs | Download Table">
          <a:extLst>
            <a:ext uri="{FF2B5EF4-FFF2-40B4-BE49-F238E27FC236}">
              <a16:creationId xmlns:a16="http://schemas.microsoft.com/office/drawing/2014/main" id="{FECA36D3-ADBA-440D-B8E0-63D9031CD7B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36" name="AutoShape 40" descr="Currently available antiretroviral drugs | Download Table">
          <a:extLst>
            <a:ext uri="{FF2B5EF4-FFF2-40B4-BE49-F238E27FC236}">
              <a16:creationId xmlns:a16="http://schemas.microsoft.com/office/drawing/2014/main" id="{1E2101FA-96FB-446A-8312-DAAE0F84491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37" name="AutoShape 40" descr="Currently available antiretroviral drugs | Download Table">
          <a:extLst>
            <a:ext uri="{FF2B5EF4-FFF2-40B4-BE49-F238E27FC236}">
              <a16:creationId xmlns:a16="http://schemas.microsoft.com/office/drawing/2014/main" id="{A6D133C2-A0D2-4A94-AD6E-DB805457A6E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38" name="AutoShape 40" descr="Currently available antiretroviral drugs | Download Table">
          <a:extLst>
            <a:ext uri="{FF2B5EF4-FFF2-40B4-BE49-F238E27FC236}">
              <a16:creationId xmlns:a16="http://schemas.microsoft.com/office/drawing/2014/main" id="{80DF9C06-D0A9-473E-9A74-A99D8BB4B71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39" name="AutoShape 40" descr="Currently available antiretroviral drugs | Download Table">
          <a:extLst>
            <a:ext uri="{FF2B5EF4-FFF2-40B4-BE49-F238E27FC236}">
              <a16:creationId xmlns:a16="http://schemas.microsoft.com/office/drawing/2014/main" id="{6B3EAE17-3921-4B19-B1B5-8341B595843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40" name="AutoShape 40" descr="Currently available antiretroviral drugs | Download Table">
          <a:extLst>
            <a:ext uri="{FF2B5EF4-FFF2-40B4-BE49-F238E27FC236}">
              <a16:creationId xmlns:a16="http://schemas.microsoft.com/office/drawing/2014/main" id="{CA380E46-3AA4-41D7-A26B-EAEEE67C0E9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41" name="AutoShape 40" descr="Currently available antiretroviral drugs | Download Table">
          <a:extLst>
            <a:ext uri="{FF2B5EF4-FFF2-40B4-BE49-F238E27FC236}">
              <a16:creationId xmlns:a16="http://schemas.microsoft.com/office/drawing/2014/main" id="{A7137587-8EA6-4980-9F7E-A24642A594E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42" name="AutoShape 40" descr="Currently available antiretroviral drugs | Download Table">
          <a:extLst>
            <a:ext uri="{FF2B5EF4-FFF2-40B4-BE49-F238E27FC236}">
              <a16:creationId xmlns:a16="http://schemas.microsoft.com/office/drawing/2014/main" id="{B1B96298-2295-48C1-9406-93CAF414D7F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43" name="AutoShape 40" descr="Currently available antiretroviral drugs | Download Table">
          <a:extLst>
            <a:ext uri="{FF2B5EF4-FFF2-40B4-BE49-F238E27FC236}">
              <a16:creationId xmlns:a16="http://schemas.microsoft.com/office/drawing/2014/main" id="{EE794350-F598-4279-8B1C-A7C51945394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44" name="AutoShape 40" descr="Currently available antiretroviral drugs | Download Table">
          <a:extLst>
            <a:ext uri="{FF2B5EF4-FFF2-40B4-BE49-F238E27FC236}">
              <a16:creationId xmlns:a16="http://schemas.microsoft.com/office/drawing/2014/main" id="{D20A7232-FA2D-4DC6-B509-E8E345A1AAC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45" name="AutoShape 40" descr="Currently available antiretroviral drugs | Download Table">
          <a:extLst>
            <a:ext uri="{FF2B5EF4-FFF2-40B4-BE49-F238E27FC236}">
              <a16:creationId xmlns:a16="http://schemas.microsoft.com/office/drawing/2014/main" id="{6F99B6CA-F664-4DFE-9CB1-B1BDEC7A729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46" name="AutoShape 40" descr="Currently available antiretroviral drugs | Download Table">
          <a:extLst>
            <a:ext uri="{FF2B5EF4-FFF2-40B4-BE49-F238E27FC236}">
              <a16:creationId xmlns:a16="http://schemas.microsoft.com/office/drawing/2014/main" id="{E5721AB5-9F6B-4986-8BCD-A567501EB56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47" name="AutoShape 40" descr="Currently available antiretroviral drugs | Download Table">
          <a:extLst>
            <a:ext uri="{FF2B5EF4-FFF2-40B4-BE49-F238E27FC236}">
              <a16:creationId xmlns:a16="http://schemas.microsoft.com/office/drawing/2014/main" id="{B5EF2ED9-A911-48AC-A617-8C6BAB4422B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48" name="AutoShape 40" descr="Currently available antiretroviral drugs | Download Table">
          <a:extLst>
            <a:ext uri="{FF2B5EF4-FFF2-40B4-BE49-F238E27FC236}">
              <a16:creationId xmlns:a16="http://schemas.microsoft.com/office/drawing/2014/main" id="{671D7658-D914-4893-9BFC-D1A2966BCBC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49" name="AutoShape 40" descr="Currently available antiretroviral drugs | Download Table">
          <a:extLst>
            <a:ext uri="{FF2B5EF4-FFF2-40B4-BE49-F238E27FC236}">
              <a16:creationId xmlns:a16="http://schemas.microsoft.com/office/drawing/2014/main" id="{526A1C93-4154-41EF-B0B0-1F10F333E36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50" name="AutoShape 40" descr="Currently available antiretroviral drugs | Download Table">
          <a:extLst>
            <a:ext uri="{FF2B5EF4-FFF2-40B4-BE49-F238E27FC236}">
              <a16:creationId xmlns:a16="http://schemas.microsoft.com/office/drawing/2014/main" id="{619C73B5-12A2-40F0-9865-7AC7FAEE089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51" name="AutoShape 40" descr="Currently available antiretroviral drugs | Download Table">
          <a:extLst>
            <a:ext uri="{FF2B5EF4-FFF2-40B4-BE49-F238E27FC236}">
              <a16:creationId xmlns:a16="http://schemas.microsoft.com/office/drawing/2014/main" id="{0C17750B-CC30-4A7A-B159-395786BC687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52" name="AutoShape 40" descr="Currently available antiretroviral drugs | Download Table">
          <a:extLst>
            <a:ext uri="{FF2B5EF4-FFF2-40B4-BE49-F238E27FC236}">
              <a16:creationId xmlns:a16="http://schemas.microsoft.com/office/drawing/2014/main" id="{02EF2F2D-DE76-40C5-857B-98C3EABC4D5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53" name="AutoShape 40" descr="Currently available antiretroviral drugs | Download Table">
          <a:extLst>
            <a:ext uri="{FF2B5EF4-FFF2-40B4-BE49-F238E27FC236}">
              <a16:creationId xmlns:a16="http://schemas.microsoft.com/office/drawing/2014/main" id="{46F815B6-5DA7-429A-90C2-529A05759A3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54" name="AutoShape 40" descr="Currently available antiretroviral drugs | Download Table">
          <a:extLst>
            <a:ext uri="{FF2B5EF4-FFF2-40B4-BE49-F238E27FC236}">
              <a16:creationId xmlns:a16="http://schemas.microsoft.com/office/drawing/2014/main" id="{092E5C01-746A-4D56-BC51-E4BAE2C6D95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55" name="AutoShape 40" descr="Currently available antiretroviral drugs | Download Table">
          <a:extLst>
            <a:ext uri="{FF2B5EF4-FFF2-40B4-BE49-F238E27FC236}">
              <a16:creationId xmlns:a16="http://schemas.microsoft.com/office/drawing/2014/main" id="{78C5BE49-07FF-41E9-8BA1-728A8B7E3EE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56" name="AutoShape 40" descr="Currently available antiretroviral drugs | Download Table">
          <a:extLst>
            <a:ext uri="{FF2B5EF4-FFF2-40B4-BE49-F238E27FC236}">
              <a16:creationId xmlns:a16="http://schemas.microsoft.com/office/drawing/2014/main" id="{95E5E63E-DECB-47D3-851A-F55E36BC406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57" name="AutoShape 40" descr="Currently available antiretroviral drugs | Download Table">
          <a:extLst>
            <a:ext uri="{FF2B5EF4-FFF2-40B4-BE49-F238E27FC236}">
              <a16:creationId xmlns:a16="http://schemas.microsoft.com/office/drawing/2014/main" id="{FFBC5804-125E-4683-8815-29D316E7D1C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58" name="AutoShape 40" descr="Currently available antiretroviral drugs | Download Table">
          <a:extLst>
            <a:ext uri="{FF2B5EF4-FFF2-40B4-BE49-F238E27FC236}">
              <a16:creationId xmlns:a16="http://schemas.microsoft.com/office/drawing/2014/main" id="{E97B4C73-102D-49AB-99B6-F816E4F8B84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59" name="AutoShape 40" descr="Currently available antiretroviral drugs | Download Table">
          <a:extLst>
            <a:ext uri="{FF2B5EF4-FFF2-40B4-BE49-F238E27FC236}">
              <a16:creationId xmlns:a16="http://schemas.microsoft.com/office/drawing/2014/main" id="{D9523FF7-7FEA-4EB9-8402-05C7AF48B73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60" name="AutoShape 40" descr="Currently available antiretroviral drugs | Download Table">
          <a:extLst>
            <a:ext uri="{FF2B5EF4-FFF2-40B4-BE49-F238E27FC236}">
              <a16:creationId xmlns:a16="http://schemas.microsoft.com/office/drawing/2014/main" id="{07363261-DB93-459E-A5F9-08362A923F1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61" name="AutoShape 40" descr="Currently available antiretroviral drugs | Download Table">
          <a:extLst>
            <a:ext uri="{FF2B5EF4-FFF2-40B4-BE49-F238E27FC236}">
              <a16:creationId xmlns:a16="http://schemas.microsoft.com/office/drawing/2014/main" id="{5A21CE91-5DD3-44C9-81BE-3B566568427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62" name="AutoShape 40" descr="Currently available antiretroviral drugs | Download Table">
          <a:extLst>
            <a:ext uri="{FF2B5EF4-FFF2-40B4-BE49-F238E27FC236}">
              <a16:creationId xmlns:a16="http://schemas.microsoft.com/office/drawing/2014/main" id="{8B310174-6FF4-4B9E-B2A2-6C3899FA093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63" name="AutoShape 40" descr="Currently available antiretroviral drugs | Download Table">
          <a:extLst>
            <a:ext uri="{FF2B5EF4-FFF2-40B4-BE49-F238E27FC236}">
              <a16:creationId xmlns:a16="http://schemas.microsoft.com/office/drawing/2014/main" id="{BBA92F87-198D-4F0F-A15D-0F10DC16D24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64" name="AutoShape 40" descr="Currently available antiretroviral drugs | Download Table">
          <a:extLst>
            <a:ext uri="{FF2B5EF4-FFF2-40B4-BE49-F238E27FC236}">
              <a16:creationId xmlns:a16="http://schemas.microsoft.com/office/drawing/2014/main" id="{7E6AE5D1-81EA-42F3-81AF-9330A0640CA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65" name="AutoShape 40" descr="Currently available antiretroviral drugs | Download Table">
          <a:extLst>
            <a:ext uri="{FF2B5EF4-FFF2-40B4-BE49-F238E27FC236}">
              <a16:creationId xmlns:a16="http://schemas.microsoft.com/office/drawing/2014/main" id="{3159F90D-BBCA-4AF6-9BAD-2993CB39CE0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66" name="AutoShape 40" descr="Currently available antiretroviral drugs | Download Table">
          <a:extLst>
            <a:ext uri="{FF2B5EF4-FFF2-40B4-BE49-F238E27FC236}">
              <a16:creationId xmlns:a16="http://schemas.microsoft.com/office/drawing/2014/main" id="{F2854B34-CDB0-4EF7-99F6-D377D91F11D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67" name="AutoShape 40" descr="Currently available antiretroviral drugs | Download Table">
          <a:extLst>
            <a:ext uri="{FF2B5EF4-FFF2-40B4-BE49-F238E27FC236}">
              <a16:creationId xmlns:a16="http://schemas.microsoft.com/office/drawing/2014/main" id="{5C8DD9D5-7D3F-44E0-8D30-2BDB869A5FB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68" name="AutoShape 40" descr="Currently available antiretroviral drugs | Download Table">
          <a:extLst>
            <a:ext uri="{FF2B5EF4-FFF2-40B4-BE49-F238E27FC236}">
              <a16:creationId xmlns:a16="http://schemas.microsoft.com/office/drawing/2014/main" id="{DF24B620-4CF8-46A7-9668-3D63ACDFEF8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69" name="AutoShape 40" descr="Currently available antiretroviral drugs | Download Table">
          <a:extLst>
            <a:ext uri="{FF2B5EF4-FFF2-40B4-BE49-F238E27FC236}">
              <a16:creationId xmlns:a16="http://schemas.microsoft.com/office/drawing/2014/main" id="{5D311F80-78DB-4524-A501-264E6D99275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70" name="AutoShape 40" descr="Currently available antiretroviral drugs | Download Table">
          <a:extLst>
            <a:ext uri="{FF2B5EF4-FFF2-40B4-BE49-F238E27FC236}">
              <a16:creationId xmlns:a16="http://schemas.microsoft.com/office/drawing/2014/main" id="{80D7CDB0-5F78-47EB-BEC9-A6C4D5E969B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71" name="AutoShape 40" descr="Currently available antiretroviral drugs | Download Table">
          <a:extLst>
            <a:ext uri="{FF2B5EF4-FFF2-40B4-BE49-F238E27FC236}">
              <a16:creationId xmlns:a16="http://schemas.microsoft.com/office/drawing/2014/main" id="{C86DA854-95EA-4375-9B4F-E3162A15B86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72" name="AutoShape 40" descr="Currently available antiretroviral drugs | Download Table">
          <a:extLst>
            <a:ext uri="{FF2B5EF4-FFF2-40B4-BE49-F238E27FC236}">
              <a16:creationId xmlns:a16="http://schemas.microsoft.com/office/drawing/2014/main" id="{DBCD5351-43E3-493C-A769-A1C37489442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73" name="AutoShape 40" descr="Currently available antiretroviral drugs | Download Table">
          <a:extLst>
            <a:ext uri="{FF2B5EF4-FFF2-40B4-BE49-F238E27FC236}">
              <a16:creationId xmlns:a16="http://schemas.microsoft.com/office/drawing/2014/main" id="{96BAE2EA-88AB-4582-9CE4-8F287869244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74" name="AutoShape 40" descr="Currently available antiretroviral drugs | Download Table">
          <a:extLst>
            <a:ext uri="{FF2B5EF4-FFF2-40B4-BE49-F238E27FC236}">
              <a16:creationId xmlns:a16="http://schemas.microsoft.com/office/drawing/2014/main" id="{44A700DD-0EE7-4B45-A339-6B47D2F25D4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75" name="AutoShape 40" descr="Currently available antiretroviral drugs | Download Table">
          <a:extLst>
            <a:ext uri="{FF2B5EF4-FFF2-40B4-BE49-F238E27FC236}">
              <a16:creationId xmlns:a16="http://schemas.microsoft.com/office/drawing/2014/main" id="{09535D99-F2CA-4DE1-BDD7-0BFD337175C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76" name="AutoShape 40" descr="Currently available antiretroviral drugs | Download Table">
          <a:extLst>
            <a:ext uri="{FF2B5EF4-FFF2-40B4-BE49-F238E27FC236}">
              <a16:creationId xmlns:a16="http://schemas.microsoft.com/office/drawing/2014/main" id="{C0F036EC-E168-4048-A85A-F31D13A47A3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77" name="AutoShape 40" descr="Currently available antiretroviral drugs | Download Table">
          <a:extLst>
            <a:ext uri="{FF2B5EF4-FFF2-40B4-BE49-F238E27FC236}">
              <a16:creationId xmlns:a16="http://schemas.microsoft.com/office/drawing/2014/main" id="{2FC5A463-69B6-401A-886E-12355E75D0E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78" name="AutoShape 40" descr="Currently available antiretroviral drugs | Download Table">
          <a:extLst>
            <a:ext uri="{FF2B5EF4-FFF2-40B4-BE49-F238E27FC236}">
              <a16:creationId xmlns:a16="http://schemas.microsoft.com/office/drawing/2014/main" id="{C71D0E85-7E5D-4942-82A2-36C03F0CC76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79" name="AutoShape 40" descr="Currently available antiretroviral drugs | Download Table">
          <a:extLst>
            <a:ext uri="{FF2B5EF4-FFF2-40B4-BE49-F238E27FC236}">
              <a16:creationId xmlns:a16="http://schemas.microsoft.com/office/drawing/2014/main" id="{E3852E36-B30E-4D0F-9B8D-3FE128B3D98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80" name="AutoShape 40" descr="Currently available antiretroviral drugs | Download Table">
          <a:extLst>
            <a:ext uri="{FF2B5EF4-FFF2-40B4-BE49-F238E27FC236}">
              <a16:creationId xmlns:a16="http://schemas.microsoft.com/office/drawing/2014/main" id="{F349DEDF-DE9F-4AD3-A63A-08912E02A5A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81" name="AutoShape 40" descr="Currently available antiretroviral drugs | Download Table">
          <a:extLst>
            <a:ext uri="{FF2B5EF4-FFF2-40B4-BE49-F238E27FC236}">
              <a16:creationId xmlns:a16="http://schemas.microsoft.com/office/drawing/2014/main" id="{C7BA7F8A-519D-437A-807C-B14F090969D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82" name="AutoShape 40" descr="Currently available antiretroviral drugs | Download Table">
          <a:extLst>
            <a:ext uri="{FF2B5EF4-FFF2-40B4-BE49-F238E27FC236}">
              <a16:creationId xmlns:a16="http://schemas.microsoft.com/office/drawing/2014/main" id="{6C55F024-F838-4109-B1D0-13FB673C01E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83" name="AutoShape 40" descr="Currently available antiretroviral drugs | Download Table">
          <a:extLst>
            <a:ext uri="{FF2B5EF4-FFF2-40B4-BE49-F238E27FC236}">
              <a16:creationId xmlns:a16="http://schemas.microsoft.com/office/drawing/2014/main" id="{8173BC90-B464-4CA3-98A0-D8C15B88B32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84" name="AutoShape 40" descr="Currently available antiretroviral drugs | Download Table">
          <a:extLst>
            <a:ext uri="{FF2B5EF4-FFF2-40B4-BE49-F238E27FC236}">
              <a16:creationId xmlns:a16="http://schemas.microsoft.com/office/drawing/2014/main" id="{6B026366-1141-4252-867B-7650F825542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85" name="AutoShape 40" descr="Currently available antiretroviral drugs | Download Table">
          <a:extLst>
            <a:ext uri="{FF2B5EF4-FFF2-40B4-BE49-F238E27FC236}">
              <a16:creationId xmlns:a16="http://schemas.microsoft.com/office/drawing/2014/main" id="{02CF93DF-09BF-4910-B362-0330D00EF3E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86" name="AutoShape 40" descr="Currently available antiretroviral drugs | Download Table">
          <a:extLst>
            <a:ext uri="{FF2B5EF4-FFF2-40B4-BE49-F238E27FC236}">
              <a16:creationId xmlns:a16="http://schemas.microsoft.com/office/drawing/2014/main" id="{B785C34F-65FB-42D3-81F0-3966782C858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87" name="AutoShape 40" descr="Currently available antiretroviral drugs | Download Table">
          <a:extLst>
            <a:ext uri="{FF2B5EF4-FFF2-40B4-BE49-F238E27FC236}">
              <a16:creationId xmlns:a16="http://schemas.microsoft.com/office/drawing/2014/main" id="{21DB28E8-211F-42E3-A84A-38DD8C99D94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88" name="AutoShape 40" descr="Currently available antiretroviral drugs | Download Table">
          <a:extLst>
            <a:ext uri="{FF2B5EF4-FFF2-40B4-BE49-F238E27FC236}">
              <a16:creationId xmlns:a16="http://schemas.microsoft.com/office/drawing/2014/main" id="{2D63F00E-E1F7-495F-82BB-9F205D24FD9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89" name="AutoShape 40" descr="Currently available antiretroviral drugs | Download Table">
          <a:extLst>
            <a:ext uri="{FF2B5EF4-FFF2-40B4-BE49-F238E27FC236}">
              <a16:creationId xmlns:a16="http://schemas.microsoft.com/office/drawing/2014/main" id="{CEB9CC53-D038-4D70-BBE5-DF3251A198A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90" name="AutoShape 40" descr="Currently available antiretroviral drugs | Download Table">
          <a:extLst>
            <a:ext uri="{FF2B5EF4-FFF2-40B4-BE49-F238E27FC236}">
              <a16:creationId xmlns:a16="http://schemas.microsoft.com/office/drawing/2014/main" id="{110E7966-1511-4CEC-8E1A-5B6FD388B14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91" name="AutoShape 40" descr="Currently available antiretroviral drugs | Download Table">
          <a:extLst>
            <a:ext uri="{FF2B5EF4-FFF2-40B4-BE49-F238E27FC236}">
              <a16:creationId xmlns:a16="http://schemas.microsoft.com/office/drawing/2014/main" id="{E3C4E661-8A31-4FE4-867A-274CC9E1FC5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92" name="AutoShape 40" descr="Currently available antiretroviral drugs | Download Table">
          <a:extLst>
            <a:ext uri="{FF2B5EF4-FFF2-40B4-BE49-F238E27FC236}">
              <a16:creationId xmlns:a16="http://schemas.microsoft.com/office/drawing/2014/main" id="{5E447128-D7B4-4429-A009-70A767E03FE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93" name="AutoShape 40" descr="Currently available antiretroviral drugs | Download Table">
          <a:extLst>
            <a:ext uri="{FF2B5EF4-FFF2-40B4-BE49-F238E27FC236}">
              <a16:creationId xmlns:a16="http://schemas.microsoft.com/office/drawing/2014/main" id="{9DB23BEC-FF57-41B5-81B5-54EC8A903A2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94" name="AutoShape 40" descr="Currently available antiretroviral drugs | Download Table">
          <a:extLst>
            <a:ext uri="{FF2B5EF4-FFF2-40B4-BE49-F238E27FC236}">
              <a16:creationId xmlns:a16="http://schemas.microsoft.com/office/drawing/2014/main" id="{C77E6CDF-0AE6-4EDA-8BA5-2B03CAAD4FF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95" name="AutoShape 40" descr="Currently available antiretroviral drugs | Download Table">
          <a:extLst>
            <a:ext uri="{FF2B5EF4-FFF2-40B4-BE49-F238E27FC236}">
              <a16:creationId xmlns:a16="http://schemas.microsoft.com/office/drawing/2014/main" id="{32BC3DC8-1C1B-416E-98F4-224E63A2FD7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96" name="AutoShape 40" descr="Currently available antiretroviral drugs | Download Table">
          <a:extLst>
            <a:ext uri="{FF2B5EF4-FFF2-40B4-BE49-F238E27FC236}">
              <a16:creationId xmlns:a16="http://schemas.microsoft.com/office/drawing/2014/main" id="{875C5BF8-C92A-4B99-8A48-BB694857543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97" name="AutoShape 40" descr="Currently available antiretroviral drugs | Download Table">
          <a:extLst>
            <a:ext uri="{FF2B5EF4-FFF2-40B4-BE49-F238E27FC236}">
              <a16:creationId xmlns:a16="http://schemas.microsoft.com/office/drawing/2014/main" id="{8A943941-D9DE-439F-8C71-AF749E43EAF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98" name="AutoShape 40" descr="Currently available antiretroviral drugs | Download Table">
          <a:extLst>
            <a:ext uri="{FF2B5EF4-FFF2-40B4-BE49-F238E27FC236}">
              <a16:creationId xmlns:a16="http://schemas.microsoft.com/office/drawing/2014/main" id="{5524FE6F-95A5-4070-9E40-F95261E241E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299" name="AutoShape 40" descr="Currently available antiretroviral drugs | Download Table">
          <a:extLst>
            <a:ext uri="{FF2B5EF4-FFF2-40B4-BE49-F238E27FC236}">
              <a16:creationId xmlns:a16="http://schemas.microsoft.com/office/drawing/2014/main" id="{80A4AA15-694E-44A8-949D-86C10022311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00" name="AutoShape 40" descr="Currently available antiretroviral drugs | Download Table">
          <a:extLst>
            <a:ext uri="{FF2B5EF4-FFF2-40B4-BE49-F238E27FC236}">
              <a16:creationId xmlns:a16="http://schemas.microsoft.com/office/drawing/2014/main" id="{C2F02DA5-833B-4043-80BE-B9DE0B24B72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01" name="AutoShape 40" descr="Currently available antiretroviral drugs | Download Table">
          <a:extLst>
            <a:ext uri="{FF2B5EF4-FFF2-40B4-BE49-F238E27FC236}">
              <a16:creationId xmlns:a16="http://schemas.microsoft.com/office/drawing/2014/main" id="{20A36ED4-C924-4672-A278-4A25A7B21F4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02" name="AutoShape 40" descr="Currently available antiretroviral drugs | Download Table">
          <a:extLst>
            <a:ext uri="{FF2B5EF4-FFF2-40B4-BE49-F238E27FC236}">
              <a16:creationId xmlns:a16="http://schemas.microsoft.com/office/drawing/2014/main" id="{E5460E9E-DE68-4D3D-85E9-0F9164003C8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03" name="AutoShape 40" descr="Currently available antiretroviral drugs | Download Table">
          <a:extLst>
            <a:ext uri="{FF2B5EF4-FFF2-40B4-BE49-F238E27FC236}">
              <a16:creationId xmlns:a16="http://schemas.microsoft.com/office/drawing/2014/main" id="{1EF079C5-E501-440E-85C0-5D2119FF6C7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04" name="AutoShape 40" descr="Currently available antiretroviral drugs | Download Table">
          <a:extLst>
            <a:ext uri="{FF2B5EF4-FFF2-40B4-BE49-F238E27FC236}">
              <a16:creationId xmlns:a16="http://schemas.microsoft.com/office/drawing/2014/main" id="{16C426D7-302F-467B-9661-C29A3733DC7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05" name="AutoShape 40" descr="Currently available antiretroviral drugs | Download Table">
          <a:extLst>
            <a:ext uri="{FF2B5EF4-FFF2-40B4-BE49-F238E27FC236}">
              <a16:creationId xmlns:a16="http://schemas.microsoft.com/office/drawing/2014/main" id="{B7E42567-BB0A-43BC-B647-368E69CE901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06" name="AutoShape 40" descr="Currently available antiretroviral drugs | Download Table">
          <a:extLst>
            <a:ext uri="{FF2B5EF4-FFF2-40B4-BE49-F238E27FC236}">
              <a16:creationId xmlns:a16="http://schemas.microsoft.com/office/drawing/2014/main" id="{346131B4-D131-4DB0-A5EC-F121F9ADB71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07" name="AutoShape 40" descr="Currently available antiretroviral drugs | Download Table">
          <a:extLst>
            <a:ext uri="{FF2B5EF4-FFF2-40B4-BE49-F238E27FC236}">
              <a16:creationId xmlns:a16="http://schemas.microsoft.com/office/drawing/2014/main" id="{4C059F55-DAD1-4DB2-BC5C-62B5A2B1F31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08" name="AutoShape 40" descr="Currently available antiretroviral drugs | Download Table">
          <a:extLst>
            <a:ext uri="{FF2B5EF4-FFF2-40B4-BE49-F238E27FC236}">
              <a16:creationId xmlns:a16="http://schemas.microsoft.com/office/drawing/2014/main" id="{8C9975C2-1DD6-4198-BEB0-764FDCE7740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09" name="AutoShape 40" descr="Currently available antiretroviral drugs | Download Table">
          <a:extLst>
            <a:ext uri="{FF2B5EF4-FFF2-40B4-BE49-F238E27FC236}">
              <a16:creationId xmlns:a16="http://schemas.microsoft.com/office/drawing/2014/main" id="{AE0E33A6-43C7-400F-A639-B9BA71C93ED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10" name="AutoShape 40" descr="Currently available antiretroviral drugs | Download Table">
          <a:extLst>
            <a:ext uri="{FF2B5EF4-FFF2-40B4-BE49-F238E27FC236}">
              <a16:creationId xmlns:a16="http://schemas.microsoft.com/office/drawing/2014/main" id="{DBDAEF3D-2F2A-45E2-9F47-D912EED794F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11" name="AutoShape 40" descr="Currently available antiretroviral drugs | Download Table">
          <a:extLst>
            <a:ext uri="{FF2B5EF4-FFF2-40B4-BE49-F238E27FC236}">
              <a16:creationId xmlns:a16="http://schemas.microsoft.com/office/drawing/2014/main" id="{86C4560A-EA9D-4625-A346-DD7C961ECFC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12" name="AutoShape 40" descr="Currently available antiretroviral drugs | Download Table">
          <a:extLst>
            <a:ext uri="{FF2B5EF4-FFF2-40B4-BE49-F238E27FC236}">
              <a16:creationId xmlns:a16="http://schemas.microsoft.com/office/drawing/2014/main" id="{EB6B1A47-9B0C-451D-9249-29E8E77E8DA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13" name="AutoShape 40" descr="Currently available antiretroviral drugs | Download Table">
          <a:extLst>
            <a:ext uri="{FF2B5EF4-FFF2-40B4-BE49-F238E27FC236}">
              <a16:creationId xmlns:a16="http://schemas.microsoft.com/office/drawing/2014/main" id="{A70D9369-3CEB-4995-81A6-93B18DEA57E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14" name="AutoShape 40" descr="Currently available antiretroviral drugs | Download Table">
          <a:extLst>
            <a:ext uri="{FF2B5EF4-FFF2-40B4-BE49-F238E27FC236}">
              <a16:creationId xmlns:a16="http://schemas.microsoft.com/office/drawing/2014/main" id="{2B600853-6373-4B72-BF92-2FC03711AE2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15" name="AutoShape 40" descr="Currently available antiretroviral drugs | Download Table">
          <a:extLst>
            <a:ext uri="{FF2B5EF4-FFF2-40B4-BE49-F238E27FC236}">
              <a16:creationId xmlns:a16="http://schemas.microsoft.com/office/drawing/2014/main" id="{54CE0982-DED6-448D-B1E7-5F2C606BDAF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16" name="AutoShape 40" descr="Currently available antiretroviral drugs | Download Table">
          <a:extLst>
            <a:ext uri="{FF2B5EF4-FFF2-40B4-BE49-F238E27FC236}">
              <a16:creationId xmlns:a16="http://schemas.microsoft.com/office/drawing/2014/main" id="{DBE2DB63-8B25-4F51-8A90-E94686D4249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17" name="AutoShape 40" descr="Currently available antiretroviral drugs | Download Table">
          <a:extLst>
            <a:ext uri="{FF2B5EF4-FFF2-40B4-BE49-F238E27FC236}">
              <a16:creationId xmlns:a16="http://schemas.microsoft.com/office/drawing/2014/main" id="{6743F07B-08C8-4625-A426-ABDEC9CEE35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18" name="AutoShape 40" descr="Currently available antiretroviral drugs | Download Table">
          <a:extLst>
            <a:ext uri="{FF2B5EF4-FFF2-40B4-BE49-F238E27FC236}">
              <a16:creationId xmlns:a16="http://schemas.microsoft.com/office/drawing/2014/main" id="{B38BB5C1-B2B8-47C1-BE76-43973969C0B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19" name="AutoShape 40" descr="Currently available antiretroviral drugs | Download Table">
          <a:extLst>
            <a:ext uri="{FF2B5EF4-FFF2-40B4-BE49-F238E27FC236}">
              <a16:creationId xmlns:a16="http://schemas.microsoft.com/office/drawing/2014/main" id="{6E48DA87-5099-4DFA-BD69-6F6160DA517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20" name="AutoShape 40" descr="Currently available antiretroviral drugs | Download Table">
          <a:extLst>
            <a:ext uri="{FF2B5EF4-FFF2-40B4-BE49-F238E27FC236}">
              <a16:creationId xmlns:a16="http://schemas.microsoft.com/office/drawing/2014/main" id="{18F65D87-766E-4675-936D-80746111C66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21" name="AutoShape 40" descr="Currently available antiretroviral drugs | Download Table">
          <a:extLst>
            <a:ext uri="{FF2B5EF4-FFF2-40B4-BE49-F238E27FC236}">
              <a16:creationId xmlns:a16="http://schemas.microsoft.com/office/drawing/2014/main" id="{35ECB719-3005-405E-819F-B44099BAEA5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22" name="AutoShape 40" descr="Currently available antiretroviral drugs | Download Table">
          <a:extLst>
            <a:ext uri="{FF2B5EF4-FFF2-40B4-BE49-F238E27FC236}">
              <a16:creationId xmlns:a16="http://schemas.microsoft.com/office/drawing/2014/main" id="{104DD50E-F45A-4647-A5F4-CF28B3F8AFE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23" name="AutoShape 40" descr="Currently available antiretroviral drugs | Download Table">
          <a:extLst>
            <a:ext uri="{FF2B5EF4-FFF2-40B4-BE49-F238E27FC236}">
              <a16:creationId xmlns:a16="http://schemas.microsoft.com/office/drawing/2014/main" id="{9EF5F891-4428-4363-951F-722AEA4541F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24" name="AutoShape 40" descr="Currently available antiretroviral drugs | Download Table">
          <a:extLst>
            <a:ext uri="{FF2B5EF4-FFF2-40B4-BE49-F238E27FC236}">
              <a16:creationId xmlns:a16="http://schemas.microsoft.com/office/drawing/2014/main" id="{C9E8AE31-35D4-479D-9136-CC70A15EA5C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25" name="AutoShape 40" descr="Currently available antiretroviral drugs | Download Table">
          <a:extLst>
            <a:ext uri="{FF2B5EF4-FFF2-40B4-BE49-F238E27FC236}">
              <a16:creationId xmlns:a16="http://schemas.microsoft.com/office/drawing/2014/main" id="{51E677C4-5342-4D33-AA14-84536929FB3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26" name="AutoShape 40" descr="Currently available antiretroviral drugs | Download Table">
          <a:extLst>
            <a:ext uri="{FF2B5EF4-FFF2-40B4-BE49-F238E27FC236}">
              <a16:creationId xmlns:a16="http://schemas.microsoft.com/office/drawing/2014/main" id="{D09DEC81-9841-40FF-94D2-0D76313EC2C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27" name="AutoShape 40" descr="Currently available antiretroviral drugs | Download Table">
          <a:extLst>
            <a:ext uri="{FF2B5EF4-FFF2-40B4-BE49-F238E27FC236}">
              <a16:creationId xmlns:a16="http://schemas.microsoft.com/office/drawing/2014/main" id="{D58BEB67-3DBC-4222-8C27-830E7751A9D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28" name="AutoShape 40" descr="Currently available antiretroviral drugs | Download Table">
          <a:extLst>
            <a:ext uri="{FF2B5EF4-FFF2-40B4-BE49-F238E27FC236}">
              <a16:creationId xmlns:a16="http://schemas.microsoft.com/office/drawing/2014/main" id="{8CE5F4DB-96C9-4A65-A1C0-CB86BF05656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29" name="AutoShape 40" descr="Currently available antiretroviral drugs | Download Table">
          <a:extLst>
            <a:ext uri="{FF2B5EF4-FFF2-40B4-BE49-F238E27FC236}">
              <a16:creationId xmlns:a16="http://schemas.microsoft.com/office/drawing/2014/main" id="{AB180D4A-291F-4048-957A-705A746B9A9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30" name="AutoShape 40" descr="Currently available antiretroviral drugs | Download Table">
          <a:extLst>
            <a:ext uri="{FF2B5EF4-FFF2-40B4-BE49-F238E27FC236}">
              <a16:creationId xmlns:a16="http://schemas.microsoft.com/office/drawing/2014/main" id="{DD4DA8EC-C6F0-4DD6-A2D5-B3331DC8625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31" name="AutoShape 40" descr="Currently available antiretroviral drugs | Download Table">
          <a:extLst>
            <a:ext uri="{FF2B5EF4-FFF2-40B4-BE49-F238E27FC236}">
              <a16:creationId xmlns:a16="http://schemas.microsoft.com/office/drawing/2014/main" id="{10C01EF3-1941-4FDC-B30D-5D0C92E2684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32" name="AutoShape 40" descr="Currently available antiretroviral drugs | Download Table">
          <a:extLst>
            <a:ext uri="{FF2B5EF4-FFF2-40B4-BE49-F238E27FC236}">
              <a16:creationId xmlns:a16="http://schemas.microsoft.com/office/drawing/2014/main" id="{B60F5D84-65C8-4C7D-836B-BAC28D01449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33" name="AutoShape 40" descr="Currently available antiretroviral drugs | Download Table">
          <a:extLst>
            <a:ext uri="{FF2B5EF4-FFF2-40B4-BE49-F238E27FC236}">
              <a16:creationId xmlns:a16="http://schemas.microsoft.com/office/drawing/2014/main" id="{D4101F63-4C03-4BBB-B8C9-9C301881EF4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34" name="AutoShape 40" descr="Currently available antiretroviral drugs | Download Table">
          <a:extLst>
            <a:ext uri="{FF2B5EF4-FFF2-40B4-BE49-F238E27FC236}">
              <a16:creationId xmlns:a16="http://schemas.microsoft.com/office/drawing/2014/main" id="{66DCDBA1-A43B-446F-B703-4E9CECCD866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35" name="AutoShape 40" descr="Currently available antiretroviral drugs | Download Table">
          <a:extLst>
            <a:ext uri="{FF2B5EF4-FFF2-40B4-BE49-F238E27FC236}">
              <a16:creationId xmlns:a16="http://schemas.microsoft.com/office/drawing/2014/main" id="{06C779F4-7B98-4614-98C0-144A5B04B00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36" name="AutoShape 40" descr="Currently available antiretroviral drugs | Download Table">
          <a:extLst>
            <a:ext uri="{FF2B5EF4-FFF2-40B4-BE49-F238E27FC236}">
              <a16:creationId xmlns:a16="http://schemas.microsoft.com/office/drawing/2014/main" id="{05D7EF85-4B19-4DAC-A2F8-C0C1F06CDB3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37" name="AutoShape 40" descr="Currently available antiretroviral drugs | Download Table">
          <a:extLst>
            <a:ext uri="{FF2B5EF4-FFF2-40B4-BE49-F238E27FC236}">
              <a16:creationId xmlns:a16="http://schemas.microsoft.com/office/drawing/2014/main" id="{CE534BB4-C7C1-462C-91CD-3FB9312795E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38" name="AutoShape 40" descr="Currently available antiretroviral drugs | Download Table">
          <a:extLst>
            <a:ext uri="{FF2B5EF4-FFF2-40B4-BE49-F238E27FC236}">
              <a16:creationId xmlns:a16="http://schemas.microsoft.com/office/drawing/2014/main" id="{CBC8C920-BFEE-4FF6-90A8-C3D49264A45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39" name="AutoShape 40" descr="Currently available antiretroviral drugs | Download Table">
          <a:extLst>
            <a:ext uri="{FF2B5EF4-FFF2-40B4-BE49-F238E27FC236}">
              <a16:creationId xmlns:a16="http://schemas.microsoft.com/office/drawing/2014/main" id="{38F638DC-94AE-46FF-A2D2-5CDAE7870C6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40" name="AutoShape 40" descr="Currently available antiretroviral drugs | Download Table">
          <a:extLst>
            <a:ext uri="{FF2B5EF4-FFF2-40B4-BE49-F238E27FC236}">
              <a16:creationId xmlns:a16="http://schemas.microsoft.com/office/drawing/2014/main" id="{26A71F42-5389-47C2-B76C-F790D3AFF35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41" name="AutoShape 40" descr="Currently available antiretroviral drugs | Download Table">
          <a:extLst>
            <a:ext uri="{FF2B5EF4-FFF2-40B4-BE49-F238E27FC236}">
              <a16:creationId xmlns:a16="http://schemas.microsoft.com/office/drawing/2014/main" id="{6325F4A2-1C23-4263-8FAF-4317CFE04CE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42" name="AutoShape 40" descr="Currently available antiretroviral drugs | Download Table">
          <a:extLst>
            <a:ext uri="{FF2B5EF4-FFF2-40B4-BE49-F238E27FC236}">
              <a16:creationId xmlns:a16="http://schemas.microsoft.com/office/drawing/2014/main" id="{F726634C-BE66-424E-92C2-9A2897C0555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43" name="AutoShape 40" descr="Currently available antiretroviral drugs | Download Table">
          <a:extLst>
            <a:ext uri="{FF2B5EF4-FFF2-40B4-BE49-F238E27FC236}">
              <a16:creationId xmlns:a16="http://schemas.microsoft.com/office/drawing/2014/main" id="{527305F3-ED85-4803-BFF9-177A7F88F2F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44" name="AutoShape 40" descr="Currently available antiretroviral drugs | Download Table">
          <a:extLst>
            <a:ext uri="{FF2B5EF4-FFF2-40B4-BE49-F238E27FC236}">
              <a16:creationId xmlns:a16="http://schemas.microsoft.com/office/drawing/2014/main" id="{5407317A-1BC8-4A7C-9DE8-A2ECDE540AE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45" name="AutoShape 40" descr="Currently available antiretroviral drugs | Download Table">
          <a:extLst>
            <a:ext uri="{FF2B5EF4-FFF2-40B4-BE49-F238E27FC236}">
              <a16:creationId xmlns:a16="http://schemas.microsoft.com/office/drawing/2014/main" id="{1A5426CE-C0D1-4EB6-97BC-2791329CB59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46" name="AutoShape 40" descr="Currently available antiretroviral drugs | Download Table">
          <a:extLst>
            <a:ext uri="{FF2B5EF4-FFF2-40B4-BE49-F238E27FC236}">
              <a16:creationId xmlns:a16="http://schemas.microsoft.com/office/drawing/2014/main" id="{7A17B606-6C5B-489B-9CB7-F63D77E4DF9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47" name="AutoShape 40" descr="Currently available antiretroviral drugs | Download Table">
          <a:extLst>
            <a:ext uri="{FF2B5EF4-FFF2-40B4-BE49-F238E27FC236}">
              <a16:creationId xmlns:a16="http://schemas.microsoft.com/office/drawing/2014/main" id="{2104B2FC-6367-4BD2-8DA4-7577B6BEF00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48" name="AutoShape 40" descr="Currently available antiretroviral drugs | Download Table">
          <a:extLst>
            <a:ext uri="{FF2B5EF4-FFF2-40B4-BE49-F238E27FC236}">
              <a16:creationId xmlns:a16="http://schemas.microsoft.com/office/drawing/2014/main" id="{36A6D245-7368-4782-B19F-1A7E8A7FD9B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49" name="AutoShape 40" descr="Currently available antiretroviral drugs | Download Table">
          <a:extLst>
            <a:ext uri="{FF2B5EF4-FFF2-40B4-BE49-F238E27FC236}">
              <a16:creationId xmlns:a16="http://schemas.microsoft.com/office/drawing/2014/main" id="{8BA855B7-2CE7-438C-B6D5-1A9F1E5A440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50" name="AutoShape 40" descr="Currently available antiretroviral drugs | Download Table">
          <a:extLst>
            <a:ext uri="{FF2B5EF4-FFF2-40B4-BE49-F238E27FC236}">
              <a16:creationId xmlns:a16="http://schemas.microsoft.com/office/drawing/2014/main" id="{74EFC4F4-74E8-4C52-9A02-F2887A42C30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51" name="AutoShape 40" descr="Currently available antiretroviral drugs | Download Table">
          <a:extLst>
            <a:ext uri="{FF2B5EF4-FFF2-40B4-BE49-F238E27FC236}">
              <a16:creationId xmlns:a16="http://schemas.microsoft.com/office/drawing/2014/main" id="{48215878-FA17-417C-A3EE-BFAC1E54FC0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52" name="AutoShape 40" descr="Currently available antiretroviral drugs | Download Table">
          <a:extLst>
            <a:ext uri="{FF2B5EF4-FFF2-40B4-BE49-F238E27FC236}">
              <a16:creationId xmlns:a16="http://schemas.microsoft.com/office/drawing/2014/main" id="{DBCBB583-2C91-45A4-A572-D21BCB86F57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53" name="AutoShape 40" descr="Currently available antiretroviral drugs | Download Table">
          <a:extLst>
            <a:ext uri="{FF2B5EF4-FFF2-40B4-BE49-F238E27FC236}">
              <a16:creationId xmlns:a16="http://schemas.microsoft.com/office/drawing/2014/main" id="{E7A49695-C611-4877-B8E6-218139BA00C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54" name="AutoShape 40" descr="Currently available antiretroviral drugs | Download Table">
          <a:extLst>
            <a:ext uri="{FF2B5EF4-FFF2-40B4-BE49-F238E27FC236}">
              <a16:creationId xmlns:a16="http://schemas.microsoft.com/office/drawing/2014/main" id="{B7DC03BB-C23E-4E85-91CD-BA2CEE8A450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55" name="AutoShape 40" descr="Currently available antiretroviral drugs | Download Table">
          <a:extLst>
            <a:ext uri="{FF2B5EF4-FFF2-40B4-BE49-F238E27FC236}">
              <a16:creationId xmlns:a16="http://schemas.microsoft.com/office/drawing/2014/main" id="{BEF1F710-358F-44DB-95EE-38151936541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56" name="AutoShape 40" descr="Currently available antiretroviral drugs | Download Table">
          <a:extLst>
            <a:ext uri="{FF2B5EF4-FFF2-40B4-BE49-F238E27FC236}">
              <a16:creationId xmlns:a16="http://schemas.microsoft.com/office/drawing/2014/main" id="{4FB36BF5-0B7C-4AC9-8788-F26309B531D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57" name="AutoShape 40" descr="Currently available antiretroviral drugs | Download Table">
          <a:extLst>
            <a:ext uri="{FF2B5EF4-FFF2-40B4-BE49-F238E27FC236}">
              <a16:creationId xmlns:a16="http://schemas.microsoft.com/office/drawing/2014/main" id="{4F5AD574-E42B-454E-A807-3147AC276EC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58" name="AutoShape 40" descr="Currently available antiretroviral drugs | Download Table">
          <a:extLst>
            <a:ext uri="{FF2B5EF4-FFF2-40B4-BE49-F238E27FC236}">
              <a16:creationId xmlns:a16="http://schemas.microsoft.com/office/drawing/2014/main" id="{F6B09555-CC7E-4CFE-81FD-21822B3FBCC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59" name="AutoShape 40" descr="Currently available antiretroviral drugs | Download Table">
          <a:extLst>
            <a:ext uri="{FF2B5EF4-FFF2-40B4-BE49-F238E27FC236}">
              <a16:creationId xmlns:a16="http://schemas.microsoft.com/office/drawing/2014/main" id="{D4C54851-24C2-4A47-B432-0234AE2594D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60" name="AutoShape 40" descr="Currently available antiretroviral drugs | Download Table">
          <a:extLst>
            <a:ext uri="{FF2B5EF4-FFF2-40B4-BE49-F238E27FC236}">
              <a16:creationId xmlns:a16="http://schemas.microsoft.com/office/drawing/2014/main" id="{C52DD21D-AFC6-471E-9C72-ECD60B2D5A0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61" name="AutoShape 40" descr="Currently available antiretroviral drugs | Download Table">
          <a:extLst>
            <a:ext uri="{FF2B5EF4-FFF2-40B4-BE49-F238E27FC236}">
              <a16:creationId xmlns:a16="http://schemas.microsoft.com/office/drawing/2014/main" id="{22EF32DD-4FDD-4334-BDE3-ABE5559B7C3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62" name="AutoShape 40" descr="Currently available antiretroviral drugs | Download Table">
          <a:extLst>
            <a:ext uri="{FF2B5EF4-FFF2-40B4-BE49-F238E27FC236}">
              <a16:creationId xmlns:a16="http://schemas.microsoft.com/office/drawing/2014/main" id="{2E24521C-DAF2-4845-BFB8-6479AD2509D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63" name="AutoShape 40" descr="Currently available antiretroviral drugs | Download Table">
          <a:extLst>
            <a:ext uri="{FF2B5EF4-FFF2-40B4-BE49-F238E27FC236}">
              <a16:creationId xmlns:a16="http://schemas.microsoft.com/office/drawing/2014/main" id="{CBE7CB08-7DAE-4530-90BA-5E4F73BF070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64" name="AutoShape 40" descr="Currently available antiretroviral drugs | Download Table">
          <a:extLst>
            <a:ext uri="{FF2B5EF4-FFF2-40B4-BE49-F238E27FC236}">
              <a16:creationId xmlns:a16="http://schemas.microsoft.com/office/drawing/2014/main" id="{93B6CB96-F536-41EB-A9AB-38EDCCE0F7D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65" name="AutoShape 40" descr="Currently available antiretroviral drugs | Download Table">
          <a:extLst>
            <a:ext uri="{FF2B5EF4-FFF2-40B4-BE49-F238E27FC236}">
              <a16:creationId xmlns:a16="http://schemas.microsoft.com/office/drawing/2014/main" id="{99E59219-916C-40AD-8A40-40F699202CB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66" name="AutoShape 40" descr="Currently available antiretroviral drugs | Download Table">
          <a:extLst>
            <a:ext uri="{FF2B5EF4-FFF2-40B4-BE49-F238E27FC236}">
              <a16:creationId xmlns:a16="http://schemas.microsoft.com/office/drawing/2014/main" id="{B1C9F773-59E9-48CA-9B81-6E979069D62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67" name="AutoShape 40" descr="Currently available antiretroviral drugs | Download Table">
          <a:extLst>
            <a:ext uri="{FF2B5EF4-FFF2-40B4-BE49-F238E27FC236}">
              <a16:creationId xmlns:a16="http://schemas.microsoft.com/office/drawing/2014/main" id="{1C2C4F1A-CCE0-4B9E-A344-385F188DAE0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68" name="AutoShape 40" descr="Currently available antiretroviral drugs | Download Table">
          <a:extLst>
            <a:ext uri="{FF2B5EF4-FFF2-40B4-BE49-F238E27FC236}">
              <a16:creationId xmlns:a16="http://schemas.microsoft.com/office/drawing/2014/main" id="{46483074-7839-4F1E-8406-87D524C02D6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69" name="AutoShape 40" descr="Currently available antiretroviral drugs | Download Table">
          <a:extLst>
            <a:ext uri="{FF2B5EF4-FFF2-40B4-BE49-F238E27FC236}">
              <a16:creationId xmlns:a16="http://schemas.microsoft.com/office/drawing/2014/main" id="{6112DEA4-2DA0-4EB8-A65F-707CBB57DD7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70" name="AutoShape 40" descr="Currently available antiretroviral drugs | Download Table">
          <a:extLst>
            <a:ext uri="{FF2B5EF4-FFF2-40B4-BE49-F238E27FC236}">
              <a16:creationId xmlns:a16="http://schemas.microsoft.com/office/drawing/2014/main" id="{C5FF025C-5E29-4414-B8D1-D106D2106C7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71" name="AutoShape 40" descr="Currently available antiretroviral drugs | Download Table">
          <a:extLst>
            <a:ext uri="{FF2B5EF4-FFF2-40B4-BE49-F238E27FC236}">
              <a16:creationId xmlns:a16="http://schemas.microsoft.com/office/drawing/2014/main" id="{6FEA2EC8-5B2E-4618-BCF4-A72258FCF88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72" name="AutoShape 40" descr="Currently available antiretroviral drugs | Download Table">
          <a:extLst>
            <a:ext uri="{FF2B5EF4-FFF2-40B4-BE49-F238E27FC236}">
              <a16:creationId xmlns:a16="http://schemas.microsoft.com/office/drawing/2014/main" id="{776F1479-BAA8-4527-928F-F089B138D59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73" name="AutoShape 40" descr="Currently available antiretroviral drugs | Download Table">
          <a:extLst>
            <a:ext uri="{FF2B5EF4-FFF2-40B4-BE49-F238E27FC236}">
              <a16:creationId xmlns:a16="http://schemas.microsoft.com/office/drawing/2014/main" id="{05D22E2A-C533-4F2B-BF21-14D49E16F5A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74" name="AutoShape 40" descr="Currently available antiretroviral drugs | Download Table">
          <a:extLst>
            <a:ext uri="{FF2B5EF4-FFF2-40B4-BE49-F238E27FC236}">
              <a16:creationId xmlns:a16="http://schemas.microsoft.com/office/drawing/2014/main" id="{2110C450-6430-4951-A07A-F3615BFC8A6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75" name="AutoShape 40" descr="Currently available antiretroviral drugs | Download Table">
          <a:extLst>
            <a:ext uri="{FF2B5EF4-FFF2-40B4-BE49-F238E27FC236}">
              <a16:creationId xmlns:a16="http://schemas.microsoft.com/office/drawing/2014/main" id="{57EE4AFC-DE9D-4176-A83B-823C13FBB5C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76" name="AutoShape 40" descr="Currently available antiretroviral drugs | Download Table">
          <a:extLst>
            <a:ext uri="{FF2B5EF4-FFF2-40B4-BE49-F238E27FC236}">
              <a16:creationId xmlns:a16="http://schemas.microsoft.com/office/drawing/2014/main" id="{728B384F-9997-4F04-A26E-AA730F6306A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77" name="AutoShape 40" descr="Currently available antiretroviral drugs | Download Table">
          <a:extLst>
            <a:ext uri="{FF2B5EF4-FFF2-40B4-BE49-F238E27FC236}">
              <a16:creationId xmlns:a16="http://schemas.microsoft.com/office/drawing/2014/main" id="{372BB138-9CCD-402C-8F11-0469FB0EE73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78" name="AutoShape 40" descr="Currently available antiretroviral drugs | Download Table">
          <a:extLst>
            <a:ext uri="{FF2B5EF4-FFF2-40B4-BE49-F238E27FC236}">
              <a16:creationId xmlns:a16="http://schemas.microsoft.com/office/drawing/2014/main" id="{8D8D4DBF-CB3F-467A-8663-BB3E3137827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79" name="AutoShape 40" descr="Currently available antiretroviral drugs | Download Table">
          <a:extLst>
            <a:ext uri="{FF2B5EF4-FFF2-40B4-BE49-F238E27FC236}">
              <a16:creationId xmlns:a16="http://schemas.microsoft.com/office/drawing/2014/main" id="{C1FF5EF5-EEF9-4F94-B2AE-734F14F0FF0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80" name="AutoShape 40" descr="Currently available antiretroviral drugs | Download Table">
          <a:extLst>
            <a:ext uri="{FF2B5EF4-FFF2-40B4-BE49-F238E27FC236}">
              <a16:creationId xmlns:a16="http://schemas.microsoft.com/office/drawing/2014/main" id="{19A0AD4F-E942-410C-819F-3B11F0549C7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81" name="AutoShape 40" descr="Currently available antiretroviral drugs | Download Table">
          <a:extLst>
            <a:ext uri="{FF2B5EF4-FFF2-40B4-BE49-F238E27FC236}">
              <a16:creationId xmlns:a16="http://schemas.microsoft.com/office/drawing/2014/main" id="{D3F849AE-0DB5-4AB4-8F09-AAB1690B891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82" name="AutoShape 40" descr="Currently available antiretroviral drugs | Download Table">
          <a:extLst>
            <a:ext uri="{FF2B5EF4-FFF2-40B4-BE49-F238E27FC236}">
              <a16:creationId xmlns:a16="http://schemas.microsoft.com/office/drawing/2014/main" id="{40CBD8F0-335A-49A8-9085-0987172B77B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83" name="AutoShape 40" descr="Currently available antiretroviral drugs | Download Table">
          <a:extLst>
            <a:ext uri="{FF2B5EF4-FFF2-40B4-BE49-F238E27FC236}">
              <a16:creationId xmlns:a16="http://schemas.microsoft.com/office/drawing/2014/main" id="{56096139-7B71-48BA-BB8A-4D18E2A8FBF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84" name="AutoShape 40" descr="Currently available antiretroviral drugs | Download Table">
          <a:extLst>
            <a:ext uri="{FF2B5EF4-FFF2-40B4-BE49-F238E27FC236}">
              <a16:creationId xmlns:a16="http://schemas.microsoft.com/office/drawing/2014/main" id="{D7C3971A-F996-4572-9C00-32B60603C69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85" name="AutoShape 40" descr="Currently available antiretroviral drugs | Download Table">
          <a:extLst>
            <a:ext uri="{FF2B5EF4-FFF2-40B4-BE49-F238E27FC236}">
              <a16:creationId xmlns:a16="http://schemas.microsoft.com/office/drawing/2014/main" id="{00A65A8B-0FEB-446B-9888-8F33A5DC747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86" name="AutoShape 40" descr="Currently available antiretroviral drugs | Download Table">
          <a:extLst>
            <a:ext uri="{FF2B5EF4-FFF2-40B4-BE49-F238E27FC236}">
              <a16:creationId xmlns:a16="http://schemas.microsoft.com/office/drawing/2014/main" id="{E7EC708D-0185-4D78-996D-10F3B7F1D2C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87" name="AutoShape 40" descr="Currently available antiretroviral drugs | Download Table">
          <a:extLst>
            <a:ext uri="{FF2B5EF4-FFF2-40B4-BE49-F238E27FC236}">
              <a16:creationId xmlns:a16="http://schemas.microsoft.com/office/drawing/2014/main" id="{90259582-B3F9-49D4-99AF-0ACA0EA1DD3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88" name="AutoShape 40" descr="Currently available antiretroviral drugs | Download Table">
          <a:extLst>
            <a:ext uri="{FF2B5EF4-FFF2-40B4-BE49-F238E27FC236}">
              <a16:creationId xmlns:a16="http://schemas.microsoft.com/office/drawing/2014/main" id="{AC01A154-DEF4-4F03-AD8B-5DB0CFBD512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89" name="AutoShape 40" descr="Currently available antiretroviral drugs | Download Table">
          <a:extLst>
            <a:ext uri="{FF2B5EF4-FFF2-40B4-BE49-F238E27FC236}">
              <a16:creationId xmlns:a16="http://schemas.microsoft.com/office/drawing/2014/main" id="{A3B1C910-E945-4077-B437-37080F3CB73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90" name="AutoShape 40" descr="Currently available antiretroviral drugs | Download Table">
          <a:extLst>
            <a:ext uri="{FF2B5EF4-FFF2-40B4-BE49-F238E27FC236}">
              <a16:creationId xmlns:a16="http://schemas.microsoft.com/office/drawing/2014/main" id="{340137F0-0A7A-4532-9AB5-6734138906A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91" name="AutoShape 40" descr="Currently available antiretroviral drugs | Download Table">
          <a:extLst>
            <a:ext uri="{FF2B5EF4-FFF2-40B4-BE49-F238E27FC236}">
              <a16:creationId xmlns:a16="http://schemas.microsoft.com/office/drawing/2014/main" id="{A656D1CE-65D8-4E4E-9768-0ABC33576C2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92" name="AutoShape 40" descr="Currently available antiretroviral drugs | Download Table">
          <a:extLst>
            <a:ext uri="{FF2B5EF4-FFF2-40B4-BE49-F238E27FC236}">
              <a16:creationId xmlns:a16="http://schemas.microsoft.com/office/drawing/2014/main" id="{4E1637BA-EB61-4714-B82D-7EFD7D51204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93" name="AutoShape 40" descr="Currently available antiretroviral drugs | Download Table">
          <a:extLst>
            <a:ext uri="{FF2B5EF4-FFF2-40B4-BE49-F238E27FC236}">
              <a16:creationId xmlns:a16="http://schemas.microsoft.com/office/drawing/2014/main" id="{D68C445A-B912-48D9-A8C1-8A22722B0A5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94" name="AutoShape 40" descr="Currently available antiretroviral drugs | Download Table">
          <a:extLst>
            <a:ext uri="{FF2B5EF4-FFF2-40B4-BE49-F238E27FC236}">
              <a16:creationId xmlns:a16="http://schemas.microsoft.com/office/drawing/2014/main" id="{327D41B7-2D6B-487C-9499-11BEE8DEF7E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95" name="AutoShape 40" descr="Currently available antiretroviral drugs | Download Table">
          <a:extLst>
            <a:ext uri="{FF2B5EF4-FFF2-40B4-BE49-F238E27FC236}">
              <a16:creationId xmlns:a16="http://schemas.microsoft.com/office/drawing/2014/main" id="{92CD47AB-9CD6-4CC3-9942-D89D588E80A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96" name="AutoShape 40" descr="Currently available antiretroviral drugs | Download Table">
          <a:extLst>
            <a:ext uri="{FF2B5EF4-FFF2-40B4-BE49-F238E27FC236}">
              <a16:creationId xmlns:a16="http://schemas.microsoft.com/office/drawing/2014/main" id="{2812C514-8658-4261-8219-23DB9D1E760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97" name="AutoShape 40" descr="Currently available antiretroviral drugs | Download Table">
          <a:extLst>
            <a:ext uri="{FF2B5EF4-FFF2-40B4-BE49-F238E27FC236}">
              <a16:creationId xmlns:a16="http://schemas.microsoft.com/office/drawing/2014/main" id="{52EF4ED1-16D0-41DA-9F77-18EFBCADF36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98" name="AutoShape 40" descr="Currently available antiretroviral drugs | Download Table">
          <a:extLst>
            <a:ext uri="{FF2B5EF4-FFF2-40B4-BE49-F238E27FC236}">
              <a16:creationId xmlns:a16="http://schemas.microsoft.com/office/drawing/2014/main" id="{2AD95208-D01C-4873-9D17-781BA85523F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399" name="AutoShape 40" descr="Currently available antiretroviral drugs | Download Table">
          <a:extLst>
            <a:ext uri="{FF2B5EF4-FFF2-40B4-BE49-F238E27FC236}">
              <a16:creationId xmlns:a16="http://schemas.microsoft.com/office/drawing/2014/main" id="{E3E19EE7-F178-4228-A5D9-8527F947FBA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00" name="AutoShape 40" descr="Currently available antiretroviral drugs | Download Table">
          <a:extLst>
            <a:ext uri="{FF2B5EF4-FFF2-40B4-BE49-F238E27FC236}">
              <a16:creationId xmlns:a16="http://schemas.microsoft.com/office/drawing/2014/main" id="{0C29A1FA-5328-429C-823D-6A4E43D0D94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01" name="AutoShape 40" descr="Currently available antiretroviral drugs | Download Table">
          <a:extLst>
            <a:ext uri="{FF2B5EF4-FFF2-40B4-BE49-F238E27FC236}">
              <a16:creationId xmlns:a16="http://schemas.microsoft.com/office/drawing/2014/main" id="{3F65D83B-1285-4D12-86B1-256A61B0410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02" name="AutoShape 40" descr="Currently available antiretroviral drugs | Download Table">
          <a:extLst>
            <a:ext uri="{FF2B5EF4-FFF2-40B4-BE49-F238E27FC236}">
              <a16:creationId xmlns:a16="http://schemas.microsoft.com/office/drawing/2014/main" id="{9ABBCF67-F258-4C3D-ABB6-82B8CDB14C6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03" name="AutoShape 40" descr="Currently available antiretroviral drugs | Download Table">
          <a:extLst>
            <a:ext uri="{FF2B5EF4-FFF2-40B4-BE49-F238E27FC236}">
              <a16:creationId xmlns:a16="http://schemas.microsoft.com/office/drawing/2014/main" id="{6B11D6A3-A942-43D8-8359-595C4F4FDEE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04" name="AutoShape 40" descr="Currently available antiretroviral drugs | Download Table">
          <a:extLst>
            <a:ext uri="{FF2B5EF4-FFF2-40B4-BE49-F238E27FC236}">
              <a16:creationId xmlns:a16="http://schemas.microsoft.com/office/drawing/2014/main" id="{BA11F105-DFC5-49CE-BDCB-8B759293698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05" name="AutoShape 40" descr="Currently available antiretroviral drugs | Download Table">
          <a:extLst>
            <a:ext uri="{FF2B5EF4-FFF2-40B4-BE49-F238E27FC236}">
              <a16:creationId xmlns:a16="http://schemas.microsoft.com/office/drawing/2014/main" id="{DBD088A3-A769-47B1-B180-39C038D5D00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06" name="AutoShape 40" descr="Currently available antiretroviral drugs | Download Table">
          <a:extLst>
            <a:ext uri="{FF2B5EF4-FFF2-40B4-BE49-F238E27FC236}">
              <a16:creationId xmlns:a16="http://schemas.microsoft.com/office/drawing/2014/main" id="{FAA447E7-5E28-42EA-920F-608913C78CE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07" name="AutoShape 40" descr="Currently available antiretroviral drugs | Download Table">
          <a:extLst>
            <a:ext uri="{FF2B5EF4-FFF2-40B4-BE49-F238E27FC236}">
              <a16:creationId xmlns:a16="http://schemas.microsoft.com/office/drawing/2014/main" id="{8ECF0AFC-57A0-4E58-961A-A16B88D5F39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08" name="AutoShape 40" descr="Currently available antiretroviral drugs | Download Table">
          <a:extLst>
            <a:ext uri="{FF2B5EF4-FFF2-40B4-BE49-F238E27FC236}">
              <a16:creationId xmlns:a16="http://schemas.microsoft.com/office/drawing/2014/main" id="{2A2C9433-F1DF-457A-A873-B181B719C95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09" name="AutoShape 40" descr="Currently available antiretroviral drugs | Download Table">
          <a:extLst>
            <a:ext uri="{FF2B5EF4-FFF2-40B4-BE49-F238E27FC236}">
              <a16:creationId xmlns:a16="http://schemas.microsoft.com/office/drawing/2014/main" id="{DE2A4616-CD7C-4513-A0A4-63BC1F04E14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10" name="AutoShape 40" descr="Currently available antiretroviral drugs | Download Table">
          <a:extLst>
            <a:ext uri="{FF2B5EF4-FFF2-40B4-BE49-F238E27FC236}">
              <a16:creationId xmlns:a16="http://schemas.microsoft.com/office/drawing/2014/main" id="{D0D972C9-87D5-41E0-91E1-03F35CFB882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11" name="AutoShape 40" descr="Currently available antiretroviral drugs | Download Table">
          <a:extLst>
            <a:ext uri="{FF2B5EF4-FFF2-40B4-BE49-F238E27FC236}">
              <a16:creationId xmlns:a16="http://schemas.microsoft.com/office/drawing/2014/main" id="{754C534F-DE6F-46C3-AF9A-E4E70F5FE03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12" name="AutoShape 40" descr="Currently available antiretroviral drugs | Download Table">
          <a:extLst>
            <a:ext uri="{FF2B5EF4-FFF2-40B4-BE49-F238E27FC236}">
              <a16:creationId xmlns:a16="http://schemas.microsoft.com/office/drawing/2014/main" id="{9EFFE083-B55F-4013-B39F-6BCDCD01BC7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13" name="AutoShape 40" descr="Currently available antiretroviral drugs | Download Table">
          <a:extLst>
            <a:ext uri="{FF2B5EF4-FFF2-40B4-BE49-F238E27FC236}">
              <a16:creationId xmlns:a16="http://schemas.microsoft.com/office/drawing/2014/main" id="{DA2E0CE5-AE17-4E49-9224-934925C4591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14" name="AutoShape 40" descr="Currently available antiretroviral drugs | Download Table">
          <a:extLst>
            <a:ext uri="{FF2B5EF4-FFF2-40B4-BE49-F238E27FC236}">
              <a16:creationId xmlns:a16="http://schemas.microsoft.com/office/drawing/2014/main" id="{892F0A2B-B15F-43D4-8211-374F96D8744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15" name="AutoShape 40" descr="Currently available antiretroviral drugs | Download Table">
          <a:extLst>
            <a:ext uri="{FF2B5EF4-FFF2-40B4-BE49-F238E27FC236}">
              <a16:creationId xmlns:a16="http://schemas.microsoft.com/office/drawing/2014/main" id="{FDF85573-7B38-4B8D-AD7B-E0F8AF34B9F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16" name="AutoShape 40" descr="Currently available antiretroviral drugs | Download Table">
          <a:extLst>
            <a:ext uri="{FF2B5EF4-FFF2-40B4-BE49-F238E27FC236}">
              <a16:creationId xmlns:a16="http://schemas.microsoft.com/office/drawing/2014/main" id="{AAEB7389-5B8E-4C2D-83AD-0CBA0B36CB9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17" name="AutoShape 40" descr="Currently available antiretroviral drugs | Download Table">
          <a:extLst>
            <a:ext uri="{FF2B5EF4-FFF2-40B4-BE49-F238E27FC236}">
              <a16:creationId xmlns:a16="http://schemas.microsoft.com/office/drawing/2014/main" id="{216BA636-8532-4185-821C-00AA5C792B7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18" name="AutoShape 40" descr="Currently available antiretroviral drugs | Download Table">
          <a:extLst>
            <a:ext uri="{FF2B5EF4-FFF2-40B4-BE49-F238E27FC236}">
              <a16:creationId xmlns:a16="http://schemas.microsoft.com/office/drawing/2014/main" id="{7794FD6E-8E44-4493-89F6-43F37002332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19" name="AutoShape 40" descr="Currently available antiretroviral drugs | Download Table">
          <a:extLst>
            <a:ext uri="{FF2B5EF4-FFF2-40B4-BE49-F238E27FC236}">
              <a16:creationId xmlns:a16="http://schemas.microsoft.com/office/drawing/2014/main" id="{C9800D81-F37F-4856-8299-30384CBABA9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20" name="AutoShape 40" descr="Currently available antiretroviral drugs | Download Table">
          <a:extLst>
            <a:ext uri="{FF2B5EF4-FFF2-40B4-BE49-F238E27FC236}">
              <a16:creationId xmlns:a16="http://schemas.microsoft.com/office/drawing/2014/main" id="{9B548B5F-0541-4982-B41D-692F7C33105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21" name="AutoShape 40" descr="Currently available antiretroviral drugs | Download Table">
          <a:extLst>
            <a:ext uri="{FF2B5EF4-FFF2-40B4-BE49-F238E27FC236}">
              <a16:creationId xmlns:a16="http://schemas.microsoft.com/office/drawing/2014/main" id="{166801E2-B529-4862-B332-E8BCFF97E57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22" name="AutoShape 40" descr="Currently available antiretroviral drugs | Download Table">
          <a:extLst>
            <a:ext uri="{FF2B5EF4-FFF2-40B4-BE49-F238E27FC236}">
              <a16:creationId xmlns:a16="http://schemas.microsoft.com/office/drawing/2014/main" id="{1171114B-A155-49AD-9D2D-E3BBC2CB495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23" name="AutoShape 40" descr="Currently available antiretroviral drugs | Download Table">
          <a:extLst>
            <a:ext uri="{FF2B5EF4-FFF2-40B4-BE49-F238E27FC236}">
              <a16:creationId xmlns:a16="http://schemas.microsoft.com/office/drawing/2014/main" id="{DC8D92F4-BFE0-4C34-9C01-2217D605D96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24" name="AutoShape 40" descr="Currently available antiretroviral drugs | Download Table">
          <a:extLst>
            <a:ext uri="{FF2B5EF4-FFF2-40B4-BE49-F238E27FC236}">
              <a16:creationId xmlns:a16="http://schemas.microsoft.com/office/drawing/2014/main" id="{CD2E2B7B-2C5B-47C7-BC19-83999A95B3F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25" name="AutoShape 40" descr="Currently available antiretroviral drugs | Download Table">
          <a:extLst>
            <a:ext uri="{FF2B5EF4-FFF2-40B4-BE49-F238E27FC236}">
              <a16:creationId xmlns:a16="http://schemas.microsoft.com/office/drawing/2014/main" id="{485916D7-EC4A-4B8A-8502-8948D3D6923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26" name="AutoShape 40" descr="Currently available antiretroviral drugs | Download Table">
          <a:extLst>
            <a:ext uri="{FF2B5EF4-FFF2-40B4-BE49-F238E27FC236}">
              <a16:creationId xmlns:a16="http://schemas.microsoft.com/office/drawing/2014/main" id="{F366B40A-1311-4ACD-B2CD-9BE02EF1257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27" name="AutoShape 40" descr="Currently available antiretroviral drugs | Download Table">
          <a:extLst>
            <a:ext uri="{FF2B5EF4-FFF2-40B4-BE49-F238E27FC236}">
              <a16:creationId xmlns:a16="http://schemas.microsoft.com/office/drawing/2014/main" id="{5726B8F5-3EC8-42C9-B0F4-A751861190D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28" name="AutoShape 40" descr="Currently available antiretroviral drugs | Download Table">
          <a:extLst>
            <a:ext uri="{FF2B5EF4-FFF2-40B4-BE49-F238E27FC236}">
              <a16:creationId xmlns:a16="http://schemas.microsoft.com/office/drawing/2014/main" id="{B5CFEA38-281E-4462-8EDC-16B93D6F9BA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29" name="AutoShape 40" descr="Currently available antiretroviral drugs | Download Table">
          <a:extLst>
            <a:ext uri="{FF2B5EF4-FFF2-40B4-BE49-F238E27FC236}">
              <a16:creationId xmlns:a16="http://schemas.microsoft.com/office/drawing/2014/main" id="{B4B279F8-306D-4782-97DB-BC91B483AEE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30" name="AutoShape 40" descr="Currently available antiretroviral drugs | Download Table">
          <a:extLst>
            <a:ext uri="{FF2B5EF4-FFF2-40B4-BE49-F238E27FC236}">
              <a16:creationId xmlns:a16="http://schemas.microsoft.com/office/drawing/2014/main" id="{F7C48BB0-5A6C-4D92-8D2A-1D9BE2C3F3F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31" name="AutoShape 40" descr="Currently available antiretroviral drugs | Download Table">
          <a:extLst>
            <a:ext uri="{FF2B5EF4-FFF2-40B4-BE49-F238E27FC236}">
              <a16:creationId xmlns:a16="http://schemas.microsoft.com/office/drawing/2014/main" id="{4916C50D-0BDD-4EED-8AF0-B8933A38881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32" name="AutoShape 40" descr="Currently available antiretroviral drugs | Download Table">
          <a:extLst>
            <a:ext uri="{FF2B5EF4-FFF2-40B4-BE49-F238E27FC236}">
              <a16:creationId xmlns:a16="http://schemas.microsoft.com/office/drawing/2014/main" id="{E0665681-1505-4A57-AE01-2816888A700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33" name="AutoShape 40" descr="Currently available antiretroviral drugs | Download Table">
          <a:extLst>
            <a:ext uri="{FF2B5EF4-FFF2-40B4-BE49-F238E27FC236}">
              <a16:creationId xmlns:a16="http://schemas.microsoft.com/office/drawing/2014/main" id="{ABE4DCEA-DB5C-4811-99E3-8B63F1C1C0A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34" name="AutoShape 40" descr="Currently available antiretroviral drugs | Download Table">
          <a:extLst>
            <a:ext uri="{FF2B5EF4-FFF2-40B4-BE49-F238E27FC236}">
              <a16:creationId xmlns:a16="http://schemas.microsoft.com/office/drawing/2014/main" id="{70747E15-C5FC-4DB6-9A4E-106A646D69E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35" name="AutoShape 40" descr="Currently available antiretroviral drugs | Download Table">
          <a:extLst>
            <a:ext uri="{FF2B5EF4-FFF2-40B4-BE49-F238E27FC236}">
              <a16:creationId xmlns:a16="http://schemas.microsoft.com/office/drawing/2014/main" id="{42930B0E-E97F-4CB9-8AA9-4E021A4200A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36" name="AutoShape 40" descr="Currently available antiretroviral drugs | Download Table">
          <a:extLst>
            <a:ext uri="{FF2B5EF4-FFF2-40B4-BE49-F238E27FC236}">
              <a16:creationId xmlns:a16="http://schemas.microsoft.com/office/drawing/2014/main" id="{8D701216-1DBD-4E71-85DB-06E710FEE13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37" name="AutoShape 40" descr="Currently available antiretroviral drugs | Download Table">
          <a:extLst>
            <a:ext uri="{FF2B5EF4-FFF2-40B4-BE49-F238E27FC236}">
              <a16:creationId xmlns:a16="http://schemas.microsoft.com/office/drawing/2014/main" id="{985BFDEA-92A4-4C08-B48A-DF0A8FCE300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38" name="AutoShape 40" descr="Currently available antiretroviral drugs | Download Table">
          <a:extLst>
            <a:ext uri="{FF2B5EF4-FFF2-40B4-BE49-F238E27FC236}">
              <a16:creationId xmlns:a16="http://schemas.microsoft.com/office/drawing/2014/main" id="{FDFF7D6F-A77D-4F26-B84B-A881065FD6F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39" name="AutoShape 40" descr="Currently available antiretroviral drugs | Download Table">
          <a:extLst>
            <a:ext uri="{FF2B5EF4-FFF2-40B4-BE49-F238E27FC236}">
              <a16:creationId xmlns:a16="http://schemas.microsoft.com/office/drawing/2014/main" id="{0E1BF53A-AEBD-46B2-8AA2-24097077A39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40" name="AutoShape 40" descr="Currently available antiretroviral drugs | Download Table">
          <a:extLst>
            <a:ext uri="{FF2B5EF4-FFF2-40B4-BE49-F238E27FC236}">
              <a16:creationId xmlns:a16="http://schemas.microsoft.com/office/drawing/2014/main" id="{BC670BF4-E697-4A8A-AADA-8C1EC7B8391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41" name="AutoShape 40" descr="Currently available antiretroviral drugs | Download Table">
          <a:extLst>
            <a:ext uri="{FF2B5EF4-FFF2-40B4-BE49-F238E27FC236}">
              <a16:creationId xmlns:a16="http://schemas.microsoft.com/office/drawing/2014/main" id="{53903CB8-617B-45EC-B770-14DB329E68C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42" name="AutoShape 40" descr="Currently available antiretroviral drugs | Download Table">
          <a:extLst>
            <a:ext uri="{FF2B5EF4-FFF2-40B4-BE49-F238E27FC236}">
              <a16:creationId xmlns:a16="http://schemas.microsoft.com/office/drawing/2014/main" id="{7FEF9D62-F104-4F33-B493-AE9A5FAAA74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43" name="AutoShape 40" descr="Currently available antiretroviral drugs | Download Table">
          <a:extLst>
            <a:ext uri="{FF2B5EF4-FFF2-40B4-BE49-F238E27FC236}">
              <a16:creationId xmlns:a16="http://schemas.microsoft.com/office/drawing/2014/main" id="{7191D6E3-4418-4ED0-A59E-558C4253DE2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44" name="AutoShape 40" descr="Currently available antiretroviral drugs | Download Table">
          <a:extLst>
            <a:ext uri="{FF2B5EF4-FFF2-40B4-BE49-F238E27FC236}">
              <a16:creationId xmlns:a16="http://schemas.microsoft.com/office/drawing/2014/main" id="{F8DAF2C1-21EB-405C-9A49-09DF09A887A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45" name="AutoShape 40" descr="Currently available antiretroviral drugs | Download Table">
          <a:extLst>
            <a:ext uri="{FF2B5EF4-FFF2-40B4-BE49-F238E27FC236}">
              <a16:creationId xmlns:a16="http://schemas.microsoft.com/office/drawing/2014/main" id="{D25FB88F-C4DC-40E3-B3A9-9124E96A577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46" name="AutoShape 40" descr="Currently available antiretroviral drugs | Download Table">
          <a:extLst>
            <a:ext uri="{FF2B5EF4-FFF2-40B4-BE49-F238E27FC236}">
              <a16:creationId xmlns:a16="http://schemas.microsoft.com/office/drawing/2014/main" id="{8DEA74BC-6A25-48BE-ACAE-28781CC8B06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47" name="AutoShape 40" descr="Currently available antiretroviral drugs | Download Table">
          <a:extLst>
            <a:ext uri="{FF2B5EF4-FFF2-40B4-BE49-F238E27FC236}">
              <a16:creationId xmlns:a16="http://schemas.microsoft.com/office/drawing/2014/main" id="{E1D52A60-7AE2-4FB1-974A-D08AA472287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48" name="AutoShape 40" descr="Currently available antiretroviral drugs | Download Table">
          <a:extLst>
            <a:ext uri="{FF2B5EF4-FFF2-40B4-BE49-F238E27FC236}">
              <a16:creationId xmlns:a16="http://schemas.microsoft.com/office/drawing/2014/main" id="{F02E5CA9-5323-495B-B7F3-1F33E76059F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49" name="AutoShape 40" descr="Currently available antiretroviral drugs | Download Table">
          <a:extLst>
            <a:ext uri="{FF2B5EF4-FFF2-40B4-BE49-F238E27FC236}">
              <a16:creationId xmlns:a16="http://schemas.microsoft.com/office/drawing/2014/main" id="{C9AEC46D-E290-4B05-9BCE-34CC127D164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50" name="AutoShape 40" descr="Currently available antiretroviral drugs | Download Table">
          <a:extLst>
            <a:ext uri="{FF2B5EF4-FFF2-40B4-BE49-F238E27FC236}">
              <a16:creationId xmlns:a16="http://schemas.microsoft.com/office/drawing/2014/main" id="{A305F045-CD32-4432-870D-30B240AB0CE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51" name="AutoShape 40" descr="Currently available antiretroviral drugs | Download Table">
          <a:extLst>
            <a:ext uri="{FF2B5EF4-FFF2-40B4-BE49-F238E27FC236}">
              <a16:creationId xmlns:a16="http://schemas.microsoft.com/office/drawing/2014/main" id="{B29C53E0-E6F2-4F17-9D35-B76D7E14A62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52" name="AutoShape 40" descr="Currently available antiretroviral drugs | Download Table">
          <a:extLst>
            <a:ext uri="{FF2B5EF4-FFF2-40B4-BE49-F238E27FC236}">
              <a16:creationId xmlns:a16="http://schemas.microsoft.com/office/drawing/2014/main" id="{B30ACDAE-3B37-4575-8299-6E7D1472207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53" name="AutoShape 40" descr="Currently available antiretroviral drugs | Download Table">
          <a:extLst>
            <a:ext uri="{FF2B5EF4-FFF2-40B4-BE49-F238E27FC236}">
              <a16:creationId xmlns:a16="http://schemas.microsoft.com/office/drawing/2014/main" id="{7A2540AC-80C5-461E-98EF-59FF80494A4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54" name="AutoShape 40" descr="Currently available antiretroviral drugs | Download Table">
          <a:extLst>
            <a:ext uri="{FF2B5EF4-FFF2-40B4-BE49-F238E27FC236}">
              <a16:creationId xmlns:a16="http://schemas.microsoft.com/office/drawing/2014/main" id="{FD804BCF-13CA-4DC9-8F23-8BBD06891F0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55" name="AutoShape 40" descr="Currently available antiretroviral drugs | Download Table">
          <a:extLst>
            <a:ext uri="{FF2B5EF4-FFF2-40B4-BE49-F238E27FC236}">
              <a16:creationId xmlns:a16="http://schemas.microsoft.com/office/drawing/2014/main" id="{B5B04974-E0CD-4542-99FE-6C471048BD9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56" name="AutoShape 40" descr="Currently available antiretroviral drugs | Download Table">
          <a:extLst>
            <a:ext uri="{FF2B5EF4-FFF2-40B4-BE49-F238E27FC236}">
              <a16:creationId xmlns:a16="http://schemas.microsoft.com/office/drawing/2014/main" id="{7E373D08-6275-4F33-8788-AE89866F8F3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57" name="AutoShape 40" descr="Currently available antiretroviral drugs | Download Table">
          <a:extLst>
            <a:ext uri="{FF2B5EF4-FFF2-40B4-BE49-F238E27FC236}">
              <a16:creationId xmlns:a16="http://schemas.microsoft.com/office/drawing/2014/main" id="{49522541-480B-4083-9CEC-3D22CE34975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58" name="AutoShape 40" descr="Currently available antiretroviral drugs | Download Table">
          <a:extLst>
            <a:ext uri="{FF2B5EF4-FFF2-40B4-BE49-F238E27FC236}">
              <a16:creationId xmlns:a16="http://schemas.microsoft.com/office/drawing/2014/main" id="{16734CD8-0D85-40E3-BF21-DB93B73ED56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59" name="AutoShape 40" descr="Currently available antiretroviral drugs | Download Table">
          <a:extLst>
            <a:ext uri="{FF2B5EF4-FFF2-40B4-BE49-F238E27FC236}">
              <a16:creationId xmlns:a16="http://schemas.microsoft.com/office/drawing/2014/main" id="{A3C69FDD-A4BF-48BC-8D73-83A0F64FD00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60" name="AutoShape 40" descr="Currently available antiretroviral drugs | Download Table">
          <a:extLst>
            <a:ext uri="{FF2B5EF4-FFF2-40B4-BE49-F238E27FC236}">
              <a16:creationId xmlns:a16="http://schemas.microsoft.com/office/drawing/2014/main" id="{9C8F6703-D198-4C51-BC2D-293C3FB1A51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61" name="AutoShape 40" descr="Currently available antiretroviral drugs | Download Table">
          <a:extLst>
            <a:ext uri="{FF2B5EF4-FFF2-40B4-BE49-F238E27FC236}">
              <a16:creationId xmlns:a16="http://schemas.microsoft.com/office/drawing/2014/main" id="{418B08F3-AD1E-435E-AF9B-A5E5FD437D5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62" name="AutoShape 40" descr="Currently available antiretroviral drugs | Download Table">
          <a:extLst>
            <a:ext uri="{FF2B5EF4-FFF2-40B4-BE49-F238E27FC236}">
              <a16:creationId xmlns:a16="http://schemas.microsoft.com/office/drawing/2014/main" id="{27539AB9-FA31-4261-BD2C-BFE8F4446D9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63" name="AutoShape 40" descr="Currently available antiretroviral drugs | Download Table">
          <a:extLst>
            <a:ext uri="{FF2B5EF4-FFF2-40B4-BE49-F238E27FC236}">
              <a16:creationId xmlns:a16="http://schemas.microsoft.com/office/drawing/2014/main" id="{75F17131-C26E-4E39-8E19-3F9F49D4F30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64" name="AutoShape 40" descr="Currently available antiretroviral drugs | Download Table">
          <a:extLst>
            <a:ext uri="{FF2B5EF4-FFF2-40B4-BE49-F238E27FC236}">
              <a16:creationId xmlns:a16="http://schemas.microsoft.com/office/drawing/2014/main" id="{0BF8F7A1-8154-42E1-81F1-5734858B310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65" name="AutoShape 40" descr="Currently available antiretroviral drugs | Download Table">
          <a:extLst>
            <a:ext uri="{FF2B5EF4-FFF2-40B4-BE49-F238E27FC236}">
              <a16:creationId xmlns:a16="http://schemas.microsoft.com/office/drawing/2014/main" id="{DCE5B061-F279-4B73-BF3B-8317F24EA69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66" name="AutoShape 40" descr="Currently available antiretroviral drugs | Download Table">
          <a:extLst>
            <a:ext uri="{FF2B5EF4-FFF2-40B4-BE49-F238E27FC236}">
              <a16:creationId xmlns:a16="http://schemas.microsoft.com/office/drawing/2014/main" id="{74848123-2FDD-4FD9-9338-AC140ED9859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67" name="AutoShape 40" descr="Currently available antiretroviral drugs | Download Table">
          <a:extLst>
            <a:ext uri="{FF2B5EF4-FFF2-40B4-BE49-F238E27FC236}">
              <a16:creationId xmlns:a16="http://schemas.microsoft.com/office/drawing/2014/main" id="{174788A7-8165-4933-B7E7-532E7412A31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68" name="AutoShape 40" descr="Currently available antiretroviral drugs | Download Table">
          <a:extLst>
            <a:ext uri="{FF2B5EF4-FFF2-40B4-BE49-F238E27FC236}">
              <a16:creationId xmlns:a16="http://schemas.microsoft.com/office/drawing/2014/main" id="{0FF3C8D9-456B-40A6-AD66-5C2DB8F372D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69" name="AutoShape 40" descr="Currently available antiretroviral drugs | Download Table">
          <a:extLst>
            <a:ext uri="{FF2B5EF4-FFF2-40B4-BE49-F238E27FC236}">
              <a16:creationId xmlns:a16="http://schemas.microsoft.com/office/drawing/2014/main" id="{05ED82CC-E2C0-4DB0-A533-C48E9061C15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70" name="AutoShape 40" descr="Currently available antiretroviral drugs | Download Table">
          <a:extLst>
            <a:ext uri="{FF2B5EF4-FFF2-40B4-BE49-F238E27FC236}">
              <a16:creationId xmlns:a16="http://schemas.microsoft.com/office/drawing/2014/main" id="{B16372A4-E3F8-4CBA-9ADA-3CD2FA56AFB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71" name="AutoShape 40" descr="Currently available antiretroviral drugs | Download Table">
          <a:extLst>
            <a:ext uri="{FF2B5EF4-FFF2-40B4-BE49-F238E27FC236}">
              <a16:creationId xmlns:a16="http://schemas.microsoft.com/office/drawing/2014/main" id="{3CD93CA1-536A-4A32-B9B7-42FD6FAA3A3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72" name="AutoShape 40" descr="Currently available antiretroviral drugs | Download Table">
          <a:extLst>
            <a:ext uri="{FF2B5EF4-FFF2-40B4-BE49-F238E27FC236}">
              <a16:creationId xmlns:a16="http://schemas.microsoft.com/office/drawing/2014/main" id="{91CFCBD4-A13F-4241-A200-20C17CCD087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73" name="AutoShape 40" descr="Currently available antiretroviral drugs | Download Table">
          <a:extLst>
            <a:ext uri="{FF2B5EF4-FFF2-40B4-BE49-F238E27FC236}">
              <a16:creationId xmlns:a16="http://schemas.microsoft.com/office/drawing/2014/main" id="{EBC5C663-B71D-4BC6-86FC-1FC3A4C7E02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74" name="AutoShape 40" descr="Currently available antiretroviral drugs | Download Table">
          <a:extLst>
            <a:ext uri="{FF2B5EF4-FFF2-40B4-BE49-F238E27FC236}">
              <a16:creationId xmlns:a16="http://schemas.microsoft.com/office/drawing/2014/main" id="{3AD3D209-B524-423B-8A1F-46A08FCF2FC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75" name="AutoShape 40" descr="Currently available antiretroviral drugs | Download Table">
          <a:extLst>
            <a:ext uri="{FF2B5EF4-FFF2-40B4-BE49-F238E27FC236}">
              <a16:creationId xmlns:a16="http://schemas.microsoft.com/office/drawing/2014/main" id="{AB101533-3716-4887-9FEA-69959FAACC8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76" name="AutoShape 40" descr="Currently available antiretroviral drugs | Download Table">
          <a:extLst>
            <a:ext uri="{FF2B5EF4-FFF2-40B4-BE49-F238E27FC236}">
              <a16:creationId xmlns:a16="http://schemas.microsoft.com/office/drawing/2014/main" id="{9CD64135-50B5-4185-93A8-935D38EA33F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77" name="AutoShape 40" descr="Currently available antiretroviral drugs | Download Table">
          <a:extLst>
            <a:ext uri="{FF2B5EF4-FFF2-40B4-BE49-F238E27FC236}">
              <a16:creationId xmlns:a16="http://schemas.microsoft.com/office/drawing/2014/main" id="{D2E87CEA-6039-444C-8B3F-60EC67C27EF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78" name="AutoShape 40" descr="Currently available antiretroviral drugs | Download Table">
          <a:extLst>
            <a:ext uri="{FF2B5EF4-FFF2-40B4-BE49-F238E27FC236}">
              <a16:creationId xmlns:a16="http://schemas.microsoft.com/office/drawing/2014/main" id="{9B8B249F-5E53-4BEF-B3FA-EBC6C7544AB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79" name="AutoShape 40" descr="Currently available antiretroviral drugs | Download Table">
          <a:extLst>
            <a:ext uri="{FF2B5EF4-FFF2-40B4-BE49-F238E27FC236}">
              <a16:creationId xmlns:a16="http://schemas.microsoft.com/office/drawing/2014/main" id="{3FB5FF13-EE40-43C2-AA52-7A834FC806C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80" name="AutoShape 40" descr="Currently available antiretroviral drugs | Download Table">
          <a:extLst>
            <a:ext uri="{FF2B5EF4-FFF2-40B4-BE49-F238E27FC236}">
              <a16:creationId xmlns:a16="http://schemas.microsoft.com/office/drawing/2014/main" id="{249B4DF5-D455-46E9-81FA-BA3594F17CF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81" name="AutoShape 40" descr="Currently available antiretroviral drugs | Download Table">
          <a:extLst>
            <a:ext uri="{FF2B5EF4-FFF2-40B4-BE49-F238E27FC236}">
              <a16:creationId xmlns:a16="http://schemas.microsoft.com/office/drawing/2014/main" id="{80ADAC09-CD99-42BA-922F-F8FC3D6B8BC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82" name="AutoShape 40" descr="Currently available antiretroviral drugs | Download Table">
          <a:extLst>
            <a:ext uri="{FF2B5EF4-FFF2-40B4-BE49-F238E27FC236}">
              <a16:creationId xmlns:a16="http://schemas.microsoft.com/office/drawing/2014/main" id="{96EF030B-91B3-452D-9EC2-C09EE0827E3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83" name="AutoShape 40" descr="Currently available antiretroviral drugs | Download Table">
          <a:extLst>
            <a:ext uri="{FF2B5EF4-FFF2-40B4-BE49-F238E27FC236}">
              <a16:creationId xmlns:a16="http://schemas.microsoft.com/office/drawing/2014/main" id="{BF9A4087-6A10-4704-B732-F08790D18AF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84" name="AutoShape 40" descr="Currently available antiretroviral drugs | Download Table">
          <a:extLst>
            <a:ext uri="{FF2B5EF4-FFF2-40B4-BE49-F238E27FC236}">
              <a16:creationId xmlns:a16="http://schemas.microsoft.com/office/drawing/2014/main" id="{2C41EBB8-F1E9-4E17-A92D-C68AADE1597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85" name="AutoShape 40" descr="Currently available antiretroviral drugs | Download Table">
          <a:extLst>
            <a:ext uri="{FF2B5EF4-FFF2-40B4-BE49-F238E27FC236}">
              <a16:creationId xmlns:a16="http://schemas.microsoft.com/office/drawing/2014/main" id="{FF9D26F2-913E-4AAA-A821-FB1E62C17D3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86" name="AutoShape 40" descr="Currently available antiretroviral drugs | Download Table">
          <a:extLst>
            <a:ext uri="{FF2B5EF4-FFF2-40B4-BE49-F238E27FC236}">
              <a16:creationId xmlns:a16="http://schemas.microsoft.com/office/drawing/2014/main" id="{7E5D4F79-9BE3-4D5B-81DE-A583D042C77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87" name="AutoShape 40" descr="Currently available antiretroviral drugs | Download Table">
          <a:extLst>
            <a:ext uri="{FF2B5EF4-FFF2-40B4-BE49-F238E27FC236}">
              <a16:creationId xmlns:a16="http://schemas.microsoft.com/office/drawing/2014/main" id="{D8D85397-698B-45D8-A004-CA8A97F78F9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88" name="AutoShape 40" descr="Currently available antiretroviral drugs | Download Table">
          <a:extLst>
            <a:ext uri="{FF2B5EF4-FFF2-40B4-BE49-F238E27FC236}">
              <a16:creationId xmlns:a16="http://schemas.microsoft.com/office/drawing/2014/main" id="{817D7573-BAFC-421C-82A3-337729FDC58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89" name="AutoShape 40" descr="Currently available antiretroviral drugs | Download Table">
          <a:extLst>
            <a:ext uri="{FF2B5EF4-FFF2-40B4-BE49-F238E27FC236}">
              <a16:creationId xmlns:a16="http://schemas.microsoft.com/office/drawing/2014/main" id="{F22701D6-70EC-438A-88B6-780EE1CC35B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90" name="AutoShape 40" descr="Currently available antiretroviral drugs | Download Table">
          <a:extLst>
            <a:ext uri="{FF2B5EF4-FFF2-40B4-BE49-F238E27FC236}">
              <a16:creationId xmlns:a16="http://schemas.microsoft.com/office/drawing/2014/main" id="{FF58509F-9C03-4048-A17D-69170E2D8F6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91" name="AutoShape 40" descr="Currently available antiretroviral drugs | Download Table">
          <a:extLst>
            <a:ext uri="{FF2B5EF4-FFF2-40B4-BE49-F238E27FC236}">
              <a16:creationId xmlns:a16="http://schemas.microsoft.com/office/drawing/2014/main" id="{0745402D-E96B-475B-8F47-1FBE9E479D1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92" name="AutoShape 40" descr="Currently available antiretroviral drugs | Download Table">
          <a:extLst>
            <a:ext uri="{FF2B5EF4-FFF2-40B4-BE49-F238E27FC236}">
              <a16:creationId xmlns:a16="http://schemas.microsoft.com/office/drawing/2014/main" id="{4D6B016F-5DE3-4B74-B6A8-FD74C888FEF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93" name="AutoShape 40" descr="Currently available antiretroviral drugs | Download Table">
          <a:extLst>
            <a:ext uri="{FF2B5EF4-FFF2-40B4-BE49-F238E27FC236}">
              <a16:creationId xmlns:a16="http://schemas.microsoft.com/office/drawing/2014/main" id="{1FA70CB8-2C0F-4680-947E-A3A9E9B7EF9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94" name="AutoShape 40" descr="Currently available antiretroviral drugs | Download Table">
          <a:extLst>
            <a:ext uri="{FF2B5EF4-FFF2-40B4-BE49-F238E27FC236}">
              <a16:creationId xmlns:a16="http://schemas.microsoft.com/office/drawing/2014/main" id="{22B17C98-9816-4EA7-94F0-725C212F4E9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95" name="AutoShape 40" descr="Currently available antiretroviral drugs | Download Table">
          <a:extLst>
            <a:ext uri="{FF2B5EF4-FFF2-40B4-BE49-F238E27FC236}">
              <a16:creationId xmlns:a16="http://schemas.microsoft.com/office/drawing/2014/main" id="{087AC162-6327-4ED1-B0FA-3F3EB768D28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96" name="AutoShape 40" descr="Currently available antiretroviral drugs | Download Table">
          <a:extLst>
            <a:ext uri="{FF2B5EF4-FFF2-40B4-BE49-F238E27FC236}">
              <a16:creationId xmlns:a16="http://schemas.microsoft.com/office/drawing/2014/main" id="{27531D7C-F256-4787-8F8B-E30CC892779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97" name="AutoShape 40" descr="Currently available antiretroviral drugs | Download Table">
          <a:extLst>
            <a:ext uri="{FF2B5EF4-FFF2-40B4-BE49-F238E27FC236}">
              <a16:creationId xmlns:a16="http://schemas.microsoft.com/office/drawing/2014/main" id="{BD37E80E-EAD8-4A8A-B0B1-DC9078C5180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98" name="AutoShape 40" descr="Currently available antiretroviral drugs | Download Table">
          <a:extLst>
            <a:ext uri="{FF2B5EF4-FFF2-40B4-BE49-F238E27FC236}">
              <a16:creationId xmlns:a16="http://schemas.microsoft.com/office/drawing/2014/main" id="{70B65600-4C90-4EBC-BC28-FA214E96C3A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499" name="AutoShape 40" descr="Currently available antiretroviral drugs | Download Table">
          <a:extLst>
            <a:ext uri="{FF2B5EF4-FFF2-40B4-BE49-F238E27FC236}">
              <a16:creationId xmlns:a16="http://schemas.microsoft.com/office/drawing/2014/main" id="{D9AC10DD-E31F-4421-81E9-5054F003EC7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00" name="AutoShape 40" descr="Currently available antiretroviral drugs | Download Table">
          <a:extLst>
            <a:ext uri="{FF2B5EF4-FFF2-40B4-BE49-F238E27FC236}">
              <a16:creationId xmlns:a16="http://schemas.microsoft.com/office/drawing/2014/main" id="{E308F8A6-3D37-45F3-B0AE-197A0D07C46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01" name="AutoShape 40" descr="Currently available antiretroviral drugs | Download Table">
          <a:extLst>
            <a:ext uri="{FF2B5EF4-FFF2-40B4-BE49-F238E27FC236}">
              <a16:creationId xmlns:a16="http://schemas.microsoft.com/office/drawing/2014/main" id="{66D74D79-C7BA-49CC-BEF6-FEEFA1EBE96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02" name="AutoShape 40" descr="Currently available antiretroviral drugs | Download Table">
          <a:extLst>
            <a:ext uri="{FF2B5EF4-FFF2-40B4-BE49-F238E27FC236}">
              <a16:creationId xmlns:a16="http://schemas.microsoft.com/office/drawing/2014/main" id="{8DB79BAE-0DFB-4E5A-AAC7-9A42EC0443D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03" name="AutoShape 40" descr="Currently available antiretroviral drugs | Download Table">
          <a:extLst>
            <a:ext uri="{FF2B5EF4-FFF2-40B4-BE49-F238E27FC236}">
              <a16:creationId xmlns:a16="http://schemas.microsoft.com/office/drawing/2014/main" id="{AD86B2D1-B8CD-475E-A636-84D8C938CFE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04" name="AutoShape 40" descr="Currently available antiretroviral drugs | Download Table">
          <a:extLst>
            <a:ext uri="{FF2B5EF4-FFF2-40B4-BE49-F238E27FC236}">
              <a16:creationId xmlns:a16="http://schemas.microsoft.com/office/drawing/2014/main" id="{3CE0D1FE-6E61-4BC6-8F5E-15236F2841C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05" name="AutoShape 40" descr="Currently available antiretroviral drugs | Download Table">
          <a:extLst>
            <a:ext uri="{FF2B5EF4-FFF2-40B4-BE49-F238E27FC236}">
              <a16:creationId xmlns:a16="http://schemas.microsoft.com/office/drawing/2014/main" id="{DF32E8EE-F6E3-4075-AB34-88819AF2AA4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06" name="AutoShape 40" descr="Currently available antiretroviral drugs | Download Table">
          <a:extLst>
            <a:ext uri="{FF2B5EF4-FFF2-40B4-BE49-F238E27FC236}">
              <a16:creationId xmlns:a16="http://schemas.microsoft.com/office/drawing/2014/main" id="{7B60D7CC-A77E-448E-A61B-76E4B337731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07" name="AutoShape 40" descr="Currently available antiretroviral drugs | Download Table">
          <a:extLst>
            <a:ext uri="{FF2B5EF4-FFF2-40B4-BE49-F238E27FC236}">
              <a16:creationId xmlns:a16="http://schemas.microsoft.com/office/drawing/2014/main" id="{79BA0783-BA6F-40CB-8411-4EDC622564E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08" name="AutoShape 40" descr="Currently available antiretroviral drugs | Download Table">
          <a:extLst>
            <a:ext uri="{FF2B5EF4-FFF2-40B4-BE49-F238E27FC236}">
              <a16:creationId xmlns:a16="http://schemas.microsoft.com/office/drawing/2014/main" id="{B667D2AF-116B-4949-B046-4A679730177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09" name="AutoShape 40" descr="Currently available antiretroviral drugs | Download Table">
          <a:extLst>
            <a:ext uri="{FF2B5EF4-FFF2-40B4-BE49-F238E27FC236}">
              <a16:creationId xmlns:a16="http://schemas.microsoft.com/office/drawing/2014/main" id="{C751825F-51E0-4C80-A93B-0547DE24B9B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10" name="AutoShape 40" descr="Currently available antiretroviral drugs | Download Table">
          <a:extLst>
            <a:ext uri="{FF2B5EF4-FFF2-40B4-BE49-F238E27FC236}">
              <a16:creationId xmlns:a16="http://schemas.microsoft.com/office/drawing/2014/main" id="{B1ECACA4-4748-457E-9284-11BA94438C3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11" name="AutoShape 40" descr="Currently available antiretroviral drugs | Download Table">
          <a:extLst>
            <a:ext uri="{FF2B5EF4-FFF2-40B4-BE49-F238E27FC236}">
              <a16:creationId xmlns:a16="http://schemas.microsoft.com/office/drawing/2014/main" id="{1E39BC6E-618F-41B8-A7B0-E77F643327C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12" name="AutoShape 40" descr="Currently available antiretroviral drugs | Download Table">
          <a:extLst>
            <a:ext uri="{FF2B5EF4-FFF2-40B4-BE49-F238E27FC236}">
              <a16:creationId xmlns:a16="http://schemas.microsoft.com/office/drawing/2014/main" id="{835B561E-07EB-4490-9245-B6373994EE6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13" name="AutoShape 40" descr="Currently available antiretroviral drugs | Download Table">
          <a:extLst>
            <a:ext uri="{FF2B5EF4-FFF2-40B4-BE49-F238E27FC236}">
              <a16:creationId xmlns:a16="http://schemas.microsoft.com/office/drawing/2014/main" id="{1D50F3B2-BD81-4FDC-AFAC-19B00B243FF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14" name="AutoShape 40" descr="Currently available antiretroviral drugs | Download Table">
          <a:extLst>
            <a:ext uri="{FF2B5EF4-FFF2-40B4-BE49-F238E27FC236}">
              <a16:creationId xmlns:a16="http://schemas.microsoft.com/office/drawing/2014/main" id="{8F38F37E-3DF4-4B04-B02D-5618648BDD9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15" name="AutoShape 40" descr="Currently available antiretroviral drugs | Download Table">
          <a:extLst>
            <a:ext uri="{FF2B5EF4-FFF2-40B4-BE49-F238E27FC236}">
              <a16:creationId xmlns:a16="http://schemas.microsoft.com/office/drawing/2014/main" id="{9143D507-9608-4A9A-9822-C89149974A1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16" name="AutoShape 40" descr="Currently available antiretroviral drugs | Download Table">
          <a:extLst>
            <a:ext uri="{FF2B5EF4-FFF2-40B4-BE49-F238E27FC236}">
              <a16:creationId xmlns:a16="http://schemas.microsoft.com/office/drawing/2014/main" id="{DD128D96-345C-4135-9F5F-6DB6C6050D7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17" name="AutoShape 40" descr="Currently available antiretroviral drugs | Download Table">
          <a:extLst>
            <a:ext uri="{FF2B5EF4-FFF2-40B4-BE49-F238E27FC236}">
              <a16:creationId xmlns:a16="http://schemas.microsoft.com/office/drawing/2014/main" id="{F82538E2-34EB-4F00-B8D9-B6D1489219C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18" name="AutoShape 40" descr="Currently available antiretroviral drugs | Download Table">
          <a:extLst>
            <a:ext uri="{FF2B5EF4-FFF2-40B4-BE49-F238E27FC236}">
              <a16:creationId xmlns:a16="http://schemas.microsoft.com/office/drawing/2014/main" id="{F64793C8-7AEC-4CE5-8502-E71E6FAB38C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19" name="AutoShape 40" descr="Currently available antiretroviral drugs | Download Table">
          <a:extLst>
            <a:ext uri="{FF2B5EF4-FFF2-40B4-BE49-F238E27FC236}">
              <a16:creationId xmlns:a16="http://schemas.microsoft.com/office/drawing/2014/main" id="{23A072E8-81D0-480D-AE73-2C8DB76B7A5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20" name="AutoShape 40" descr="Currently available antiretroviral drugs | Download Table">
          <a:extLst>
            <a:ext uri="{FF2B5EF4-FFF2-40B4-BE49-F238E27FC236}">
              <a16:creationId xmlns:a16="http://schemas.microsoft.com/office/drawing/2014/main" id="{AA40CBAA-172E-4CC3-B98F-BA0AA75B4D5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21" name="AutoShape 40" descr="Currently available antiretroviral drugs | Download Table">
          <a:extLst>
            <a:ext uri="{FF2B5EF4-FFF2-40B4-BE49-F238E27FC236}">
              <a16:creationId xmlns:a16="http://schemas.microsoft.com/office/drawing/2014/main" id="{CD21440F-5C72-4C3F-ADB3-62172BCD9D3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22" name="AutoShape 40" descr="Currently available antiretroviral drugs | Download Table">
          <a:extLst>
            <a:ext uri="{FF2B5EF4-FFF2-40B4-BE49-F238E27FC236}">
              <a16:creationId xmlns:a16="http://schemas.microsoft.com/office/drawing/2014/main" id="{A0F19600-8DCF-43BC-8806-16FE6436CBA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23" name="AutoShape 40" descr="Currently available antiretroviral drugs | Download Table">
          <a:extLst>
            <a:ext uri="{FF2B5EF4-FFF2-40B4-BE49-F238E27FC236}">
              <a16:creationId xmlns:a16="http://schemas.microsoft.com/office/drawing/2014/main" id="{1D946937-414F-4271-A1DE-F093717E5B6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24" name="AutoShape 40" descr="Currently available antiretroviral drugs | Download Table">
          <a:extLst>
            <a:ext uri="{FF2B5EF4-FFF2-40B4-BE49-F238E27FC236}">
              <a16:creationId xmlns:a16="http://schemas.microsoft.com/office/drawing/2014/main" id="{253A30DD-1B9C-4982-9655-8C9C0B49B64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25" name="AutoShape 40" descr="Currently available antiretroviral drugs | Download Table">
          <a:extLst>
            <a:ext uri="{FF2B5EF4-FFF2-40B4-BE49-F238E27FC236}">
              <a16:creationId xmlns:a16="http://schemas.microsoft.com/office/drawing/2014/main" id="{A10BBFB9-522E-49F1-9ECD-055FF2CA431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26" name="AutoShape 40" descr="Currently available antiretroviral drugs | Download Table">
          <a:extLst>
            <a:ext uri="{FF2B5EF4-FFF2-40B4-BE49-F238E27FC236}">
              <a16:creationId xmlns:a16="http://schemas.microsoft.com/office/drawing/2014/main" id="{543108B1-4F95-4B5D-B14F-58E2D4E33DC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27" name="AutoShape 40" descr="Currently available antiretroviral drugs | Download Table">
          <a:extLst>
            <a:ext uri="{FF2B5EF4-FFF2-40B4-BE49-F238E27FC236}">
              <a16:creationId xmlns:a16="http://schemas.microsoft.com/office/drawing/2014/main" id="{8C760085-07FB-49B3-9833-B4BF96EC510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28" name="AutoShape 40" descr="Currently available antiretroviral drugs | Download Table">
          <a:extLst>
            <a:ext uri="{FF2B5EF4-FFF2-40B4-BE49-F238E27FC236}">
              <a16:creationId xmlns:a16="http://schemas.microsoft.com/office/drawing/2014/main" id="{083B3157-22A2-43DF-B937-4DB98CBCA24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29" name="AutoShape 40" descr="Currently available antiretroviral drugs | Download Table">
          <a:extLst>
            <a:ext uri="{FF2B5EF4-FFF2-40B4-BE49-F238E27FC236}">
              <a16:creationId xmlns:a16="http://schemas.microsoft.com/office/drawing/2014/main" id="{7F4F4E6C-CC78-41D2-88E1-F0709FA2041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30" name="AutoShape 40" descr="Currently available antiretroviral drugs | Download Table">
          <a:extLst>
            <a:ext uri="{FF2B5EF4-FFF2-40B4-BE49-F238E27FC236}">
              <a16:creationId xmlns:a16="http://schemas.microsoft.com/office/drawing/2014/main" id="{F11BE51D-9FE1-45EE-B8AB-773505D2E6D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31" name="AutoShape 40" descr="Currently available antiretroviral drugs | Download Table">
          <a:extLst>
            <a:ext uri="{FF2B5EF4-FFF2-40B4-BE49-F238E27FC236}">
              <a16:creationId xmlns:a16="http://schemas.microsoft.com/office/drawing/2014/main" id="{71110453-9234-4570-B7ED-C4B2CFC9047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32" name="AutoShape 40" descr="Currently available antiretroviral drugs | Download Table">
          <a:extLst>
            <a:ext uri="{FF2B5EF4-FFF2-40B4-BE49-F238E27FC236}">
              <a16:creationId xmlns:a16="http://schemas.microsoft.com/office/drawing/2014/main" id="{311DA4A9-548B-46A8-89D9-32E3E52E559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33" name="AutoShape 40" descr="Currently available antiretroviral drugs | Download Table">
          <a:extLst>
            <a:ext uri="{FF2B5EF4-FFF2-40B4-BE49-F238E27FC236}">
              <a16:creationId xmlns:a16="http://schemas.microsoft.com/office/drawing/2014/main" id="{15010065-A1BE-4A9D-918C-CB6820CC307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34" name="AutoShape 40" descr="Currently available antiretroviral drugs | Download Table">
          <a:extLst>
            <a:ext uri="{FF2B5EF4-FFF2-40B4-BE49-F238E27FC236}">
              <a16:creationId xmlns:a16="http://schemas.microsoft.com/office/drawing/2014/main" id="{F88CC44E-80F4-42C4-91D9-58741CC8EDE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35" name="AutoShape 40" descr="Currently available antiretroviral drugs | Download Table">
          <a:extLst>
            <a:ext uri="{FF2B5EF4-FFF2-40B4-BE49-F238E27FC236}">
              <a16:creationId xmlns:a16="http://schemas.microsoft.com/office/drawing/2014/main" id="{9A011F02-F39A-4167-8089-D434AD0D7C2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36" name="AutoShape 40" descr="Currently available antiretroviral drugs | Download Table">
          <a:extLst>
            <a:ext uri="{FF2B5EF4-FFF2-40B4-BE49-F238E27FC236}">
              <a16:creationId xmlns:a16="http://schemas.microsoft.com/office/drawing/2014/main" id="{4FD77D6C-2577-4188-9C79-50B5BAA36A7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37" name="AutoShape 40" descr="Currently available antiretroviral drugs | Download Table">
          <a:extLst>
            <a:ext uri="{FF2B5EF4-FFF2-40B4-BE49-F238E27FC236}">
              <a16:creationId xmlns:a16="http://schemas.microsoft.com/office/drawing/2014/main" id="{6AA11D7A-E640-48B2-8B05-3C468CD1EF1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38" name="AutoShape 40" descr="Currently available antiretroviral drugs | Download Table">
          <a:extLst>
            <a:ext uri="{FF2B5EF4-FFF2-40B4-BE49-F238E27FC236}">
              <a16:creationId xmlns:a16="http://schemas.microsoft.com/office/drawing/2014/main" id="{6A0D0264-D670-471B-B08A-F99E7D3BF2E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39" name="AutoShape 40" descr="Currently available antiretroviral drugs | Download Table">
          <a:extLst>
            <a:ext uri="{FF2B5EF4-FFF2-40B4-BE49-F238E27FC236}">
              <a16:creationId xmlns:a16="http://schemas.microsoft.com/office/drawing/2014/main" id="{AA5D9394-F87D-4301-B5FB-4F0EA00EFF5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40" name="AutoShape 40" descr="Currently available antiretroviral drugs | Download Table">
          <a:extLst>
            <a:ext uri="{FF2B5EF4-FFF2-40B4-BE49-F238E27FC236}">
              <a16:creationId xmlns:a16="http://schemas.microsoft.com/office/drawing/2014/main" id="{C420D203-E85B-4E53-8065-266E6B52439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41" name="AutoShape 40" descr="Currently available antiretroviral drugs | Download Table">
          <a:extLst>
            <a:ext uri="{FF2B5EF4-FFF2-40B4-BE49-F238E27FC236}">
              <a16:creationId xmlns:a16="http://schemas.microsoft.com/office/drawing/2014/main" id="{F2710001-716D-4E3F-871E-A8B3337EDF8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42" name="AutoShape 40" descr="Currently available antiretroviral drugs | Download Table">
          <a:extLst>
            <a:ext uri="{FF2B5EF4-FFF2-40B4-BE49-F238E27FC236}">
              <a16:creationId xmlns:a16="http://schemas.microsoft.com/office/drawing/2014/main" id="{96714F43-7E05-4E79-903D-C08B8ACF728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43" name="AutoShape 40" descr="Currently available antiretroviral drugs | Download Table">
          <a:extLst>
            <a:ext uri="{FF2B5EF4-FFF2-40B4-BE49-F238E27FC236}">
              <a16:creationId xmlns:a16="http://schemas.microsoft.com/office/drawing/2014/main" id="{A69692FE-D62F-4927-933D-96DB66E7E3B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44" name="AutoShape 40" descr="Currently available antiretroviral drugs | Download Table">
          <a:extLst>
            <a:ext uri="{FF2B5EF4-FFF2-40B4-BE49-F238E27FC236}">
              <a16:creationId xmlns:a16="http://schemas.microsoft.com/office/drawing/2014/main" id="{B8BC1B79-F1E9-4C48-ACAD-C2E55127FF8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45" name="AutoShape 40" descr="Currently available antiretroviral drugs | Download Table">
          <a:extLst>
            <a:ext uri="{FF2B5EF4-FFF2-40B4-BE49-F238E27FC236}">
              <a16:creationId xmlns:a16="http://schemas.microsoft.com/office/drawing/2014/main" id="{93E5CFD1-9E63-4C80-8398-95B2DD7187E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46" name="AutoShape 40" descr="Currently available antiretroviral drugs | Download Table">
          <a:extLst>
            <a:ext uri="{FF2B5EF4-FFF2-40B4-BE49-F238E27FC236}">
              <a16:creationId xmlns:a16="http://schemas.microsoft.com/office/drawing/2014/main" id="{9CCA4083-7390-49AF-9CAD-0C5A0C4C07F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47" name="AutoShape 40" descr="Currently available antiretroviral drugs | Download Table">
          <a:extLst>
            <a:ext uri="{FF2B5EF4-FFF2-40B4-BE49-F238E27FC236}">
              <a16:creationId xmlns:a16="http://schemas.microsoft.com/office/drawing/2014/main" id="{9A5DBD5E-306E-4173-992A-AE1D8BB8C7F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48" name="AutoShape 40" descr="Currently available antiretroviral drugs | Download Table">
          <a:extLst>
            <a:ext uri="{FF2B5EF4-FFF2-40B4-BE49-F238E27FC236}">
              <a16:creationId xmlns:a16="http://schemas.microsoft.com/office/drawing/2014/main" id="{877835B3-B52A-4FF0-8780-0A530A0F63D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49" name="AutoShape 40" descr="Currently available antiretroviral drugs | Download Table">
          <a:extLst>
            <a:ext uri="{FF2B5EF4-FFF2-40B4-BE49-F238E27FC236}">
              <a16:creationId xmlns:a16="http://schemas.microsoft.com/office/drawing/2014/main" id="{B2634777-827B-4D56-833F-89D8CBDD61D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50" name="AutoShape 40" descr="Currently available antiretroviral drugs | Download Table">
          <a:extLst>
            <a:ext uri="{FF2B5EF4-FFF2-40B4-BE49-F238E27FC236}">
              <a16:creationId xmlns:a16="http://schemas.microsoft.com/office/drawing/2014/main" id="{C97F0F18-FA19-4607-8590-454FFA3EC7C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51" name="AutoShape 40" descr="Currently available antiretroviral drugs | Download Table">
          <a:extLst>
            <a:ext uri="{FF2B5EF4-FFF2-40B4-BE49-F238E27FC236}">
              <a16:creationId xmlns:a16="http://schemas.microsoft.com/office/drawing/2014/main" id="{5E8008B7-2575-4E29-9B97-62E641E6F4E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52" name="AutoShape 40" descr="Currently available antiretroviral drugs | Download Table">
          <a:extLst>
            <a:ext uri="{FF2B5EF4-FFF2-40B4-BE49-F238E27FC236}">
              <a16:creationId xmlns:a16="http://schemas.microsoft.com/office/drawing/2014/main" id="{D633BF25-1EB9-4F80-994D-E3387DF85DD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53" name="AutoShape 40" descr="Currently available antiretroviral drugs | Download Table">
          <a:extLst>
            <a:ext uri="{FF2B5EF4-FFF2-40B4-BE49-F238E27FC236}">
              <a16:creationId xmlns:a16="http://schemas.microsoft.com/office/drawing/2014/main" id="{60DE33CA-452F-43E8-A730-5B43D931E59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54" name="AutoShape 40" descr="Currently available antiretroviral drugs | Download Table">
          <a:extLst>
            <a:ext uri="{FF2B5EF4-FFF2-40B4-BE49-F238E27FC236}">
              <a16:creationId xmlns:a16="http://schemas.microsoft.com/office/drawing/2014/main" id="{FFD602EF-2973-4E65-A020-E64C4D47796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55" name="AutoShape 40" descr="Currently available antiretroviral drugs | Download Table">
          <a:extLst>
            <a:ext uri="{FF2B5EF4-FFF2-40B4-BE49-F238E27FC236}">
              <a16:creationId xmlns:a16="http://schemas.microsoft.com/office/drawing/2014/main" id="{0FBF08A7-FDF5-43AE-9A39-018EB4D8871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56" name="AutoShape 40" descr="Currently available antiretroviral drugs | Download Table">
          <a:extLst>
            <a:ext uri="{FF2B5EF4-FFF2-40B4-BE49-F238E27FC236}">
              <a16:creationId xmlns:a16="http://schemas.microsoft.com/office/drawing/2014/main" id="{87A75855-F30C-4219-81EA-65E44752636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57" name="AutoShape 40" descr="Currently available antiretroviral drugs | Download Table">
          <a:extLst>
            <a:ext uri="{FF2B5EF4-FFF2-40B4-BE49-F238E27FC236}">
              <a16:creationId xmlns:a16="http://schemas.microsoft.com/office/drawing/2014/main" id="{BFF64F1F-FE6D-4642-AB8C-01923470528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58" name="AutoShape 40" descr="Currently available antiretroviral drugs | Download Table">
          <a:extLst>
            <a:ext uri="{FF2B5EF4-FFF2-40B4-BE49-F238E27FC236}">
              <a16:creationId xmlns:a16="http://schemas.microsoft.com/office/drawing/2014/main" id="{C0413623-682F-4651-9A73-CE80AF47A05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59" name="AutoShape 40" descr="Currently available antiretroviral drugs | Download Table">
          <a:extLst>
            <a:ext uri="{FF2B5EF4-FFF2-40B4-BE49-F238E27FC236}">
              <a16:creationId xmlns:a16="http://schemas.microsoft.com/office/drawing/2014/main" id="{1FEEF7C4-9C60-47AD-92B2-8B3267CC082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60" name="AutoShape 40" descr="Currently available antiretroviral drugs | Download Table">
          <a:extLst>
            <a:ext uri="{FF2B5EF4-FFF2-40B4-BE49-F238E27FC236}">
              <a16:creationId xmlns:a16="http://schemas.microsoft.com/office/drawing/2014/main" id="{8499D45D-7DE3-464A-87A4-FE9242AE0B1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61" name="AutoShape 40" descr="Currently available antiretroviral drugs | Download Table">
          <a:extLst>
            <a:ext uri="{FF2B5EF4-FFF2-40B4-BE49-F238E27FC236}">
              <a16:creationId xmlns:a16="http://schemas.microsoft.com/office/drawing/2014/main" id="{3119B812-C833-4A27-B386-A9B00ADF017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62" name="AutoShape 40" descr="Currently available antiretroviral drugs | Download Table">
          <a:extLst>
            <a:ext uri="{FF2B5EF4-FFF2-40B4-BE49-F238E27FC236}">
              <a16:creationId xmlns:a16="http://schemas.microsoft.com/office/drawing/2014/main" id="{6037B896-ED9D-4050-8051-240766F7856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63" name="AutoShape 40" descr="Currently available antiretroviral drugs | Download Table">
          <a:extLst>
            <a:ext uri="{FF2B5EF4-FFF2-40B4-BE49-F238E27FC236}">
              <a16:creationId xmlns:a16="http://schemas.microsoft.com/office/drawing/2014/main" id="{5E75ABD4-3881-40ED-A703-C0CDC21658A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64" name="AutoShape 40" descr="Currently available antiretroviral drugs | Download Table">
          <a:extLst>
            <a:ext uri="{FF2B5EF4-FFF2-40B4-BE49-F238E27FC236}">
              <a16:creationId xmlns:a16="http://schemas.microsoft.com/office/drawing/2014/main" id="{69EF436D-401A-4557-9565-B1A3C9B4FCD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65" name="AutoShape 40" descr="Currently available antiretroviral drugs | Download Table">
          <a:extLst>
            <a:ext uri="{FF2B5EF4-FFF2-40B4-BE49-F238E27FC236}">
              <a16:creationId xmlns:a16="http://schemas.microsoft.com/office/drawing/2014/main" id="{5C77F744-048F-4E11-8264-8AF0C13899F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66" name="AutoShape 40" descr="Currently available antiretroviral drugs | Download Table">
          <a:extLst>
            <a:ext uri="{FF2B5EF4-FFF2-40B4-BE49-F238E27FC236}">
              <a16:creationId xmlns:a16="http://schemas.microsoft.com/office/drawing/2014/main" id="{3668ED86-091F-4B87-BF1E-8C83A28D788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67" name="AutoShape 40" descr="Currently available antiretroviral drugs | Download Table">
          <a:extLst>
            <a:ext uri="{FF2B5EF4-FFF2-40B4-BE49-F238E27FC236}">
              <a16:creationId xmlns:a16="http://schemas.microsoft.com/office/drawing/2014/main" id="{08E687C7-2E82-4088-9271-D0CB4327487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68" name="AutoShape 40" descr="Currently available antiretroviral drugs | Download Table">
          <a:extLst>
            <a:ext uri="{FF2B5EF4-FFF2-40B4-BE49-F238E27FC236}">
              <a16:creationId xmlns:a16="http://schemas.microsoft.com/office/drawing/2014/main" id="{046B026C-FBC5-40FF-828B-DB66FE79D67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69" name="AutoShape 40" descr="Currently available antiretroviral drugs | Download Table">
          <a:extLst>
            <a:ext uri="{FF2B5EF4-FFF2-40B4-BE49-F238E27FC236}">
              <a16:creationId xmlns:a16="http://schemas.microsoft.com/office/drawing/2014/main" id="{AB3749BE-480D-4584-BB41-A813D907848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70" name="AutoShape 40" descr="Currently available antiretroviral drugs | Download Table">
          <a:extLst>
            <a:ext uri="{FF2B5EF4-FFF2-40B4-BE49-F238E27FC236}">
              <a16:creationId xmlns:a16="http://schemas.microsoft.com/office/drawing/2014/main" id="{CDB4AFEE-28DA-4269-ABBA-0FEC888B04E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71" name="AutoShape 40" descr="Currently available antiretroviral drugs | Download Table">
          <a:extLst>
            <a:ext uri="{FF2B5EF4-FFF2-40B4-BE49-F238E27FC236}">
              <a16:creationId xmlns:a16="http://schemas.microsoft.com/office/drawing/2014/main" id="{8FDF3A06-B502-42BF-8BCF-CFD71BDFA0F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72" name="AutoShape 40" descr="Currently available antiretroviral drugs | Download Table">
          <a:extLst>
            <a:ext uri="{FF2B5EF4-FFF2-40B4-BE49-F238E27FC236}">
              <a16:creationId xmlns:a16="http://schemas.microsoft.com/office/drawing/2014/main" id="{AC88EC30-C7E2-4CE7-BE58-F4F1A4A35C6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73" name="AutoShape 40" descr="Currently available antiretroviral drugs | Download Table">
          <a:extLst>
            <a:ext uri="{FF2B5EF4-FFF2-40B4-BE49-F238E27FC236}">
              <a16:creationId xmlns:a16="http://schemas.microsoft.com/office/drawing/2014/main" id="{6388522D-D1AB-4DBD-AD82-C94717F9F18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74" name="AutoShape 40" descr="Currently available antiretroviral drugs | Download Table">
          <a:extLst>
            <a:ext uri="{FF2B5EF4-FFF2-40B4-BE49-F238E27FC236}">
              <a16:creationId xmlns:a16="http://schemas.microsoft.com/office/drawing/2014/main" id="{AA95A312-AC8A-45AC-9B9F-A75EAC881DF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75" name="AutoShape 40" descr="Currently available antiretroviral drugs | Download Table">
          <a:extLst>
            <a:ext uri="{FF2B5EF4-FFF2-40B4-BE49-F238E27FC236}">
              <a16:creationId xmlns:a16="http://schemas.microsoft.com/office/drawing/2014/main" id="{9BBFE427-DF12-4BFE-9768-D2196D19AA0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76" name="AutoShape 40" descr="Currently available antiretroviral drugs | Download Table">
          <a:extLst>
            <a:ext uri="{FF2B5EF4-FFF2-40B4-BE49-F238E27FC236}">
              <a16:creationId xmlns:a16="http://schemas.microsoft.com/office/drawing/2014/main" id="{AD3483D3-23CF-4016-9884-E3F154A0C9F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77" name="AutoShape 40" descr="Currently available antiretroviral drugs | Download Table">
          <a:extLst>
            <a:ext uri="{FF2B5EF4-FFF2-40B4-BE49-F238E27FC236}">
              <a16:creationId xmlns:a16="http://schemas.microsoft.com/office/drawing/2014/main" id="{A5CE6370-88E7-4734-8EBF-14AC2F23962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78" name="AutoShape 40" descr="Currently available antiretroviral drugs | Download Table">
          <a:extLst>
            <a:ext uri="{FF2B5EF4-FFF2-40B4-BE49-F238E27FC236}">
              <a16:creationId xmlns:a16="http://schemas.microsoft.com/office/drawing/2014/main" id="{5F5C478A-CE66-4531-9ADC-A407628ABAB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79" name="AutoShape 40" descr="Currently available antiretroviral drugs | Download Table">
          <a:extLst>
            <a:ext uri="{FF2B5EF4-FFF2-40B4-BE49-F238E27FC236}">
              <a16:creationId xmlns:a16="http://schemas.microsoft.com/office/drawing/2014/main" id="{29C9B4B9-D01A-4DE0-A4B5-BDF12D414DD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80" name="AutoShape 40" descr="Currently available antiretroviral drugs | Download Table">
          <a:extLst>
            <a:ext uri="{FF2B5EF4-FFF2-40B4-BE49-F238E27FC236}">
              <a16:creationId xmlns:a16="http://schemas.microsoft.com/office/drawing/2014/main" id="{809FA114-3CA4-447D-B046-411848576EE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81" name="AutoShape 40" descr="Currently available antiretroviral drugs | Download Table">
          <a:extLst>
            <a:ext uri="{FF2B5EF4-FFF2-40B4-BE49-F238E27FC236}">
              <a16:creationId xmlns:a16="http://schemas.microsoft.com/office/drawing/2014/main" id="{6F9C9C34-9AD4-488E-9E2B-A69696E957B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82" name="AutoShape 40" descr="Currently available antiretroviral drugs | Download Table">
          <a:extLst>
            <a:ext uri="{FF2B5EF4-FFF2-40B4-BE49-F238E27FC236}">
              <a16:creationId xmlns:a16="http://schemas.microsoft.com/office/drawing/2014/main" id="{469A8B16-FEE1-4E22-849A-F10D012923D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83" name="AutoShape 40" descr="Currently available antiretroviral drugs | Download Table">
          <a:extLst>
            <a:ext uri="{FF2B5EF4-FFF2-40B4-BE49-F238E27FC236}">
              <a16:creationId xmlns:a16="http://schemas.microsoft.com/office/drawing/2014/main" id="{602610BD-B7A6-48A8-8357-5277BBE289C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84" name="AutoShape 40" descr="Currently available antiretroviral drugs | Download Table">
          <a:extLst>
            <a:ext uri="{FF2B5EF4-FFF2-40B4-BE49-F238E27FC236}">
              <a16:creationId xmlns:a16="http://schemas.microsoft.com/office/drawing/2014/main" id="{30F485C4-E22A-41F9-A269-77C4A7ADFB2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85" name="AutoShape 40" descr="Currently available antiretroviral drugs | Download Table">
          <a:extLst>
            <a:ext uri="{FF2B5EF4-FFF2-40B4-BE49-F238E27FC236}">
              <a16:creationId xmlns:a16="http://schemas.microsoft.com/office/drawing/2014/main" id="{7C37FAAA-0E39-476D-93F8-3282AADE2BE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86" name="AutoShape 40" descr="Currently available antiretroviral drugs | Download Table">
          <a:extLst>
            <a:ext uri="{FF2B5EF4-FFF2-40B4-BE49-F238E27FC236}">
              <a16:creationId xmlns:a16="http://schemas.microsoft.com/office/drawing/2014/main" id="{7EB01A61-738E-4BEA-A053-91D5DBD88EF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87" name="AutoShape 40" descr="Currently available antiretroviral drugs | Download Table">
          <a:extLst>
            <a:ext uri="{FF2B5EF4-FFF2-40B4-BE49-F238E27FC236}">
              <a16:creationId xmlns:a16="http://schemas.microsoft.com/office/drawing/2014/main" id="{8EE9CDA7-A7A6-4E0A-8E53-E11F8882D72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88" name="AutoShape 40" descr="Currently available antiretroviral drugs | Download Table">
          <a:extLst>
            <a:ext uri="{FF2B5EF4-FFF2-40B4-BE49-F238E27FC236}">
              <a16:creationId xmlns:a16="http://schemas.microsoft.com/office/drawing/2014/main" id="{930E12B1-49AA-4470-8EF3-C48BD5C7578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89" name="AutoShape 40" descr="Currently available antiretroviral drugs | Download Table">
          <a:extLst>
            <a:ext uri="{FF2B5EF4-FFF2-40B4-BE49-F238E27FC236}">
              <a16:creationId xmlns:a16="http://schemas.microsoft.com/office/drawing/2014/main" id="{DC41C72C-0BF0-4570-A85D-94B1251EA42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90" name="AutoShape 40" descr="Currently available antiretroviral drugs | Download Table">
          <a:extLst>
            <a:ext uri="{FF2B5EF4-FFF2-40B4-BE49-F238E27FC236}">
              <a16:creationId xmlns:a16="http://schemas.microsoft.com/office/drawing/2014/main" id="{DAE93C89-3A58-4FAC-AF84-9C1ABBF2741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91" name="AutoShape 40" descr="Currently available antiretroviral drugs | Download Table">
          <a:extLst>
            <a:ext uri="{FF2B5EF4-FFF2-40B4-BE49-F238E27FC236}">
              <a16:creationId xmlns:a16="http://schemas.microsoft.com/office/drawing/2014/main" id="{26AB37C5-3FBB-4A9B-BF6C-1A3DE12C6B2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92" name="AutoShape 40" descr="Currently available antiretroviral drugs | Download Table">
          <a:extLst>
            <a:ext uri="{FF2B5EF4-FFF2-40B4-BE49-F238E27FC236}">
              <a16:creationId xmlns:a16="http://schemas.microsoft.com/office/drawing/2014/main" id="{64D0D01E-5497-4BD0-BA57-FFB6354DBC7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93" name="AutoShape 40" descr="Currently available antiretroviral drugs | Download Table">
          <a:extLst>
            <a:ext uri="{FF2B5EF4-FFF2-40B4-BE49-F238E27FC236}">
              <a16:creationId xmlns:a16="http://schemas.microsoft.com/office/drawing/2014/main" id="{3C953F7B-5A7A-47C6-888E-77E82589403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94" name="AutoShape 40" descr="Currently available antiretroviral drugs | Download Table">
          <a:extLst>
            <a:ext uri="{FF2B5EF4-FFF2-40B4-BE49-F238E27FC236}">
              <a16:creationId xmlns:a16="http://schemas.microsoft.com/office/drawing/2014/main" id="{BCE089FB-53F4-4510-B4AC-AD7A6F541D3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95" name="AutoShape 40" descr="Currently available antiretroviral drugs | Download Table">
          <a:extLst>
            <a:ext uri="{FF2B5EF4-FFF2-40B4-BE49-F238E27FC236}">
              <a16:creationId xmlns:a16="http://schemas.microsoft.com/office/drawing/2014/main" id="{279383CA-3240-40E2-BF70-3E523369E5F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96" name="AutoShape 40" descr="Currently available antiretroviral drugs | Download Table">
          <a:extLst>
            <a:ext uri="{FF2B5EF4-FFF2-40B4-BE49-F238E27FC236}">
              <a16:creationId xmlns:a16="http://schemas.microsoft.com/office/drawing/2014/main" id="{38F1BB5E-846F-42C7-B09E-14A9699C3FB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97" name="AutoShape 40" descr="Currently available antiretroviral drugs | Download Table">
          <a:extLst>
            <a:ext uri="{FF2B5EF4-FFF2-40B4-BE49-F238E27FC236}">
              <a16:creationId xmlns:a16="http://schemas.microsoft.com/office/drawing/2014/main" id="{A48EE351-DE03-4412-A944-5D559D14F58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98" name="AutoShape 40" descr="Currently available antiretroviral drugs | Download Table">
          <a:extLst>
            <a:ext uri="{FF2B5EF4-FFF2-40B4-BE49-F238E27FC236}">
              <a16:creationId xmlns:a16="http://schemas.microsoft.com/office/drawing/2014/main" id="{3288C864-6652-41E2-9E07-1FEF0FEB53F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599" name="AutoShape 40" descr="Currently available antiretroviral drugs | Download Table">
          <a:extLst>
            <a:ext uri="{FF2B5EF4-FFF2-40B4-BE49-F238E27FC236}">
              <a16:creationId xmlns:a16="http://schemas.microsoft.com/office/drawing/2014/main" id="{38694C9C-4C8A-4386-BC9D-429682FAA86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00" name="AutoShape 40" descr="Currently available antiretroviral drugs | Download Table">
          <a:extLst>
            <a:ext uri="{FF2B5EF4-FFF2-40B4-BE49-F238E27FC236}">
              <a16:creationId xmlns:a16="http://schemas.microsoft.com/office/drawing/2014/main" id="{53737BF5-CCBA-4C4F-9942-BDD75B4CBB5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01" name="AutoShape 40" descr="Currently available antiretroviral drugs | Download Table">
          <a:extLst>
            <a:ext uri="{FF2B5EF4-FFF2-40B4-BE49-F238E27FC236}">
              <a16:creationId xmlns:a16="http://schemas.microsoft.com/office/drawing/2014/main" id="{5E8DF8FB-E014-4805-A3FE-547CC717262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02" name="AutoShape 40" descr="Currently available antiretroviral drugs | Download Table">
          <a:extLst>
            <a:ext uri="{FF2B5EF4-FFF2-40B4-BE49-F238E27FC236}">
              <a16:creationId xmlns:a16="http://schemas.microsoft.com/office/drawing/2014/main" id="{D726E0E7-217E-4246-B318-49E6C7A67F2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03" name="AutoShape 40" descr="Currently available antiretroviral drugs | Download Table">
          <a:extLst>
            <a:ext uri="{FF2B5EF4-FFF2-40B4-BE49-F238E27FC236}">
              <a16:creationId xmlns:a16="http://schemas.microsoft.com/office/drawing/2014/main" id="{FF6B6FE6-58DE-44B8-BF74-03B7CA539B2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04" name="AutoShape 40" descr="Currently available antiretroviral drugs | Download Table">
          <a:extLst>
            <a:ext uri="{FF2B5EF4-FFF2-40B4-BE49-F238E27FC236}">
              <a16:creationId xmlns:a16="http://schemas.microsoft.com/office/drawing/2014/main" id="{46B0AAF5-95E6-49BC-86B6-0571000FE23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05" name="AutoShape 40" descr="Currently available antiretroviral drugs | Download Table">
          <a:extLst>
            <a:ext uri="{FF2B5EF4-FFF2-40B4-BE49-F238E27FC236}">
              <a16:creationId xmlns:a16="http://schemas.microsoft.com/office/drawing/2014/main" id="{70B09D5E-2C05-49B8-97EB-180C21ED53C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06" name="AutoShape 40" descr="Currently available antiretroviral drugs | Download Table">
          <a:extLst>
            <a:ext uri="{FF2B5EF4-FFF2-40B4-BE49-F238E27FC236}">
              <a16:creationId xmlns:a16="http://schemas.microsoft.com/office/drawing/2014/main" id="{0F14BB05-8AC5-468C-BFCC-8895019E9F6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07" name="AutoShape 40" descr="Currently available antiretroviral drugs | Download Table">
          <a:extLst>
            <a:ext uri="{FF2B5EF4-FFF2-40B4-BE49-F238E27FC236}">
              <a16:creationId xmlns:a16="http://schemas.microsoft.com/office/drawing/2014/main" id="{D103446E-BF09-4DE9-B36D-AD8277BE442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08" name="AutoShape 40" descr="Currently available antiretroviral drugs | Download Table">
          <a:extLst>
            <a:ext uri="{FF2B5EF4-FFF2-40B4-BE49-F238E27FC236}">
              <a16:creationId xmlns:a16="http://schemas.microsoft.com/office/drawing/2014/main" id="{9AD9686C-695B-4BEF-AD6B-E6CFF4114C7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09" name="AutoShape 40" descr="Currently available antiretroviral drugs | Download Table">
          <a:extLst>
            <a:ext uri="{FF2B5EF4-FFF2-40B4-BE49-F238E27FC236}">
              <a16:creationId xmlns:a16="http://schemas.microsoft.com/office/drawing/2014/main" id="{D7AFA051-63FE-43DD-9451-336B023310E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10" name="AutoShape 40" descr="Currently available antiretroviral drugs | Download Table">
          <a:extLst>
            <a:ext uri="{FF2B5EF4-FFF2-40B4-BE49-F238E27FC236}">
              <a16:creationId xmlns:a16="http://schemas.microsoft.com/office/drawing/2014/main" id="{9F2099DF-2FAE-4B23-97C6-BDDC2821296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11" name="AutoShape 40" descr="Currently available antiretroviral drugs | Download Table">
          <a:extLst>
            <a:ext uri="{FF2B5EF4-FFF2-40B4-BE49-F238E27FC236}">
              <a16:creationId xmlns:a16="http://schemas.microsoft.com/office/drawing/2014/main" id="{54A856A0-3D20-48DB-9778-3C53833B2BF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12" name="AutoShape 40" descr="Currently available antiretroviral drugs | Download Table">
          <a:extLst>
            <a:ext uri="{FF2B5EF4-FFF2-40B4-BE49-F238E27FC236}">
              <a16:creationId xmlns:a16="http://schemas.microsoft.com/office/drawing/2014/main" id="{C56789F0-AB1E-46F8-9376-A14882E6CB5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13" name="AutoShape 40" descr="Currently available antiretroviral drugs | Download Table">
          <a:extLst>
            <a:ext uri="{FF2B5EF4-FFF2-40B4-BE49-F238E27FC236}">
              <a16:creationId xmlns:a16="http://schemas.microsoft.com/office/drawing/2014/main" id="{E9D331BD-12F5-49DA-B101-517E6AA742A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14" name="AutoShape 40" descr="Currently available antiretroviral drugs | Download Table">
          <a:extLst>
            <a:ext uri="{FF2B5EF4-FFF2-40B4-BE49-F238E27FC236}">
              <a16:creationId xmlns:a16="http://schemas.microsoft.com/office/drawing/2014/main" id="{2F6646EF-D98B-4CB1-BEC2-4FE1E5E14BF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15" name="AutoShape 40" descr="Currently available antiretroviral drugs | Download Table">
          <a:extLst>
            <a:ext uri="{FF2B5EF4-FFF2-40B4-BE49-F238E27FC236}">
              <a16:creationId xmlns:a16="http://schemas.microsoft.com/office/drawing/2014/main" id="{61D06B39-5D71-45A9-8936-7C385AD9362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16" name="AutoShape 40" descr="Currently available antiretroviral drugs | Download Table">
          <a:extLst>
            <a:ext uri="{FF2B5EF4-FFF2-40B4-BE49-F238E27FC236}">
              <a16:creationId xmlns:a16="http://schemas.microsoft.com/office/drawing/2014/main" id="{96F89032-4090-478A-93AA-D3F4EE90B90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17" name="AutoShape 40" descr="Currently available antiretroviral drugs | Download Table">
          <a:extLst>
            <a:ext uri="{FF2B5EF4-FFF2-40B4-BE49-F238E27FC236}">
              <a16:creationId xmlns:a16="http://schemas.microsoft.com/office/drawing/2014/main" id="{33CB17A8-A912-46FB-9DFD-679746B6098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18" name="AutoShape 40" descr="Currently available antiretroviral drugs | Download Table">
          <a:extLst>
            <a:ext uri="{FF2B5EF4-FFF2-40B4-BE49-F238E27FC236}">
              <a16:creationId xmlns:a16="http://schemas.microsoft.com/office/drawing/2014/main" id="{9C94452A-416D-4BD1-A335-443A9476C08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19" name="AutoShape 40" descr="Currently available antiretroviral drugs | Download Table">
          <a:extLst>
            <a:ext uri="{FF2B5EF4-FFF2-40B4-BE49-F238E27FC236}">
              <a16:creationId xmlns:a16="http://schemas.microsoft.com/office/drawing/2014/main" id="{1EBA8C2C-A076-44BB-A670-8C5FF71189F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20" name="AutoShape 40" descr="Currently available antiretroviral drugs | Download Table">
          <a:extLst>
            <a:ext uri="{FF2B5EF4-FFF2-40B4-BE49-F238E27FC236}">
              <a16:creationId xmlns:a16="http://schemas.microsoft.com/office/drawing/2014/main" id="{6285E753-273B-4CDB-B99C-766225F793B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21" name="AutoShape 40" descr="Currently available antiretroviral drugs | Download Table">
          <a:extLst>
            <a:ext uri="{FF2B5EF4-FFF2-40B4-BE49-F238E27FC236}">
              <a16:creationId xmlns:a16="http://schemas.microsoft.com/office/drawing/2014/main" id="{37D2FDC5-6DA8-4E63-BB77-E1FA60281E8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22" name="AutoShape 40" descr="Currently available antiretroviral drugs | Download Table">
          <a:extLst>
            <a:ext uri="{FF2B5EF4-FFF2-40B4-BE49-F238E27FC236}">
              <a16:creationId xmlns:a16="http://schemas.microsoft.com/office/drawing/2014/main" id="{62DD2221-A364-4CC4-81FD-17F3A800ADC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23" name="AutoShape 40" descr="Currently available antiretroviral drugs | Download Table">
          <a:extLst>
            <a:ext uri="{FF2B5EF4-FFF2-40B4-BE49-F238E27FC236}">
              <a16:creationId xmlns:a16="http://schemas.microsoft.com/office/drawing/2014/main" id="{74982D14-26C9-4A50-9E78-F568F1238F1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24" name="AutoShape 40" descr="Currently available antiretroviral drugs | Download Table">
          <a:extLst>
            <a:ext uri="{FF2B5EF4-FFF2-40B4-BE49-F238E27FC236}">
              <a16:creationId xmlns:a16="http://schemas.microsoft.com/office/drawing/2014/main" id="{984332C0-A94C-4F80-8EE7-FDF0D7CA09D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25" name="AutoShape 40" descr="Currently available antiretroviral drugs | Download Table">
          <a:extLst>
            <a:ext uri="{FF2B5EF4-FFF2-40B4-BE49-F238E27FC236}">
              <a16:creationId xmlns:a16="http://schemas.microsoft.com/office/drawing/2014/main" id="{AEEF6A60-725A-421B-BC86-6C9D5A3ADC9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26" name="AutoShape 40" descr="Currently available antiretroviral drugs | Download Table">
          <a:extLst>
            <a:ext uri="{FF2B5EF4-FFF2-40B4-BE49-F238E27FC236}">
              <a16:creationId xmlns:a16="http://schemas.microsoft.com/office/drawing/2014/main" id="{3F51C5DE-1F57-4F96-BF76-E6891998DE8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27" name="AutoShape 40" descr="Currently available antiretroviral drugs | Download Table">
          <a:extLst>
            <a:ext uri="{FF2B5EF4-FFF2-40B4-BE49-F238E27FC236}">
              <a16:creationId xmlns:a16="http://schemas.microsoft.com/office/drawing/2014/main" id="{F804F481-8D04-42EC-B15F-FAB54D9E6F8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28" name="AutoShape 40" descr="Currently available antiretroviral drugs | Download Table">
          <a:extLst>
            <a:ext uri="{FF2B5EF4-FFF2-40B4-BE49-F238E27FC236}">
              <a16:creationId xmlns:a16="http://schemas.microsoft.com/office/drawing/2014/main" id="{D2CBA479-76B3-421C-9D34-66BF40B1E98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29" name="AutoShape 40" descr="Currently available antiretroviral drugs | Download Table">
          <a:extLst>
            <a:ext uri="{FF2B5EF4-FFF2-40B4-BE49-F238E27FC236}">
              <a16:creationId xmlns:a16="http://schemas.microsoft.com/office/drawing/2014/main" id="{4C7A5B40-7796-4A78-BE91-EE60351C1AD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30" name="AutoShape 40" descr="Currently available antiretroviral drugs | Download Table">
          <a:extLst>
            <a:ext uri="{FF2B5EF4-FFF2-40B4-BE49-F238E27FC236}">
              <a16:creationId xmlns:a16="http://schemas.microsoft.com/office/drawing/2014/main" id="{B17A8D93-398A-498A-9FF1-C7DC2130AB7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31" name="AutoShape 40" descr="Currently available antiretroviral drugs | Download Table">
          <a:extLst>
            <a:ext uri="{FF2B5EF4-FFF2-40B4-BE49-F238E27FC236}">
              <a16:creationId xmlns:a16="http://schemas.microsoft.com/office/drawing/2014/main" id="{5A13FE09-A473-4AA4-987F-D453E09EBC3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32" name="AutoShape 40" descr="Currently available antiretroviral drugs | Download Table">
          <a:extLst>
            <a:ext uri="{FF2B5EF4-FFF2-40B4-BE49-F238E27FC236}">
              <a16:creationId xmlns:a16="http://schemas.microsoft.com/office/drawing/2014/main" id="{3DD846F5-B750-4698-8245-AD275206915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33" name="AutoShape 40" descr="Currently available antiretroviral drugs | Download Table">
          <a:extLst>
            <a:ext uri="{FF2B5EF4-FFF2-40B4-BE49-F238E27FC236}">
              <a16:creationId xmlns:a16="http://schemas.microsoft.com/office/drawing/2014/main" id="{A6CDFC5D-8260-4CF2-989F-FE369B114B9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34" name="AutoShape 40" descr="Currently available antiretroviral drugs | Download Table">
          <a:extLst>
            <a:ext uri="{FF2B5EF4-FFF2-40B4-BE49-F238E27FC236}">
              <a16:creationId xmlns:a16="http://schemas.microsoft.com/office/drawing/2014/main" id="{CECC2D82-9C2B-42CF-8F75-2D4310BA8A1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35" name="AutoShape 40" descr="Currently available antiretroviral drugs | Download Table">
          <a:extLst>
            <a:ext uri="{FF2B5EF4-FFF2-40B4-BE49-F238E27FC236}">
              <a16:creationId xmlns:a16="http://schemas.microsoft.com/office/drawing/2014/main" id="{EAA0CA97-2AE9-4179-BEB9-E21A46F73B6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36" name="AutoShape 40" descr="Currently available antiretroviral drugs | Download Table">
          <a:extLst>
            <a:ext uri="{FF2B5EF4-FFF2-40B4-BE49-F238E27FC236}">
              <a16:creationId xmlns:a16="http://schemas.microsoft.com/office/drawing/2014/main" id="{4D4B3984-9558-4E72-84E8-4867F13363B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37" name="AutoShape 40" descr="Currently available antiretroviral drugs | Download Table">
          <a:extLst>
            <a:ext uri="{FF2B5EF4-FFF2-40B4-BE49-F238E27FC236}">
              <a16:creationId xmlns:a16="http://schemas.microsoft.com/office/drawing/2014/main" id="{655F6BB8-90A3-4DE9-A032-305F3F3DAF7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38" name="AutoShape 40" descr="Currently available antiretroviral drugs | Download Table">
          <a:extLst>
            <a:ext uri="{FF2B5EF4-FFF2-40B4-BE49-F238E27FC236}">
              <a16:creationId xmlns:a16="http://schemas.microsoft.com/office/drawing/2014/main" id="{8B424DCF-925D-43D6-9793-A85A85161A1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39" name="AutoShape 40" descr="Currently available antiretroviral drugs | Download Table">
          <a:extLst>
            <a:ext uri="{FF2B5EF4-FFF2-40B4-BE49-F238E27FC236}">
              <a16:creationId xmlns:a16="http://schemas.microsoft.com/office/drawing/2014/main" id="{4953D1BD-4980-44D9-B49E-6F9F9791C94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40" name="AutoShape 40" descr="Currently available antiretroviral drugs | Download Table">
          <a:extLst>
            <a:ext uri="{FF2B5EF4-FFF2-40B4-BE49-F238E27FC236}">
              <a16:creationId xmlns:a16="http://schemas.microsoft.com/office/drawing/2014/main" id="{46E3C5D1-4DB7-4469-BF54-A6C15A0C46B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41" name="AutoShape 40" descr="Currently available antiretroviral drugs | Download Table">
          <a:extLst>
            <a:ext uri="{FF2B5EF4-FFF2-40B4-BE49-F238E27FC236}">
              <a16:creationId xmlns:a16="http://schemas.microsoft.com/office/drawing/2014/main" id="{AA5E98DE-E859-4DAA-92B5-830EB4B7DDB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42" name="AutoShape 40" descr="Currently available antiretroviral drugs | Download Table">
          <a:extLst>
            <a:ext uri="{FF2B5EF4-FFF2-40B4-BE49-F238E27FC236}">
              <a16:creationId xmlns:a16="http://schemas.microsoft.com/office/drawing/2014/main" id="{80144407-234C-4A62-A164-7EC7741698A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43" name="AutoShape 40" descr="Currently available antiretroviral drugs | Download Table">
          <a:extLst>
            <a:ext uri="{FF2B5EF4-FFF2-40B4-BE49-F238E27FC236}">
              <a16:creationId xmlns:a16="http://schemas.microsoft.com/office/drawing/2014/main" id="{3F7FB583-66BE-42F9-9BA1-3094DF00D05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44" name="AutoShape 40" descr="Currently available antiretroviral drugs | Download Table">
          <a:extLst>
            <a:ext uri="{FF2B5EF4-FFF2-40B4-BE49-F238E27FC236}">
              <a16:creationId xmlns:a16="http://schemas.microsoft.com/office/drawing/2014/main" id="{EA4B16C1-AF6A-438B-979F-269BA5D9B89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45" name="AutoShape 40" descr="Currently available antiretroviral drugs | Download Table">
          <a:extLst>
            <a:ext uri="{FF2B5EF4-FFF2-40B4-BE49-F238E27FC236}">
              <a16:creationId xmlns:a16="http://schemas.microsoft.com/office/drawing/2014/main" id="{60825C11-A397-4F8C-A4F3-7FD121AA766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46" name="AutoShape 40" descr="Currently available antiretroviral drugs | Download Table">
          <a:extLst>
            <a:ext uri="{FF2B5EF4-FFF2-40B4-BE49-F238E27FC236}">
              <a16:creationId xmlns:a16="http://schemas.microsoft.com/office/drawing/2014/main" id="{ED598A71-CCBB-470F-AC3E-9D967CCEB91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47" name="AutoShape 40" descr="Currently available antiretroviral drugs | Download Table">
          <a:extLst>
            <a:ext uri="{FF2B5EF4-FFF2-40B4-BE49-F238E27FC236}">
              <a16:creationId xmlns:a16="http://schemas.microsoft.com/office/drawing/2014/main" id="{DE2E698A-D417-4EAB-8AC1-56BB401C9F8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48" name="AutoShape 40" descr="Currently available antiretroviral drugs | Download Table">
          <a:extLst>
            <a:ext uri="{FF2B5EF4-FFF2-40B4-BE49-F238E27FC236}">
              <a16:creationId xmlns:a16="http://schemas.microsoft.com/office/drawing/2014/main" id="{61DD9CFA-745A-4A94-BC9F-09814721BF2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49" name="AutoShape 40" descr="Currently available antiretroviral drugs | Download Table">
          <a:extLst>
            <a:ext uri="{FF2B5EF4-FFF2-40B4-BE49-F238E27FC236}">
              <a16:creationId xmlns:a16="http://schemas.microsoft.com/office/drawing/2014/main" id="{9EFFDC93-4420-4A69-B35B-92BBB29F555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50" name="AutoShape 40" descr="Currently available antiretroviral drugs | Download Table">
          <a:extLst>
            <a:ext uri="{FF2B5EF4-FFF2-40B4-BE49-F238E27FC236}">
              <a16:creationId xmlns:a16="http://schemas.microsoft.com/office/drawing/2014/main" id="{F0894F7F-E0FB-4D22-9C32-662B4E4F016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51" name="AutoShape 40" descr="Currently available antiretroviral drugs | Download Table">
          <a:extLst>
            <a:ext uri="{FF2B5EF4-FFF2-40B4-BE49-F238E27FC236}">
              <a16:creationId xmlns:a16="http://schemas.microsoft.com/office/drawing/2014/main" id="{33A4C90F-2CEF-4C19-B26A-0FF77AB490B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52" name="AutoShape 40" descr="Currently available antiretroviral drugs | Download Table">
          <a:extLst>
            <a:ext uri="{FF2B5EF4-FFF2-40B4-BE49-F238E27FC236}">
              <a16:creationId xmlns:a16="http://schemas.microsoft.com/office/drawing/2014/main" id="{DAFC5846-3986-4463-A406-758B83556DD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53" name="AutoShape 40" descr="Currently available antiretroviral drugs | Download Table">
          <a:extLst>
            <a:ext uri="{FF2B5EF4-FFF2-40B4-BE49-F238E27FC236}">
              <a16:creationId xmlns:a16="http://schemas.microsoft.com/office/drawing/2014/main" id="{28868BBB-97E7-495E-B4E4-27C8FF52AD5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54" name="AutoShape 40" descr="Currently available antiretroviral drugs | Download Table">
          <a:extLst>
            <a:ext uri="{FF2B5EF4-FFF2-40B4-BE49-F238E27FC236}">
              <a16:creationId xmlns:a16="http://schemas.microsoft.com/office/drawing/2014/main" id="{208F44F2-B1F3-4693-AC30-706294D2E52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55" name="AutoShape 40" descr="Currently available antiretroviral drugs | Download Table">
          <a:extLst>
            <a:ext uri="{FF2B5EF4-FFF2-40B4-BE49-F238E27FC236}">
              <a16:creationId xmlns:a16="http://schemas.microsoft.com/office/drawing/2014/main" id="{5C35FCE8-E54F-48A7-9716-1DBA7A0500B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56" name="AutoShape 40" descr="Currently available antiretroviral drugs | Download Table">
          <a:extLst>
            <a:ext uri="{FF2B5EF4-FFF2-40B4-BE49-F238E27FC236}">
              <a16:creationId xmlns:a16="http://schemas.microsoft.com/office/drawing/2014/main" id="{95C86721-0338-4D0F-90E5-A4A8A9E46F3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57" name="AutoShape 40" descr="Currently available antiretroviral drugs | Download Table">
          <a:extLst>
            <a:ext uri="{FF2B5EF4-FFF2-40B4-BE49-F238E27FC236}">
              <a16:creationId xmlns:a16="http://schemas.microsoft.com/office/drawing/2014/main" id="{990740FE-5E5A-4B50-A29D-1A40E8C24A7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58" name="AutoShape 40" descr="Currently available antiretroviral drugs | Download Table">
          <a:extLst>
            <a:ext uri="{FF2B5EF4-FFF2-40B4-BE49-F238E27FC236}">
              <a16:creationId xmlns:a16="http://schemas.microsoft.com/office/drawing/2014/main" id="{299790B1-C582-4DCB-88AC-BCD8FE92BE3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59" name="AutoShape 40" descr="Currently available antiretroviral drugs | Download Table">
          <a:extLst>
            <a:ext uri="{FF2B5EF4-FFF2-40B4-BE49-F238E27FC236}">
              <a16:creationId xmlns:a16="http://schemas.microsoft.com/office/drawing/2014/main" id="{64E23250-F36E-4E5F-8738-6A4350A1FE5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60" name="AutoShape 40" descr="Currently available antiretroviral drugs | Download Table">
          <a:extLst>
            <a:ext uri="{FF2B5EF4-FFF2-40B4-BE49-F238E27FC236}">
              <a16:creationId xmlns:a16="http://schemas.microsoft.com/office/drawing/2014/main" id="{0391D968-7A93-4D38-BE14-C2669807364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61" name="AutoShape 40" descr="Currently available antiretroviral drugs | Download Table">
          <a:extLst>
            <a:ext uri="{FF2B5EF4-FFF2-40B4-BE49-F238E27FC236}">
              <a16:creationId xmlns:a16="http://schemas.microsoft.com/office/drawing/2014/main" id="{892F99BB-4059-45B3-8397-B5DB1AB2BE9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62" name="AutoShape 40" descr="Currently available antiretroviral drugs | Download Table">
          <a:extLst>
            <a:ext uri="{FF2B5EF4-FFF2-40B4-BE49-F238E27FC236}">
              <a16:creationId xmlns:a16="http://schemas.microsoft.com/office/drawing/2014/main" id="{5CA188DA-ED40-480D-A4C6-968A0B147AD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63" name="AutoShape 40" descr="Currently available antiretroviral drugs | Download Table">
          <a:extLst>
            <a:ext uri="{FF2B5EF4-FFF2-40B4-BE49-F238E27FC236}">
              <a16:creationId xmlns:a16="http://schemas.microsoft.com/office/drawing/2014/main" id="{1F217CD9-9079-43A0-A002-0E27A67CEAF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64" name="AutoShape 40" descr="Currently available antiretroviral drugs | Download Table">
          <a:extLst>
            <a:ext uri="{FF2B5EF4-FFF2-40B4-BE49-F238E27FC236}">
              <a16:creationId xmlns:a16="http://schemas.microsoft.com/office/drawing/2014/main" id="{CB72270F-ECD5-4D5E-9FD0-2295C6C53E2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65" name="AutoShape 40" descr="Currently available antiretroviral drugs | Download Table">
          <a:extLst>
            <a:ext uri="{FF2B5EF4-FFF2-40B4-BE49-F238E27FC236}">
              <a16:creationId xmlns:a16="http://schemas.microsoft.com/office/drawing/2014/main" id="{4B0B53D0-F2B7-4A69-AB49-07096373344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66" name="AutoShape 40" descr="Currently available antiretroviral drugs | Download Table">
          <a:extLst>
            <a:ext uri="{FF2B5EF4-FFF2-40B4-BE49-F238E27FC236}">
              <a16:creationId xmlns:a16="http://schemas.microsoft.com/office/drawing/2014/main" id="{90FD7716-1F20-4503-AE97-D84EF8C53A6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67" name="AutoShape 40" descr="Currently available antiretroviral drugs | Download Table">
          <a:extLst>
            <a:ext uri="{FF2B5EF4-FFF2-40B4-BE49-F238E27FC236}">
              <a16:creationId xmlns:a16="http://schemas.microsoft.com/office/drawing/2014/main" id="{FF345D7B-D472-4FF3-A2F7-384DBA630AD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68" name="AutoShape 40" descr="Currently available antiretroviral drugs | Download Table">
          <a:extLst>
            <a:ext uri="{FF2B5EF4-FFF2-40B4-BE49-F238E27FC236}">
              <a16:creationId xmlns:a16="http://schemas.microsoft.com/office/drawing/2014/main" id="{C15F2436-5794-419D-8B3D-FA98CE222B3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69" name="AutoShape 40" descr="Currently available antiretroviral drugs | Download Table">
          <a:extLst>
            <a:ext uri="{FF2B5EF4-FFF2-40B4-BE49-F238E27FC236}">
              <a16:creationId xmlns:a16="http://schemas.microsoft.com/office/drawing/2014/main" id="{C6ECDE62-1EB5-4E9D-A460-EE28A76A184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70" name="AutoShape 40" descr="Currently available antiretroviral drugs | Download Table">
          <a:extLst>
            <a:ext uri="{FF2B5EF4-FFF2-40B4-BE49-F238E27FC236}">
              <a16:creationId xmlns:a16="http://schemas.microsoft.com/office/drawing/2014/main" id="{96939EF8-2E5E-42F8-B41E-6633501FE5D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71" name="AutoShape 40" descr="Currently available antiretroviral drugs | Download Table">
          <a:extLst>
            <a:ext uri="{FF2B5EF4-FFF2-40B4-BE49-F238E27FC236}">
              <a16:creationId xmlns:a16="http://schemas.microsoft.com/office/drawing/2014/main" id="{EBC7D29F-467C-4350-8FD0-864BB42C339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72" name="AutoShape 40" descr="Currently available antiretroviral drugs | Download Table">
          <a:extLst>
            <a:ext uri="{FF2B5EF4-FFF2-40B4-BE49-F238E27FC236}">
              <a16:creationId xmlns:a16="http://schemas.microsoft.com/office/drawing/2014/main" id="{485ACB8A-A985-416E-9550-E5C2E3F59E4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73" name="AutoShape 40" descr="Currently available antiretroviral drugs | Download Table">
          <a:extLst>
            <a:ext uri="{FF2B5EF4-FFF2-40B4-BE49-F238E27FC236}">
              <a16:creationId xmlns:a16="http://schemas.microsoft.com/office/drawing/2014/main" id="{87FEF118-1484-4B2E-80FE-E22EC13F68E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74" name="AutoShape 40" descr="Currently available antiretroviral drugs | Download Table">
          <a:extLst>
            <a:ext uri="{FF2B5EF4-FFF2-40B4-BE49-F238E27FC236}">
              <a16:creationId xmlns:a16="http://schemas.microsoft.com/office/drawing/2014/main" id="{AA4F995F-E26A-4361-9B58-3AFD0D50B6F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75" name="AutoShape 40" descr="Currently available antiretroviral drugs | Download Table">
          <a:extLst>
            <a:ext uri="{FF2B5EF4-FFF2-40B4-BE49-F238E27FC236}">
              <a16:creationId xmlns:a16="http://schemas.microsoft.com/office/drawing/2014/main" id="{61BBCC32-6592-4A38-818A-67B2224F187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76" name="AutoShape 40" descr="Currently available antiretroviral drugs | Download Table">
          <a:extLst>
            <a:ext uri="{FF2B5EF4-FFF2-40B4-BE49-F238E27FC236}">
              <a16:creationId xmlns:a16="http://schemas.microsoft.com/office/drawing/2014/main" id="{2B94742D-BBBF-4686-8645-7C16E9384D2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77" name="AutoShape 40" descr="Currently available antiretroviral drugs | Download Table">
          <a:extLst>
            <a:ext uri="{FF2B5EF4-FFF2-40B4-BE49-F238E27FC236}">
              <a16:creationId xmlns:a16="http://schemas.microsoft.com/office/drawing/2014/main" id="{F5F05333-28E5-4F53-A79F-AFB7EBA59A7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78" name="AutoShape 40" descr="Currently available antiretroviral drugs | Download Table">
          <a:extLst>
            <a:ext uri="{FF2B5EF4-FFF2-40B4-BE49-F238E27FC236}">
              <a16:creationId xmlns:a16="http://schemas.microsoft.com/office/drawing/2014/main" id="{8FD1805C-27B6-4E90-A9BB-8863391FCEA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79" name="AutoShape 40" descr="Currently available antiretroviral drugs | Download Table">
          <a:extLst>
            <a:ext uri="{FF2B5EF4-FFF2-40B4-BE49-F238E27FC236}">
              <a16:creationId xmlns:a16="http://schemas.microsoft.com/office/drawing/2014/main" id="{BFE94336-0C23-4FFB-A255-C0DAA4D8759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80" name="AutoShape 40" descr="Currently available antiretroviral drugs | Download Table">
          <a:extLst>
            <a:ext uri="{FF2B5EF4-FFF2-40B4-BE49-F238E27FC236}">
              <a16:creationId xmlns:a16="http://schemas.microsoft.com/office/drawing/2014/main" id="{F32CA4DB-8A70-4B3A-A09D-FF84C8EF9EF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81" name="AutoShape 40" descr="Currently available antiretroviral drugs | Download Table">
          <a:extLst>
            <a:ext uri="{FF2B5EF4-FFF2-40B4-BE49-F238E27FC236}">
              <a16:creationId xmlns:a16="http://schemas.microsoft.com/office/drawing/2014/main" id="{2DE6BB31-BC49-4DD0-939B-ECA9FA2076C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82" name="AutoShape 40" descr="Currently available antiretroviral drugs | Download Table">
          <a:extLst>
            <a:ext uri="{FF2B5EF4-FFF2-40B4-BE49-F238E27FC236}">
              <a16:creationId xmlns:a16="http://schemas.microsoft.com/office/drawing/2014/main" id="{B7BCC16B-3C6B-46D6-9D2E-E68C3CA8ED7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83" name="AutoShape 40" descr="Currently available antiretroviral drugs | Download Table">
          <a:extLst>
            <a:ext uri="{FF2B5EF4-FFF2-40B4-BE49-F238E27FC236}">
              <a16:creationId xmlns:a16="http://schemas.microsoft.com/office/drawing/2014/main" id="{B5708847-9FDE-43E6-A831-9C574F8E010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84" name="AutoShape 40" descr="Currently available antiretroviral drugs | Download Table">
          <a:extLst>
            <a:ext uri="{FF2B5EF4-FFF2-40B4-BE49-F238E27FC236}">
              <a16:creationId xmlns:a16="http://schemas.microsoft.com/office/drawing/2014/main" id="{8D3F0C2B-7EAA-4DA4-855B-731E978C6A1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85" name="AutoShape 40" descr="Currently available antiretroviral drugs | Download Table">
          <a:extLst>
            <a:ext uri="{FF2B5EF4-FFF2-40B4-BE49-F238E27FC236}">
              <a16:creationId xmlns:a16="http://schemas.microsoft.com/office/drawing/2014/main" id="{F94E51C0-544D-4273-A0E7-3EAB64F3EB4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86" name="AutoShape 40" descr="Currently available antiretroviral drugs | Download Table">
          <a:extLst>
            <a:ext uri="{FF2B5EF4-FFF2-40B4-BE49-F238E27FC236}">
              <a16:creationId xmlns:a16="http://schemas.microsoft.com/office/drawing/2014/main" id="{7BD67226-E7D1-4591-8C92-BA86D2D7935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87" name="AutoShape 40" descr="Currently available antiretroviral drugs | Download Table">
          <a:extLst>
            <a:ext uri="{FF2B5EF4-FFF2-40B4-BE49-F238E27FC236}">
              <a16:creationId xmlns:a16="http://schemas.microsoft.com/office/drawing/2014/main" id="{78F1F6E7-8D3D-4F0F-ABAD-D110D49061C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88" name="AutoShape 40" descr="Currently available antiretroviral drugs | Download Table">
          <a:extLst>
            <a:ext uri="{FF2B5EF4-FFF2-40B4-BE49-F238E27FC236}">
              <a16:creationId xmlns:a16="http://schemas.microsoft.com/office/drawing/2014/main" id="{A0A0D891-D631-4768-9B22-4018C10A891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89" name="AutoShape 40" descr="Currently available antiretroviral drugs | Download Table">
          <a:extLst>
            <a:ext uri="{FF2B5EF4-FFF2-40B4-BE49-F238E27FC236}">
              <a16:creationId xmlns:a16="http://schemas.microsoft.com/office/drawing/2014/main" id="{B230F1E7-7CBB-41C4-8A7B-EE546AB79ED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90" name="AutoShape 40" descr="Currently available antiretroviral drugs | Download Table">
          <a:extLst>
            <a:ext uri="{FF2B5EF4-FFF2-40B4-BE49-F238E27FC236}">
              <a16:creationId xmlns:a16="http://schemas.microsoft.com/office/drawing/2014/main" id="{340A31AC-658B-4D0D-A04F-7EBDC22E29E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91" name="AutoShape 40" descr="Currently available antiretroviral drugs | Download Table">
          <a:extLst>
            <a:ext uri="{FF2B5EF4-FFF2-40B4-BE49-F238E27FC236}">
              <a16:creationId xmlns:a16="http://schemas.microsoft.com/office/drawing/2014/main" id="{4A84A1C9-E867-41E1-AAFD-17F38F3F3E9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92" name="AutoShape 40" descr="Currently available antiretroviral drugs | Download Table">
          <a:extLst>
            <a:ext uri="{FF2B5EF4-FFF2-40B4-BE49-F238E27FC236}">
              <a16:creationId xmlns:a16="http://schemas.microsoft.com/office/drawing/2014/main" id="{4A0919CB-29C1-4320-B88C-342EDBB2252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93" name="AutoShape 40" descr="Currently available antiretroviral drugs | Download Table">
          <a:extLst>
            <a:ext uri="{FF2B5EF4-FFF2-40B4-BE49-F238E27FC236}">
              <a16:creationId xmlns:a16="http://schemas.microsoft.com/office/drawing/2014/main" id="{C103640B-6292-4858-8B9B-C6C0934325E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94" name="AutoShape 40" descr="Currently available antiretroviral drugs | Download Table">
          <a:extLst>
            <a:ext uri="{FF2B5EF4-FFF2-40B4-BE49-F238E27FC236}">
              <a16:creationId xmlns:a16="http://schemas.microsoft.com/office/drawing/2014/main" id="{D356D07A-1FE2-4EE8-AAD8-98FC46F330B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95" name="AutoShape 40" descr="Currently available antiretroviral drugs | Download Table">
          <a:extLst>
            <a:ext uri="{FF2B5EF4-FFF2-40B4-BE49-F238E27FC236}">
              <a16:creationId xmlns:a16="http://schemas.microsoft.com/office/drawing/2014/main" id="{D06C3C22-D4D4-4973-9F00-53FE4D51186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96" name="AutoShape 40" descr="Currently available antiretroviral drugs | Download Table">
          <a:extLst>
            <a:ext uri="{FF2B5EF4-FFF2-40B4-BE49-F238E27FC236}">
              <a16:creationId xmlns:a16="http://schemas.microsoft.com/office/drawing/2014/main" id="{0005F8AE-6C5F-4542-857E-A2B32FB95B4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97" name="AutoShape 40" descr="Currently available antiretroviral drugs | Download Table">
          <a:extLst>
            <a:ext uri="{FF2B5EF4-FFF2-40B4-BE49-F238E27FC236}">
              <a16:creationId xmlns:a16="http://schemas.microsoft.com/office/drawing/2014/main" id="{1D4719F3-4236-46BB-B871-EC79CF771C1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98" name="AutoShape 40" descr="Currently available antiretroviral drugs | Download Table">
          <a:extLst>
            <a:ext uri="{FF2B5EF4-FFF2-40B4-BE49-F238E27FC236}">
              <a16:creationId xmlns:a16="http://schemas.microsoft.com/office/drawing/2014/main" id="{AF367603-8B10-44D6-9BF7-3F48AA92F71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699" name="AutoShape 40" descr="Currently available antiretroviral drugs | Download Table">
          <a:extLst>
            <a:ext uri="{FF2B5EF4-FFF2-40B4-BE49-F238E27FC236}">
              <a16:creationId xmlns:a16="http://schemas.microsoft.com/office/drawing/2014/main" id="{4399C790-64B6-4BB6-BE9B-6617FEB4855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00" name="AutoShape 40" descr="Currently available antiretroviral drugs | Download Table">
          <a:extLst>
            <a:ext uri="{FF2B5EF4-FFF2-40B4-BE49-F238E27FC236}">
              <a16:creationId xmlns:a16="http://schemas.microsoft.com/office/drawing/2014/main" id="{958C7023-DE29-4E76-B725-AF406E0AD1F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01" name="AutoShape 40" descr="Currently available antiretroviral drugs | Download Table">
          <a:extLst>
            <a:ext uri="{FF2B5EF4-FFF2-40B4-BE49-F238E27FC236}">
              <a16:creationId xmlns:a16="http://schemas.microsoft.com/office/drawing/2014/main" id="{23E9A6F3-E249-4914-8FBE-5E5F2C5BF2C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02" name="AutoShape 40" descr="Currently available antiretroviral drugs | Download Table">
          <a:extLst>
            <a:ext uri="{FF2B5EF4-FFF2-40B4-BE49-F238E27FC236}">
              <a16:creationId xmlns:a16="http://schemas.microsoft.com/office/drawing/2014/main" id="{4F79776F-525A-414D-BCF8-6B74B0A3C3A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03" name="AutoShape 40" descr="Currently available antiretroviral drugs | Download Table">
          <a:extLst>
            <a:ext uri="{FF2B5EF4-FFF2-40B4-BE49-F238E27FC236}">
              <a16:creationId xmlns:a16="http://schemas.microsoft.com/office/drawing/2014/main" id="{60FB858A-E1CC-489E-83D3-8E7C4D11E7A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04" name="AutoShape 40" descr="Currently available antiretroviral drugs | Download Table">
          <a:extLst>
            <a:ext uri="{FF2B5EF4-FFF2-40B4-BE49-F238E27FC236}">
              <a16:creationId xmlns:a16="http://schemas.microsoft.com/office/drawing/2014/main" id="{C71F1A28-7760-4686-8978-56E21287FB3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05" name="AutoShape 40" descr="Currently available antiretroviral drugs | Download Table">
          <a:extLst>
            <a:ext uri="{FF2B5EF4-FFF2-40B4-BE49-F238E27FC236}">
              <a16:creationId xmlns:a16="http://schemas.microsoft.com/office/drawing/2014/main" id="{741CFDF8-6302-434D-945D-3BB61E942D6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06" name="AutoShape 40" descr="Currently available antiretroviral drugs | Download Table">
          <a:extLst>
            <a:ext uri="{FF2B5EF4-FFF2-40B4-BE49-F238E27FC236}">
              <a16:creationId xmlns:a16="http://schemas.microsoft.com/office/drawing/2014/main" id="{CDD61412-F925-4D51-89CD-74AB19DD35B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07" name="AutoShape 40" descr="Currently available antiretroviral drugs | Download Table">
          <a:extLst>
            <a:ext uri="{FF2B5EF4-FFF2-40B4-BE49-F238E27FC236}">
              <a16:creationId xmlns:a16="http://schemas.microsoft.com/office/drawing/2014/main" id="{5BC4F0FD-E843-479F-975D-F0E375AD16B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08" name="AutoShape 40" descr="Currently available antiretroviral drugs | Download Table">
          <a:extLst>
            <a:ext uri="{FF2B5EF4-FFF2-40B4-BE49-F238E27FC236}">
              <a16:creationId xmlns:a16="http://schemas.microsoft.com/office/drawing/2014/main" id="{0835A1D3-8B98-442D-B05F-5F423B506DD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09" name="AutoShape 40" descr="Currently available antiretroviral drugs | Download Table">
          <a:extLst>
            <a:ext uri="{FF2B5EF4-FFF2-40B4-BE49-F238E27FC236}">
              <a16:creationId xmlns:a16="http://schemas.microsoft.com/office/drawing/2014/main" id="{10EC3ECF-E9A0-4491-92B6-AAC2E80C98B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10" name="AutoShape 40" descr="Currently available antiretroviral drugs | Download Table">
          <a:extLst>
            <a:ext uri="{FF2B5EF4-FFF2-40B4-BE49-F238E27FC236}">
              <a16:creationId xmlns:a16="http://schemas.microsoft.com/office/drawing/2014/main" id="{9EF5B6CD-C410-455C-BF78-1364508719B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11" name="AutoShape 40" descr="Currently available antiretroviral drugs | Download Table">
          <a:extLst>
            <a:ext uri="{FF2B5EF4-FFF2-40B4-BE49-F238E27FC236}">
              <a16:creationId xmlns:a16="http://schemas.microsoft.com/office/drawing/2014/main" id="{C75D6BDB-9818-4AF3-B9E4-2D90D454F48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12" name="AutoShape 40" descr="Currently available antiretroviral drugs | Download Table">
          <a:extLst>
            <a:ext uri="{FF2B5EF4-FFF2-40B4-BE49-F238E27FC236}">
              <a16:creationId xmlns:a16="http://schemas.microsoft.com/office/drawing/2014/main" id="{0BAE71E1-7604-47E3-8C94-B5A03F2FFA6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13" name="AutoShape 40" descr="Currently available antiretroviral drugs | Download Table">
          <a:extLst>
            <a:ext uri="{FF2B5EF4-FFF2-40B4-BE49-F238E27FC236}">
              <a16:creationId xmlns:a16="http://schemas.microsoft.com/office/drawing/2014/main" id="{31402ACD-1236-4F5F-80C0-B9733711DA6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14" name="AutoShape 40" descr="Currently available antiretroviral drugs | Download Table">
          <a:extLst>
            <a:ext uri="{FF2B5EF4-FFF2-40B4-BE49-F238E27FC236}">
              <a16:creationId xmlns:a16="http://schemas.microsoft.com/office/drawing/2014/main" id="{52EDF5AF-BB06-4513-84FE-3FD51BDADF1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15" name="AutoShape 40" descr="Currently available antiretroviral drugs | Download Table">
          <a:extLst>
            <a:ext uri="{FF2B5EF4-FFF2-40B4-BE49-F238E27FC236}">
              <a16:creationId xmlns:a16="http://schemas.microsoft.com/office/drawing/2014/main" id="{9B4F7256-C254-4E8D-8BF9-B319505A15E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16" name="AutoShape 40" descr="Currently available antiretroviral drugs | Download Table">
          <a:extLst>
            <a:ext uri="{FF2B5EF4-FFF2-40B4-BE49-F238E27FC236}">
              <a16:creationId xmlns:a16="http://schemas.microsoft.com/office/drawing/2014/main" id="{9CB2DC06-03D1-47CA-AB70-1B0899D22B9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17" name="AutoShape 40" descr="Currently available antiretroviral drugs | Download Table">
          <a:extLst>
            <a:ext uri="{FF2B5EF4-FFF2-40B4-BE49-F238E27FC236}">
              <a16:creationId xmlns:a16="http://schemas.microsoft.com/office/drawing/2014/main" id="{8433C82A-E983-4328-9C52-0AED3FEA68C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18" name="AutoShape 40" descr="Currently available antiretroviral drugs | Download Table">
          <a:extLst>
            <a:ext uri="{FF2B5EF4-FFF2-40B4-BE49-F238E27FC236}">
              <a16:creationId xmlns:a16="http://schemas.microsoft.com/office/drawing/2014/main" id="{7BB05A57-5BE6-475A-9CB8-CABF3025288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19" name="AutoShape 40" descr="Currently available antiretroviral drugs | Download Table">
          <a:extLst>
            <a:ext uri="{FF2B5EF4-FFF2-40B4-BE49-F238E27FC236}">
              <a16:creationId xmlns:a16="http://schemas.microsoft.com/office/drawing/2014/main" id="{83FDD9F7-2CE5-4BC9-910D-D42DAB252E8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20" name="AutoShape 40" descr="Currently available antiretroviral drugs | Download Table">
          <a:extLst>
            <a:ext uri="{FF2B5EF4-FFF2-40B4-BE49-F238E27FC236}">
              <a16:creationId xmlns:a16="http://schemas.microsoft.com/office/drawing/2014/main" id="{6C8C2632-EA2B-4039-98D8-0273A7A7E26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21" name="AutoShape 40" descr="Currently available antiretroviral drugs | Download Table">
          <a:extLst>
            <a:ext uri="{FF2B5EF4-FFF2-40B4-BE49-F238E27FC236}">
              <a16:creationId xmlns:a16="http://schemas.microsoft.com/office/drawing/2014/main" id="{8EE92467-D984-4CF6-B232-A9A036D7F8E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22" name="AutoShape 40" descr="Currently available antiretroviral drugs | Download Table">
          <a:extLst>
            <a:ext uri="{FF2B5EF4-FFF2-40B4-BE49-F238E27FC236}">
              <a16:creationId xmlns:a16="http://schemas.microsoft.com/office/drawing/2014/main" id="{B7AA6DAD-41F2-48FC-8F8A-30A46AF4F00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23" name="AutoShape 40" descr="Currently available antiretroviral drugs | Download Table">
          <a:extLst>
            <a:ext uri="{FF2B5EF4-FFF2-40B4-BE49-F238E27FC236}">
              <a16:creationId xmlns:a16="http://schemas.microsoft.com/office/drawing/2014/main" id="{43494BB7-3BA8-4793-B801-7F1D39E340B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24" name="AutoShape 40" descr="Currently available antiretroviral drugs | Download Table">
          <a:extLst>
            <a:ext uri="{FF2B5EF4-FFF2-40B4-BE49-F238E27FC236}">
              <a16:creationId xmlns:a16="http://schemas.microsoft.com/office/drawing/2014/main" id="{9A95624A-EC35-4E1C-9DE8-E9BE3094DBD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25" name="AutoShape 40" descr="Currently available antiretroviral drugs | Download Table">
          <a:extLst>
            <a:ext uri="{FF2B5EF4-FFF2-40B4-BE49-F238E27FC236}">
              <a16:creationId xmlns:a16="http://schemas.microsoft.com/office/drawing/2014/main" id="{E2C6714F-C3D7-438E-ABBA-ED3EB63305A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26" name="AutoShape 40" descr="Currently available antiretroviral drugs | Download Table">
          <a:extLst>
            <a:ext uri="{FF2B5EF4-FFF2-40B4-BE49-F238E27FC236}">
              <a16:creationId xmlns:a16="http://schemas.microsoft.com/office/drawing/2014/main" id="{34E1B007-D2DA-42E9-BE2D-86CAAD84F10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27" name="AutoShape 40" descr="Currently available antiretroviral drugs | Download Table">
          <a:extLst>
            <a:ext uri="{FF2B5EF4-FFF2-40B4-BE49-F238E27FC236}">
              <a16:creationId xmlns:a16="http://schemas.microsoft.com/office/drawing/2014/main" id="{12AF813C-BB74-4B13-AE73-F36FDCDAC06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28" name="AutoShape 40" descr="Currently available antiretroviral drugs | Download Table">
          <a:extLst>
            <a:ext uri="{FF2B5EF4-FFF2-40B4-BE49-F238E27FC236}">
              <a16:creationId xmlns:a16="http://schemas.microsoft.com/office/drawing/2014/main" id="{B6F615DC-9FE1-4BDF-87AC-6ACF04C27FE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29" name="AutoShape 40" descr="Currently available antiretroviral drugs | Download Table">
          <a:extLst>
            <a:ext uri="{FF2B5EF4-FFF2-40B4-BE49-F238E27FC236}">
              <a16:creationId xmlns:a16="http://schemas.microsoft.com/office/drawing/2014/main" id="{8A490D7C-D41D-48CA-89ED-4ACA9064E74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30" name="AutoShape 40" descr="Currently available antiretroviral drugs | Download Table">
          <a:extLst>
            <a:ext uri="{FF2B5EF4-FFF2-40B4-BE49-F238E27FC236}">
              <a16:creationId xmlns:a16="http://schemas.microsoft.com/office/drawing/2014/main" id="{66D6E409-09C2-4F5C-ABC8-DF1123B4F97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31" name="AutoShape 40" descr="Currently available antiretroviral drugs | Download Table">
          <a:extLst>
            <a:ext uri="{FF2B5EF4-FFF2-40B4-BE49-F238E27FC236}">
              <a16:creationId xmlns:a16="http://schemas.microsoft.com/office/drawing/2014/main" id="{8E31B49F-D796-4311-8DCB-F221C66734A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32" name="AutoShape 40" descr="Currently available antiretroviral drugs | Download Table">
          <a:extLst>
            <a:ext uri="{FF2B5EF4-FFF2-40B4-BE49-F238E27FC236}">
              <a16:creationId xmlns:a16="http://schemas.microsoft.com/office/drawing/2014/main" id="{8E0393C8-2CBC-4214-93D1-FD1901AFCA2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33" name="AutoShape 40" descr="Currently available antiretroviral drugs | Download Table">
          <a:extLst>
            <a:ext uri="{FF2B5EF4-FFF2-40B4-BE49-F238E27FC236}">
              <a16:creationId xmlns:a16="http://schemas.microsoft.com/office/drawing/2014/main" id="{0BBC6F96-0A6D-4C76-942A-340544534AC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34" name="AutoShape 40" descr="Currently available antiretroviral drugs | Download Table">
          <a:extLst>
            <a:ext uri="{FF2B5EF4-FFF2-40B4-BE49-F238E27FC236}">
              <a16:creationId xmlns:a16="http://schemas.microsoft.com/office/drawing/2014/main" id="{05989D1D-88C4-420D-A507-69EE55D889A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35" name="AutoShape 40" descr="Currently available antiretroviral drugs | Download Table">
          <a:extLst>
            <a:ext uri="{FF2B5EF4-FFF2-40B4-BE49-F238E27FC236}">
              <a16:creationId xmlns:a16="http://schemas.microsoft.com/office/drawing/2014/main" id="{B58A2880-80B4-437B-91F2-9A59481B260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36" name="AutoShape 40" descr="Currently available antiretroviral drugs | Download Table">
          <a:extLst>
            <a:ext uri="{FF2B5EF4-FFF2-40B4-BE49-F238E27FC236}">
              <a16:creationId xmlns:a16="http://schemas.microsoft.com/office/drawing/2014/main" id="{D718B181-4FEC-4D78-88FD-40AC5ED19E8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37" name="AutoShape 40" descr="Currently available antiretroviral drugs | Download Table">
          <a:extLst>
            <a:ext uri="{FF2B5EF4-FFF2-40B4-BE49-F238E27FC236}">
              <a16:creationId xmlns:a16="http://schemas.microsoft.com/office/drawing/2014/main" id="{51536EA9-F9BF-4352-9BB5-C9D311AA866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38" name="AutoShape 40" descr="Currently available antiretroviral drugs | Download Table">
          <a:extLst>
            <a:ext uri="{FF2B5EF4-FFF2-40B4-BE49-F238E27FC236}">
              <a16:creationId xmlns:a16="http://schemas.microsoft.com/office/drawing/2014/main" id="{95CB6D90-62EE-40D7-A75C-EDB23BCD286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39" name="AutoShape 40" descr="Currently available antiretroviral drugs | Download Table">
          <a:extLst>
            <a:ext uri="{FF2B5EF4-FFF2-40B4-BE49-F238E27FC236}">
              <a16:creationId xmlns:a16="http://schemas.microsoft.com/office/drawing/2014/main" id="{96BEA1BC-E110-4EE2-8967-FB129ECF34A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40" name="AutoShape 40" descr="Currently available antiretroviral drugs | Download Table">
          <a:extLst>
            <a:ext uri="{FF2B5EF4-FFF2-40B4-BE49-F238E27FC236}">
              <a16:creationId xmlns:a16="http://schemas.microsoft.com/office/drawing/2014/main" id="{0D7C8EC0-763E-4865-98E6-B096BE1711C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41" name="AutoShape 40" descr="Currently available antiretroviral drugs | Download Table">
          <a:extLst>
            <a:ext uri="{FF2B5EF4-FFF2-40B4-BE49-F238E27FC236}">
              <a16:creationId xmlns:a16="http://schemas.microsoft.com/office/drawing/2014/main" id="{5B0D5FD9-441A-4D37-8543-0E44D7DE3CD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42" name="AutoShape 40" descr="Currently available antiretroviral drugs | Download Table">
          <a:extLst>
            <a:ext uri="{FF2B5EF4-FFF2-40B4-BE49-F238E27FC236}">
              <a16:creationId xmlns:a16="http://schemas.microsoft.com/office/drawing/2014/main" id="{4FAEB6F7-7CDE-4375-A06E-2A4A7DA1CCB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43" name="AutoShape 40" descr="Currently available antiretroviral drugs | Download Table">
          <a:extLst>
            <a:ext uri="{FF2B5EF4-FFF2-40B4-BE49-F238E27FC236}">
              <a16:creationId xmlns:a16="http://schemas.microsoft.com/office/drawing/2014/main" id="{005C1636-BF36-4996-9FE5-3EFA862F325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44" name="AutoShape 40" descr="Currently available antiretroviral drugs | Download Table">
          <a:extLst>
            <a:ext uri="{FF2B5EF4-FFF2-40B4-BE49-F238E27FC236}">
              <a16:creationId xmlns:a16="http://schemas.microsoft.com/office/drawing/2014/main" id="{BDFE6F8F-816F-45DA-8E11-AF7B5097065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45" name="AutoShape 40" descr="Currently available antiretroviral drugs | Download Table">
          <a:extLst>
            <a:ext uri="{FF2B5EF4-FFF2-40B4-BE49-F238E27FC236}">
              <a16:creationId xmlns:a16="http://schemas.microsoft.com/office/drawing/2014/main" id="{F1755F8A-9E65-48D4-8B04-8D33C1999E0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46" name="AutoShape 40" descr="Currently available antiretroviral drugs | Download Table">
          <a:extLst>
            <a:ext uri="{FF2B5EF4-FFF2-40B4-BE49-F238E27FC236}">
              <a16:creationId xmlns:a16="http://schemas.microsoft.com/office/drawing/2014/main" id="{C88A33CF-F659-4F4E-BCC2-71B2A99DB3B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47" name="AutoShape 40" descr="Currently available antiretroviral drugs | Download Table">
          <a:extLst>
            <a:ext uri="{FF2B5EF4-FFF2-40B4-BE49-F238E27FC236}">
              <a16:creationId xmlns:a16="http://schemas.microsoft.com/office/drawing/2014/main" id="{1F51D7F6-F232-40BC-8F5A-F5CE0FC0F1F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48" name="AutoShape 40" descr="Currently available antiretroviral drugs | Download Table">
          <a:extLst>
            <a:ext uri="{FF2B5EF4-FFF2-40B4-BE49-F238E27FC236}">
              <a16:creationId xmlns:a16="http://schemas.microsoft.com/office/drawing/2014/main" id="{B98B70CA-1F85-4F9E-A5B9-E35FBDC37E7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49" name="AutoShape 40" descr="Currently available antiretroviral drugs | Download Table">
          <a:extLst>
            <a:ext uri="{FF2B5EF4-FFF2-40B4-BE49-F238E27FC236}">
              <a16:creationId xmlns:a16="http://schemas.microsoft.com/office/drawing/2014/main" id="{E08D6A8D-4A4B-452C-BB19-0FAF040ABA2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50" name="AutoShape 40" descr="Currently available antiretroviral drugs | Download Table">
          <a:extLst>
            <a:ext uri="{FF2B5EF4-FFF2-40B4-BE49-F238E27FC236}">
              <a16:creationId xmlns:a16="http://schemas.microsoft.com/office/drawing/2014/main" id="{918B83DF-8270-4A96-AF07-23E36D4EA08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51" name="AutoShape 40" descr="Currently available antiretroviral drugs | Download Table">
          <a:extLst>
            <a:ext uri="{FF2B5EF4-FFF2-40B4-BE49-F238E27FC236}">
              <a16:creationId xmlns:a16="http://schemas.microsoft.com/office/drawing/2014/main" id="{9C98C3CA-7BE1-49ED-9CBE-A0E29FC3381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52" name="AutoShape 40" descr="Currently available antiretroviral drugs | Download Table">
          <a:extLst>
            <a:ext uri="{FF2B5EF4-FFF2-40B4-BE49-F238E27FC236}">
              <a16:creationId xmlns:a16="http://schemas.microsoft.com/office/drawing/2014/main" id="{5AC0F4BA-045F-421B-93A9-107937F9C00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53" name="AutoShape 40" descr="Currently available antiretroviral drugs | Download Table">
          <a:extLst>
            <a:ext uri="{FF2B5EF4-FFF2-40B4-BE49-F238E27FC236}">
              <a16:creationId xmlns:a16="http://schemas.microsoft.com/office/drawing/2014/main" id="{6251A066-7E7F-4C9C-B014-06FB65DB8B0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54" name="AutoShape 40" descr="Currently available antiretroviral drugs | Download Table">
          <a:extLst>
            <a:ext uri="{FF2B5EF4-FFF2-40B4-BE49-F238E27FC236}">
              <a16:creationId xmlns:a16="http://schemas.microsoft.com/office/drawing/2014/main" id="{E8B1DBCB-A577-4168-B58B-8C0A41E0919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55" name="AutoShape 40" descr="Currently available antiretroviral drugs | Download Table">
          <a:extLst>
            <a:ext uri="{FF2B5EF4-FFF2-40B4-BE49-F238E27FC236}">
              <a16:creationId xmlns:a16="http://schemas.microsoft.com/office/drawing/2014/main" id="{71A808D6-F856-4AC8-9354-E89A0635242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56" name="AutoShape 40" descr="Currently available antiretroviral drugs | Download Table">
          <a:extLst>
            <a:ext uri="{FF2B5EF4-FFF2-40B4-BE49-F238E27FC236}">
              <a16:creationId xmlns:a16="http://schemas.microsoft.com/office/drawing/2014/main" id="{F589D82E-C299-4E83-9522-6B1AAB3883A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57" name="AutoShape 40" descr="Currently available antiretroviral drugs | Download Table">
          <a:extLst>
            <a:ext uri="{FF2B5EF4-FFF2-40B4-BE49-F238E27FC236}">
              <a16:creationId xmlns:a16="http://schemas.microsoft.com/office/drawing/2014/main" id="{3467564A-1534-44E6-B438-85E570F79C7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58" name="AutoShape 40" descr="Currently available antiretroviral drugs | Download Table">
          <a:extLst>
            <a:ext uri="{FF2B5EF4-FFF2-40B4-BE49-F238E27FC236}">
              <a16:creationId xmlns:a16="http://schemas.microsoft.com/office/drawing/2014/main" id="{CA12C4ED-D315-4A25-A6A9-6D31E39C750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59" name="AutoShape 40" descr="Currently available antiretroviral drugs | Download Table">
          <a:extLst>
            <a:ext uri="{FF2B5EF4-FFF2-40B4-BE49-F238E27FC236}">
              <a16:creationId xmlns:a16="http://schemas.microsoft.com/office/drawing/2014/main" id="{27099F54-DB72-4399-9B4B-B9A3F18DC5F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60" name="AutoShape 40" descr="Currently available antiretroviral drugs | Download Table">
          <a:extLst>
            <a:ext uri="{FF2B5EF4-FFF2-40B4-BE49-F238E27FC236}">
              <a16:creationId xmlns:a16="http://schemas.microsoft.com/office/drawing/2014/main" id="{051927B3-1E3D-4722-B9D6-7E72E027842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61" name="AutoShape 40" descr="Currently available antiretroviral drugs | Download Table">
          <a:extLst>
            <a:ext uri="{FF2B5EF4-FFF2-40B4-BE49-F238E27FC236}">
              <a16:creationId xmlns:a16="http://schemas.microsoft.com/office/drawing/2014/main" id="{6E672FCB-A7C6-4E74-BCD7-6315CB2769B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62" name="AutoShape 40" descr="Currently available antiretroviral drugs | Download Table">
          <a:extLst>
            <a:ext uri="{FF2B5EF4-FFF2-40B4-BE49-F238E27FC236}">
              <a16:creationId xmlns:a16="http://schemas.microsoft.com/office/drawing/2014/main" id="{2AD3AC26-12B2-43D8-B62F-D0C60C6039C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63" name="AutoShape 40" descr="Currently available antiretroviral drugs | Download Table">
          <a:extLst>
            <a:ext uri="{FF2B5EF4-FFF2-40B4-BE49-F238E27FC236}">
              <a16:creationId xmlns:a16="http://schemas.microsoft.com/office/drawing/2014/main" id="{B6B33FFC-97C1-4565-A1C1-273A24BA7D2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64" name="AutoShape 40" descr="Currently available antiretroviral drugs | Download Table">
          <a:extLst>
            <a:ext uri="{FF2B5EF4-FFF2-40B4-BE49-F238E27FC236}">
              <a16:creationId xmlns:a16="http://schemas.microsoft.com/office/drawing/2014/main" id="{CC469433-89B8-4F1B-8061-9008567B606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65" name="AutoShape 40" descr="Currently available antiretroviral drugs | Download Table">
          <a:extLst>
            <a:ext uri="{FF2B5EF4-FFF2-40B4-BE49-F238E27FC236}">
              <a16:creationId xmlns:a16="http://schemas.microsoft.com/office/drawing/2014/main" id="{80157CF3-E360-4658-92B8-AA6C41B81C7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66" name="AutoShape 40" descr="Currently available antiretroviral drugs | Download Table">
          <a:extLst>
            <a:ext uri="{FF2B5EF4-FFF2-40B4-BE49-F238E27FC236}">
              <a16:creationId xmlns:a16="http://schemas.microsoft.com/office/drawing/2014/main" id="{51D308E9-775E-463E-A55E-D680914629B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67" name="AutoShape 40" descr="Currently available antiretroviral drugs | Download Table">
          <a:extLst>
            <a:ext uri="{FF2B5EF4-FFF2-40B4-BE49-F238E27FC236}">
              <a16:creationId xmlns:a16="http://schemas.microsoft.com/office/drawing/2014/main" id="{20F99113-7D36-45EA-A688-4805381BCA3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68" name="AutoShape 40" descr="Currently available antiretroviral drugs | Download Table">
          <a:extLst>
            <a:ext uri="{FF2B5EF4-FFF2-40B4-BE49-F238E27FC236}">
              <a16:creationId xmlns:a16="http://schemas.microsoft.com/office/drawing/2014/main" id="{4E813806-75DE-4FEF-BB64-3C3BD2CC3D4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69" name="AutoShape 40" descr="Currently available antiretroviral drugs | Download Table">
          <a:extLst>
            <a:ext uri="{FF2B5EF4-FFF2-40B4-BE49-F238E27FC236}">
              <a16:creationId xmlns:a16="http://schemas.microsoft.com/office/drawing/2014/main" id="{9257EF10-BE82-4709-922C-84967CB48DA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70" name="AutoShape 40" descr="Currently available antiretroviral drugs | Download Table">
          <a:extLst>
            <a:ext uri="{FF2B5EF4-FFF2-40B4-BE49-F238E27FC236}">
              <a16:creationId xmlns:a16="http://schemas.microsoft.com/office/drawing/2014/main" id="{A67FC5A2-AFD7-41F0-8985-DE6FA2E1D3A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71" name="AutoShape 40" descr="Currently available antiretroviral drugs | Download Table">
          <a:extLst>
            <a:ext uri="{FF2B5EF4-FFF2-40B4-BE49-F238E27FC236}">
              <a16:creationId xmlns:a16="http://schemas.microsoft.com/office/drawing/2014/main" id="{2B67E511-1946-4B6D-B73D-9335AE32ACC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72" name="AutoShape 40" descr="Currently available antiretroviral drugs | Download Table">
          <a:extLst>
            <a:ext uri="{FF2B5EF4-FFF2-40B4-BE49-F238E27FC236}">
              <a16:creationId xmlns:a16="http://schemas.microsoft.com/office/drawing/2014/main" id="{7EB53C7F-4199-4C44-8BA9-C12011A558D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73" name="AutoShape 40" descr="Currently available antiretroviral drugs | Download Table">
          <a:extLst>
            <a:ext uri="{FF2B5EF4-FFF2-40B4-BE49-F238E27FC236}">
              <a16:creationId xmlns:a16="http://schemas.microsoft.com/office/drawing/2014/main" id="{F965B50A-8210-4A69-83FF-A01FBB51274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74" name="AutoShape 40" descr="Currently available antiretroviral drugs | Download Table">
          <a:extLst>
            <a:ext uri="{FF2B5EF4-FFF2-40B4-BE49-F238E27FC236}">
              <a16:creationId xmlns:a16="http://schemas.microsoft.com/office/drawing/2014/main" id="{554C5F0B-CC45-4892-8136-C97B27583F8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75" name="AutoShape 40" descr="Currently available antiretroviral drugs | Download Table">
          <a:extLst>
            <a:ext uri="{FF2B5EF4-FFF2-40B4-BE49-F238E27FC236}">
              <a16:creationId xmlns:a16="http://schemas.microsoft.com/office/drawing/2014/main" id="{AB54D2B1-5A21-44EF-88D9-4484D4164FC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76" name="AutoShape 40" descr="Currently available antiretroviral drugs | Download Table">
          <a:extLst>
            <a:ext uri="{FF2B5EF4-FFF2-40B4-BE49-F238E27FC236}">
              <a16:creationId xmlns:a16="http://schemas.microsoft.com/office/drawing/2014/main" id="{6DFCEC02-FB60-479B-84BE-8DAF09622BF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77" name="AutoShape 40" descr="Currently available antiretroviral drugs | Download Table">
          <a:extLst>
            <a:ext uri="{FF2B5EF4-FFF2-40B4-BE49-F238E27FC236}">
              <a16:creationId xmlns:a16="http://schemas.microsoft.com/office/drawing/2014/main" id="{E9A0F6E1-3E07-46F3-B007-A9C4B2FBFDA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78" name="AutoShape 40" descr="Currently available antiretroviral drugs | Download Table">
          <a:extLst>
            <a:ext uri="{FF2B5EF4-FFF2-40B4-BE49-F238E27FC236}">
              <a16:creationId xmlns:a16="http://schemas.microsoft.com/office/drawing/2014/main" id="{3B3CDBB9-7599-49FD-90AC-E3FD63446AD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79" name="AutoShape 40" descr="Currently available antiretroviral drugs | Download Table">
          <a:extLst>
            <a:ext uri="{FF2B5EF4-FFF2-40B4-BE49-F238E27FC236}">
              <a16:creationId xmlns:a16="http://schemas.microsoft.com/office/drawing/2014/main" id="{90FBB8E5-2772-4C33-977E-F43FC4B5965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80" name="AutoShape 40" descr="Currently available antiretroviral drugs | Download Table">
          <a:extLst>
            <a:ext uri="{FF2B5EF4-FFF2-40B4-BE49-F238E27FC236}">
              <a16:creationId xmlns:a16="http://schemas.microsoft.com/office/drawing/2014/main" id="{72C328F5-1120-42DD-B66C-891550B906E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81" name="AutoShape 40" descr="Currently available antiretroviral drugs | Download Table">
          <a:extLst>
            <a:ext uri="{FF2B5EF4-FFF2-40B4-BE49-F238E27FC236}">
              <a16:creationId xmlns:a16="http://schemas.microsoft.com/office/drawing/2014/main" id="{D4A22085-EE21-4DC7-8850-6B8B3B39870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82" name="AutoShape 40" descr="Currently available antiretroviral drugs | Download Table">
          <a:extLst>
            <a:ext uri="{FF2B5EF4-FFF2-40B4-BE49-F238E27FC236}">
              <a16:creationId xmlns:a16="http://schemas.microsoft.com/office/drawing/2014/main" id="{B22FBC33-1E95-4DE8-9CC4-193CC424C83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83" name="AutoShape 40" descr="Currently available antiretroviral drugs | Download Table">
          <a:extLst>
            <a:ext uri="{FF2B5EF4-FFF2-40B4-BE49-F238E27FC236}">
              <a16:creationId xmlns:a16="http://schemas.microsoft.com/office/drawing/2014/main" id="{D06C5DAF-6E48-46E5-8506-FC94B6F149A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84" name="AutoShape 40" descr="Currently available antiretroviral drugs | Download Table">
          <a:extLst>
            <a:ext uri="{FF2B5EF4-FFF2-40B4-BE49-F238E27FC236}">
              <a16:creationId xmlns:a16="http://schemas.microsoft.com/office/drawing/2014/main" id="{FFBE873F-A26D-4611-96F7-F3EC9E2B6D6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85" name="AutoShape 40" descr="Currently available antiretroviral drugs | Download Table">
          <a:extLst>
            <a:ext uri="{FF2B5EF4-FFF2-40B4-BE49-F238E27FC236}">
              <a16:creationId xmlns:a16="http://schemas.microsoft.com/office/drawing/2014/main" id="{30F5FB19-9D19-4D6F-846F-F28B157B765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86" name="AutoShape 40" descr="Currently available antiretroviral drugs | Download Table">
          <a:extLst>
            <a:ext uri="{FF2B5EF4-FFF2-40B4-BE49-F238E27FC236}">
              <a16:creationId xmlns:a16="http://schemas.microsoft.com/office/drawing/2014/main" id="{76B96C6D-CE37-4C7B-8874-FC38A591944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87" name="AutoShape 40" descr="Currently available antiretroviral drugs | Download Table">
          <a:extLst>
            <a:ext uri="{FF2B5EF4-FFF2-40B4-BE49-F238E27FC236}">
              <a16:creationId xmlns:a16="http://schemas.microsoft.com/office/drawing/2014/main" id="{9DF79F12-BD8B-42B7-939C-EB0B86403DC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88" name="AutoShape 40" descr="Currently available antiretroviral drugs | Download Table">
          <a:extLst>
            <a:ext uri="{FF2B5EF4-FFF2-40B4-BE49-F238E27FC236}">
              <a16:creationId xmlns:a16="http://schemas.microsoft.com/office/drawing/2014/main" id="{B97B724F-3C38-420A-B42A-FDC17148527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89" name="AutoShape 40" descr="Currently available antiretroviral drugs | Download Table">
          <a:extLst>
            <a:ext uri="{FF2B5EF4-FFF2-40B4-BE49-F238E27FC236}">
              <a16:creationId xmlns:a16="http://schemas.microsoft.com/office/drawing/2014/main" id="{DB95BE5A-E8A7-40B8-B861-C61A60F36CF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90" name="AutoShape 40" descr="Currently available antiretroviral drugs | Download Table">
          <a:extLst>
            <a:ext uri="{FF2B5EF4-FFF2-40B4-BE49-F238E27FC236}">
              <a16:creationId xmlns:a16="http://schemas.microsoft.com/office/drawing/2014/main" id="{41BD9CCC-0BF3-4F20-8122-9F8902E413F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91" name="AutoShape 40" descr="Currently available antiretroviral drugs | Download Table">
          <a:extLst>
            <a:ext uri="{FF2B5EF4-FFF2-40B4-BE49-F238E27FC236}">
              <a16:creationId xmlns:a16="http://schemas.microsoft.com/office/drawing/2014/main" id="{96B2D640-0139-4B8B-A711-F778693DB44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92" name="AutoShape 40" descr="Currently available antiretroviral drugs | Download Table">
          <a:extLst>
            <a:ext uri="{FF2B5EF4-FFF2-40B4-BE49-F238E27FC236}">
              <a16:creationId xmlns:a16="http://schemas.microsoft.com/office/drawing/2014/main" id="{38B7DB45-4D42-4769-B845-0CCA5734589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93" name="AutoShape 40" descr="Currently available antiretroviral drugs | Download Table">
          <a:extLst>
            <a:ext uri="{FF2B5EF4-FFF2-40B4-BE49-F238E27FC236}">
              <a16:creationId xmlns:a16="http://schemas.microsoft.com/office/drawing/2014/main" id="{0104E282-4127-45E2-86D0-4063197D36F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94" name="AutoShape 40" descr="Currently available antiretroviral drugs | Download Table">
          <a:extLst>
            <a:ext uri="{FF2B5EF4-FFF2-40B4-BE49-F238E27FC236}">
              <a16:creationId xmlns:a16="http://schemas.microsoft.com/office/drawing/2014/main" id="{15ECE110-D4B7-4768-BA14-69861C6CA2D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95" name="AutoShape 40" descr="Currently available antiretroviral drugs | Download Table">
          <a:extLst>
            <a:ext uri="{FF2B5EF4-FFF2-40B4-BE49-F238E27FC236}">
              <a16:creationId xmlns:a16="http://schemas.microsoft.com/office/drawing/2014/main" id="{C39BEDC0-F1AA-4F95-A42F-313B955B718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96" name="AutoShape 40" descr="Currently available antiretroviral drugs | Download Table">
          <a:extLst>
            <a:ext uri="{FF2B5EF4-FFF2-40B4-BE49-F238E27FC236}">
              <a16:creationId xmlns:a16="http://schemas.microsoft.com/office/drawing/2014/main" id="{ECD67493-1D55-461A-866B-ACBE5ABF35B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97" name="AutoShape 40" descr="Currently available antiretroviral drugs | Download Table">
          <a:extLst>
            <a:ext uri="{FF2B5EF4-FFF2-40B4-BE49-F238E27FC236}">
              <a16:creationId xmlns:a16="http://schemas.microsoft.com/office/drawing/2014/main" id="{A8F6C4D1-21FB-4F84-B70B-CE7795034CF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98" name="AutoShape 40" descr="Currently available antiretroviral drugs | Download Table">
          <a:extLst>
            <a:ext uri="{FF2B5EF4-FFF2-40B4-BE49-F238E27FC236}">
              <a16:creationId xmlns:a16="http://schemas.microsoft.com/office/drawing/2014/main" id="{A8F12801-7288-4AD6-93AB-979F4DEDF49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799" name="AutoShape 40" descr="Currently available antiretroviral drugs | Download Table">
          <a:extLst>
            <a:ext uri="{FF2B5EF4-FFF2-40B4-BE49-F238E27FC236}">
              <a16:creationId xmlns:a16="http://schemas.microsoft.com/office/drawing/2014/main" id="{D3E3664F-1814-48B0-8833-29659F5EBE2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00" name="AutoShape 40" descr="Currently available antiretroviral drugs | Download Table">
          <a:extLst>
            <a:ext uri="{FF2B5EF4-FFF2-40B4-BE49-F238E27FC236}">
              <a16:creationId xmlns:a16="http://schemas.microsoft.com/office/drawing/2014/main" id="{18223B82-99D2-482C-9F2E-D29E7BE9821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01" name="AutoShape 40" descr="Currently available antiretroviral drugs | Download Table">
          <a:extLst>
            <a:ext uri="{FF2B5EF4-FFF2-40B4-BE49-F238E27FC236}">
              <a16:creationId xmlns:a16="http://schemas.microsoft.com/office/drawing/2014/main" id="{B972565F-9C02-4D87-9CA8-20F3963A5CC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02" name="AutoShape 40" descr="Currently available antiretroviral drugs | Download Table">
          <a:extLst>
            <a:ext uri="{FF2B5EF4-FFF2-40B4-BE49-F238E27FC236}">
              <a16:creationId xmlns:a16="http://schemas.microsoft.com/office/drawing/2014/main" id="{F905440E-D97C-4CED-81C5-21577B46B69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03" name="AutoShape 40" descr="Currently available antiretroviral drugs | Download Table">
          <a:extLst>
            <a:ext uri="{FF2B5EF4-FFF2-40B4-BE49-F238E27FC236}">
              <a16:creationId xmlns:a16="http://schemas.microsoft.com/office/drawing/2014/main" id="{C62DF3C5-EE9F-4153-94C2-F04379B16FF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04" name="AutoShape 40" descr="Currently available antiretroviral drugs | Download Table">
          <a:extLst>
            <a:ext uri="{FF2B5EF4-FFF2-40B4-BE49-F238E27FC236}">
              <a16:creationId xmlns:a16="http://schemas.microsoft.com/office/drawing/2014/main" id="{861EB419-4CC3-4E57-87FD-33AD0DA3E37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05" name="AutoShape 40" descr="Currently available antiretroviral drugs | Download Table">
          <a:extLst>
            <a:ext uri="{FF2B5EF4-FFF2-40B4-BE49-F238E27FC236}">
              <a16:creationId xmlns:a16="http://schemas.microsoft.com/office/drawing/2014/main" id="{2B733488-FD9E-4F0B-8823-D1BE194FD89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06" name="AutoShape 40" descr="Currently available antiretroviral drugs | Download Table">
          <a:extLst>
            <a:ext uri="{FF2B5EF4-FFF2-40B4-BE49-F238E27FC236}">
              <a16:creationId xmlns:a16="http://schemas.microsoft.com/office/drawing/2014/main" id="{4F2B1AD7-1996-48EC-870C-C8124563E7C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07" name="AutoShape 40" descr="Currently available antiretroviral drugs | Download Table">
          <a:extLst>
            <a:ext uri="{FF2B5EF4-FFF2-40B4-BE49-F238E27FC236}">
              <a16:creationId xmlns:a16="http://schemas.microsoft.com/office/drawing/2014/main" id="{A43CC0EF-5347-41C7-88D2-B8155F40E48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08" name="AutoShape 40" descr="Currently available antiretroviral drugs | Download Table">
          <a:extLst>
            <a:ext uri="{FF2B5EF4-FFF2-40B4-BE49-F238E27FC236}">
              <a16:creationId xmlns:a16="http://schemas.microsoft.com/office/drawing/2014/main" id="{ABEEDFF6-E751-4AB2-AC87-1E7D207C0FF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09" name="AutoShape 40" descr="Currently available antiretroviral drugs | Download Table">
          <a:extLst>
            <a:ext uri="{FF2B5EF4-FFF2-40B4-BE49-F238E27FC236}">
              <a16:creationId xmlns:a16="http://schemas.microsoft.com/office/drawing/2014/main" id="{04D97F20-EDB6-4943-BCFA-960348BB01D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10" name="AutoShape 40" descr="Currently available antiretroviral drugs | Download Table">
          <a:extLst>
            <a:ext uri="{FF2B5EF4-FFF2-40B4-BE49-F238E27FC236}">
              <a16:creationId xmlns:a16="http://schemas.microsoft.com/office/drawing/2014/main" id="{33B1BA9B-7BD7-49C6-82AF-C3C71EA74A0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11" name="AutoShape 40" descr="Currently available antiretroviral drugs | Download Table">
          <a:extLst>
            <a:ext uri="{FF2B5EF4-FFF2-40B4-BE49-F238E27FC236}">
              <a16:creationId xmlns:a16="http://schemas.microsoft.com/office/drawing/2014/main" id="{E24FD534-19F0-49B9-BD49-163D2B4A0C4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12" name="AutoShape 40" descr="Currently available antiretroviral drugs | Download Table">
          <a:extLst>
            <a:ext uri="{FF2B5EF4-FFF2-40B4-BE49-F238E27FC236}">
              <a16:creationId xmlns:a16="http://schemas.microsoft.com/office/drawing/2014/main" id="{1DA2130E-0CDF-4639-8307-4817537B017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13" name="AutoShape 40" descr="Currently available antiretroviral drugs | Download Table">
          <a:extLst>
            <a:ext uri="{FF2B5EF4-FFF2-40B4-BE49-F238E27FC236}">
              <a16:creationId xmlns:a16="http://schemas.microsoft.com/office/drawing/2014/main" id="{39E35A57-950F-4111-8BE3-31ADCB50A07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14" name="AutoShape 40" descr="Currently available antiretroviral drugs | Download Table">
          <a:extLst>
            <a:ext uri="{FF2B5EF4-FFF2-40B4-BE49-F238E27FC236}">
              <a16:creationId xmlns:a16="http://schemas.microsoft.com/office/drawing/2014/main" id="{1FAA3BD9-D5CF-4B0F-A4B7-F979347832E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15" name="AutoShape 40" descr="Currently available antiretroviral drugs | Download Table">
          <a:extLst>
            <a:ext uri="{FF2B5EF4-FFF2-40B4-BE49-F238E27FC236}">
              <a16:creationId xmlns:a16="http://schemas.microsoft.com/office/drawing/2014/main" id="{C4784F7A-D0E1-4A93-B927-CB50FAA4C0F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16" name="AutoShape 40" descr="Currently available antiretroviral drugs | Download Table">
          <a:extLst>
            <a:ext uri="{FF2B5EF4-FFF2-40B4-BE49-F238E27FC236}">
              <a16:creationId xmlns:a16="http://schemas.microsoft.com/office/drawing/2014/main" id="{9A69C308-23A2-4BD7-B181-C8DB5EAF11E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17" name="AutoShape 40" descr="Currently available antiretroviral drugs | Download Table">
          <a:extLst>
            <a:ext uri="{FF2B5EF4-FFF2-40B4-BE49-F238E27FC236}">
              <a16:creationId xmlns:a16="http://schemas.microsoft.com/office/drawing/2014/main" id="{D9616259-AD49-4691-A975-5A37EAE2F95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18" name="AutoShape 40" descr="Currently available antiretroviral drugs | Download Table">
          <a:extLst>
            <a:ext uri="{FF2B5EF4-FFF2-40B4-BE49-F238E27FC236}">
              <a16:creationId xmlns:a16="http://schemas.microsoft.com/office/drawing/2014/main" id="{ECBDA773-0337-4C86-B63C-FFE8050B0AA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19" name="AutoShape 40" descr="Currently available antiretroviral drugs | Download Table">
          <a:extLst>
            <a:ext uri="{FF2B5EF4-FFF2-40B4-BE49-F238E27FC236}">
              <a16:creationId xmlns:a16="http://schemas.microsoft.com/office/drawing/2014/main" id="{153FF20C-1A28-4C37-868C-BFF270F9E63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20" name="AutoShape 40" descr="Currently available antiretroviral drugs | Download Table">
          <a:extLst>
            <a:ext uri="{FF2B5EF4-FFF2-40B4-BE49-F238E27FC236}">
              <a16:creationId xmlns:a16="http://schemas.microsoft.com/office/drawing/2014/main" id="{F69167AB-2280-419F-811F-4ECA77477D7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21" name="AutoShape 40" descr="Currently available antiretroviral drugs | Download Table">
          <a:extLst>
            <a:ext uri="{FF2B5EF4-FFF2-40B4-BE49-F238E27FC236}">
              <a16:creationId xmlns:a16="http://schemas.microsoft.com/office/drawing/2014/main" id="{A61F6EDA-D16B-40BB-9B15-587B6732A5B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22" name="AutoShape 40" descr="Currently available antiretroviral drugs | Download Table">
          <a:extLst>
            <a:ext uri="{FF2B5EF4-FFF2-40B4-BE49-F238E27FC236}">
              <a16:creationId xmlns:a16="http://schemas.microsoft.com/office/drawing/2014/main" id="{90AC6D89-E93E-44EF-8678-A4BD292ECA4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23" name="AutoShape 40" descr="Currently available antiretroviral drugs | Download Table">
          <a:extLst>
            <a:ext uri="{FF2B5EF4-FFF2-40B4-BE49-F238E27FC236}">
              <a16:creationId xmlns:a16="http://schemas.microsoft.com/office/drawing/2014/main" id="{72A68882-3D33-4B27-8DB8-8EF0E33ECFD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24" name="AutoShape 40" descr="Currently available antiretroviral drugs | Download Table">
          <a:extLst>
            <a:ext uri="{FF2B5EF4-FFF2-40B4-BE49-F238E27FC236}">
              <a16:creationId xmlns:a16="http://schemas.microsoft.com/office/drawing/2014/main" id="{CFFDDE53-2D38-452D-881C-AEA0D2C6708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25" name="AutoShape 40" descr="Currently available antiretroviral drugs | Download Table">
          <a:extLst>
            <a:ext uri="{FF2B5EF4-FFF2-40B4-BE49-F238E27FC236}">
              <a16:creationId xmlns:a16="http://schemas.microsoft.com/office/drawing/2014/main" id="{10E91CEC-F683-46F7-91B8-77B90FD6CC2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26" name="AutoShape 40" descr="Currently available antiretroviral drugs | Download Table">
          <a:extLst>
            <a:ext uri="{FF2B5EF4-FFF2-40B4-BE49-F238E27FC236}">
              <a16:creationId xmlns:a16="http://schemas.microsoft.com/office/drawing/2014/main" id="{18E4C3FC-E070-4200-8AEA-F8390621E98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27" name="AutoShape 40" descr="Currently available antiretroviral drugs | Download Table">
          <a:extLst>
            <a:ext uri="{FF2B5EF4-FFF2-40B4-BE49-F238E27FC236}">
              <a16:creationId xmlns:a16="http://schemas.microsoft.com/office/drawing/2014/main" id="{00B626E3-D10D-48EF-94E8-F8B31923786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28" name="AutoShape 40" descr="Currently available antiretroviral drugs | Download Table">
          <a:extLst>
            <a:ext uri="{FF2B5EF4-FFF2-40B4-BE49-F238E27FC236}">
              <a16:creationId xmlns:a16="http://schemas.microsoft.com/office/drawing/2014/main" id="{0AABE54E-6FCC-4235-A8F8-BBC7B78225A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29" name="AutoShape 40" descr="Currently available antiretroviral drugs | Download Table">
          <a:extLst>
            <a:ext uri="{FF2B5EF4-FFF2-40B4-BE49-F238E27FC236}">
              <a16:creationId xmlns:a16="http://schemas.microsoft.com/office/drawing/2014/main" id="{D51415CB-1CDF-4F28-B176-7675F98D867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30" name="AutoShape 40" descr="Currently available antiretroviral drugs | Download Table">
          <a:extLst>
            <a:ext uri="{FF2B5EF4-FFF2-40B4-BE49-F238E27FC236}">
              <a16:creationId xmlns:a16="http://schemas.microsoft.com/office/drawing/2014/main" id="{8031F274-3246-420F-8D67-FFD08C57110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31" name="AutoShape 40" descr="Currently available antiretroviral drugs | Download Table">
          <a:extLst>
            <a:ext uri="{FF2B5EF4-FFF2-40B4-BE49-F238E27FC236}">
              <a16:creationId xmlns:a16="http://schemas.microsoft.com/office/drawing/2014/main" id="{8F9A62A1-A6E5-4857-B32A-142C39E34AD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32" name="AutoShape 40" descr="Currently available antiretroviral drugs | Download Table">
          <a:extLst>
            <a:ext uri="{FF2B5EF4-FFF2-40B4-BE49-F238E27FC236}">
              <a16:creationId xmlns:a16="http://schemas.microsoft.com/office/drawing/2014/main" id="{13005F34-2868-4D7E-842A-D3C04DEF0CF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33" name="AutoShape 40" descr="Currently available antiretroviral drugs | Download Table">
          <a:extLst>
            <a:ext uri="{FF2B5EF4-FFF2-40B4-BE49-F238E27FC236}">
              <a16:creationId xmlns:a16="http://schemas.microsoft.com/office/drawing/2014/main" id="{AEE576B4-6374-40FC-8954-01801F3B0EB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34" name="AutoShape 40" descr="Currently available antiretroviral drugs | Download Table">
          <a:extLst>
            <a:ext uri="{FF2B5EF4-FFF2-40B4-BE49-F238E27FC236}">
              <a16:creationId xmlns:a16="http://schemas.microsoft.com/office/drawing/2014/main" id="{F96BC3D9-7007-4AEA-885C-B17BADB79D2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35" name="AutoShape 40" descr="Currently available antiretroviral drugs | Download Table">
          <a:extLst>
            <a:ext uri="{FF2B5EF4-FFF2-40B4-BE49-F238E27FC236}">
              <a16:creationId xmlns:a16="http://schemas.microsoft.com/office/drawing/2014/main" id="{276BFCDC-4FD4-495C-955B-5457D1B0949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36" name="AutoShape 40" descr="Currently available antiretroviral drugs | Download Table">
          <a:extLst>
            <a:ext uri="{FF2B5EF4-FFF2-40B4-BE49-F238E27FC236}">
              <a16:creationId xmlns:a16="http://schemas.microsoft.com/office/drawing/2014/main" id="{EF1930EC-7730-4914-A868-28299B5B50F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37" name="AutoShape 40" descr="Currently available antiretroviral drugs | Download Table">
          <a:extLst>
            <a:ext uri="{FF2B5EF4-FFF2-40B4-BE49-F238E27FC236}">
              <a16:creationId xmlns:a16="http://schemas.microsoft.com/office/drawing/2014/main" id="{696937D6-CAFA-4EE7-B384-7F508D036F0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38" name="AutoShape 40" descr="Currently available antiretroviral drugs | Download Table">
          <a:extLst>
            <a:ext uri="{FF2B5EF4-FFF2-40B4-BE49-F238E27FC236}">
              <a16:creationId xmlns:a16="http://schemas.microsoft.com/office/drawing/2014/main" id="{A79A0E61-68BE-4367-B99F-DFE5F45B955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39" name="AutoShape 40" descr="Currently available antiretroviral drugs | Download Table">
          <a:extLst>
            <a:ext uri="{FF2B5EF4-FFF2-40B4-BE49-F238E27FC236}">
              <a16:creationId xmlns:a16="http://schemas.microsoft.com/office/drawing/2014/main" id="{612F3486-607C-4525-8629-939548F7930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40" name="AutoShape 40" descr="Currently available antiretroviral drugs | Download Table">
          <a:extLst>
            <a:ext uri="{FF2B5EF4-FFF2-40B4-BE49-F238E27FC236}">
              <a16:creationId xmlns:a16="http://schemas.microsoft.com/office/drawing/2014/main" id="{B173C289-19BB-4AAB-AD10-5E70D779A84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41" name="AutoShape 40" descr="Currently available antiretroviral drugs | Download Table">
          <a:extLst>
            <a:ext uri="{FF2B5EF4-FFF2-40B4-BE49-F238E27FC236}">
              <a16:creationId xmlns:a16="http://schemas.microsoft.com/office/drawing/2014/main" id="{5C6E34CA-A120-4D95-BC04-F10C6C98160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42" name="AutoShape 40" descr="Currently available antiretroviral drugs | Download Table">
          <a:extLst>
            <a:ext uri="{FF2B5EF4-FFF2-40B4-BE49-F238E27FC236}">
              <a16:creationId xmlns:a16="http://schemas.microsoft.com/office/drawing/2014/main" id="{02F3F00D-1E8C-4E11-B434-55AA0977708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43" name="AutoShape 40" descr="Currently available antiretroviral drugs | Download Table">
          <a:extLst>
            <a:ext uri="{FF2B5EF4-FFF2-40B4-BE49-F238E27FC236}">
              <a16:creationId xmlns:a16="http://schemas.microsoft.com/office/drawing/2014/main" id="{E37362BE-0493-421A-AEA6-6858F9471AF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44" name="AutoShape 40" descr="Currently available antiretroviral drugs | Download Table">
          <a:extLst>
            <a:ext uri="{FF2B5EF4-FFF2-40B4-BE49-F238E27FC236}">
              <a16:creationId xmlns:a16="http://schemas.microsoft.com/office/drawing/2014/main" id="{84A01BBD-7938-4CEA-99DD-F393EBB7363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45" name="AutoShape 40" descr="Currently available antiretroviral drugs | Download Table">
          <a:extLst>
            <a:ext uri="{FF2B5EF4-FFF2-40B4-BE49-F238E27FC236}">
              <a16:creationId xmlns:a16="http://schemas.microsoft.com/office/drawing/2014/main" id="{51500C9A-25BD-4CA4-8D0B-42722B522C4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46" name="AutoShape 40" descr="Currently available antiretroviral drugs | Download Table">
          <a:extLst>
            <a:ext uri="{FF2B5EF4-FFF2-40B4-BE49-F238E27FC236}">
              <a16:creationId xmlns:a16="http://schemas.microsoft.com/office/drawing/2014/main" id="{7AEF3FEB-8EC8-4A1A-812D-D936637EBE0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47" name="AutoShape 40" descr="Currently available antiretroviral drugs | Download Table">
          <a:extLst>
            <a:ext uri="{FF2B5EF4-FFF2-40B4-BE49-F238E27FC236}">
              <a16:creationId xmlns:a16="http://schemas.microsoft.com/office/drawing/2014/main" id="{8A779170-2F66-4652-BA0F-168A838C868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48" name="AutoShape 40" descr="Currently available antiretroviral drugs | Download Table">
          <a:extLst>
            <a:ext uri="{FF2B5EF4-FFF2-40B4-BE49-F238E27FC236}">
              <a16:creationId xmlns:a16="http://schemas.microsoft.com/office/drawing/2014/main" id="{0E1DC87F-4A50-451A-9D35-77A6F8CFE68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49" name="AutoShape 40" descr="Currently available antiretroviral drugs | Download Table">
          <a:extLst>
            <a:ext uri="{FF2B5EF4-FFF2-40B4-BE49-F238E27FC236}">
              <a16:creationId xmlns:a16="http://schemas.microsoft.com/office/drawing/2014/main" id="{863BD6A7-9DC1-40EA-8DF8-DCF70C32954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50" name="AutoShape 40" descr="Currently available antiretroviral drugs | Download Table">
          <a:extLst>
            <a:ext uri="{FF2B5EF4-FFF2-40B4-BE49-F238E27FC236}">
              <a16:creationId xmlns:a16="http://schemas.microsoft.com/office/drawing/2014/main" id="{B661B7EB-D5DB-4C5F-A1A5-120804B06B6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51" name="AutoShape 40" descr="Currently available antiretroviral drugs | Download Table">
          <a:extLst>
            <a:ext uri="{FF2B5EF4-FFF2-40B4-BE49-F238E27FC236}">
              <a16:creationId xmlns:a16="http://schemas.microsoft.com/office/drawing/2014/main" id="{11C0CF24-1EFF-41E8-B0CC-12704B16B94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52" name="AutoShape 40" descr="Currently available antiretroviral drugs | Download Table">
          <a:extLst>
            <a:ext uri="{FF2B5EF4-FFF2-40B4-BE49-F238E27FC236}">
              <a16:creationId xmlns:a16="http://schemas.microsoft.com/office/drawing/2014/main" id="{3AB267F7-5241-49CE-8001-6FA2935BA8F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53" name="AutoShape 40" descr="Currently available antiretroviral drugs | Download Table">
          <a:extLst>
            <a:ext uri="{FF2B5EF4-FFF2-40B4-BE49-F238E27FC236}">
              <a16:creationId xmlns:a16="http://schemas.microsoft.com/office/drawing/2014/main" id="{7C3E4DB2-DAC2-4E8B-92C0-2E9562B3C26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54" name="AutoShape 40" descr="Currently available antiretroviral drugs | Download Table">
          <a:extLst>
            <a:ext uri="{FF2B5EF4-FFF2-40B4-BE49-F238E27FC236}">
              <a16:creationId xmlns:a16="http://schemas.microsoft.com/office/drawing/2014/main" id="{BE3B9078-C464-4499-8916-FBEDE7DE3C4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55" name="AutoShape 40" descr="Currently available antiretroviral drugs | Download Table">
          <a:extLst>
            <a:ext uri="{FF2B5EF4-FFF2-40B4-BE49-F238E27FC236}">
              <a16:creationId xmlns:a16="http://schemas.microsoft.com/office/drawing/2014/main" id="{A378E56A-CD4A-4698-9D48-8D3BB7CBCA7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56" name="AutoShape 40" descr="Currently available antiretroviral drugs | Download Table">
          <a:extLst>
            <a:ext uri="{FF2B5EF4-FFF2-40B4-BE49-F238E27FC236}">
              <a16:creationId xmlns:a16="http://schemas.microsoft.com/office/drawing/2014/main" id="{AC8F0CE0-572E-44F2-B705-31AE635D496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57" name="AutoShape 40" descr="Currently available antiretroviral drugs | Download Table">
          <a:extLst>
            <a:ext uri="{FF2B5EF4-FFF2-40B4-BE49-F238E27FC236}">
              <a16:creationId xmlns:a16="http://schemas.microsoft.com/office/drawing/2014/main" id="{1EF9B1E0-9575-4F2A-9279-AFE81E373B9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58" name="AutoShape 40" descr="Currently available antiretroviral drugs | Download Table">
          <a:extLst>
            <a:ext uri="{FF2B5EF4-FFF2-40B4-BE49-F238E27FC236}">
              <a16:creationId xmlns:a16="http://schemas.microsoft.com/office/drawing/2014/main" id="{98DCE1C4-E43F-4964-AE1A-FDD5BF2F141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59" name="AutoShape 40" descr="Currently available antiretroviral drugs | Download Table">
          <a:extLst>
            <a:ext uri="{FF2B5EF4-FFF2-40B4-BE49-F238E27FC236}">
              <a16:creationId xmlns:a16="http://schemas.microsoft.com/office/drawing/2014/main" id="{185364BF-AD63-42A3-A329-0AA1BA5189F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60" name="AutoShape 40" descr="Currently available antiretroviral drugs | Download Table">
          <a:extLst>
            <a:ext uri="{FF2B5EF4-FFF2-40B4-BE49-F238E27FC236}">
              <a16:creationId xmlns:a16="http://schemas.microsoft.com/office/drawing/2014/main" id="{22E200B4-AB8D-49DD-9348-4743A6F2AD1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61" name="AutoShape 40" descr="Currently available antiretroviral drugs | Download Table">
          <a:extLst>
            <a:ext uri="{FF2B5EF4-FFF2-40B4-BE49-F238E27FC236}">
              <a16:creationId xmlns:a16="http://schemas.microsoft.com/office/drawing/2014/main" id="{186B64E4-6F18-47AA-84AC-3BF1D7586E4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62" name="AutoShape 40" descr="Currently available antiretroviral drugs | Download Table">
          <a:extLst>
            <a:ext uri="{FF2B5EF4-FFF2-40B4-BE49-F238E27FC236}">
              <a16:creationId xmlns:a16="http://schemas.microsoft.com/office/drawing/2014/main" id="{388BF903-F217-40A5-B225-710A5C56A00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63" name="AutoShape 40" descr="Currently available antiretroviral drugs | Download Table">
          <a:extLst>
            <a:ext uri="{FF2B5EF4-FFF2-40B4-BE49-F238E27FC236}">
              <a16:creationId xmlns:a16="http://schemas.microsoft.com/office/drawing/2014/main" id="{9F8D7D9E-3394-467B-86FD-E50DDE1C7F9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64" name="AutoShape 40" descr="Currently available antiretroviral drugs | Download Table">
          <a:extLst>
            <a:ext uri="{FF2B5EF4-FFF2-40B4-BE49-F238E27FC236}">
              <a16:creationId xmlns:a16="http://schemas.microsoft.com/office/drawing/2014/main" id="{5B3AC9EA-5885-4E9A-B76E-F7C9900DAE4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65" name="AutoShape 40" descr="Currently available antiretroviral drugs | Download Table">
          <a:extLst>
            <a:ext uri="{FF2B5EF4-FFF2-40B4-BE49-F238E27FC236}">
              <a16:creationId xmlns:a16="http://schemas.microsoft.com/office/drawing/2014/main" id="{15230A78-E43C-43D3-955B-1C9AB4BD792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66" name="AutoShape 40" descr="Currently available antiretroviral drugs | Download Table">
          <a:extLst>
            <a:ext uri="{FF2B5EF4-FFF2-40B4-BE49-F238E27FC236}">
              <a16:creationId xmlns:a16="http://schemas.microsoft.com/office/drawing/2014/main" id="{3571D888-822B-4410-8C90-29E629CC336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67" name="AutoShape 40" descr="Currently available antiretroviral drugs | Download Table">
          <a:extLst>
            <a:ext uri="{FF2B5EF4-FFF2-40B4-BE49-F238E27FC236}">
              <a16:creationId xmlns:a16="http://schemas.microsoft.com/office/drawing/2014/main" id="{09421E15-64A3-4E0E-A581-46729D0A20C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68" name="AutoShape 40" descr="Currently available antiretroviral drugs | Download Table">
          <a:extLst>
            <a:ext uri="{FF2B5EF4-FFF2-40B4-BE49-F238E27FC236}">
              <a16:creationId xmlns:a16="http://schemas.microsoft.com/office/drawing/2014/main" id="{14FDFD0A-5C17-4A42-9158-42F3FD04FD2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69" name="AutoShape 40" descr="Currently available antiretroviral drugs | Download Table">
          <a:extLst>
            <a:ext uri="{FF2B5EF4-FFF2-40B4-BE49-F238E27FC236}">
              <a16:creationId xmlns:a16="http://schemas.microsoft.com/office/drawing/2014/main" id="{47097E35-7E3F-4715-8DEC-E7AFD37C804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70" name="AutoShape 40" descr="Currently available antiretroviral drugs | Download Table">
          <a:extLst>
            <a:ext uri="{FF2B5EF4-FFF2-40B4-BE49-F238E27FC236}">
              <a16:creationId xmlns:a16="http://schemas.microsoft.com/office/drawing/2014/main" id="{0ADCF6AA-6E39-4C25-9C2D-B07E8B8B373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71" name="AutoShape 40" descr="Currently available antiretroviral drugs | Download Table">
          <a:extLst>
            <a:ext uri="{FF2B5EF4-FFF2-40B4-BE49-F238E27FC236}">
              <a16:creationId xmlns:a16="http://schemas.microsoft.com/office/drawing/2014/main" id="{AC4EC731-8153-4FD9-B80C-85C6C3730EF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72" name="AutoShape 40" descr="Currently available antiretroviral drugs | Download Table">
          <a:extLst>
            <a:ext uri="{FF2B5EF4-FFF2-40B4-BE49-F238E27FC236}">
              <a16:creationId xmlns:a16="http://schemas.microsoft.com/office/drawing/2014/main" id="{A8244230-5B56-470F-AF13-CDF12D1D29D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73" name="AutoShape 40" descr="Currently available antiretroviral drugs | Download Table">
          <a:extLst>
            <a:ext uri="{FF2B5EF4-FFF2-40B4-BE49-F238E27FC236}">
              <a16:creationId xmlns:a16="http://schemas.microsoft.com/office/drawing/2014/main" id="{D1E9A0D0-EF82-433E-A8E3-6E3715A4E77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74" name="AutoShape 40" descr="Currently available antiretroviral drugs | Download Table">
          <a:extLst>
            <a:ext uri="{FF2B5EF4-FFF2-40B4-BE49-F238E27FC236}">
              <a16:creationId xmlns:a16="http://schemas.microsoft.com/office/drawing/2014/main" id="{4F1A1B86-24CE-48FD-B3FE-FD41E4C4D9D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75" name="AutoShape 40" descr="Currently available antiretroviral drugs | Download Table">
          <a:extLst>
            <a:ext uri="{FF2B5EF4-FFF2-40B4-BE49-F238E27FC236}">
              <a16:creationId xmlns:a16="http://schemas.microsoft.com/office/drawing/2014/main" id="{1F8E2361-4895-40A6-A162-4EC6F2870C7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76" name="AutoShape 40" descr="Currently available antiretroviral drugs | Download Table">
          <a:extLst>
            <a:ext uri="{FF2B5EF4-FFF2-40B4-BE49-F238E27FC236}">
              <a16:creationId xmlns:a16="http://schemas.microsoft.com/office/drawing/2014/main" id="{728B696D-6D91-4226-883E-3590BF891C7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77" name="AutoShape 40" descr="Currently available antiretroviral drugs | Download Table">
          <a:extLst>
            <a:ext uri="{FF2B5EF4-FFF2-40B4-BE49-F238E27FC236}">
              <a16:creationId xmlns:a16="http://schemas.microsoft.com/office/drawing/2014/main" id="{817F2E1D-0AE4-4BEF-B2BB-A5B1C671D09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78" name="AutoShape 40" descr="Currently available antiretroviral drugs | Download Table">
          <a:extLst>
            <a:ext uri="{FF2B5EF4-FFF2-40B4-BE49-F238E27FC236}">
              <a16:creationId xmlns:a16="http://schemas.microsoft.com/office/drawing/2014/main" id="{E4ABDE21-3EA3-46C3-B774-33AF1B225AC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79" name="AutoShape 40" descr="Currently available antiretroviral drugs | Download Table">
          <a:extLst>
            <a:ext uri="{FF2B5EF4-FFF2-40B4-BE49-F238E27FC236}">
              <a16:creationId xmlns:a16="http://schemas.microsoft.com/office/drawing/2014/main" id="{37F82508-F5F2-4C92-A2EA-8CC20280EB9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80" name="AutoShape 40" descr="Currently available antiretroviral drugs | Download Table">
          <a:extLst>
            <a:ext uri="{FF2B5EF4-FFF2-40B4-BE49-F238E27FC236}">
              <a16:creationId xmlns:a16="http://schemas.microsoft.com/office/drawing/2014/main" id="{6E0883A3-64A3-4FEE-A03E-883805AED3D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81" name="AutoShape 40" descr="Currently available antiretroviral drugs | Download Table">
          <a:extLst>
            <a:ext uri="{FF2B5EF4-FFF2-40B4-BE49-F238E27FC236}">
              <a16:creationId xmlns:a16="http://schemas.microsoft.com/office/drawing/2014/main" id="{3FC8D098-8E70-4FCE-8F37-5A03942D0D3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82" name="AutoShape 40" descr="Currently available antiretroviral drugs | Download Table">
          <a:extLst>
            <a:ext uri="{FF2B5EF4-FFF2-40B4-BE49-F238E27FC236}">
              <a16:creationId xmlns:a16="http://schemas.microsoft.com/office/drawing/2014/main" id="{FF5E8BBD-C502-45CC-A903-B146C331DE4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83" name="AutoShape 40" descr="Currently available antiretroviral drugs | Download Table">
          <a:extLst>
            <a:ext uri="{FF2B5EF4-FFF2-40B4-BE49-F238E27FC236}">
              <a16:creationId xmlns:a16="http://schemas.microsoft.com/office/drawing/2014/main" id="{F97AA7E2-6B3C-4F92-91CA-CEF0B6E74FB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84" name="AutoShape 40" descr="Currently available antiretroviral drugs | Download Table">
          <a:extLst>
            <a:ext uri="{FF2B5EF4-FFF2-40B4-BE49-F238E27FC236}">
              <a16:creationId xmlns:a16="http://schemas.microsoft.com/office/drawing/2014/main" id="{FB087190-55CD-460B-98EC-000DEFE6FC7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85" name="AutoShape 40" descr="Currently available antiretroviral drugs | Download Table">
          <a:extLst>
            <a:ext uri="{FF2B5EF4-FFF2-40B4-BE49-F238E27FC236}">
              <a16:creationId xmlns:a16="http://schemas.microsoft.com/office/drawing/2014/main" id="{D1EC5E18-4B7D-4A2D-BFBF-9E3C5DDEDA2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86" name="AutoShape 40" descr="Currently available antiretroviral drugs | Download Table">
          <a:extLst>
            <a:ext uri="{FF2B5EF4-FFF2-40B4-BE49-F238E27FC236}">
              <a16:creationId xmlns:a16="http://schemas.microsoft.com/office/drawing/2014/main" id="{E1191A5A-1B2C-4814-A840-36914FBBBF3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87" name="AutoShape 40" descr="Currently available antiretroviral drugs | Download Table">
          <a:extLst>
            <a:ext uri="{FF2B5EF4-FFF2-40B4-BE49-F238E27FC236}">
              <a16:creationId xmlns:a16="http://schemas.microsoft.com/office/drawing/2014/main" id="{C6D5002D-2785-48E2-B523-FE6DB07CFAD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88" name="AutoShape 40" descr="Currently available antiretroviral drugs | Download Table">
          <a:extLst>
            <a:ext uri="{FF2B5EF4-FFF2-40B4-BE49-F238E27FC236}">
              <a16:creationId xmlns:a16="http://schemas.microsoft.com/office/drawing/2014/main" id="{75F18CDD-4518-48A8-BF2F-84E0BFA0C5B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89" name="AutoShape 40" descr="Currently available antiretroviral drugs | Download Table">
          <a:extLst>
            <a:ext uri="{FF2B5EF4-FFF2-40B4-BE49-F238E27FC236}">
              <a16:creationId xmlns:a16="http://schemas.microsoft.com/office/drawing/2014/main" id="{C8E9AE7D-E84F-4D87-84D7-67914667282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90" name="AutoShape 40" descr="Currently available antiretroviral drugs | Download Table">
          <a:extLst>
            <a:ext uri="{FF2B5EF4-FFF2-40B4-BE49-F238E27FC236}">
              <a16:creationId xmlns:a16="http://schemas.microsoft.com/office/drawing/2014/main" id="{3879E7B5-5250-488D-A345-072E0633B76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91" name="AutoShape 40" descr="Currently available antiretroviral drugs | Download Table">
          <a:extLst>
            <a:ext uri="{FF2B5EF4-FFF2-40B4-BE49-F238E27FC236}">
              <a16:creationId xmlns:a16="http://schemas.microsoft.com/office/drawing/2014/main" id="{A275F68D-6A61-43C6-AA8F-72C9776AE40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92" name="AutoShape 40" descr="Currently available antiretroviral drugs | Download Table">
          <a:extLst>
            <a:ext uri="{FF2B5EF4-FFF2-40B4-BE49-F238E27FC236}">
              <a16:creationId xmlns:a16="http://schemas.microsoft.com/office/drawing/2014/main" id="{AF5876C4-D6B9-44D9-A300-5635DAF8BA9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93" name="AutoShape 40" descr="Currently available antiretroviral drugs | Download Table">
          <a:extLst>
            <a:ext uri="{FF2B5EF4-FFF2-40B4-BE49-F238E27FC236}">
              <a16:creationId xmlns:a16="http://schemas.microsoft.com/office/drawing/2014/main" id="{B84FEFE6-5DF0-4BC3-9A54-1C38DD6AB36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94" name="AutoShape 40" descr="Currently available antiretroviral drugs | Download Table">
          <a:extLst>
            <a:ext uri="{FF2B5EF4-FFF2-40B4-BE49-F238E27FC236}">
              <a16:creationId xmlns:a16="http://schemas.microsoft.com/office/drawing/2014/main" id="{8830D7F7-80F5-4213-8661-65C13453486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95" name="AutoShape 40" descr="Currently available antiretroviral drugs | Download Table">
          <a:extLst>
            <a:ext uri="{FF2B5EF4-FFF2-40B4-BE49-F238E27FC236}">
              <a16:creationId xmlns:a16="http://schemas.microsoft.com/office/drawing/2014/main" id="{129F4804-EA15-408E-BEC5-4E04730AFDF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96" name="AutoShape 40" descr="Currently available antiretroviral drugs | Download Table">
          <a:extLst>
            <a:ext uri="{FF2B5EF4-FFF2-40B4-BE49-F238E27FC236}">
              <a16:creationId xmlns:a16="http://schemas.microsoft.com/office/drawing/2014/main" id="{A65C5C15-1ED0-411D-820C-002918978FB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97" name="AutoShape 40" descr="Currently available antiretroviral drugs | Download Table">
          <a:extLst>
            <a:ext uri="{FF2B5EF4-FFF2-40B4-BE49-F238E27FC236}">
              <a16:creationId xmlns:a16="http://schemas.microsoft.com/office/drawing/2014/main" id="{B991F1B5-A527-4625-B491-D35691654BC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98" name="AutoShape 40" descr="Currently available antiretroviral drugs | Download Table">
          <a:extLst>
            <a:ext uri="{FF2B5EF4-FFF2-40B4-BE49-F238E27FC236}">
              <a16:creationId xmlns:a16="http://schemas.microsoft.com/office/drawing/2014/main" id="{6AB7C48A-23A8-43A9-8BEC-954B56B918B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899" name="AutoShape 40" descr="Currently available antiretroviral drugs | Download Table">
          <a:extLst>
            <a:ext uri="{FF2B5EF4-FFF2-40B4-BE49-F238E27FC236}">
              <a16:creationId xmlns:a16="http://schemas.microsoft.com/office/drawing/2014/main" id="{A12D336F-8560-4E49-BC27-65011585789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00" name="AutoShape 40" descr="Currently available antiretroviral drugs | Download Table">
          <a:extLst>
            <a:ext uri="{FF2B5EF4-FFF2-40B4-BE49-F238E27FC236}">
              <a16:creationId xmlns:a16="http://schemas.microsoft.com/office/drawing/2014/main" id="{AD7B8CCD-72FA-4122-A484-3568FA12623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01" name="AutoShape 40" descr="Currently available antiretroviral drugs | Download Table">
          <a:extLst>
            <a:ext uri="{FF2B5EF4-FFF2-40B4-BE49-F238E27FC236}">
              <a16:creationId xmlns:a16="http://schemas.microsoft.com/office/drawing/2014/main" id="{BAFB8FE1-B862-4382-9818-09A84A1A8B3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02" name="AutoShape 40" descr="Currently available antiretroviral drugs | Download Table">
          <a:extLst>
            <a:ext uri="{FF2B5EF4-FFF2-40B4-BE49-F238E27FC236}">
              <a16:creationId xmlns:a16="http://schemas.microsoft.com/office/drawing/2014/main" id="{511FFCCB-B006-4EE9-9AD3-90CFB52EB8A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03" name="AutoShape 40" descr="Currently available antiretroviral drugs | Download Table">
          <a:extLst>
            <a:ext uri="{FF2B5EF4-FFF2-40B4-BE49-F238E27FC236}">
              <a16:creationId xmlns:a16="http://schemas.microsoft.com/office/drawing/2014/main" id="{3DA55FC7-451D-447C-8979-AFABB1C8C3B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04" name="AutoShape 40" descr="Currently available antiretroviral drugs | Download Table">
          <a:extLst>
            <a:ext uri="{FF2B5EF4-FFF2-40B4-BE49-F238E27FC236}">
              <a16:creationId xmlns:a16="http://schemas.microsoft.com/office/drawing/2014/main" id="{A0A1FF87-ECB2-4C46-A46A-5D9523DF8B4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05" name="AutoShape 40" descr="Currently available antiretroviral drugs | Download Table">
          <a:extLst>
            <a:ext uri="{FF2B5EF4-FFF2-40B4-BE49-F238E27FC236}">
              <a16:creationId xmlns:a16="http://schemas.microsoft.com/office/drawing/2014/main" id="{636FDE59-F6D4-42AA-9A44-4ADD753410F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06" name="AutoShape 40" descr="Currently available antiretroviral drugs | Download Table">
          <a:extLst>
            <a:ext uri="{FF2B5EF4-FFF2-40B4-BE49-F238E27FC236}">
              <a16:creationId xmlns:a16="http://schemas.microsoft.com/office/drawing/2014/main" id="{04BB5DF3-BA99-4B08-833E-61BAD4C68A2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07" name="AutoShape 40" descr="Currently available antiretroviral drugs | Download Table">
          <a:extLst>
            <a:ext uri="{FF2B5EF4-FFF2-40B4-BE49-F238E27FC236}">
              <a16:creationId xmlns:a16="http://schemas.microsoft.com/office/drawing/2014/main" id="{B91DF4E1-3302-49CF-83CC-F94C3051187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08" name="AutoShape 40" descr="Currently available antiretroviral drugs | Download Table">
          <a:extLst>
            <a:ext uri="{FF2B5EF4-FFF2-40B4-BE49-F238E27FC236}">
              <a16:creationId xmlns:a16="http://schemas.microsoft.com/office/drawing/2014/main" id="{F3C60C72-0211-4C9C-B090-B1BF0282FCB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09" name="AutoShape 40" descr="Currently available antiretroviral drugs | Download Table">
          <a:extLst>
            <a:ext uri="{FF2B5EF4-FFF2-40B4-BE49-F238E27FC236}">
              <a16:creationId xmlns:a16="http://schemas.microsoft.com/office/drawing/2014/main" id="{699C3A9A-A8AD-4CB5-A470-5CC6D5939C4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10" name="AutoShape 40" descr="Currently available antiretroviral drugs | Download Table">
          <a:extLst>
            <a:ext uri="{FF2B5EF4-FFF2-40B4-BE49-F238E27FC236}">
              <a16:creationId xmlns:a16="http://schemas.microsoft.com/office/drawing/2014/main" id="{0C34F11A-FE8D-4905-AAB0-E69960DBE5C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11" name="AutoShape 40" descr="Currently available antiretroviral drugs | Download Table">
          <a:extLst>
            <a:ext uri="{FF2B5EF4-FFF2-40B4-BE49-F238E27FC236}">
              <a16:creationId xmlns:a16="http://schemas.microsoft.com/office/drawing/2014/main" id="{ACFB2059-DD64-493B-BE30-19BEBBD5204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12" name="AutoShape 40" descr="Currently available antiretroviral drugs | Download Table">
          <a:extLst>
            <a:ext uri="{FF2B5EF4-FFF2-40B4-BE49-F238E27FC236}">
              <a16:creationId xmlns:a16="http://schemas.microsoft.com/office/drawing/2014/main" id="{8D6E7660-C633-429D-908A-8C1F35C258B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13" name="AutoShape 40" descr="Currently available antiretroviral drugs | Download Table">
          <a:extLst>
            <a:ext uri="{FF2B5EF4-FFF2-40B4-BE49-F238E27FC236}">
              <a16:creationId xmlns:a16="http://schemas.microsoft.com/office/drawing/2014/main" id="{FB5A6F67-C710-454E-B1EE-54689C68A77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14" name="AutoShape 40" descr="Currently available antiretroviral drugs | Download Table">
          <a:extLst>
            <a:ext uri="{FF2B5EF4-FFF2-40B4-BE49-F238E27FC236}">
              <a16:creationId xmlns:a16="http://schemas.microsoft.com/office/drawing/2014/main" id="{6BBF171B-356C-4081-80DA-71CC00ABDE4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15" name="AutoShape 40" descr="Currently available antiretroviral drugs | Download Table">
          <a:extLst>
            <a:ext uri="{FF2B5EF4-FFF2-40B4-BE49-F238E27FC236}">
              <a16:creationId xmlns:a16="http://schemas.microsoft.com/office/drawing/2014/main" id="{A260368D-29A3-40E3-A562-3E8ABDDBCF5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16" name="AutoShape 40" descr="Currently available antiretroviral drugs | Download Table">
          <a:extLst>
            <a:ext uri="{FF2B5EF4-FFF2-40B4-BE49-F238E27FC236}">
              <a16:creationId xmlns:a16="http://schemas.microsoft.com/office/drawing/2014/main" id="{B83C1076-81CF-4904-8404-F9966AED682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17" name="AutoShape 40" descr="Currently available antiretroviral drugs | Download Table">
          <a:extLst>
            <a:ext uri="{FF2B5EF4-FFF2-40B4-BE49-F238E27FC236}">
              <a16:creationId xmlns:a16="http://schemas.microsoft.com/office/drawing/2014/main" id="{F7F159A0-F3CC-4C10-BD78-92216DDBDF1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18" name="AutoShape 40" descr="Currently available antiretroviral drugs | Download Table">
          <a:extLst>
            <a:ext uri="{FF2B5EF4-FFF2-40B4-BE49-F238E27FC236}">
              <a16:creationId xmlns:a16="http://schemas.microsoft.com/office/drawing/2014/main" id="{663C0FE2-1A73-426B-8CC8-A32A7072225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19" name="AutoShape 40" descr="Currently available antiretroviral drugs | Download Table">
          <a:extLst>
            <a:ext uri="{FF2B5EF4-FFF2-40B4-BE49-F238E27FC236}">
              <a16:creationId xmlns:a16="http://schemas.microsoft.com/office/drawing/2014/main" id="{49D0B764-866C-44AD-BDC6-EA382D2CE9B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20" name="AutoShape 40" descr="Currently available antiretroviral drugs | Download Table">
          <a:extLst>
            <a:ext uri="{FF2B5EF4-FFF2-40B4-BE49-F238E27FC236}">
              <a16:creationId xmlns:a16="http://schemas.microsoft.com/office/drawing/2014/main" id="{4D1D544C-9201-4C69-8245-8E79E615D54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21" name="AutoShape 40" descr="Currently available antiretroviral drugs | Download Table">
          <a:extLst>
            <a:ext uri="{FF2B5EF4-FFF2-40B4-BE49-F238E27FC236}">
              <a16:creationId xmlns:a16="http://schemas.microsoft.com/office/drawing/2014/main" id="{6E58398C-A06A-4047-9CF6-49229342242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22" name="AutoShape 40" descr="Currently available antiretroviral drugs | Download Table">
          <a:extLst>
            <a:ext uri="{FF2B5EF4-FFF2-40B4-BE49-F238E27FC236}">
              <a16:creationId xmlns:a16="http://schemas.microsoft.com/office/drawing/2014/main" id="{E1DDE21F-7AE9-4026-A15A-8576B87C581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23" name="AutoShape 40" descr="Currently available antiretroviral drugs | Download Table">
          <a:extLst>
            <a:ext uri="{FF2B5EF4-FFF2-40B4-BE49-F238E27FC236}">
              <a16:creationId xmlns:a16="http://schemas.microsoft.com/office/drawing/2014/main" id="{3E7BB72D-A066-4261-B44F-C45747A10F6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24" name="AutoShape 40" descr="Currently available antiretroviral drugs | Download Table">
          <a:extLst>
            <a:ext uri="{FF2B5EF4-FFF2-40B4-BE49-F238E27FC236}">
              <a16:creationId xmlns:a16="http://schemas.microsoft.com/office/drawing/2014/main" id="{E2AF73E0-CBCC-488F-8A84-069DB34E81B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25" name="AutoShape 40" descr="Currently available antiretroviral drugs | Download Table">
          <a:extLst>
            <a:ext uri="{FF2B5EF4-FFF2-40B4-BE49-F238E27FC236}">
              <a16:creationId xmlns:a16="http://schemas.microsoft.com/office/drawing/2014/main" id="{AB7DDE58-7285-40E6-A564-C41C49B31F4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26" name="AutoShape 40" descr="Currently available antiretroviral drugs | Download Table">
          <a:extLst>
            <a:ext uri="{FF2B5EF4-FFF2-40B4-BE49-F238E27FC236}">
              <a16:creationId xmlns:a16="http://schemas.microsoft.com/office/drawing/2014/main" id="{CC9B0FD7-B86B-4193-A1DD-0529ECED451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27" name="AutoShape 40" descr="Currently available antiretroviral drugs | Download Table">
          <a:extLst>
            <a:ext uri="{FF2B5EF4-FFF2-40B4-BE49-F238E27FC236}">
              <a16:creationId xmlns:a16="http://schemas.microsoft.com/office/drawing/2014/main" id="{794AF44E-DD97-4C22-B2BE-846231714F5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28" name="AutoShape 40" descr="Currently available antiretroviral drugs | Download Table">
          <a:extLst>
            <a:ext uri="{FF2B5EF4-FFF2-40B4-BE49-F238E27FC236}">
              <a16:creationId xmlns:a16="http://schemas.microsoft.com/office/drawing/2014/main" id="{5D947177-D293-4777-A63F-CA3E2A7FC44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29" name="AutoShape 40" descr="Currently available antiretroviral drugs | Download Table">
          <a:extLst>
            <a:ext uri="{FF2B5EF4-FFF2-40B4-BE49-F238E27FC236}">
              <a16:creationId xmlns:a16="http://schemas.microsoft.com/office/drawing/2014/main" id="{43A14CB8-E9B0-4151-88D8-C020FAB2AF6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30" name="AutoShape 40" descr="Currently available antiretroviral drugs | Download Table">
          <a:extLst>
            <a:ext uri="{FF2B5EF4-FFF2-40B4-BE49-F238E27FC236}">
              <a16:creationId xmlns:a16="http://schemas.microsoft.com/office/drawing/2014/main" id="{AA08CB58-7090-40DA-B036-D6871FA7098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31" name="AutoShape 40" descr="Currently available antiretroviral drugs | Download Table">
          <a:extLst>
            <a:ext uri="{FF2B5EF4-FFF2-40B4-BE49-F238E27FC236}">
              <a16:creationId xmlns:a16="http://schemas.microsoft.com/office/drawing/2014/main" id="{B8968320-E75A-43A5-84ED-21502DD1239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32" name="AutoShape 40" descr="Currently available antiretroviral drugs | Download Table">
          <a:extLst>
            <a:ext uri="{FF2B5EF4-FFF2-40B4-BE49-F238E27FC236}">
              <a16:creationId xmlns:a16="http://schemas.microsoft.com/office/drawing/2014/main" id="{2059E267-5632-477A-A127-8FAFB95AFFD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33" name="AutoShape 40" descr="Currently available antiretroviral drugs | Download Table">
          <a:extLst>
            <a:ext uri="{FF2B5EF4-FFF2-40B4-BE49-F238E27FC236}">
              <a16:creationId xmlns:a16="http://schemas.microsoft.com/office/drawing/2014/main" id="{53AF8E10-6086-4151-BF25-F335F2FEC8E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34" name="AutoShape 40" descr="Currently available antiretroviral drugs | Download Table">
          <a:extLst>
            <a:ext uri="{FF2B5EF4-FFF2-40B4-BE49-F238E27FC236}">
              <a16:creationId xmlns:a16="http://schemas.microsoft.com/office/drawing/2014/main" id="{814BBB81-92B3-43DB-B44B-029F8F848E0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35" name="AutoShape 40" descr="Currently available antiretroviral drugs | Download Table">
          <a:extLst>
            <a:ext uri="{FF2B5EF4-FFF2-40B4-BE49-F238E27FC236}">
              <a16:creationId xmlns:a16="http://schemas.microsoft.com/office/drawing/2014/main" id="{BD5D6178-14B5-45B6-9DEB-C26B08A2F63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36" name="AutoShape 40" descr="Currently available antiretroviral drugs | Download Table">
          <a:extLst>
            <a:ext uri="{FF2B5EF4-FFF2-40B4-BE49-F238E27FC236}">
              <a16:creationId xmlns:a16="http://schemas.microsoft.com/office/drawing/2014/main" id="{D5C9464A-39AB-426C-8C72-8613DDCCF5F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37" name="AutoShape 40" descr="Currently available antiretroviral drugs | Download Table">
          <a:extLst>
            <a:ext uri="{FF2B5EF4-FFF2-40B4-BE49-F238E27FC236}">
              <a16:creationId xmlns:a16="http://schemas.microsoft.com/office/drawing/2014/main" id="{1187DE81-43A6-4784-A1B5-C316783C153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38" name="AutoShape 40" descr="Currently available antiretroviral drugs | Download Table">
          <a:extLst>
            <a:ext uri="{FF2B5EF4-FFF2-40B4-BE49-F238E27FC236}">
              <a16:creationId xmlns:a16="http://schemas.microsoft.com/office/drawing/2014/main" id="{1CF63B60-F95B-4AC0-B274-5D7557B63FE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39" name="AutoShape 40" descr="Currently available antiretroviral drugs | Download Table">
          <a:extLst>
            <a:ext uri="{FF2B5EF4-FFF2-40B4-BE49-F238E27FC236}">
              <a16:creationId xmlns:a16="http://schemas.microsoft.com/office/drawing/2014/main" id="{226B9D0E-8AF3-4077-B5CB-3D7456E74AF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40" name="AutoShape 40" descr="Currently available antiretroviral drugs | Download Table">
          <a:extLst>
            <a:ext uri="{FF2B5EF4-FFF2-40B4-BE49-F238E27FC236}">
              <a16:creationId xmlns:a16="http://schemas.microsoft.com/office/drawing/2014/main" id="{950FC94B-67B0-45E5-AB90-D764EC27D2F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41" name="AutoShape 40" descr="Currently available antiretroviral drugs | Download Table">
          <a:extLst>
            <a:ext uri="{FF2B5EF4-FFF2-40B4-BE49-F238E27FC236}">
              <a16:creationId xmlns:a16="http://schemas.microsoft.com/office/drawing/2014/main" id="{99BFE130-5157-4D07-BBFE-290B03608C9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42" name="AutoShape 40" descr="Currently available antiretroviral drugs | Download Table">
          <a:extLst>
            <a:ext uri="{FF2B5EF4-FFF2-40B4-BE49-F238E27FC236}">
              <a16:creationId xmlns:a16="http://schemas.microsoft.com/office/drawing/2014/main" id="{79383527-3703-416C-92F0-04203099BAD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43" name="AutoShape 40" descr="Currently available antiretroviral drugs | Download Table">
          <a:extLst>
            <a:ext uri="{FF2B5EF4-FFF2-40B4-BE49-F238E27FC236}">
              <a16:creationId xmlns:a16="http://schemas.microsoft.com/office/drawing/2014/main" id="{4AA748F0-1FA3-4803-A995-9162ADD0B95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44" name="AutoShape 40" descr="Currently available antiretroviral drugs | Download Table">
          <a:extLst>
            <a:ext uri="{FF2B5EF4-FFF2-40B4-BE49-F238E27FC236}">
              <a16:creationId xmlns:a16="http://schemas.microsoft.com/office/drawing/2014/main" id="{F6965FEE-812E-4FA6-9571-EC827573235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45" name="AutoShape 40" descr="Currently available antiretroviral drugs | Download Table">
          <a:extLst>
            <a:ext uri="{FF2B5EF4-FFF2-40B4-BE49-F238E27FC236}">
              <a16:creationId xmlns:a16="http://schemas.microsoft.com/office/drawing/2014/main" id="{DD0C840B-7F3D-4E99-84BC-C01A63831AB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46" name="AutoShape 40" descr="Currently available antiretroviral drugs | Download Table">
          <a:extLst>
            <a:ext uri="{FF2B5EF4-FFF2-40B4-BE49-F238E27FC236}">
              <a16:creationId xmlns:a16="http://schemas.microsoft.com/office/drawing/2014/main" id="{0F234E83-6424-48C3-9E62-9F54D471781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47" name="AutoShape 40" descr="Currently available antiretroviral drugs | Download Table">
          <a:extLst>
            <a:ext uri="{FF2B5EF4-FFF2-40B4-BE49-F238E27FC236}">
              <a16:creationId xmlns:a16="http://schemas.microsoft.com/office/drawing/2014/main" id="{01B2F04E-15F9-4231-BE15-D987A84180B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48" name="AutoShape 40" descr="Currently available antiretroviral drugs | Download Table">
          <a:extLst>
            <a:ext uri="{FF2B5EF4-FFF2-40B4-BE49-F238E27FC236}">
              <a16:creationId xmlns:a16="http://schemas.microsoft.com/office/drawing/2014/main" id="{579FE37E-808B-46F7-A196-721D9F497F5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49" name="AutoShape 40" descr="Currently available antiretroviral drugs | Download Table">
          <a:extLst>
            <a:ext uri="{FF2B5EF4-FFF2-40B4-BE49-F238E27FC236}">
              <a16:creationId xmlns:a16="http://schemas.microsoft.com/office/drawing/2014/main" id="{4D837BB5-EF34-47E1-86B3-F619DDE2B59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50" name="AutoShape 40" descr="Currently available antiretroviral drugs | Download Table">
          <a:extLst>
            <a:ext uri="{FF2B5EF4-FFF2-40B4-BE49-F238E27FC236}">
              <a16:creationId xmlns:a16="http://schemas.microsoft.com/office/drawing/2014/main" id="{CECAFF9D-DA65-47D3-BBD3-55C45F5D7E3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51" name="AutoShape 40" descr="Currently available antiretroviral drugs | Download Table">
          <a:extLst>
            <a:ext uri="{FF2B5EF4-FFF2-40B4-BE49-F238E27FC236}">
              <a16:creationId xmlns:a16="http://schemas.microsoft.com/office/drawing/2014/main" id="{C62ECB9F-3F99-47D9-913E-FAD9F987848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52" name="AutoShape 40" descr="Currently available antiretroviral drugs | Download Table">
          <a:extLst>
            <a:ext uri="{FF2B5EF4-FFF2-40B4-BE49-F238E27FC236}">
              <a16:creationId xmlns:a16="http://schemas.microsoft.com/office/drawing/2014/main" id="{6F1C4B44-5184-42F4-B559-17B6C68E468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53" name="AutoShape 40" descr="Currently available antiretroviral drugs | Download Table">
          <a:extLst>
            <a:ext uri="{FF2B5EF4-FFF2-40B4-BE49-F238E27FC236}">
              <a16:creationId xmlns:a16="http://schemas.microsoft.com/office/drawing/2014/main" id="{5593A033-0775-4729-875D-4C2119366E2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54" name="AutoShape 40" descr="Currently available antiretroviral drugs | Download Table">
          <a:extLst>
            <a:ext uri="{FF2B5EF4-FFF2-40B4-BE49-F238E27FC236}">
              <a16:creationId xmlns:a16="http://schemas.microsoft.com/office/drawing/2014/main" id="{D168F8F9-6C91-4C75-A46F-30BF9405BCF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55" name="AutoShape 40" descr="Currently available antiretroviral drugs | Download Table">
          <a:extLst>
            <a:ext uri="{FF2B5EF4-FFF2-40B4-BE49-F238E27FC236}">
              <a16:creationId xmlns:a16="http://schemas.microsoft.com/office/drawing/2014/main" id="{D12B9BCE-B388-400C-A372-31B1AC8C3B0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56" name="AutoShape 40" descr="Currently available antiretroviral drugs | Download Table">
          <a:extLst>
            <a:ext uri="{FF2B5EF4-FFF2-40B4-BE49-F238E27FC236}">
              <a16:creationId xmlns:a16="http://schemas.microsoft.com/office/drawing/2014/main" id="{924D74C0-4505-42D1-B202-469E03BCE23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57" name="AutoShape 40" descr="Currently available antiretroviral drugs | Download Table">
          <a:extLst>
            <a:ext uri="{FF2B5EF4-FFF2-40B4-BE49-F238E27FC236}">
              <a16:creationId xmlns:a16="http://schemas.microsoft.com/office/drawing/2014/main" id="{8ABC92D1-5326-421B-BC5B-23AED97E252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58" name="AutoShape 40" descr="Currently available antiretroviral drugs | Download Table">
          <a:extLst>
            <a:ext uri="{FF2B5EF4-FFF2-40B4-BE49-F238E27FC236}">
              <a16:creationId xmlns:a16="http://schemas.microsoft.com/office/drawing/2014/main" id="{4B60315E-C682-49DF-B235-8ECB420A356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59" name="AutoShape 40" descr="Currently available antiretroviral drugs | Download Table">
          <a:extLst>
            <a:ext uri="{FF2B5EF4-FFF2-40B4-BE49-F238E27FC236}">
              <a16:creationId xmlns:a16="http://schemas.microsoft.com/office/drawing/2014/main" id="{8B22F03D-EBD4-4955-9678-FD2F6C36A38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60" name="AutoShape 40" descr="Currently available antiretroviral drugs | Download Table">
          <a:extLst>
            <a:ext uri="{FF2B5EF4-FFF2-40B4-BE49-F238E27FC236}">
              <a16:creationId xmlns:a16="http://schemas.microsoft.com/office/drawing/2014/main" id="{638A0F4C-01E6-4237-AA32-99BBA0DCFA7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61" name="AutoShape 40" descr="Currently available antiretroviral drugs | Download Table">
          <a:extLst>
            <a:ext uri="{FF2B5EF4-FFF2-40B4-BE49-F238E27FC236}">
              <a16:creationId xmlns:a16="http://schemas.microsoft.com/office/drawing/2014/main" id="{EBC17D8D-C4C1-4DB5-A34F-EB0D9930B46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62" name="AutoShape 40" descr="Currently available antiretroviral drugs | Download Table">
          <a:extLst>
            <a:ext uri="{FF2B5EF4-FFF2-40B4-BE49-F238E27FC236}">
              <a16:creationId xmlns:a16="http://schemas.microsoft.com/office/drawing/2014/main" id="{57B1215C-7AA1-4D57-B71F-5D214345D4C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63" name="AutoShape 40" descr="Currently available antiretroviral drugs | Download Table">
          <a:extLst>
            <a:ext uri="{FF2B5EF4-FFF2-40B4-BE49-F238E27FC236}">
              <a16:creationId xmlns:a16="http://schemas.microsoft.com/office/drawing/2014/main" id="{82EA69F2-D73D-4E36-A0AD-2D2CFB503D7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64" name="AutoShape 40" descr="Currently available antiretroviral drugs | Download Table">
          <a:extLst>
            <a:ext uri="{FF2B5EF4-FFF2-40B4-BE49-F238E27FC236}">
              <a16:creationId xmlns:a16="http://schemas.microsoft.com/office/drawing/2014/main" id="{DC290BEC-08E9-43C7-9D76-7D07F6427A5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65" name="AutoShape 40" descr="Currently available antiretroviral drugs | Download Table">
          <a:extLst>
            <a:ext uri="{FF2B5EF4-FFF2-40B4-BE49-F238E27FC236}">
              <a16:creationId xmlns:a16="http://schemas.microsoft.com/office/drawing/2014/main" id="{5CB4EBC4-77AF-45C8-9457-485712858BA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66" name="AutoShape 40" descr="Currently available antiretroviral drugs | Download Table">
          <a:extLst>
            <a:ext uri="{FF2B5EF4-FFF2-40B4-BE49-F238E27FC236}">
              <a16:creationId xmlns:a16="http://schemas.microsoft.com/office/drawing/2014/main" id="{3C0FC8D2-AA87-4578-B7A5-5645B816207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67" name="AutoShape 40" descr="Currently available antiretroviral drugs | Download Table">
          <a:extLst>
            <a:ext uri="{FF2B5EF4-FFF2-40B4-BE49-F238E27FC236}">
              <a16:creationId xmlns:a16="http://schemas.microsoft.com/office/drawing/2014/main" id="{EB580B3B-D16C-4F33-94EE-5B20BF94217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68" name="AutoShape 40" descr="Currently available antiretroviral drugs | Download Table">
          <a:extLst>
            <a:ext uri="{FF2B5EF4-FFF2-40B4-BE49-F238E27FC236}">
              <a16:creationId xmlns:a16="http://schemas.microsoft.com/office/drawing/2014/main" id="{0C2C2257-C42B-47E1-A193-BF1F1B3E0FF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69" name="AutoShape 40" descr="Currently available antiretroviral drugs | Download Table">
          <a:extLst>
            <a:ext uri="{FF2B5EF4-FFF2-40B4-BE49-F238E27FC236}">
              <a16:creationId xmlns:a16="http://schemas.microsoft.com/office/drawing/2014/main" id="{904222DB-B4BE-48CF-94EA-C58A059928E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70" name="AutoShape 40" descr="Currently available antiretroviral drugs | Download Table">
          <a:extLst>
            <a:ext uri="{FF2B5EF4-FFF2-40B4-BE49-F238E27FC236}">
              <a16:creationId xmlns:a16="http://schemas.microsoft.com/office/drawing/2014/main" id="{5174977B-FE19-4D9E-A765-D77C5E50057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71" name="AutoShape 40" descr="Currently available antiretroviral drugs | Download Table">
          <a:extLst>
            <a:ext uri="{FF2B5EF4-FFF2-40B4-BE49-F238E27FC236}">
              <a16:creationId xmlns:a16="http://schemas.microsoft.com/office/drawing/2014/main" id="{87AE973C-3AB8-4189-99D1-650ADB69426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72" name="AutoShape 40" descr="Currently available antiretroviral drugs | Download Table">
          <a:extLst>
            <a:ext uri="{FF2B5EF4-FFF2-40B4-BE49-F238E27FC236}">
              <a16:creationId xmlns:a16="http://schemas.microsoft.com/office/drawing/2014/main" id="{DA38A8F9-B5A0-4667-A1DD-9D728AD06C9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73" name="AutoShape 40" descr="Currently available antiretroviral drugs | Download Table">
          <a:extLst>
            <a:ext uri="{FF2B5EF4-FFF2-40B4-BE49-F238E27FC236}">
              <a16:creationId xmlns:a16="http://schemas.microsoft.com/office/drawing/2014/main" id="{BDC8F8AE-46D3-4102-8199-825B75DA23A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74" name="AutoShape 40" descr="Currently available antiretroviral drugs | Download Table">
          <a:extLst>
            <a:ext uri="{FF2B5EF4-FFF2-40B4-BE49-F238E27FC236}">
              <a16:creationId xmlns:a16="http://schemas.microsoft.com/office/drawing/2014/main" id="{FA21F66C-8AD3-419B-9BE6-C966D5AD6C3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75" name="AutoShape 40" descr="Currently available antiretroviral drugs | Download Table">
          <a:extLst>
            <a:ext uri="{FF2B5EF4-FFF2-40B4-BE49-F238E27FC236}">
              <a16:creationId xmlns:a16="http://schemas.microsoft.com/office/drawing/2014/main" id="{6185D82F-92B9-45A2-9231-39968D0E776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76" name="AutoShape 40" descr="Currently available antiretroviral drugs | Download Table">
          <a:extLst>
            <a:ext uri="{FF2B5EF4-FFF2-40B4-BE49-F238E27FC236}">
              <a16:creationId xmlns:a16="http://schemas.microsoft.com/office/drawing/2014/main" id="{CC1ED91E-E658-40A3-B9A5-3EA759C2A00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77" name="AutoShape 40" descr="Currently available antiretroviral drugs | Download Table">
          <a:extLst>
            <a:ext uri="{FF2B5EF4-FFF2-40B4-BE49-F238E27FC236}">
              <a16:creationId xmlns:a16="http://schemas.microsoft.com/office/drawing/2014/main" id="{5C5CCC94-2DAD-4DD8-9278-C4BFB476A5C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78" name="AutoShape 40" descr="Currently available antiretroviral drugs | Download Table">
          <a:extLst>
            <a:ext uri="{FF2B5EF4-FFF2-40B4-BE49-F238E27FC236}">
              <a16:creationId xmlns:a16="http://schemas.microsoft.com/office/drawing/2014/main" id="{02D66E9F-0FD3-44EA-8858-72525F4CB2C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79" name="AutoShape 40" descr="Currently available antiretroviral drugs | Download Table">
          <a:extLst>
            <a:ext uri="{FF2B5EF4-FFF2-40B4-BE49-F238E27FC236}">
              <a16:creationId xmlns:a16="http://schemas.microsoft.com/office/drawing/2014/main" id="{F21E6E00-C633-4309-AF30-71C724A1D40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80" name="AutoShape 40" descr="Currently available antiretroviral drugs | Download Table">
          <a:extLst>
            <a:ext uri="{FF2B5EF4-FFF2-40B4-BE49-F238E27FC236}">
              <a16:creationId xmlns:a16="http://schemas.microsoft.com/office/drawing/2014/main" id="{5067F3C5-BF94-4F17-BB0F-0E5C3836638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81" name="AutoShape 40" descr="Currently available antiretroviral drugs | Download Table">
          <a:extLst>
            <a:ext uri="{FF2B5EF4-FFF2-40B4-BE49-F238E27FC236}">
              <a16:creationId xmlns:a16="http://schemas.microsoft.com/office/drawing/2014/main" id="{C3DC25EB-BA53-41E9-A35A-777373FABC6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82" name="AutoShape 40" descr="Currently available antiretroviral drugs | Download Table">
          <a:extLst>
            <a:ext uri="{FF2B5EF4-FFF2-40B4-BE49-F238E27FC236}">
              <a16:creationId xmlns:a16="http://schemas.microsoft.com/office/drawing/2014/main" id="{17CB6815-2648-407B-AC20-76356E08041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83" name="AutoShape 40" descr="Currently available antiretroviral drugs | Download Table">
          <a:extLst>
            <a:ext uri="{FF2B5EF4-FFF2-40B4-BE49-F238E27FC236}">
              <a16:creationId xmlns:a16="http://schemas.microsoft.com/office/drawing/2014/main" id="{283841C8-1B7E-45AF-842E-8E595AD2511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84" name="AutoShape 40" descr="Currently available antiretroviral drugs | Download Table">
          <a:extLst>
            <a:ext uri="{FF2B5EF4-FFF2-40B4-BE49-F238E27FC236}">
              <a16:creationId xmlns:a16="http://schemas.microsoft.com/office/drawing/2014/main" id="{FC2FB68A-BE1A-46A4-B4F9-BEC6C350CA8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85" name="AutoShape 40" descr="Currently available antiretroviral drugs | Download Table">
          <a:extLst>
            <a:ext uri="{FF2B5EF4-FFF2-40B4-BE49-F238E27FC236}">
              <a16:creationId xmlns:a16="http://schemas.microsoft.com/office/drawing/2014/main" id="{8FE8B1E8-CA98-43C1-89C9-0C6CDB212B7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86" name="AutoShape 40" descr="Currently available antiretroviral drugs | Download Table">
          <a:extLst>
            <a:ext uri="{FF2B5EF4-FFF2-40B4-BE49-F238E27FC236}">
              <a16:creationId xmlns:a16="http://schemas.microsoft.com/office/drawing/2014/main" id="{A13B918E-6872-48DE-BD58-52C1D1E2EE8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87" name="AutoShape 40" descr="Currently available antiretroviral drugs | Download Table">
          <a:extLst>
            <a:ext uri="{FF2B5EF4-FFF2-40B4-BE49-F238E27FC236}">
              <a16:creationId xmlns:a16="http://schemas.microsoft.com/office/drawing/2014/main" id="{4B14D058-29CD-4528-92FF-FB316A4E455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88" name="AutoShape 40" descr="Currently available antiretroviral drugs | Download Table">
          <a:extLst>
            <a:ext uri="{FF2B5EF4-FFF2-40B4-BE49-F238E27FC236}">
              <a16:creationId xmlns:a16="http://schemas.microsoft.com/office/drawing/2014/main" id="{8DD7E966-FA44-4690-AC2A-D9D19E0D0C1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89" name="AutoShape 40" descr="Currently available antiretroviral drugs | Download Table">
          <a:extLst>
            <a:ext uri="{FF2B5EF4-FFF2-40B4-BE49-F238E27FC236}">
              <a16:creationId xmlns:a16="http://schemas.microsoft.com/office/drawing/2014/main" id="{EDDB274D-6E7D-493D-BDE4-CA411E46D76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90" name="AutoShape 40" descr="Currently available antiretroviral drugs | Download Table">
          <a:extLst>
            <a:ext uri="{FF2B5EF4-FFF2-40B4-BE49-F238E27FC236}">
              <a16:creationId xmlns:a16="http://schemas.microsoft.com/office/drawing/2014/main" id="{4B213C5B-4A6C-4751-A0BC-4F1AC82C036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91" name="AutoShape 40" descr="Currently available antiretroviral drugs | Download Table">
          <a:extLst>
            <a:ext uri="{FF2B5EF4-FFF2-40B4-BE49-F238E27FC236}">
              <a16:creationId xmlns:a16="http://schemas.microsoft.com/office/drawing/2014/main" id="{ADC9C1EB-230D-4C15-8CB4-DC96CA140F9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92" name="AutoShape 40" descr="Currently available antiretroviral drugs | Download Table">
          <a:extLst>
            <a:ext uri="{FF2B5EF4-FFF2-40B4-BE49-F238E27FC236}">
              <a16:creationId xmlns:a16="http://schemas.microsoft.com/office/drawing/2014/main" id="{3FB5BFE2-04D5-4039-BAE9-779D25C08DB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93" name="AutoShape 40" descr="Currently available antiretroviral drugs | Download Table">
          <a:extLst>
            <a:ext uri="{FF2B5EF4-FFF2-40B4-BE49-F238E27FC236}">
              <a16:creationId xmlns:a16="http://schemas.microsoft.com/office/drawing/2014/main" id="{43216075-4638-4839-878B-B5925FA77AD4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94" name="AutoShape 40" descr="Currently available antiretroviral drugs | Download Table">
          <a:extLst>
            <a:ext uri="{FF2B5EF4-FFF2-40B4-BE49-F238E27FC236}">
              <a16:creationId xmlns:a16="http://schemas.microsoft.com/office/drawing/2014/main" id="{8CFD68F7-C228-4C7B-8AA9-1214309A537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95" name="AutoShape 40" descr="Currently available antiretroviral drugs | Download Table">
          <a:extLst>
            <a:ext uri="{FF2B5EF4-FFF2-40B4-BE49-F238E27FC236}">
              <a16:creationId xmlns:a16="http://schemas.microsoft.com/office/drawing/2014/main" id="{ECDFECBC-A63E-49D5-84A8-3576002CDF7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96" name="AutoShape 40" descr="Currently available antiretroviral drugs | Download Table">
          <a:extLst>
            <a:ext uri="{FF2B5EF4-FFF2-40B4-BE49-F238E27FC236}">
              <a16:creationId xmlns:a16="http://schemas.microsoft.com/office/drawing/2014/main" id="{A072C396-97CA-4BEC-9A30-6CF426802A3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97" name="AutoShape 40" descr="Currently available antiretroviral drugs | Download Table">
          <a:extLst>
            <a:ext uri="{FF2B5EF4-FFF2-40B4-BE49-F238E27FC236}">
              <a16:creationId xmlns:a16="http://schemas.microsoft.com/office/drawing/2014/main" id="{9A77AADC-1B12-4F8D-989B-34C8FCD8F4D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98" name="AutoShape 40" descr="Currently available antiretroviral drugs | Download Table">
          <a:extLst>
            <a:ext uri="{FF2B5EF4-FFF2-40B4-BE49-F238E27FC236}">
              <a16:creationId xmlns:a16="http://schemas.microsoft.com/office/drawing/2014/main" id="{9D23FBF3-C870-4A7F-90F7-622E251BC8A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1999" name="AutoShape 40" descr="Currently available antiretroviral drugs | Download Table">
          <a:extLst>
            <a:ext uri="{FF2B5EF4-FFF2-40B4-BE49-F238E27FC236}">
              <a16:creationId xmlns:a16="http://schemas.microsoft.com/office/drawing/2014/main" id="{F4C7B7D5-F527-4FB5-94EA-9725E5D7CEA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00" name="AutoShape 40" descr="Currently available antiretroviral drugs | Download Table">
          <a:extLst>
            <a:ext uri="{FF2B5EF4-FFF2-40B4-BE49-F238E27FC236}">
              <a16:creationId xmlns:a16="http://schemas.microsoft.com/office/drawing/2014/main" id="{D2E9108C-12A0-4760-98E4-A9BACD838BE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01" name="AutoShape 40" descr="Currently available antiretroviral drugs | Download Table">
          <a:extLst>
            <a:ext uri="{FF2B5EF4-FFF2-40B4-BE49-F238E27FC236}">
              <a16:creationId xmlns:a16="http://schemas.microsoft.com/office/drawing/2014/main" id="{9A26E3ED-CB3F-44A6-B0E3-1EA4A3438E1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02" name="AutoShape 40" descr="Currently available antiretroviral drugs | Download Table">
          <a:extLst>
            <a:ext uri="{FF2B5EF4-FFF2-40B4-BE49-F238E27FC236}">
              <a16:creationId xmlns:a16="http://schemas.microsoft.com/office/drawing/2014/main" id="{B93E0B36-B8FF-4D23-BE19-8649396A246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03" name="AutoShape 40" descr="Currently available antiretroviral drugs | Download Table">
          <a:extLst>
            <a:ext uri="{FF2B5EF4-FFF2-40B4-BE49-F238E27FC236}">
              <a16:creationId xmlns:a16="http://schemas.microsoft.com/office/drawing/2014/main" id="{B0B757E2-9C77-4573-9554-0AB19ABABF3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04" name="AutoShape 40" descr="Currently available antiretroviral drugs | Download Table">
          <a:extLst>
            <a:ext uri="{FF2B5EF4-FFF2-40B4-BE49-F238E27FC236}">
              <a16:creationId xmlns:a16="http://schemas.microsoft.com/office/drawing/2014/main" id="{45DC6448-D614-415E-8FBC-4931A8F47B1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05" name="AutoShape 40" descr="Currently available antiretroviral drugs | Download Table">
          <a:extLst>
            <a:ext uri="{FF2B5EF4-FFF2-40B4-BE49-F238E27FC236}">
              <a16:creationId xmlns:a16="http://schemas.microsoft.com/office/drawing/2014/main" id="{958040D4-E2A6-470E-8D4B-9BA7DBE9E52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06" name="AutoShape 40" descr="Currently available antiretroviral drugs | Download Table">
          <a:extLst>
            <a:ext uri="{FF2B5EF4-FFF2-40B4-BE49-F238E27FC236}">
              <a16:creationId xmlns:a16="http://schemas.microsoft.com/office/drawing/2014/main" id="{CEA88A7F-0A9E-4625-B596-86EC2EBE23F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07" name="AutoShape 40" descr="Currently available antiretroviral drugs | Download Table">
          <a:extLst>
            <a:ext uri="{FF2B5EF4-FFF2-40B4-BE49-F238E27FC236}">
              <a16:creationId xmlns:a16="http://schemas.microsoft.com/office/drawing/2014/main" id="{B99692B0-6ED2-4CAA-A393-FDCB3135E2E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08" name="AutoShape 40" descr="Currently available antiretroviral drugs | Download Table">
          <a:extLst>
            <a:ext uri="{FF2B5EF4-FFF2-40B4-BE49-F238E27FC236}">
              <a16:creationId xmlns:a16="http://schemas.microsoft.com/office/drawing/2014/main" id="{9693845A-8B03-4916-BA71-4DD2176EC8D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09" name="AutoShape 40" descr="Currently available antiretroviral drugs | Download Table">
          <a:extLst>
            <a:ext uri="{FF2B5EF4-FFF2-40B4-BE49-F238E27FC236}">
              <a16:creationId xmlns:a16="http://schemas.microsoft.com/office/drawing/2014/main" id="{AA1FF616-3A2B-435C-ABCF-79ABC6BA973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470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10" name="AutoShape 40" descr="Currently available antiretroviral drugs | Download Table">
          <a:extLst>
            <a:ext uri="{FF2B5EF4-FFF2-40B4-BE49-F238E27FC236}">
              <a16:creationId xmlns:a16="http://schemas.microsoft.com/office/drawing/2014/main" id="{00570C23-0052-42EE-843D-6390752C0F9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11" name="AutoShape 40" descr="Currently available antiretroviral drugs | Download Table">
          <a:extLst>
            <a:ext uri="{FF2B5EF4-FFF2-40B4-BE49-F238E27FC236}">
              <a16:creationId xmlns:a16="http://schemas.microsoft.com/office/drawing/2014/main" id="{521C4C4E-E9E3-485C-A344-4110E69269E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12" name="AutoShape 40" descr="Currently available antiretroviral drugs | Download Table">
          <a:extLst>
            <a:ext uri="{FF2B5EF4-FFF2-40B4-BE49-F238E27FC236}">
              <a16:creationId xmlns:a16="http://schemas.microsoft.com/office/drawing/2014/main" id="{11BC613C-41B2-4097-9CE7-F31AD006F48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13" name="AutoShape 40" descr="Currently available antiretroviral drugs | Download Table">
          <a:extLst>
            <a:ext uri="{FF2B5EF4-FFF2-40B4-BE49-F238E27FC236}">
              <a16:creationId xmlns:a16="http://schemas.microsoft.com/office/drawing/2014/main" id="{6B378CD0-DE43-4273-B505-DFA9DA339A27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14" name="AutoShape 40" descr="Currently available antiretroviral drugs | Download Table">
          <a:extLst>
            <a:ext uri="{FF2B5EF4-FFF2-40B4-BE49-F238E27FC236}">
              <a16:creationId xmlns:a16="http://schemas.microsoft.com/office/drawing/2014/main" id="{0C6CCA1A-4EA9-4139-BD94-FD0C9B10849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15" name="AutoShape 40" descr="Currently available antiretroviral drugs | Download Table">
          <a:extLst>
            <a:ext uri="{FF2B5EF4-FFF2-40B4-BE49-F238E27FC236}">
              <a16:creationId xmlns:a16="http://schemas.microsoft.com/office/drawing/2014/main" id="{FCCB4553-DEA5-4EBB-BAA2-04EC893E6E3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16" name="AutoShape 40" descr="Currently available antiretroviral drugs | Download Table">
          <a:extLst>
            <a:ext uri="{FF2B5EF4-FFF2-40B4-BE49-F238E27FC236}">
              <a16:creationId xmlns:a16="http://schemas.microsoft.com/office/drawing/2014/main" id="{7475CE5F-8BCA-4C4D-BC8E-CD117C73505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17" name="AutoShape 40" descr="Currently available antiretroviral drugs | Download Table">
          <a:extLst>
            <a:ext uri="{FF2B5EF4-FFF2-40B4-BE49-F238E27FC236}">
              <a16:creationId xmlns:a16="http://schemas.microsoft.com/office/drawing/2014/main" id="{EC080CD7-5D4A-47A5-9618-A3EB17795283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18" name="AutoShape 40" descr="Currently available antiretroviral drugs | Download Table">
          <a:extLst>
            <a:ext uri="{FF2B5EF4-FFF2-40B4-BE49-F238E27FC236}">
              <a16:creationId xmlns:a16="http://schemas.microsoft.com/office/drawing/2014/main" id="{A6DE88CF-ECA4-4068-8851-95AEBFA21C0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19" name="AutoShape 40" descr="Currently available antiretroviral drugs | Download Table">
          <a:extLst>
            <a:ext uri="{FF2B5EF4-FFF2-40B4-BE49-F238E27FC236}">
              <a16:creationId xmlns:a16="http://schemas.microsoft.com/office/drawing/2014/main" id="{FA08E369-1ABE-4A16-9B13-14435210C85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20" name="AutoShape 40" descr="Currently available antiretroviral drugs | Download Table">
          <a:extLst>
            <a:ext uri="{FF2B5EF4-FFF2-40B4-BE49-F238E27FC236}">
              <a16:creationId xmlns:a16="http://schemas.microsoft.com/office/drawing/2014/main" id="{710710CB-A7A6-4EBB-9DBF-3CA32776025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21" name="AutoShape 40" descr="Currently available antiretroviral drugs | Download Table">
          <a:extLst>
            <a:ext uri="{FF2B5EF4-FFF2-40B4-BE49-F238E27FC236}">
              <a16:creationId xmlns:a16="http://schemas.microsoft.com/office/drawing/2014/main" id="{F88D5D41-FF42-46CC-AF1F-7A663F436CC5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22" name="AutoShape 40" descr="Currently available antiretroviral drugs | Download Table">
          <a:extLst>
            <a:ext uri="{FF2B5EF4-FFF2-40B4-BE49-F238E27FC236}">
              <a16:creationId xmlns:a16="http://schemas.microsoft.com/office/drawing/2014/main" id="{24B105C6-69DE-4DCD-93AE-1664DE669F41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23" name="AutoShape 40" descr="Currently available antiretroviral drugs | Download Table">
          <a:extLst>
            <a:ext uri="{FF2B5EF4-FFF2-40B4-BE49-F238E27FC236}">
              <a16:creationId xmlns:a16="http://schemas.microsoft.com/office/drawing/2014/main" id="{8B51B276-FCFA-4F92-B984-D83FA774891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24" name="AutoShape 40" descr="Currently available antiretroviral drugs | Download Table">
          <a:extLst>
            <a:ext uri="{FF2B5EF4-FFF2-40B4-BE49-F238E27FC236}">
              <a16:creationId xmlns:a16="http://schemas.microsoft.com/office/drawing/2014/main" id="{12156D28-7D02-47FE-B35A-87A70BDF0A1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25" name="AutoShape 40" descr="Currently available antiretroviral drugs | Download Table">
          <a:extLst>
            <a:ext uri="{FF2B5EF4-FFF2-40B4-BE49-F238E27FC236}">
              <a16:creationId xmlns:a16="http://schemas.microsoft.com/office/drawing/2014/main" id="{76D70AD4-34EE-4667-83C3-8F858A64EC2C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26" name="AutoShape 40" descr="Currently available antiretroviral drugs | Download Table">
          <a:extLst>
            <a:ext uri="{FF2B5EF4-FFF2-40B4-BE49-F238E27FC236}">
              <a16:creationId xmlns:a16="http://schemas.microsoft.com/office/drawing/2014/main" id="{84C1E32F-2AFE-4858-AEB0-BA34C35DAD8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27" name="AutoShape 40" descr="Currently available antiretroviral drugs | Download Table">
          <a:extLst>
            <a:ext uri="{FF2B5EF4-FFF2-40B4-BE49-F238E27FC236}">
              <a16:creationId xmlns:a16="http://schemas.microsoft.com/office/drawing/2014/main" id="{854C497A-25BC-4D95-9DCB-A974F975AD3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28" name="AutoShape 40" descr="Currently available antiretroviral drugs | Download Table">
          <a:extLst>
            <a:ext uri="{FF2B5EF4-FFF2-40B4-BE49-F238E27FC236}">
              <a16:creationId xmlns:a16="http://schemas.microsoft.com/office/drawing/2014/main" id="{A86CFEC7-DD68-48E7-8466-144370A0ECB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29" name="AutoShape 40" descr="Currently available antiretroviral drugs | Download Table">
          <a:extLst>
            <a:ext uri="{FF2B5EF4-FFF2-40B4-BE49-F238E27FC236}">
              <a16:creationId xmlns:a16="http://schemas.microsoft.com/office/drawing/2014/main" id="{3CDC738D-54A4-409A-8741-BDCAA16635D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30" name="AutoShape 40" descr="Currently available antiretroviral drugs | Download Table">
          <a:extLst>
            <a:ext uri="{FF2B5EF4-FFF2-40B4-BE49-F238E27FC236}">
              <a16:creationId xmlns:a16="http://schemas.microsoft.com/office/drawing/2014/main" id="{F0D8D69C-9553-4EFB-909E-23853A1B044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31" name="AutoShape 40" descr="Currently available antiretroviral drugs | Download Table">
          <a:extLst>
            <a:ext uri="{FF2B5EF4-FFF2-40B4-BE49-F238E27FC236}">
              <a16:creationId xmlns:a16="http://schemas.microsoft.com/office/drawing/2014/main" id="{51CE74C4-BC1B-4DD0-ACBC-CC1851DCB34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32" name="AutoShape 40" descr="Currently available antiretroviral drugs | Download Table">
          <a:extLst>
            <a:ext uri="{FF2B5EF4-FFF2-40B4-BE49-F238E27FC236}">
              <a16:creationId xmlns:a16="http://schemas.microsoft.com/office/drawing/2014/main" id="{E1D7F8D9-A9E8-4C78-8D94-0E1EC322C5C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33" name="AutoShape 40" descr="Currently available antiretroviral drugs | Download Table">
          <a:extLst>
            <a:ext uri="{FF2B5EF4-FFF2-40B4-BE49-F238E27FC236}">
              <a16:creationId xmlns:a16="http://schemas.microsoft.com/office/drawing/2014/main" id="{FA657E3E-1015-4EBE-9893-E32BBB5F5DBD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34" name="AutoShape 40" descr="Currently available antiretroviral drugs | Download Table">
          <a:extLst>
            <a:ext uri="{FF2B5EF4-FFF2-40B4-BE49-F238E27FC236}">
              <a16:creationId xmlns:a16="http://schemas.microsoft.com/office/drawing/2014/main" id="{3ABA470F-1945-4333-AA23-877E45A16179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35" name="AutoShape 40" descr="Currently available antiretroviral drugs | Download Table">
          <a:extLst>
            <a:ext uri="{FF2B5EF4-FFF2-40B4-BE49-F238E27FC236}">
              <a16:creationId xmlns:a16="http://schemas.microsoft.com/office/drawing/2014/main" id="{582C4195-B59B-4F25-9811-2BD57AF8688F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36" name="AutoShape 40" descr="Currently available antiretroviral drugs | Download Table">
          <a:extLst>
            <a:ext uri="{FF2B5EF4-FFF2-40B4-BE49-F238E27FC236}">
              <a16:creationId xmlns:a16="http://schemas.microsoft.com/office/drawing/2014/main" id="{D6F67C78-BBB4-4413-BCBF-FCDA9A352698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37" name="AutoShape 40" descr="Currently available antiretroviral drugs | Download Table">
          <a:extLst>
            <a:ext uri="{FF2B5EF4-FFF2-40B4-BE49-F238E27FC236}">
              <a16:creationId xmlns:a16="http://schemas.microsoft.com/office/drawing/2014/main" id="{050553B3-CB02-48F4-B503-AE9353B245FB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38" name="AutoShape 40" descr="Currently available antiretroviral drugs | Download Table">
          <a:extLst>
            <a:ext uri="{FF2B5EF4-FFF2-40B4-BE49-F238E27FC236}">
              <a16:creationId xmlns:a16="http://schemas.microsoft.com/office/drawing/2014/main" id="{8D1F11BA-642F-4D59-BDB4-5219D8FFAE72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39" name="AutoShape 40" descr="Currently available antiretroviral drugs | Download Table">
          <a:extLst>
            <a:ext uri="{FF2B5EF4-FFF2-40B4-BE49-F238E27FC236}">
              <a16:creationId xmlns:a16="http://schemas.microsoft.com/office/drawing/2014/main" id="{F261CD1B-1A60-4B4F-835A-D78B5454F870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40" name="AutoShape 40" descr="Currently available antiretroviral drugs | Download Table">
          <a:extLst>
            <a:ext uri="{FF2B5EF4-FFF2-40B4-BE49-F238E27FC236}">
              <a16:creationId xmlns:a16="http://schemas.microsoft.com/office/drawing/2014/main" id="{9357DEDF-F2C6-4B28-8165-5A931D3EC06E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41" name="AutoShape 40" descr="Currently available antiretroviral drugs | Download Table">
          <a:extLst>
            <a:ext uri="{FF2B5EF4-FFF2-40B4-BE49-F238E27FC236}">
              <a16:creationId xmlns:a16="http://schemas.microsoft.com/office/drawing/2014/main" id="{7A37ACAB-79EF-4760-A2A9-F14FD605875A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3165010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43" name="AutoShape 40" descr="Currently available antiretroviral drugs | Download Table">
          <a:extLst>
            <a:ext uri="{FF2B5EF4-FFF2-40B4-BE49-F238E27FC236}">
              <a16:creationId xmlns:a16="http://schemas.microsoft.com/office/drawing/2014/main" id="{F86E672A-2B63-4C06-92B6-9962E629E7F6}"/>
            </a:ext>
          </a:extLst>
        </xdr:cNvPr>
        <xdr:cNvSpPr>
          <a:spLocks noChangeAspect="1" noChangeArrowheads="1"/>
        </xdr:cNvSpPr>
      </xdr:nvSpPr>
      <xdr:spPr bwMode="auto">
        <a:xfrm>
          <a:off x="11125200" y="322104327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44" name="AutoShape 40" descr="Currently available antiretroviral drugs | Download Table">
          <a:extLst>
            <a:ext uri="{FF2B5EF4-FFF2-40B4-BE49-F238E27FC236}">
              <a16:creationId xmlns:a16="http://schemas.microsoft.com/office/drawing/2014/main" id="{2984EAF3-986C-4461-9BA7-9DA4871CE79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1362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45" name="AutoShape 40" descr="Currently available antiretroviral drugs | Download Table">
          <a:extLst>
            <a:ext uri="{FF2B5EF4-FFF2-40B4-BE49-F238E27FC236}">
              <a16:creationId xmlns:a16="http://schemas.microsoft.com/office/drawing/2014/main" id="{0C4D599C-8A39-4971-B3CD-F9DD50579D6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1362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46" name="AutoShape 40" descr="Currently available antiretroviral drugs | Download Table">
          <a:extLst>
            <a:ext uri="{FF2B5EF4-FFF2-40B4-BE49-F238E27FC236}">
              <a16:creationId xmlns:a16="http://schemas.microsoft.com/office/drawing/2014/main" id="{DBBEF441-FD96-4B4C-9EC2-97E8DCDBFF3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1541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47" name="AutoShape 40" descr="Currently available antiretroviral drugs | Download Table">
          <a:extLst>
            <a:ext uri="{FF2B5EF4-FFF2-40B4-BE49-F238E27FC236}">
              <a16:creationId xmlns:a16="http://schemas.microsoft.com/office/drawing/2014/main" id="{90C3FA1B-63F0-4DEA-BA7F-129DE3412A2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1362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48" name="AutoShape 40" descr="Currently available antiretroviral drugs | Download Table">
          <a:extLst>
            <a:ext uri="{FF2B5EF4-FFF2-40B4-BE49-F238E27FC236}">
              <a16:creationId xmlns:a16="http://schemas.microsoft.com/office/drawing/2014/main" id="{BE67DBBE-7646-47E6-93F6-B8E5F913E44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1362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49" name="AutoShape 40" descr="Currently available antiretroviral drugs | Download Table">
          <a:extLst>
            <a:ext uri="{FF2B5EF4-FFF2-40B4-BE49-F238E27FC236}">
              <a16:creationId xmlns:a16="http://schemas.microsoft.com/office/drawing/2014/main" id="{57B620CA-1E06-43F2-883E-2FC8EBD6AD7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1541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50" name="AutoShape 40" descr="Currently available antiretroviral drugs | Download Table">
          <a:extLst>
            <a:ext uri="{FF2B5EF4-FFF2-40B4-BE49-F238E27FC236}">
              <a16:creationId xmlns:a16="http://schemas.microsoft.com/office/drawing/2014/main" id="{F99BC48B-475C-4B06-90F4-27245C211CD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1541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51" name="AutoShape 40" descr="Currently available antiretroviral drugs | Download Table">
          <a:extLst>
            <a:ext uri="{FF2B5EF4-FFF2-40B4-BE49-F238E27FC236}">
              <a16:creationId xmlns:a16="http://schemas.microsoft.com/office/drawing/2014/main" id="{442E2DFB-7D10-4A21-9BCD-2619164606B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1541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52" name="AutoShape 40" descr="Currently available antiretroviral drugs | Download Table">
          <a:extLst>
            <a:ext uri="{FF2B5EF4-FFF2-40B4-BE49-F238E27FC236}">
              <a16:creationId xmlns:a16="http://schemas.microsoft.com/office/drawing/2014/main" id="{0C8286BF-0DA8-4C75-BB59-F108F036128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1720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53" name="AutoShape 40" descr="Currently available antiretroviral drugs | Download Table">
          <a:extLst>
            <a:ext uri="{FF2B5EF4-FFF2-40B4-BE49-F238E27FC236}">
              <a16:creationId xmlns:a16="http://schemas.microsoft.com/office/drawing/2014/main" id="{F4CF9E45-186B-41CD-B576-A7202A4423C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1541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54" name="AutoShape 40" descr="Currently available antiretroviral drugs | Download Table">
          <a:extLst>
            <a:ext uri="{FF2B5EF4-FFF2-40B4-BE49-F238E27FC236}">
              <a16:creationId xmlns:a16="http://schemas.microsoft.com/office/drawing/2014/main" id="{F38D7231-860B-4304-8FC9-B3E16D6B092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1541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55" name="AutoShape 40" descr="Currently available antiretroviral drugs | Download Table">
          <a:extLst>
            <a:ext uri="{FF2B5EF4-FFF2-40B4-BE49-F238E27FC236}">
              <a16:creationId xmlns:a16="http://schemas.microsoft.com/office/drawing/2014/main" id="{847F8F03-AC80-4A3B-B799-13C10A99D35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1720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56" name="AutoShape 40" descr="Currently available antiretroviral drugs | Download Table">
          <a:extLst>
            <a:ext uri="{FF2B5EF4-FFF2-40B4-BE49-F238E27FC236}">
              <a16:creationId xmlns:a16="http://schemas.microsoft.com/office/drawing/2014/main" id="{C5C11CDD-4F3B-4183-8441-02D71E5E58D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1720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57" name="AutoShape 40" descr="Currently available antiretroviral drugs | Download Table">
          <a:extLst>
            <a:ext uri="{FF2B5EF4-FFF2-40B4-BE49-F238E27FC236}">
              <a16:creationId xmlns:a16="http://schemas.microsoft.com/office/drawing/2014/main" id="{898F4AB7-63F0-45D6-8533-C8AE092C8DE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1720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58" name="AutoShape 40" descr="Currently available antiretroviral drugs | Download Table">
          <a:extLst>
            <a:ext uri="{FF2B5EF4-FFF2-40B4-BE49-F238E27FC236}">
              <a16:creationId xmlns:a16="http://schemas.microsoft.com/office/drawing/2014/main" id="{7991B556-8F1A-454C-B50E-4C215F58015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1900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59" name="AutoShape 40" descr="Currently available antiretroviral drugs | Download Table">
          <a:extLst>
            <a:ext uri="{FF2B5EF4-FFF2-40B4-BE49-F238E27FC236}">
              <a16:creationId xmlns:a16="http://schemas.microsoft.com/office/drawing/2014/main" id="{954C58E2-1CAD-4654-BF39-E6D82788612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1720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60" name="AutoShape 40" descr="Currently available antiretroviral drugs | Download Table">
          <a:extLst>
            <a:ext uri="{FF2B5EF4-FFF2-40B4-BE49-F238E27FC236}">
              <a16:creationId xmlns:a16="http://schemas.microsoft.com/office/drawing/2014/main" id="{4660522C-B7A4-4973-9E7D-18732BF6351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1720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61" name="AutoShape 40" descr="Currently available antiretroviral drugs | Download Table">
          <a:extLst>
            <a:ext uri="{FF2B5EF4-FFF2-40B4-BE49-F238E27FC236}">
              <a16:creationId xmlns:a16="http://schemas.microsoft.com/office/drawing/2014/main" id="{6F2AC02C-02B0-485B-89E6-6C4D5FA029D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1900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62" name="AutoShape 40" descr="Currently available antiretroviral drugs | Download Table">
          <a:extLst>
            <a:ext uri="{FF2B5EF4-FFF2-40B4-BE49-F238E27FC236}">
              <a16:creationId xmlns:a16="http://schemas.microsoft.com/office/drawing/2014/main" id="{CEEDE562-EBDE-415F-B949-D226D94FC3A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1900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63" name="AutoShape 40" descr="Currently available antiretroviral drugs | Download Table">
          <a:extLst>
            <a:ext uri="{FF2B5EF4-FFF2-40B4-BE49-F238E27FC236}">
              <a16:creationId xmlns:a16="http://schemas.microsoft.com/office/drawing/2014/main" id="{E5B00928-C8CC-47E9-8A2A-D4A288390F8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1900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64" name="AutoShape 40" descr="Currently available antiretroviral drugs | Download Table">
          <a:extLst>
            <a:ext uri="{FF2B5EF4-FFF2-40B4-BE49-F238E27FC236}">
              <a16:creationId xmlns:a16="http://schemas.microsoft.com/office/drawing/2014/main" id="{5AB7F34A-5551-4C42-B848-34A1E160788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1900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65" name="AutoShape 40" descr="Currently available antiretroviral drugs | Download Table">
          <a:extLst>
            <a:ext uri="{FF2B5EF4-FFF2-40B4-BE49-F238E27FC236}">
              <a16:creationId xmlns:a16="http://schemas.microsoft.com/office/drawing/2014/main" id="{DDB97037-6B1F-4FD9-AE93-691989F08CA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1900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66" name="AutoShape 40" descr="Currently available antiretroviral drugs | Download Table">
          <a:extLst>
            <a:ext uri="{FF2B5EF4-FFF2-40B4-BE49-F238E27FC236}">
              <a16:creationId xmlns:a16="http://schemas.microsoft.com/office/drawing/2014/main" id="{6FC51825-3027-494C-9919-D0B897B058F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1900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67" name="AutoShape 40" descr="Currently available antiretroviral drugs | Download Table">
          <a:extLst>
            <a:ext uri="{FF2B5EF4-FFF2-40B4-BE49-F238E27FC236}">
              <a16:creationId xmlns:a16="http://schemas.microsoft.com/office/drawing/2014/main" id="{75FD454C-7C84-4EC8-80BC-71EDFF33C78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1900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68" name="AutoShape 40" descr="Currently available antiretroviral drugs | Download Table">
          <a:extLst>
            <a:ext uri="{FF2B5EF4-FFF2-40B4-BE49-F238E27FC236}">
              <a16:creationId xmlns:a16="http://schemas.microsoft.com/office/drawing/2014/main" id="{C624904B-92F1-4E15-8CEE-039EAB85AC3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2079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69" name="AutoShape 40" descr="Currently available antiretroviral drugs | Download Table">
          <a:extLst>
            <a:ext uri="{FF2B5EF4-FFF2-40B4-BE49-F238E27FC236}">
              <a16:creationId xmlns:a16="http://schemas.microsoft.com/office/drawing/2014/main" id="{CDB81398-517E-43E9-B546-0B242167532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1900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70" name="AutoShape 40" descr="Currently available antiretroviral drugs | Download Table">
          <a:extLst>
            <a:ext uri="{FF2B5EF4-FFF2-40B4-BE49-F238E27FC236}">
              <a16:creationId xmlns:a16="http://schemas.microsoft.com/office/drawing/2014/main" id="{504F03EA-DD8B-4927-B24B-45E274681EB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1900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71" name="AutoShape 40" descr="Currently available antiretroviral drugs | Download Table">
          <a:extLst>
            <a:ext uri="{FF2B5EF4-FFF2-40B4-BE49-F238E27FC236}">
              <a16:creationId xmlns:a16="http://schemas.microsoft.com/office/drawing/2014/main" id="{86E04D98-DB31-4723-87DF-B30E88AC010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2079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72" name="AutoShape 40" descr="Currently available antiretroviral drugs | Download Table">
          <a:extLst>
            <a:ext uri="{FF2B5EF4-FFF2-40B4-BE49-F238E27FC236}">
              <a16:creationId xmlns:a16="http://schemas.microsoft.com/office/drawing/2014/main" id="{5625119C-6C85-4482-B45B-2FAB7911235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2079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73" name="AutoShape 40" descr="Currently available antiretroviral drugs | Download Table">
          <a:extLst>
            <a:ext uri="{FF2B5EF4-FFF2-40B4-BE49-F238E27FC236}">
              <a16:creationId xmlns:a16="http://schemas.microsoft.com/office/drawing/2014/main" id="{EB8C37E1-20C7-4346-BEB7-64A721DE15F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2079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74" name="AutoShape 40" descr="Currently available antiretroviral drugs | Download Table">
          <a:extLst>
            <a:ext uri="{FF2B5EF4-FFF2-40B4-BE49-F238E27FC236}">
              <a16:creationId xmlns:a16="http://schemas.microsoft.com/office/drawing/2014/main" id="{3CD2B090-E46D-470B-981A-01FA7A28AED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2079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75" name="AutoShape 40" descr="Currently available antiretroviral drugs | Download Table">
          <a:extLst>
            <a:ext uri="{FF2B5EF4-FFF2-40B4-BE49-F238E27FC236}">
              <a16:creationId xmlns:a16="http://schemas.microsoft.com/office/drawing/2014/main" id="{FA40F289-C169-4BAE-8D4F-0D6CA2E7745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2079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76" name="AutoShape 40" descr="Currently available antiretroviral drugs | Download Table">
          <a:extLst>
            <a:ext uri="{FF2B5EF4-FFF2-40B4-BE49-F238E27FC236}">
              <a16:creationId xmlns:a16="http://schemas.microsoft.com/office/drawing/2014/main" id="{BDA145DA-1D55-4AA9-B832-2840E83F93D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2079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77" name="AutoShape 40" descr="Currently available antiretroviral drugs | Download Table">
          <a:extLst>
            <a:ext uri="{FF2B5EF4-FFF2-40B4-BE49-F238E27FC236}">
              <a16:creationId xmlns:a16="http://schemas.microsoft.com/office/drawing/2014/main" id="{006DA74C-C3C5-49F9-8139-5F234BFAB80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2079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78" name="AutoShape 40" descr="Currently available antiretroviral drugs | Download Table">
          <a:extLst>
            <a:ext uri="{FF2B5EF4-FFF2-40B4-BE49-F238E27FC236}">
              <a16:creationId xmlns:a16="http://schemas.microsoft.com/office/drawing/2014/main" id="{F4C16C58-8E9D-4B59-903C-573E3424B6C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225876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79" name="AutoShape 40" descr="Currently available antiretroviral drugs | Download Table">
          <a:extLst>
            <a:ext uri="{FF2B5EF4-FFF2-40B4-BE49-F238E27FC236}">
              <a16:creationId xmlns:a16="http://schemas.microsoft.com/office/drawing/2014/main" id="{1D9BAEF9-9C7E-47A0-8347-20CB180C668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2079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80" name="AutoShape 40" descr="Currently available antiretroviral drugs | Download Table">
          <a:extLst>
            <a:ext uri="{FF2B5EF4-FFF2-40B4-BE49-F238E27FC236}">
              <a16:creationId xmlns:a16="http://schemas.microsoft.com/office/drawing/2014/main" id="{FE2AD661-8CFB-4968-9DB3-59B5074605A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2079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81" name="AutoShape 40" descr="Currently available antiretroviral drugs | Download Table">
          <a:extLst>
            <a:ext uri="{FF2B5EF4-FFF2-40B4-BE49-F238E27FC236}">
              <a16:creationId xmlns:a16="http://schemas.microsoft.com/office/drawing/2014/main" id="{4172C292-EDC3-47A2-A7CE-C9AD3537EB3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225876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82" name="AutoShape 40" descr="Currently available antiretroviral drugs | Download Table">
          <a:extLst>
            <a:ext uri="{FF2B5EF4-FFF2-40B4-BE49-F238E27FC236}">
              <a16:creationId xmlns:a16="http://schemas.microsoft.com/office/drawing/2014/main" id="{AC0982BA-C485-4460-AD12-87DA4BD187D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225876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83" name="AutoShape 40" descr="Currently available antiretroviral drugs | Download Table">
          <a:extLst>
            <a:ext uri="{FF2B5EF4-FFF2-40B4-BE49-F238E27FC236}">
              <a16:creationId xmlns:a16="http://schemas.microsoft.com/office/drawing/2014/main" id="{F38A83A0-1F77-49C4-B766-B339B60B6D3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225876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84" name="AutoShape 40" descr="Currently available antiretroviral drugs | Download Table">
          <a:extLst>
            <a:ext uri="{FF2B5EF4-FFF2-40B4-BE49-F238E27FC236}">
              <a16:creationId xmlns:a16="http://schemas.microsoft.com/office/drawing/2014/main" id="{638AAC54-5954-4931-8DDF-9761181FEE2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225876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85" name="AutoShape 40" descr="Currently available antiretroviral drugs | Download Table">
          <a:extLst>
            <a:ext uri="{FF2B5EF4-FFF2-40B4-BE49-F238E27FC236}">
              <a16:creationId xmlns:a16="http://schemas.microsoft.com/office/drawing/2014/main" id="{287ED594-2CF2-4AE8-955B-4F4730924E3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225876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86" name="AutoShape 40" descr="Currently available antiretroviral drugs | Download Table">
          <a:extLst>
            <a:ext uri="{FF2B5EF4-FFF2-40B4-BE49-F238E27FC236}">
              <a16:creationId xmlns:a16="http://schemas.microsoft.com/office/drawing/2014/main" id="{47590C8D-7054-489F-91E6-35BEF7FBF23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225876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87" name="AutoShape 40" descr="Currently available antiretroviral drugs | Download Table">
          <a:extLst>
            <a:ext uri="{FF2B5EF4-FFF2-40B4-BE49-F238E27FC236}">
              <a16:creationId xmlns:a16="http://schemas.microsoft.com/office/drawing/2014/main" id="{CBFAC615-7047-4A3B-BBA5-01BCBEFAD20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225876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88" name="AutoShape 40" descr="Currently available antiretroviral drugs | Download Table">
          <a:extLst>
            <a:ext uri="{FF2B5EF4-FFF2-40B4-BE49-F238E27FC236}">
              <a16:creationId xmlns:a16="http://schemas.microsoft.com/office/drawing/2014/main" id="{C1A0D772-AF1C-4CCC-850E-7919C122A6B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243805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89" name="AutoShape 40" descr="Currently available antiretroviral drugs | Download Table">
          <a:extLst>
            <a:ext uri="{FF2B5EF4-FFF2-40B4-BE49-F238E27FC236}">
              <a16:creationId xmlns:a16="http://schemas.microsoft.com/office/drawing/2014/main" id="{C377A42C-1495-4D2B-9498-D278A0723B0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225876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90" name="AutoShape 40" descr="Currently available antiretroviral drugs | Download Table">
          <a:extLst>
            <a:ext uri="{FF2B5EF4-FFF2-40B4-BE49-F238E27FC236}">
              <a16:creationId xmlns:a16="http://schemas.microsoft.com/office/drawing/2014/main" id="{E19B1384-352F-4DFE-8103-3745C10672F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225876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91" name="AutoShape 40" descr="Currently available antiretroviral drugs | Download Table">
          <a:extLst>
            <a:ext uri="{FF2B5EF4-FFF2-40B4-BE49-F238E27FC236}">
              <a16:creationId xmlns:a16="http://schemas.microsoft.com/office/drawing/2014/main" id="{B87C08C1-5126-4FBE-90BF-15E0080290A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243805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92" name="AutoShape 40" descr="Currently available antiretroviral drugs | Download Table">
          <a:extLst>
            <a:ext uri="{FF2B5EF4-FFF2-40B4-BE49-F238E27FC236}">
              <a16:creationId xmlns:a16="http://schemas.microsoft.com/office/drawing/2014/main" id="{15EFCBC6-68F8-4271-820A-92B444125A8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243805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93" name="AutoShape 40" descr="Currently available antiretroviral drugs | Download Table">
          <a:extLst>
            <a:ext uri="{FF2B5EF4-FFF2-40B4-BE49-F238E27FC236}">
              <a16:creationId xmlns:a16="http://schemas.microsoft.com/office/drawing/2014/main" id="{06BEC67F-CDB2-4FBD-B67A-F8CC32FA655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243805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94" name="AutoShape 40" descr="Currently available antiretroviral drugs | Download Table">
          <a:extLst>
            <a:ext uri="{FF2B5EF4-FFF2-40B4-BE49-F238E27FC236}">
              <a16:creationId xmlns:a16="http://schemas.microsoft.com/office/drawing/2014/main" id="{E9D9D8D8-2A46-4D44-8500-35A399BEF81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243805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95" name="AutoShape 40" descr="Currently available antiretroviral drugs | Download Table">
          <a:extLst>
            <a:ext uri="{FF2B5EF4-FFF2-40B4-BE49-F238E27FC236}">
              <a16:creationId xmlns:a16="http://schemas.microsoft.com/office/drawing/2014/main" id="{BE023BD9-2617-43EA-A8E1-1A87611FA5C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243805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96" name="AutoShape 40" descr="Currently available antiretroviral drugs | Download Table">
          <a:extLst>
            <a:ext uri="{FF2B5EF4-FFF2-40B4-BE49-F238E27FC236}">
              <a16:creationId xmlns:a16="http://schemas.microsoft.com/office/drawing/2014/main" id="{8FF4D973-947C-4A95-8019-683B1AF4D4B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243805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97" name="AutoShape 40" descr="Currently available antiretroviral drugs | Download Table">
          <a:extLst>
            <a:ext uri="{FF2B5EF4-FFF2-40B4-BE49-F238E27FC236}">
              <a16:creationId xmlns:a16="http://schemas.microsoft.com/office/drawing/2014/main" id="{B2C4BD07-3572-4B76-BCC7-0B4F8A0BF98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243805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98" name="AutoShape 40" descr="Currently available antiretroviral drugs | Download Table">
          <a:extLst>
            <a:ext uri="{FF2B5EF4-FFF2-40B4-BE49-F238E27FC236}">
              <a16:creationId xmlns:a16="http://schemas.microsoft.com/office/drawing/2014/main" id="{8ACCD614-FD0B-4EB9-B9C3-BA02B58949F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261735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099" name="AutoShape 40" descr="Currently available antiretroviral drugs | Download Table">
          <a:extLst>
            <a:ext uri="{FF2B5EF4-FFF2-40B4-BE49-F238E27FC236}">
              <a16:creationId xmlns:a16="http://schemas.microsoft.com/office/drawing/2014/main" id="{6D7C7810-4CC0-4130-8891-7AD8447E3C7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243805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00" name="AutoShape 40" descr="Currently available antiretroviral drugs | Download Table">
          <a:extLst>
            <a:ext uri="{FF2B5EF4-FFF2-40B4-BE49-F238E27FC236}">
              <a16:creationId xmlns:a16="http://schemas.microsoft.com/office/drawing/2014/main" id="{395A9173-3987-45DB-B190-C49E6AF487F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243805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01" name="AutoShape 40" descr="Currently available antiretroviral drugs | Download Table">
          <a:extLst>
            <a:ext uri="{FF2B5EF4-FFF2-40B4-BE49-F238E27FC236}">
              <a16:creationId xmlns:a16="http://schemas.microsoft.com/office/drawing/2014/main" id="{B146B051-C409-4222-B598-E5AA54CA676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261735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02" name="AutoShape 40" descr="Currently available antiretroviral drugs | Download Table">
          <a:extLst>
            <a:ext uri="{FF2B5EF4-FFF2-40B4-BE49-F238E27FC236}">
              <a16:creationId xmlns:a16="http://schemas.microsoft.com/office/drawing/2014/main" id="{E0D9C629-3FB7-4A7A-8C6E-B29DBDAB40C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261735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03" name="AutoShape 40" descr="Currently available antiretroviral drugs | Download Table">
          <a:extLst>
            <a:ext uri="{FF2B5EF4-FFF2-40B4-BE49-F238E27FC236}">
              <a16:creationId xmlns:a16="http://schemas.microsoft.com/office/drawing/2014/main" id="{05EC763D-414D-4847-82CC-B7743B02B63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261735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04" name="AutoShape 40" descr="Currently available antiretroviral drugs | Download Table">
          <a:extLst>
            <a:ext uri="{FF2B5EF4-FFF2-40B4-BE49-F238E27FC236}">
              <a16:creationId xmlns:a16="http://schemas.microsoft.com/office/drawing/2014/main" id="{81CB2005-AE7B-4566-B25A-D35CB3C50BA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261735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05" name="AutoShape 40" descr="Currently available antiretroviral drugs | Download Table">
          <a:extLst>
            <a:ext uri="{FF2B5EF4-FFF2-40B4-BE49-F238E27FC236}">
              <a16:creationId xmlns:a16="http://schemas.microsoft.com/office/drawing/2014/main" id="{E8FFB92F-D5BD-4FBC-9AAF-A9045316D08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261735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06" name="AutoShape 40" descr="Currently available antiretroviral drugs | Download Table">
          <a:extLst>
            <a:ext uri="{FF2B5EF4-FFF2-40B4-BE49-F238E27FC236}">
              <a16:creationId xmlns:a16="http://schemas.microsoft.com/office/drawing/2014/main" id="{B5889999-3A2E-48E6-B7AF-031F18C48D1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261735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07" name="AutoShape 40" descr="Currently available antiretroviral drugs | Download Table">
          <a:extLst>
            <a:ext uri="{FF2B5EF4-FFF2-40B4-BE49-F238E27FC236}">
              <a16:creationId xmlns:a16="http://schemas.microsoft.com/office/drawing/2014/main" id="{895F72A4-9E47-40B5-9EFB-A7C31EAAE2E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261735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08" name="AutoShape 40" descr="Currently available antiretroviral drugs | Download Table">
          <a:extLst>
            <a:ext uri="{FF2B5EF4-FFF2-40B4-BE49-F238E27FC236}">
              <a16:creationId xmlns:a16="http://schemas.microsoft.com/office/drawing/2014/main" id="{CC730A12-96F0-44F3-8C80-D6D1D9BB3F3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2796647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09" name="AutoShape 40" descr="Currently available antiretroviral drugs | Download Table">
          <a:extLst>
            <a:ext uri="{FF2B5EF4-FFF2-40B4-BE49-F238E27FC236}">
              <a16:creationId xmlns:a16="http://schemas.microsoft.com/office/drawing/2014/main" id="{C62C382C-FB49-4D03-AD78-B45262DE174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261735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10" name="AutoShape 40" descr="Currently available antiretroviral drugs | Download Table">
          <a:extLst>
            <a:ext uri="{FF2B5EF4-FFF2-40B4-BE49-F238E27FC236}">
              <a16:creationId xmlns:a16="http://schemas.microsoft.com/office/drawing/2014/main" id="{B1695663-5C4D-4797-93CE-E1511280A2A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261735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11" name="AutoShape 40" descr="Currently available antiretroviral drugs | Download Table">
          <a:extLst>
            <a:ext uri="{FF2B5EF4-FFF2-40B4-BE49-F238E27FC236}">
              <a16:creationId xmlns:a16="http://schemas.microsoft.com/office/drawing/2014/main" id="{56910A54-8164-4C24-BB37-9478B02D3BC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2796647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12" name="AutoShape 40" descr="Currently available antiretroviral drugs | Download Table">
          <a:extLst>
            <a:ext uri="{FF2B5EF4-FFF2-40B4-BE49-F238E27FC236}">
              <a16:creationId xmlns:a16="http://schemas.microsoft.com/office/drawing/2014/main" id="{C226CB56-AECC-4501-ACD0-F860B3F039E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2796647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13" name="AutoShape 40" descr="Currently available antiretroviral drugs | Download Table">
          <a:extLst>
            <a:ext uri="{FF2B5EF4-FFF2-40B4-BE49-F238E27FC236}">
              <a16:creationId xmlns:a16="http://schemas.microsoft.com/office/drawing/2014/main" id="{0E7A44C7-4B16-4039-B7ED-944C9F62FC5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2796647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14" name="AutoShape 40" descr="Currently available antiretroviral drugs | Download Table">
          <a:extLst>
            <a:ext uri="{FF2B5EF4-FFF2-40B4-BE49-F238E27FC236}">
              <a16:creationId xmlns:a16="http://schemas.microsoft.com/office/drawing/2014/main" id="{CB3EC1DA-499E-4070-83E7-A63428898C0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2796647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15" name="AutoShape 40" descr="Currently available antiretroviral drugs | Download Table">
          <a:extLst>
            <a:ext uri="{FF2B5EF4-FFF2-40B4-BE49-F238E27FC236}">
              <a16:creationId xmlns:a16="http://schemas.microsoft.com/office/drawing/2014/main" id="{95EB4FC8-E495-4B99-8D72-334D2343713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2796647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16" name="AutoShape 40" descr="Currently available antiretroviral drugs | Download Table">
          <a:extLst>
            <a:ext uri="{FF2B5EF4-FFF2-40B4-BE49-F238E27FC236}">
              <a16:creationId xmlns:a16="http://schemas.microsoft.com/office/drawing/2014/main" id="{F9E0BED1-BB5E-465E-8C32-73E8BC063CC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2796647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17" name="AutoShape 40" descr="Currently available antiretroviral drugs | Download Table">
          <a:extLst>
            <a:ext uri="{FF2B5EF4-FFF2-40B4-BE49-F238E27FC236}">
              <a16:creationId xmlns:a16="http://schemas.microsoft.com/office/drawing/2014/main" id="{53FE4DFD-CB37-4A44-9E5B-DACBCC2CB72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2796647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18" name="AutoShape 40" descr="Currently available antiretroviral drugs | Download Table">
          <a:extLst>
            <a:ext uri="{FF2B5EF4-FFF2-40B4-BE49-F238E27FC236}">
              <a16:creationId xmlns:a16="http://schemas.microsoft.com/office/drawing/2014/main" id="{9A8096D7-1CDA-425A-B5CC-5583DE294B9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297594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19" name="AutoShape 40" descr="Currently available antiretroviral drugs | Download Table">
          <a:extLst>
            <a:ext uri="{FF2B5EF4-FFF2-40B4-BE49-F238E27FC236}">
              <a16:creationId xmlns:a16="http://schemas.microsoft.com/office/drawing/2014/main" id="{5F310904-154A-4D81-BEDD-A78D5B00FA4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2796647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20" name="AutoShape 40" descr="Currently available antiretroviral drugs | Download Table">
          <a:extLst>
            <a:ext uri="{FF2B5EF4-FFF2-40B4-BE49-F238E27FC236}">
              <a16:creationId xmlns:a16="http://schemas.microsoft.com/office/drawing/2014/main" id="{7F702F9B-7A24-4ED1-8131-B59E9459459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2796647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21" name="AutoShape 40" descr="Currently available antiretroviral drugs | Download Table">
          <a:extLst>
            <a:ext uri="{FF2B5EF4-FFF2-40B4-BE49-F238E27FC236}">
              <a16:creationId xmlns:a16="http://schemas.microsoft.com/office/drawing/2014/main" id="{1F16C5A8-FC53-404E-80BF-123FCAF2C09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297594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22" name="AutoShape 40" descr="Currently available antiretroviral drugs | Download Table">
          <a:extLst>
            <a:ext uri="{FF2B5EF4-FFF2-40B4-BE49-F238E27FC236}">
              <a16:creationId xmlns:a16="http://schemas.microsoft.com/office/drawing/2014/main" id="{609C6915-97A5-4137-84F5-7574DCB2312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297594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23" name="AutoShape 40" descr="Currently available antiretroviral drugs | Download Table">
          <a:extLst>
            <a:ext uri="{FF2B5EF4-FFF2-40B4-BE49-F238E27FC236}">
              <a16:creationId xmlns:a16="http://schemas.microsoft.com/office/drawing/2014/main" id="{AA5E8DEE-77A7-46DE-B625-751CBF8FF14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297594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24" name="AutoShape 40" descr="Currently available antiretroviral drugs | Download Table">
          <a:extLst>
            <a:ext uri="{FF2B5EF4-FFF2-40B4-BE49-F238E27FC236}">
              <a16:creationId xmlns:a16="http://schemas.microsoft.com/office/drawing/2014/main" id="{822D91E8-F03A-4163-9E9C-6F512F1982A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297594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25" name="AutoShape 40" descr="Currently available antiretroviral drugs | Download Table">
          <a:extLst>
            <a:ext uri="{FF2B5EF4-FFF2-40B4-BE49-F238E27FC236}">
              <a16:creationId xmlns:a16="http://schemas.microsoft.com/office/drawing/2014/main" id="{AD4EE5A1-CFC9-4CC7-A3C0-C5EA311AC74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297594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26" name="AutoShape 40" descr="Currently available antiretroviral drugs | Download Table">
          <a:extLst>
            <a:ext uri="{FF2B5EF4-FFF2-40B4-BE49-F238E27FC236}">
              <a16:creationId xmlns:a16="http://schemas.microsoft.com/office/drawing/2014/main" id="{5D3F1CAE-BEEB-4043-A8EC-5AD85026A15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297594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27" name="AutoShape 40" descr="Currently available antiretroviral drugs | Download Table">
          <a:extLst>
            <a:ext uri="{FF2B5EF4-FFF2-40B4-BE49-F238E27FC236}">
              <a16:creationId xmlns:a16="http://schemas.microsoft.com/office/drawing/2014/main" id="{A650A137-BC1A-48E1-9B28-71017158445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297594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28" name="AutoShape 40" descr="Currently available antiretroviral drugs | Download Table">
          <a:extLst>
            <a:ext uri="{FF2B5EF4-FFF2-40B4-BE49-F238E27FC236}">
              <a16:creationId xmlns:a16="http://schemas.microsoft.com/office/drawing/2014/main" id="{67B16AA5-5AA9-41BB-AAB8-60BEC98A138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315523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29" name="AutoShape 40" descr="Currently available antiretroviral drugs | Download Table">
          <a:extLst>
            <a:ext uri="{FF2B5EF4-FFF2-40B4-BE49-F238E27FC236}">
              <a16:creationId xmlns:a16="http://schemas.microsoft.com/office/drawing/2014/main" id="{80EE84D6-DA94-44AC-AC00-3EB1C42D7E7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297594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30" name="AutoShape 40" descr="Currently available antiretroviral drugs | Download Table">
          <a:extLst>
            <a:ext uri="{FF2B5EF4-FFF2-40B4-BE49-F238E27FC236}">
              <a16:creationId xmlns:a16="http://schemas.microsoft.com/office/drawing/2014/main" id="{5B510636-2564-4682-9B42-6A065C963CD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297594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31" name="AutoShape 40" descr="Currently available antiretroviral drugs | Download Table">
          <a:extLst>
            <a:ext uri="{FF2B5EF4-FFF2-40B4-BE49-F238E27FC236}">
              <a16:creationId xmlns:a16="http://schemas.microsoft.com/office/drawing/2014/main" id="{FA930939-7D26-422F-9292-A8B5199D3C5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315523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32" name="AutoShape 40" descr="Currently available antiretroviral drugs | Download Table">
          <a:extLst>
            <a:ext uri="{FF2B5EF4-FFF2-40B4-BE49-F238E27FC236}">
              <a16:creationId xmlns:a16="http://schemas.microsoft.com/office/drawing/2014/main" id="{1F5A35FC-FEA7-495A-8A16-F26729AC9F6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315523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33" name="AutoShape 40" descr="Currently available antiretroviral drugs | Download Table">
          <a:extLst>
            <a:ext uri="{FF2B5EF4-FFF2-40B4-BE49-F238E27FC236}">
              <a16:creationId xmlns:a16="http://schemas.microsoft.com/office/drawing/2014/main" id="{E79C2977-F562-4FC2-B00B-77DE6529FDD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315523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34" name="AutoShape 40" descr="Currently available antiretroviral drugs | Download Table">
          <a:extLst>
            <a:ext uri="{FF2B5EF4-FFF2-40B4-BE49-F238E27FC236}">
              <a16:creationId xmlns:a16="http://schemas.microsoft.com/office/drawing/2014/main" id="{E07D975C-DCD2-451A-8682-7C0D04E8367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315523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35" name="AutoShape 40" descr="Currently available antiretroviral drugs | Download Table">
          <a:extLst>
            <a:ext uri="{FF2B5EF4-FFF2-40B4-BE49-F238E27FC236}">
              <a16:creationId xmlns:a16="http://schemas.microsoft.com/office/drawing/2014/main" id="{BF34FA64-808E-4834-895B-0FF963A32D2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315523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36" name="AutoShape 40" descr="Currently available antiretroviral drugs | Download Table">
          <a:extLst>
            <a:ext uri="{FF2B5EF4-FFF2-40B4-BE49-F238E27FC236}">
              <a16:creationId xmlns:a16="http://schemas.microsoft.com/office/drawing/2014/main" id="{67BD1C42-6124-4DDA-9E0B-DC2A5B6C20D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315523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37" name="AutoShape 40" descr="Currently available antiretroviral drugs | Download Table">
          <a:extLst>
            <a:ext uri="{FF2B5EF4-FFF2-40B4-BE49-F238E27FC236}">
              <a16:creationId xmlns:a16="http://schemas.microsoft.com/office/drawing/2014/main" id="{09F591F1-B75B-4E18-B0B0-4359DD64789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315523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38" name="AutoShape 40" descr="Currently available antiretroviral drugs | Download Table">
          <a:extLst>
            <a:ext uri="{FF2B5EF4-FFF2-40B4-BE49-F238E27FC236}">
              <a16:creationId xmlns:a16="http://schemas.microsoft.com/office/drawing/2014/main" id="{D8F19AEF-B88E-44A6-94B2-E9E56DF76E0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333452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39" name="AutoShape 40" descr="Currently available antiretroviral drugs | Download Table">
          <a:extLst>
            <a:ext uri="{FF2B5EF4-FFF2-40B4-BE49-F238E27FC236}">
              <a16:creationId xmlns:a16="http://schemas.microsoft.com/office/drawing/2014/main" id="{4361FA8C-3DCC-4C1B-A86D-11226E10FCC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315523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40" name="AutoShape 40" descr="Currently available antiretroviral drugs | Download Table">
          <a:extLst>
            <a:ext uri="{FF2B5EF4-FFF2-40B4-BE49-F238E27FC236}">
              <a16:creationId xmlns:a16="http://schemas.microsoft.com/office/drawing/2014/main" id="{D89C8809-4EA6-45D2-BFC7-4AA051C9740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315523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41" name="AutoShape 40" descr="Currently available antiretroviral drugs | Download Table">
          <a:extLst>
            <a:ext uri="{FF2B5EF4-FFF2-40B4-BE49-F238E27FC236}">
              <a16:creationId xmlns:a16="http://schemas.microsoft.com/office/drawing/2014/main" id="{58A80898-E427-43C2-893F-88C31105BD2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333452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42" name="AutoShape 40" descr="Currently available antiretroviral drugs | Download Table">
          <a:extLst>
            <a:ext uri="{FF2B5EF4-FFF2-40B4-BE49-F238E27FC236}">
              <a16:creationId xmlns:a16="http://schemas.microsoft.com/office/drawing/2014/main" id="{B373BA2B-7F72-49E0-8F74-7801281ADA6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333452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43" name="AutoShape 40" descr="Currently available antiretroviral drugs | Download Table">
          <a:extLst>
            <a:ext uri="{FF2B5EF4-FFF2-40B4-BE49-F238E27FC236}">
              <a16:creationId xmlns:a16="http://schemas.microsoft.com/office/drawing/2014/main" id="{4EC83DEC-13A2-4589-8234-D1909CF7315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333452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44" name="AutoShape 40" descr="Currently available antiretroviral drugs | Download Table">
          <a:extLst>
            <a:ext uri="{FF2B5EF4-FFF2-40B4-BE49-F238E27FC236}">
              <a16:creationId xmlns:a16="http://schemas.microsoft.com/office/drawing/2014/main" id="{054607DD-2882-4F28-A848-946ED139BFF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333452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45" name="AutoShape 40" descr="Currently available antiretroviral drugs | Download Table">
          <a:extLst>
            <a:ext uri="{FF2B5EF4-FFF2-40B4-BE49-F238E27FC236}">
              <a16:creationId xmlns:a16="http://schemas.microsoft.com/office/drawing/2014/main" id="{FCE18151-A770-4BDD-A992-E08E80437A6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333452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46" name="AutoShape 40" descr="Currently available antiretroviral drugs | Download Table">
          <a:extLst>
            <a:ext uri="{FF2B5EF4-FFF2-40B4-BE49-F238E27FC236}">
              <a16:creationId xmlns:a16="http://schemas.microsoft.com/office/drawing/2014/main" id="{234798F1-1589-4EAC-8EEF-A25DE88E3AF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333452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47" name="AutoShape 40" descr="Currently available antiretroviral drugs | Download Table">
          <a:extLst>
            <a:ext uri="{FF2B5EF4-FFF2-40B4-BE49-F238E27FC236}">
              <a16:creationId xmlns:a16="http://schemas.microsoft.com/office/drawing/2014/main" id="{048D6D7D-1A3B-4C36-97EF-10C2C8915B6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333452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48" name="AutoShape 40" descr="Currently available antiretroviral drugs | Download Table">
          <a:extLst>
            <a:ext uri="{FF2B5EF4-FFF2-40B4-BE49-F238E27FC236}">
              <a16:creationId xmlns:a16="http://schemas.microsoft.com/office/drawing/2014/main" id="{13B7B46E-4E65-4C71-8BCA-67602683F14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351382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49" name="AutoShape 40" descr="Currently available antiretroviral drugs | Download Table">
          <a:extLst>
            <a:ext uri="{FF2B5EF4-FFF2-40B4-BE49-F238E27FC236}">
              <a16:creationId xmlns:a16="http://schemas.microsoft.com/office/drawing/2014/main" id="{70EB4D00-321A-4571-A122-E03FDF57F81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333452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50" name="AutoShape 40" descr="Currently available antiretroviral drugs | Download Table">
          <a:extLst>
            <a:ext uri="{FF2B5EF4-FFF2-40B4-BE49-F238E27FC236}">
              <a16:creationId xmlns:a16="http://schemas.microsoft.com/office/drawing/2014/main" id="{FBC0B619-0274-49FA-9671-C2120A096DD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333452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51" name="AutoShape 40" descr="Currently available antiretroviral drugs | Download Table">
          <a:extLst>
            <a:ext uri="{FF2B5EF4-FFF2-40B4-BE49-F238E27FC236}">
              <a16:creationId xmlns:a16="http://schemas.microsoft.com/office/drawing/2014/main" id="{16D2B0DB-D7B5-4202-9245-7175164960D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351382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52" name="AutoShape 40" descr="Currently available antiretroviral drugs | Download Table">
          <a:extLst>
            <a:ext uri="{FF2B5EF4-FFF2-40B4-BE49-F238E27FC236}">
              <a16:creationId xmlns:a16="http://schemas.microsoft.com/office/drawing/2014/main" id="{39531DFB-F174-4AC6-B21B-DE7683E9E5E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351382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53" name="AutoShape 40" descr="Currently available antiretroviral drugs | Download Table">
          <a:extLst>
            <a:ext uri="{FF2B5EF4-FFF2-40B4-BE49-F238E27FC236}">
              <a16:creationId xmlns:a16="http://schemas.microsoft.com/office/drawing/2014/main" id="{D00ECC95-F814-4A77-A0A4-A7D2B8D29D2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351382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54" name="AutoShape 40" descr="Currently available antiretroviral drugs | Download Table">
          <a:extLst>
            <a:ext uri="{FF2B5EF4-FFF2-40B4-BE49-F238E27FC236}">
              <a16:creationId xmlns:a16="http://schemas.microsoft.com/office/drawing/2014/main" id="{8A5E6DA5-B54F-4F19-A923-5FBFB10714D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351382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55" name="AutoShape 40" descr="Currently available antiretroviral drugs | Download Table">
          <a:extLst>
            <a:ext uri="{FF2B5EF4-FFF2-40B4-BE49-F238E27FC236}">
              <a16:creationId xmlns:a16="http://schemas.microsoft.com/office/drawing/2014/main" id="{FAD2972A-E067-4035-9BC1-3B02BB7B279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351382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56" name="AutoShape 40" descr="Currently available antiretroviral drugs | Download Table">
          <a:extLst>
            <a:ext uri="{FF2B5EF4-FFF2-40B4-BE49-F238E27FC236}">
              <a16:creationId xmlns:a16="http://schemas.microsoft.com/office/drawing/2014/main" id="{8DE8EE3C-52E8-490E-903F-AA7E1C10328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351382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57" name="AutoShape 40" descr="Currently available antiretroviral drugs | Download Table">
          <a:extLst>
            <a:ext uri="{FF2B5EF4-FFF2-40B4-BE49-F238E27FC236}">
              <a16:creationId xmlns:a16="http://schemas.microsoft.com/office/drawing/2014/main" id="{5A8B521C-7F2F-43DA-B29A-349FFD64193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351382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58" name="AutoShape 40" descr="Currently available antiretroviral drugs | Download Table">
          <a:extLst>
            <a:ext uri="{FF2B5EF4-FFF2-40B4-BE49-F238E27FC236}">
              <a16:creationId xmlns:a16="http://schemas.microsoft.com/office/drawing/2014/main" id="{659D074F-B539-4CD6-BE24-363CE47A565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369311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59" name="AutoShape 40" descr="Currently available antiretroviral drugs | Download Table">
          <a:extLst>
            <a:ext uri="{FF2B5EF4-FFF2-40B4-BE49-F238E27FC236}">
              <a16:creationId xmlns:a16="http://schemas.microsoft.com/office/drawing/2014/main" id="{F3637A02-C084-487C-A421-087B9AB2CEB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351382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60" name="AutoShape 40" descr="Currently available antiretroviral drugs | Download Table">
          <a:extLst>
            <a:ext uri="{FF2B5EF4-FFF2-40B4-BE49-F238E27FC236}">
              <a16:creationId xmlns:a16="http://schemas.microsoft.com/office/drawing/2014/main" id="{15B49D33-3181-4446-982D-861AEC7E04A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351382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61" name="AutoShape 40" descr="Currently available antiretroviral drugs | Download Table">
          <a:extLst>
            <a:ext uri="{FF2B5EF4-FFF2-40B4-BE49-F238E27FC236}">
              <a16:creationId xmlns:a16="http://schemas.microsoft.com/office/drawing/2014/main" id="{8998D304-CF63-450B-B1A0-273A3D009C0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369311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62" name="AutoShape 40" descr="Currently available antiretroviral drugs | Download Table">
          <a:extLst>
            <a:ext uri="{FF2B5EF4-FFF2-40B4-BE49-F238E27FC236}">
              <a16:creationId xmlns:a16="http://schemas.microsoft.com/office/drawing/2014/main" id="{01AEC99E-C92B-4FAD-8FD0-D84942F405C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369311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63" name="AutoShape 40" descr="Currently available antiretroviral drugs | Download Table">
          <a:extLst>
            <a:ext uri="{FF2B5EF4-FFF2-40B4-BE49-F238E27FC236}">
              <a16:creationId xmlns:a16="http://schemas.microsoft.com/office/drawing/2014/main" id="{3A482EF5-3B94-488D-B9C2-B216F3D7C17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369311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64" name="AutoShape 40" descr="Currently available antiretroviral drugs | Download Table">
          <a:extLst>
            <a:ext uri="{FF2B5EF4-FFF2-40B4-BE49-F238E27FC236}">
              <a16:creationId xmlns:a16="http://schemas.microsoft.com/office/drawing/2014/main" id="{1D4E851D-ACD4-451A-8F78-9828132BFE0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369311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65" name="AutoShape 40" descr="Currently available antiretroviral drugs | Download Table">
          <a:extLst>
            <a:ext uri="{FF2B5EF4-FFF2-40B4-BE49-F238E27FC236}">
              <a16:creationId xmlns:a16="http://schemas.microsoft.com/office/drawing/2014/main" id="{99AE0486-5D78-490E-85E2-3C9F5E397CF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369311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66" name="AutoShape 40" descr="Currently available antiretroviral drugs | Download Table">
          <a:extLst>
            <a:ext uri="{FF2B5EF4-FFF2-40B4-BE49-F238E27FC236}">
              <a16:creationId xmlns:a16="http://schemas.microsoft.com/office/drawing/2014/main" id="{6A2343AD-13F6-40C7-AB12-BF527597B4F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369311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67" name="AutoShape 40" descr="Currently available antiretroviral drugs | Download Table">
          <a:extLst>
            <a:ext uri="{FF2B5EF4-FFF2-40B4-BE49-F238E27FC236}">
              <a16:creationId xmlns:a16="http://schemas.microsoft.com/office/drawing/2014/main" id="{7D79A540-B147-4215-A67C-E3BDD8C0D38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369311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68" name="AutoShape 40" descr="Currently available antiretroviral drugs | Download Table">
          <a:extLst>
            <a:ext uri="{FF2B5EF4-FFF2-40B4-BE49-F238E27FC236}">
              <a16:creationId xmlns:a16="http://schemas.microsoft.com/office/drawing/2014/main" id="{2E8E881A-0F47-4B13-AE39-714ACD370A7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38724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69" name="AutoShape 40" descr="Currently available antiretroviral drugs | Download Table">
          <a:extLst>
            <a:ext uri="{FF2B5EF4-FFF2-40B4-BE49-F238E27FC236}">
              <a16:creationId xmlns:a16="http://schemas.microsoft.com/office/drawing/2014/main" id="{5FB9B584-AE47-492D-870C-2E419C8253F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369311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70" name="AutoShape 40" descr="Currently available antiretroviral drugs | Download Table">
          <a:extLst>
            <a:ext uri="{FF2B5EF4-FFF2-40B4-BE49-F238E27FC236}">
              <a16:creationId xmlns:a16="http://schemas.microsoft.com/office/drawing/2014/main" id="{68DE2437-6049-42F0-9613-E67A4B717AD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369311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71" name="AutoShape 40" descr="Currently available antiretroviral drugs | Download Table">
          <a:extLst>
            <a:ext uri="{FF2B5EF4-FFF2-40B4-BE49-F238E27FC236}">
              <a16:creationId xmlns:a16="http://schemas.microsoft.com/office/drawing/2014/main" id="{D63E21A6-7B05-4EF2-96BD-06B6479450E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38724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72" name="AutoShape 40" descr="Currently available antiretroviral drugs | Download Table">
          <a:extLst>
            <a:ext uri="{FF2B5EF4-FFF2-40B4-BE49-F238E27FC236}">
              <a16:creationId xmlns:a16="http://schemas.microsoft.com/office/drawing/2014/main" id="{EB63BB4C-ED41-4341-8615-FC0CB5627B1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38724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73" name="AutoShape 40" descr="Currently available antiretroviral drugs | Download Table">
          <a:extLst>
            <a:ext uri="{FF2B5EF4-FFF2-40B4-BE49-F238E27FC236}">
              <a16:creationId xmlns:a16="http://schemas.microsoft.com/office/drawing/2014/main" id="{97A1AC82-C99E-476E-8204-FCE1E4EF055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38724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74" name="AutoShape 40" descr="Currently available antiretroviral drugs | Download Table">
          <a:extLst>
            <a:ext uri="{FF2B5EF4-FFF2-40B4-BE49-F238E27FC236}">
              <a16:creationId xmlns:a16="http://schemas.microsoft.com/office/drawing/2014/main" id="{A4BFD83B-E478-4892-8274-8E08C58B72E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38724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75" name="AutoShape 40" descr="Currently available antiretroviral drugs | Download Table">
          <a:extLst>
            <a:ext uri="{FF2B5EF4-FFF2-40B4-BE49-F238E27FC236}">
              <a16:creationId xmlns:a16="http://schemas.microsoft.com/office/drawing/2014/main" id="{7CC7F24D-B149-4D88-88B0-BD3ACFEE12F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38724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76" name="AutoShape 40" descr="Currently available antiretroviral drugs | Download Table">
          <a:extLst>
            <a:ext uri="{FF2B5EF4-FFF2-40B4-BE49-F238E27FC236}">
              <a16:creationId xmlns:a16="http://schemas.microsoft.com/office/drawing/2014/main" id="{E47E812E-FDCD-4DCF-9DF5-2464A218EB6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38724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77" name="AutoShape 40" descr="Currently available antiretroviral drugs | Download Table">
          <a:extLst>
            <a:ext uri="{FF2B5EF4-FFF2-40B4-BE49-F238E27FC236}">
              <a16:creationId xmlns:a16="http://schemas.microsoft.com/office/drawing/2014/main" id="{D007F655-2A05-4651-99FF-3623221B748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38724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78" name="AutoShape 40" descr="Currently available antiretroviral drugs | Download Table">
          <a:extLst>
            <a:ext uri="{FF2B5EF4-FFF2-40B4-BE49-F238E27FC236}">
              <a16:creationId xmlns:a16="http://schemas.microsoft.com/office/drawing/2014/main" id="{6F6CF5BF-3EE8-4DA4-B61B-F676A7AF52E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4051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79" name="AutoShape 40" descr="Currently available antiretroviral drugs | Download Table">
          <a:extLst>
            <a:ext uri="{FF2B5EF4-FFF2-40B4-BE49-F238E27FC236}">
              <a16:creationId xmlns:a16="http://schemas.microsoft.com/office/drawing/2014/main" id="{5DDBAB67-CD5A-483E-9777-EDAAF51C07D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38724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80" name="AutoShape 40" descr="Currently available antiretroviral drugs | Download Table">
          <a:extLst>
            <a:ext uri="{FF2B5EF4-FFF2-40B4-BE49-F238E27FC236}">
              <a16:creationId xmlns:a16="http://schemas.microsoft.com/office/drawing/2014/main" id="{2DACC1E4-B61A-4E1E-9C9A-C8547BBAAD5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38724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81" name="AutoShape 40" descr="Currently available antiretroviral drugs | Download Table">
          <a:extLst>
            <a:ext uri="{FF2B5EF4-FFF2-40B4-BE49-F238E27FC236}">
              <a16:creationId xmlns:a16="http://schemas.microsoft.com/office/drawing/2014/main" id="{2F648B92-6294-4FA8-B05C-E074C66516D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4051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82" name="AutoShape 40" descr="Currently available antiretroviral drugs | Download Table">
          <a:extLst>
            <a:ext uri="{FF2B5EF4-FFF2-40B4-BE49-F238E27FC236}">
              <a16:creationId xmlns:a16="http://schemas.microsoft.com/office/drawing/2014/main" id="{12E936B3-73DE-42DA-A39C-E918BACC5F6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4051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83" name="AutoShape 40" descr="Currently available antiretroviral drugs | Download Table">
          <a:extLst>
            <a:ext uri="{FF2B5EF4-FFF2-40B4-BE49-F238E27FC236}">
              <a16:creationId xmlns:a16="http://schemas.microsoft.com/office/drawing/2014/main" id="{0695DA5B-624A-4F94-9549-62C47954A22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4051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84" name="AutoShape 40" descr="Currently available antiretroviral drugs | Download Table">
          <a:extLst>
            <a:ext uri="{FF2B5EF4-FFF2-40B4-BE49-F238E27FC236}">
              <a16:creationId xmlns:a16="http://schemas.microsoft.com/office/drawing/2014/main" id="{9F29BCCC-6F10-4D21-BD23-E8ED6B293C4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4051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85" name="AutoShape 40" descr="Currently available antiretroviral drugs | Download Table">
          <a:extLst>
            <a:ext uri="{FF2B5EF4-FFF2-40B4-BE49-F238E27FC236}">
              <a16:creationId xmlns:a16="http://schemas.microsoft.com/office/drawing/2014/main" id="{CC873B2D-08A5-4CF1-A860-937C4048AE2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4051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86" name="AutoShape 40" descr="Currently available antiretroviral drugs | Download Table">
          <a:extLst>
            <a:ext uri="{FF2B5EF4-FFF2-40B4-BE49-F238E27FC236}">
              <a16:creationId xmlns:a16="http://schemas.microsoft.com/office/drawing/2014/main" id="{0658CC25-6E7E-49D2-B8BF-B1C03566972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4051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87" name="AutoShape 40" descr="Currently available antiretroviral drugs | Download Table">
          <a:extLst>
            <a:ext uri="{FF2B5EF4-FFF2-40B4-BE49-F238E27FC236}">
              <a16:creationId xmlns:a16="http://schemas.microsoft.com/office/drawing/2014/main" id="{708CB51C-1DC6-41E4-8454-3223088CA89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4051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88" name="AutoShape 40" descr="Currently available antiretroviral drugs | Download Table">
          <a:extLst>
            <a:ext uri="{FF2B5EF4-FFF2-40B4-BE49-F238E27FC236}">
              <a16:creationId xmlns:a16="http://schemas.microsoft.com/office/drawing/2014/main" id="{D688D483-F6B9-4588-96DE-20197CDD900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4231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89" name="AutoShape 40" descr="Currently available antiretroviral drugs | Download Table">
          <a:extLst>
            <a:ext uri="{FF2B5EF4-FFF2-40B4-BE49-F238E27FC236}">
              <a16:creationId xmlns:a16="http://schemas.microsoft.com/office/drawing/2014/main" id="{4587E27D-8276-4E5F-8C7E-BF685CB4F16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4051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90" name="AutoShape 40" descr="Currently available antiretroviral drugs | Download Table">
          <a:extLst>
            <a:ext uri="{FF2B5EF4-FFF2-40B4-BE49-F238E27FC236}">
              <a16:creationId xmlns:a16="http://schemas.microsoft.com/office/drawing/2014/main" id="{4430DB28-7DE7-472D-916E-3862F15CB55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4051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91" name="AutoShape 40" descr="Currently available antiretroviral drugs | Download Table">
          <a:extLst>
            <a:ext uri="{FF2B5EF4-FFF2-40B4-BE49-F238E27FC236}">
              <a16:creationId xmlns:a16="http://schemas.microsoft.com/office/drawing/2014/main" id="{F041F5D3-21EB-4771-B51D-BBBCBCF7412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4231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92" name="AutoShape 40" descr="Currently available antiretroviral drugs | Download Table">
          <a:extLst>
            <a:ext uri="{FF2B5EF4-FFF2-40B4-BE49-F238E27FC236}">
              <a16:creationId xmlns:a16="http://schemas.microsoft.com/office/drawing/2014/main" id="{7C4C1BE5-3416-432E-9F86-5E08F1B951E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4231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93" name="AutoShape 40" descr="Currently available antiretroviral drugs | Download Table">
          <a:extLst>
            <a:ext uri="{FF2B5EF4-FFF2-40B4-BE49-F238E27FC236}">
              <a16:creationId xmlns:a16="http://schemas.microsoft.com/office/drawing/2014/main" id="{029C6A83-7566-4915-AF69-0C833222790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4231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94" name="AutoShape 40" descr="Currently available antiretroviral drugs | Download Table">
          <a:extLst>
            <a:ext uri="{FF2B5EF4-FFF2-40B4-BE49-F238E27FC236}">
              <a16:creationId xmlns:a16="http://schemas.microsoft.com/office/drawing/2014/main" id="{A740A6B7-901E-432D-8EDE-D071303A620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4231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95" name="AutoShape 40" descr="Currently available antiretroviral drugs | Download Table">
          <a:extLst>
            <a:ext uri="{FF2B5EF4-FFF2-40B4-BE49-F238E27FC236}">
              <a16:creationId xmlns:a16="http://schemas.microsoft.com/office/drawing/2014/main" id="{B3355B1A-861D-4289-BCC3-37CDC8C65E3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4231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96" name="AutoShape 40" descr="Currently available antiretroviral drugs | Download Table">
          <a:extLst>
            <a:ext uri="{FF2B5EF4-FFF2-40B4-BE49-F238E27FC236}">
              <a16:creationId xmlns:a16="http://schemas.microsoft.com/office/drawing/2014/main" id="{7E798401-CE34-409C-9848-AB5D0D0352D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4231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97" name="AutoShape 40" descr="Currently available antiretroviral drugs | Download Table">
          <a:extLst>
            <a:ext uri="{FF2B5EF4-FFF2-40B4-BE49-F238E27FC236}">
              <a16:creationId xmlns:a16="http://schemas.microsoft.com/office/drawing/2014/main" id="{8FBAC83E-F90C-4924-8112-7B65414FF35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4231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98" name="AutoShape 40" descr="Currently available antiretroviral drugs | Download Table">
          <a:extLst>
            <a:ext uri="{FF2B5EF4-FFF2-40B4-BE49-F238E27FC236}">
              <a16:creationId xmlns:a16="http://schemas.microsoft.com/office/drawing/2014/main" id="{A1C26753-E3E8-43D9-83E0-DC2DE46548C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4410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199" name="AutoShape 40" descr="Currently available antiretroviral drugs | Download Table">
          <a:extLst>
            <a:ext uri="{FF2B5EF4-FFF2-40B4-BE49-F238E27FC236}">
              <a16:creationId xmlns:a16="http://schemas.microsoft.com/office/drawing/2014/main" id="{AB8ABCE3-6B6D-4F8D-9A5F-9E3215BB807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4231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00" name="AutoShape 40" descr="Currently available antiretroviral drugs | Download Table">
          <a:extLst>
            <a:ext uri="{FF2B5EF4-FFF2-40B4-BE49-F238E27FC236}">
              <a16:creationId xmlns:a16="http://schemas.microsoft.com/office/drawing/2014/main" id="{91830025-5F47-416B-A4D9-557338734D5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4231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01" name="AutoShape 40" descr="Currently available antiretroviral drugs | Download Table">
          <a:extLst>
            <a:ext uri="{FF2B5EF4-FFF2-40B4-BE49-F238E27FC236}">
              <a16:creationId xmlns:a16="http://schemas.microsoft.com/office/drawing/2014/main" id="{CC7CFA87-6E88-473E-977E-4E4FA4ED6E8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4410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02" name="AutoShape 40" descr="Currently available antiretroviral drugs | Download Table">
          <a:extLst>
            <a:ext uri="{FF2B5EF4-FFF2-40B4-BE49-F238E27FC236}">
              <a16:creationId xmlns:a16="http://schemas.microsoft.com/office/drawing/2014/main" id="{F7A0BC50-127B-47C2-9518-DBE43AAEFF3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4410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03" name="AutoShape 40" descr="Currently available antiretroviral drugs | Download Table">
          <a:extLst>
            <a:ext uri="{FF2B5EF4-FFF2-40B4-BE49-F238E27FC236}">
              <a16:creationId xmlns:a16="http://schemas.microsoft.com/office/drawing/2014/main" id="{C1251BC9-777C-443F-A00C-435B13393D7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4410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04" name="AutoShape 40" descr="Currently available antiretroviral drugs | Download Table">
          <a:extLst>
            <a:ext uri="{FF2B5EF4-FFF2-40B4-BE49-F238E27FC236}">
              <a16:creationId xmlns:a16="http://schemas.microsoft.com/office/drawing/2014/main" id="{CACADF7C-3A55-4964-8DD6-BA3F4DF02B5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4410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05" name="AutoShape 40" descr="Currently available antiretroviral drugs | Download Table">
          <a:extLst>
            <a:ext uri="{FF2B5EF4-FFF2-40B4-BE49-F238E27FC236}">
              <a16:creationId xmlns:a16="http://schemas.microsoft.com/office/drawing/2014/main" id="{60082E62-9A75-4BC3-A3CD-4B07203A496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4410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06" name="AutoShape 40" descr="Currently available antiretroviral drugs | Download Table">
          <a:extLst>
            <a:ext uri="{FF2B5EF4-FFF2-40B4-BE49-F238E27FC236}">
              <a16:creationId xmlns:a16="http://schemas.microsoft.com/office/drawing/2014/main" id="{00914888-80A5-4849-955D-88558CE0E5C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4410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07" name="AutoShape 40" descr="Currently available antiretroviral drugs | Download Table">
          <a:extLst>
            <a:ext uri="{FF2B5EF4-FFF2-40B4-BE49-F238E27FC236}">
              <a16:creationId xmlns:a16="http://schemas.microsoft.com/office/drawing/2014/main" id="{56155A1F-B6BF-4E84-BDC5-3FBA6291143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4410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08" name="AutoShape 40" descr="Currently available antiretroviral drugs | Download Table">
          <a:extLst>
            <a:ext uri="{FF2B5EF4-FFF2-40B4-BE49-F238E27FC236}">
              <a16:creationId xmlns:a16="http://schemas.microsoft.com/office/drawing/2014/main" id="{F87B35F5-0C08-48B3-84BF-1A5ED531309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4589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09" name="AutoShape 40" descr="Currently available antiretroviral drugs | Download Table">
          <a:extLst>
            <a:ext uri="{FF2B5EF4-FFF2-40B4-BE49-F238E27FC236}">
              <a16:creationId xmlns:a16="http://schemas.microsoft.com/office/drawing/2014/main" id="{824B779A-F2AF-4917-9A52-7C3E8330571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4410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10" name="AutoShape 40" descr="Currently available antiretroviral drugs | Download Table">
          <a:extLst>
            <a:ext uri="{FF2B5EF4-FFF2-40B4-BE49-F238E27FC236}">
              <a16:creationId xmlns:a16="http://schemas.microsoft.com/office/drawing/2014/main" id="{66438F10-48B8-4FFF-AC5D-E3DB56A4C00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4410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11" name="AutoShape 40" descr="Currently available antiretroviral drugs | Download Table">
          <a:extLst>
            <a:ext uri="{FF2B5EF4-FFF2-40B4-BE49-F238E27FC236}">
              <a16:creationId xmlns:a16="http://schemas.microsoft.com/office/drawing/2014/main" id="{E992B78C-5D9B-4E8B-A399-11427A3BBAD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4589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12" name="AutoShape 40" descr="Currently available antiretroviral drugs | Download Table">
          <a:extLst>
            <a:ext uri="{FF2B5EF4-FFF2-40B4-BE49-F238E27FC236}">
              <a16:creationId xmlns:a16="http://schemas.microsoft.com/office/drawing/2014/main" id="{AAE5D5B5-B23B-4AA7-8258-4DFC23C9E6E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4589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13" name="AutoShape 40" descr="Currently available antiretroviral drugs | Download Table">
          <a:extLst>
            <a:ext uri="{FF2B5EF4-FFF2-40B4-BE49-F238E27FC236}">
              <a16:creationId xmlns:a16="http://schemas.microsoft.com/office/drawing/2014/main" id="{47EB6343-4267-4E67-86A4-1203E27F73A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4589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14" name="AutoShape 40" descr="Currently available antiretroviral drugs | Download Table">
          <a:extLst>
            <a:ext uri="{FF2B5EF4-FFF2-40B4-BE49-F238E27FC236}">
              <a16:creationId xmlns:a16="http://schemas.microsoft.com/office/drawing/2014/main" id="{9B105A1A-8512-4083-969D-261FD952129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4589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15" name="AutoShape 40" descr="Currently available antiretroviral drugs | Download Table">
          <a:extLst>
            <a:ext uri="{FF2B5EF4-FFF2-40B4-BE49-F238E27FC236}">
              <a16:creationId xmlns:a16="http://schemas.microsoft.com/office/drawing/2014/main" id="{2BF4B84D-A50F-44C7-869F-5C73EC403A5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4589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16" name="AutoShape 40" descr="Currently available antiretroviral drugs | Download Table">
          <a:extLst>
            <a:ext uri="{FF2B5EF4-FFF2-40B4-BE49-F238E27FC236}">
              <a16:creationId xmlns:a16="http://schemas.microsoft.com/office/drawing/2014/main" id="{FD48379D-FF0F-4E57-B673-6013F7A981C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4589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17" name="AutoShape 40" descr="Currently available antiretroviral drugs | Download Table">
          <a:extLst>
            <a:ext uri="{FF2B5EF4-FFF2-40B4-BE49-F238E27FC236}">
              <a16:creationId xmlns:a16="http://schemas.microsoft.com/office/drawing/2014/main" id="{DB21E57A-1D71-4CB1-B217-FC3989DEBFE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4589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18" name="AutoShape 40" descr="Currently available antiretroviral drugs | Download Table">
          <a:extLst>
            <a:ext uri="{FF2B5EF4-FFF2-40B4-BE49-F238E27FC236}">
              <a16:creationId xmlns:a16="http://schemas.microsoft.com/office/drawing/2014/main" id="{6B60A910-F65D-4635-8D4A-CFAB227E1DF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4768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19" name="AutoShape 40" descr="Currently available antiretroviral drugs | Download Table">
          <a:extLst>
            <a:ext uri="{FF2B5EF4-FFF2-40B4-BE49-F238E27FC236}">
              <a16:creationId xmlns:a16="http://schemas.microsoft.com/office/drawing/2014/main" id="{2BB716CF-E5FA-4FA8-8352-900C9F55857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4589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20" name="AutoShape 40" descr="Currently available antiretroviral drugs | Download Table">
          <a:extLst>
            <a:ext uri="{FF2B5EF4-FFF2-40B4-BE49-F238E27FC236}">
              <a16:creationId xmlns:a16="http://schemas.microsoft.com/office/drawing/2014/main" id="{6AB07732-4D98-40DA-83B3-7F48C663999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4589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21" name="AutoShape 40" descr="Currently available antiretroviral drugs | Download Table">
          <a:extLst>
            <a:ext uri="{FF2B5EF4-FFF2-40B4-BE49-F238E27FC236}">
              <a16:creationId xmlns:a16="http://schemas.microsoft.com/office/drawing/2014/main" id="{B9139367-14F2-4F64-A562-AA376A20AA1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4768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22" name="AutoShape 40" descr="Currently available antiretroviral drugs | Download Table">
          <a:extLst>
            <a:ext uri="{FF2B5EF4-FFF2-40B4-BE49-F238E27FC236}">
              <a16:creationId xmlns:a16="http://schemas.microsoft.com/office/drawing/2014/main" id="{F70B30A6-18F0-45FD-ADD5-7FEE3D81D7C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4768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23" name="AutoShape 40" descr="Currently available antiretroviral drugs | Download Table">
          <a:extLst>
            <a:ext uri="{FF2B5EF4-FFF2-40B4-BE49-F238E27FC236}">
              <a16:creationId xmlns:a16="http://schemas.microsoft.com/office/drawing/2014/main" id="{3641368E-3BE0-40A8-AB7A-18B0D295EEE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4768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24" name="AutoShape 40" descr="Currently available antiretroviral drugs | Download Table">
          <a:extLst>
            <a:ext uri="{FF2B5EF4-FFF2-40B4-BE49-F238E27FC236}">
              <a16:creationId xmlns:a16="http://schemas.microsoft.com/office/drawing/2014/main" id="{6D7738F6-4A78-4A76-8EBC-D64E371FAA9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4768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25" name="AutoShape 40" descr="Currently available antiretroviral drugs | Download Table">
          <a:extLst>
            <a:ext uri="{FF2B5EF4-FFF2-40B4-BE49-F238E27FC236}">
              <a16:creationId xmlns:a16="http://schemas.microsoft.com/office/drawing/2014/main" id="{1C4A39BE-42B1-46C8-B50F-43537626262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4768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26" name="AutoShape 40" descr="Currently available antiretroviral drugs | Download Table">
          <a:extLst>
            <a:ext uri="{FF2B5EF4-FFF2-40B4-BE49-F238E27FC236}">
              <a16:creationId xmlns:a16="http://schemas.microsoft.com/office/drawing/2014/main" id="{4D1025A7-0A57-4611-B773-AD651E6EC5E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4768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27" name="AutoShape 40" descr="Currently available antiretroviral drugs | Download Table">
          <a:extLst>
            <a:ext uri="{FF2B5EF4-FFF2-40B4-BE49-F238E27FC236}">
              <a16:creationId xmlns:a16="http://schemas.microsoft.com/office/drawing/2014/main" id="{2FC66FAD-1E06-4B90-8A06-EC0D2E2BD45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4768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28" name="AutoShape 40" descr="Currently available antiretroviral drugs | Download Table">
          <a:extLst>
            <a:ext uri="{FF2B5EF4-FFF2-40B4-BE49-F238E27FC236}">
              <a16:creationId xmlns:a16="http://schemas.microsoft.com/office/drawing/2014/main" id="{FDA1BA5B-5FF6-4CC5-875D-C1DD255279D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4948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29" name="AutoShape 40" descr="Currently available antiretroviral drugs | Download Table">
          <a:extLst>
            <a:ext uri="{FF2B5EF4-FFF2-40B4-BE49-F238E27FC236}">
              <a16:creationId xmlns:a16="http://schemas.microsoft.com/office/drawing/2014/main" id="{343C2041-0901-4E7C-AA68-F7A8461E425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4768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30" name="AutoShape 40" descr="Currently available antiretroviral drugs | Download Table">
          <a:extLst>
            <a:ext uri="{FF2B5EF4-FFF2-40B4-BE49-F238E27FC236}">
              <a16:creationId xmlns:a16="http://schemas.microsoft.com/office/drawing/2014/main" id="{5AD8ED69-3694-4C0B-9E5A-EEE6D07F044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4768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31" name="AutoShape 40" descr="Currently available antiretroviral drugs | Download Table">
          <a:extLst>
            <a:ext uri="{FF2B5EF4-FFF2-40B4-BE49-F238E27FC236}">
              <a16:creationId xmlns:a16="http://schemas.microsoft.com/office/drawing/2014/main" id="{12AA3995-0348-45B6-BA28-81D39A716E3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4948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32" name="AutoShape 40" descr="Currently available antiretroviral drugs | Download Table">
          <a:extLst>
            <a:ext uri="{FF2B5EF4-FFF2-40B4-BE49-F238E27FC236}">
              <a16:creationId xmlns:a16="http://schemas.microsoft.com/office/drawing/2014/main" id="{E663A112-89E8-4899-8680-E0B6A48F619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4948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33" name="AutoShape 40" descr="Currently available antiretroviral drugs | Download Table">
          <a:extLst>
            <a:ext uri="{FF2B5EF4-FFF2-40B4-BE49-F238E27FC236}">
              <a16:creationId xmlns:a16="http://schemas.microsoft.com/office/drawing/2014/main" id="{8E3F57BD-C861-4BD3-A35F-CB2F0EED8E0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4948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34" name="AutoShape 40" descr="Currently available antiretroviral drugs | Download Table">
          <a:extLst>
            <a:ext uri="{FF2B5EF4-FFF2-40B4-BE49-F238E27FC236}">
              <a16:creationId xmlns:a16="http://schemas.microsoft.com/office/drawing/2014/main" id="{D3174585-E081-47A5-98D7-E0C6448E607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4948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35" name="AutoShape 40" descr="Currently available antiretroviral drugs | Download Table">
          <a:extLst>
            <a:ext uri="{FF2B5EF4-FFF2-40B4-BE49-F238E27FC236}">
              <a16:creationId xmlns:a16="http://schemas.microsoft.com/office/drawing/2014/main" id="{5BE683A1-99FB-4E5A-B858-4629C5A5CA9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4948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36" name="AutoShape 40" descr="Currently available antiretroviral drugs | Download Table">
          <a:extLst>
            <a:ext uri="{FF2B5EF4-FFF2-40B4-BE49-F238E27FC236}">
              <a16:creationId xmlns:a16="http://schemas.microsoft.com/office/drawing/2014/main" id="{A5E7143D-1DC1-44AD-B459-1FAB04C09ED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4948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37" name="AutoShape 40" descr="Currently available antiretroviral drugs | Download Table">
          <a:extLst>
            <a:ext uri="{FF2B5EF4-FFF2-40B4-BE49-F238E27FC236}">
              <a16:creationId xmlns:a16="http://schemas.microsoft.com/office/drawing/2014/main" id="{7B9FA210-A4BA-444C-BEB4-28BCF738054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4948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38" name="AutoShape 40" descr="Currently available antiretroviral drugs | Download Table">
          <a:extLst>
            <a:ext uri="{FF2B5EF4-FFF2-40B4-BE49-F238E27FC236}">
              <a16:creationId xmlns:a16="http://schemas.microsoft.com/office/drawing/2014/main" id="{816C1008-782A-499B-A24A-70D11F572B8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5127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39" name="AutoShape 40" descr="Currently available antiretroviral drugs | Download Table">
          <a:extLst>
            <a:ext uri="{FF2B5EF4-FFF2-40B4-BE49-F238E27FC236}">
              <a16:creationId xmlns:a16="http://schemas.microsoft.com/office/drawing/2014/main" id="{35D6A8B4-02D9-419C-B36A-65932D1FCC0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4948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40" name="AutoShape 40" descr="Currently available antiretroviral drugs | Download Table">
          <a:extLst>
            <a:ext uri="{FF2B5EF4-FFF2-40B4-BE49-F238E27FC236}">
              <a16:creationId xmlns:a16="http://schemas.microsoft.com/office/drawing/2014/main" id="{F6794F5F-F757-45A1-B915-FFCBE70D78E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4948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41" name="AutoShape 40" descr="Currently available antiretroviral drugs | Download Table">
          <a:extLst>
            <a:ext uri="{FF2B5EF4-FFF2-40B4-BE49-F238E27FC236}">
              <a16:creationId xmlns:a16="http://schemas.microsoft.com/office/drawing/2014/main" id="{4110B206-6769-4F85-8645-6D62E32F32B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5127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42" name="AutoShape 40" descr="Currently available antiretroviral drugs | Download Table">
          <a:extLst>
            <a:ext uri="{FF2B5EF4-FFF2-40B4-BE49-F238E27FC236}">
              <a16:creationId xmlns:a16="http://schemas.microsoft.com/office/drawing/2014/main" id="{ACAA94EC-A8EA-45FF-9440-30F8E370048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5127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43" name="AutoShape 40" descr="Currently available antiretroviral drugs | Download Table">
          <a:extLst>
            <a:ext uri="{FF2B5EF4-FFF2-40B4-BE49-F238E27FC236}">
              <a16:creationId xmlns:a16="http://schemas.microsoft.com/office/drawing/2014/main" id="{5CEE1FFB-3673-4CCF-96FF-65CFD6FF9E2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5127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44" name="AutoShape 40" descr="Currently available antiretroviral drugs | Download Table">
          <a:extLst>
            <a:ext uri="{FF2B5EF4-FFF2-40B4-BE49-F238E27FC236}">
              <a16:creationId xmlns:a16="http://schemas.microsoft.com/office/drawing/2014/main" id="{DF1B886C-22A1-48D4-A7E4-922544321EF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5127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45" name="AutoShape 40" descr="Currently available antiretroviral drugs | Download Table">
          <a:extLst>
            <a:ext uri="{FF2B5EF4-FFF2-40B4-BE49-F238E27FC236}">
              <a16:creationId xmlns:a16="http://schemas.microsoft.com/office/drawing/2014/main" id="{1C83BC59-4FDA-4355-9553-6998B5CEC10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5127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46" name="AutoShape 40" descr="Currently available antiretroviral drugs | Download Table">
          <a:extLst>
            <a:ext uri="{FF2B5EF4-FFF2-40B4-BE49-F238E27FC236}">
              <a16:creationId xmlns:a16="http://schemas.microsoft.com/office/drawing/2014/main" id="{059B77A2-3117-4373-8050-3C159999CF3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5127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47" name="AutoShape 40" descr="Currently available antiretroviral drugs | Download Table">
          <a:extLst>
            <a:ext uri="{FF2B5EF4-FFF2-40B4-BE49-F238E27FC236}">
              <a16:creationId xmlns:a16="http://schemas.microsoft.com/office/drawing/2014/main" id="{8317895F-D539-4CFE-981B-6560EBE98DD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5127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48" name="AutoShape 40" descr="Currently available antiretroviral drugs | Download Table">
          <a:extLst>
            <a:ext uri="{FF2B5EF4-FFF2-40B4-BE49-F238E27FC236}">
              <a16:creationId xmlns:a16="http://schemas.microsoft.com/office/drawing/2014/main" id="{A882BF22-E419-4F47-A1D9-C59797DEB1D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530676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49" name="AutoShape 40" descr="Currently available antiretroviral drugs | Download Table">
          <a:extLst>
            <a:ext uri="{FF2B5EF4-FFF2-40B4-BE49-F238E27FC236}">
              <a16:creationId xmlns:a16="http://schemas.microsoft.com/office/drawing/2014/main" id="{D633F361-2E10-4B00-9B34-F7012F9EF56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5127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50" name="AutoShape 40" descr="Currently available antiretroviral drugs | Download Table">
          <a:extLst>
            <a:ext uri="{FF2B5EF4-FFF2-40B4-BE49-F238E27FC236}">
              <a16:creationId xmlns:a16="http://schemas.microsoft.com/office/drawing/2014/main" id="{12C77FBA-BB85-4FED-8960-76768D8AF82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5127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51" name="AutoShape 40" descr="Currently available antiretroviral drugs | Download Table">
          <a:extLst>
            <a:ext uri="{FF2B5EF4-FFF2-40B4-BE49-F238E27FC236}">
              <a16:creationId xmlns:a16="http://schemas.microsoft.com/office/drawing/2014/main" id="{817B0970-7E69-47E7-8D92-6BBE12A4724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530676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52" name="AutoShape 40" descr="Currently available antiretroviral drugs | Download Table">
          <a:extLst>
            <a:ext uri="{FF2B5EF4-FFF2-40B4-BE49-F238E27FC236}">
              <a16:creationId xmlns:a16="http://schemas.microsoft.com/office/drawing/2014/main" id="{836F3712-6ACF-4178-8634-4ABFF305C6F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530676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53" name="AutoShape 40" descr="Currently available antiretroviral drugs | Download Table">
          <a:extLst>
            <a:ext uri="{FF2B5EF4-FFF2-40B4-BE49-F238E27FC236}">
              <a16:creationId xmlns:a16="http://schemas.microsoft.com/office/drawing/2014/main" id="{816FCBC5-163E-4038-8FDD-82FEBBF8E60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530676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54" name="AutoShape 40" descr="Currently available antiretroviral drugs | Download Table">
          <a:extLst>
            <a:ext uri="{FF2B5EF4-FFF2-40B4-BE49-F238E27FC236}">
              <a16:creationId xmlns:a16="http://schemas.microsoft.com/office/drawing/2014/main" id="{4649EC94-5A3D-4020-86F7-B5BFF7179E6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530676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55" name="AutoShape 40" descr="Currently available antiretroviral drugs | Download Table">
          <a:extLst>
            <a:ext uri="{FF2B5EF4-FFF2-40B4-BE49-F238E27FC236}">
              <a16:creationId xmlns:a16="http://schemas.microsoft.com/office/drawing/2014/main" id="{162FA282-EA8A-4EA7-A9C7-A25651E2768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530676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56" name="AutoShape 40" descr="Currently available antiretroviral drugs | Download Table">
          <a:extLst>
            <a:ext uri="{FF2B5EF4-FFF2-40B4-BE49-F238E27FC236}">
              <a16:creationId xmlns:a16="http://schemas.microsoft.com/office/drawing/2014/main" id="{652332B4-F2C3-4B0B-B27E-E58A3666275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530676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57" name="AutoShape 40" descr="Currently available antiretroviral drugs | Download Table">
          <a:extLst>
            <a:ext uri="{FF2B5EF4-FFF2-40B4-BE49-F238E27FC236}">
              <a16:creationId xmlns:a16="http://schemas.microsoft.com/office/drawing/2014/main" id="{9DDDD590-B760-435C-B717-C6AB578980A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530676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58" name="AutoShape 40" descr="Currently available antiretroviral drugs | Download Table">
          <a:extLst>
            <a:ext uri="{FF2B5EF4-FFF2-40B4-BE49-F238E27FC236}">
              <a16:creationId xmlns:a16="http://schemas.microsoft.com/office/drawing/2014/main" id="{F41935AF-A0A6-4BBD-8E59-45A419DF506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548605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59" name="AutoShape 40" descr="Currently available antiretroviral drugs | Download Table">
          <a:extLst>
            <a:ext uri="{FF2B5EF4-FFF2-40B4-BE49-F238E27FC236}">
              <a16:creationId xmlns:a16="http://schemas.microsoft.com/office/drawing/2014/main" id="{167E6B7F-19C4-4133-BFF8-2097A1E3A0C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530676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60" name="AutoShape 40" descr="Currently available antiretroviral drugs | Download Table">
          <a:extLst>
            <a:ext uri="{FF2B5EF4-FFF2-40B4-BE49-F238E27FC236}">
              <a16:creationId xmlns:a16="http://schemas.microsoft.com/office/drawing/2014/main" id="{D16BCA2B-6DDC-4BD4-938C-1D2513BCA53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530676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61" name="AutoShape 40" descr="Currently available antiretroviral drugs | Download Table">
          <a:extLst>
            <a:ext uri="{FF2B5EF4-FFF2-40B4-BE49-F238E27FC236}">
              <a16:creationId xmlns:a16="http://schemas.microsoft.com/office/drawing/2014/main" id="{838AB904-FAA2-4D2D-B257-9B14BF59DD5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548605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62" name="AutoShape 40" descr="Currently available antiretroviral drugs | Download Table">
          <a:extLst>
            <a:ext uri="{FF2B5EF4-FFF2-40B4-BE49-F238E27FC236}">
              <a16:creationId xmlns:a16="http://schemas.microsoft.com/office/drawing/2014/main" id="{B6466BED-D7B3-4A19-BF79-AC4E09C82DE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548605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63" name="AutoShape 40" descr="Currently available antiretroviral drugs | Download Table">
          <a:extLst>
            <a:ext uri="{FF2B5EF4-FFF2-40B4-BE49-F238E27FC236}">
              <a16:creationId xmlns:a16="http://schemas.microsoft.com/office/drawing/2014/main" id="{57E2A811-0D6A-41C6-92F1-BACFC48E956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548605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64" name="AutoShape 40" descr="Currently available antiretroviral drugs | Download Table">
          <a:extLst>
            <a:ext uri="{FF2B5EF4-FFF2-40B4-BE49-F238E27FC236}">
              <a16:creationId xmlns:a16="http://schemas.microsoft.com/office/drawing/2014/main" id="{575F2F40-FF24-4B3C-8EB6-7A19AD54C8D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548605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65" name="AutoShape 40" descr="Currently available antiretroviral drugs | Download Table">
          <a:extLst>
            <a:ext uri="{FF2B5EF4-FFF2-40B4-BE49-F238E27FC236}">
              <a16:creationId xmlns:a16="http://schemas.microsoft.com/office/drawing/2014/main" id="{6CB7C70D-4AD8-44F3-B811-B8EB962C205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548605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66" name="AutoShape 40" descr="Currently available antiretroviral drugs | Download Table">
          <a:extLst>
            <a:ext uri="{FF2B5EF4-FFF2-40B4-BE49-F238E27FC236}">
              <a16:creationId xmlns:a16="http://schemas.microsoft.com/office/drawing/2014/main" id="{F2FDBD69-0092-48CC-836E-BBEE0927DCD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548605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67" name="AutoShape 40" descr="Currently available antiretroviral drugs | Download Table">
          <a:extLst>
            <a:ext uri="{FF2B5EF4-FFF2-40B4-BE49-F238E27FC236}">
              <a16:creationId xmlns:a16="http://schemas.microsoft.com/office/drawing/2014/main" id="{5705F685-66C3-421D-B4CD-630794CFCE3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548605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68" name="AutoShape 40" descr="Currently available antiretroviral drugs | Download Table">
          <a:extLst>
            <a:ext uri="{FF2B5EF4-FFF2-40B4-BE49-F238E27FC236}">
              <a16:creationId xmlns:a16="http://schemas.microsoft.com/office/drawing/2014/main" id="{4C0E44DE-DAF8-4C68-80AD-79149E27600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566535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69" name="AutoShape 40" descr="Currently available antiretroviral drugs | Download Table">
          <a:extLst>
            <a:ext uri="{FF2B5EF4-FFF2-40B4-BE49-F238E27FC236}">
              <a16:creationId xmlns:a16="http://schemas.microsoft.com/office/drawing/2014/main" id="{A804FD50-1F4E-42E4-A2BB-F464C1AE502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548605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70" name="AutoShape 40" descr="Currently available antiretroviral drugs | Download Table">
          <a:extLst>
            <a:ext uri="{FF2B5EF4-FFF2-40B4-BE49-F238E27FC236}">
              <a16:creationId xmlns:a16="http://schemas.microsoft.com/office/drawing/2014/main" id="{CA3171CC-16B5-4C47-A895-C26318A9506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548605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71" name="AutoShape 40" descr="Currently available antiretroviral drugs | Download Table">
          <a:extLst>
            <a:ext uri="{FF2B5EF4-FFF2-40B4-BE49-F238E27FC236}">
              <a16:creationId xmlns:a16="http://schemas.microsoft.com/office/drawing/2014/main" id="{923C148D-297A-4D86-B548-7D0FE1CD624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566535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72" name="AutoShape 40" descr="Currently available antiretroviral drugs | Download Table">
          <a:extLst>
            <a:ext uri="{FF2B5EF4-FFF2-40B4-BE49-F238E27FC236}">
              <a16:creationId xmlns:a16="http://schemas.microsoft.com/office/drawing/2014/main" id="{076C2A25-F17F-4C2F-808C-2613048BFFB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566535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73" name="AutoShape 40" descr="Currently available antiretroviral drugs | Download Table">
          <a:extLst>
            <a:ext uri="{FF2B5EF4-FFF2-40B4-BE49-F238E27FC236}">
              <a16:creationId xmlns:a16="http://schemas.microsoft.com/office/drawing/2014/main" id="{12D78CA9-8C11-446D-B40D-AC6DFEF269F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566535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74" name="AutoShape 40" descr="Currently available antiretroviral drugs | Download Table">
          <a:extLst>
            <a:ext uri="{FF2B5EF4-FFF2-40B4-BE49-F238E27FC236}">
              <a16:creationId xmlns:a16="http://schemas.microsoft.com/office/drawing/2014/main" id="{945F5774-103F-4331-9460-AAB65C7AD2B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566535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75" name="AutoShape 40" descr="Currently available antiretroviral drugs | Download Table">
          <a:extLst>
            <a:ext uri="{FF2B5EF4-FFF2-40B4-BE49-F238E27FC236}">
              <a16:creationId xmlns:a16="http://schemas.microsoft.com/office/drawing/2014/main" id="{9B3FA4AD-173A-4B58-80A6-98E9B150DC1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566535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76" name="AutoShape 40" descr="Currently available antiretroviral drugs | Download Table">
          <a:extLst>
            <a:ext uri="{FF2B5EF4-FFF2-40B4-BE49-F238E27FC236}">
              <a16:creationId xmlns:a16="http://schemas.microsoft.com/office/drawing/2014/main" id="{A49825EB-F23D-4F1F-A289-00E14135687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566535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77" name="AutoShape 40" descr="Currently available antiretroviral drugs | Download Table">
          <a:extLst>
            <a:ext uri="{FF2B5EF4-FFF2-40B4-BE49-F238E27FC236}">
              <a16:creationId xmlns:a16="http://schemas.microsoft.com/office/drawing/2014/main" id="{BEA78658-F2A6-4E8D-AD72-8A744D9B276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566535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78" name="AutoShape 40" descr="Currently available antiretroviral drugs | Download Table">
          <a:extLst>
            <a:ext uri="{FF2B5EF4-FFF2-40B4-BE49-F238E27FC236}">
              <a16:creationId xmlns:a16="http://schemas.microsoft.com/office/drawing/2014/main" id="{32013AFD-0871-421C-B20D-45C01A1D74B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5844647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79" name="AutoShape 40" descr="Currently available antiretroviral drugs | Download Table">
          <a:extLst>
            <a:ext uri="{FF2B5EF4-FFF2-40B4-BE49-F238E27FC236}">
              <a16:creationId xmlns:a16="http://schemas.microsoft.com/office/drawing/2014/main" id="{E35921A1-5693-48D3-BB77-8DFAC81FA73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566535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80" name="AutoShape 40" descr="Currently available antiretroviral drugs | Download Table">
          <a:extLst>
            <a:ext uri="{FF2B5EF4-FFF2-40B4-BE49-F238E27FC236}">
              <a16:creationId xmlns:a16="http://schemas.microsoft.com/office/drawing/2014/main" id="{95118F35-45BE-4AAD-989A-EA692AF0862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566535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81" name="AutoShape 40" descr="Currently available antiretroviral drugs | Download Table">
          <a:extLst>
            <a:ext uri="{FF2B5EF4-FFF2-40B4-BE49-F238E27FC236}">
              <a16:creationId xmlns:a16="http://schemas.microsoft.com/office/drawing/2014/main" id="{02EB9488-3C0C-4B05-A96C-749570D24B3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5844647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82" name="AutoShape 40" descr="Currently available antiretroviral drugs | Download Table">
          <a:extLst>
            <a:ext uri="{FF2B5EF4-FFF2-40B4-BE49-F238E27FC236}">
              <a16:creationId xmlns:a16="http://schemas.microsoft.com/office/drawing/2014/main" id="{3FF6F4DB-2A30-41A9-A916-D0587302CC0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5844647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83" name="AutoShape 40" descr="Currently available antiretroviral drugs | Download Table">
          <a:extLst>
            <a:ext uri="{FF2B5EF4-FFF2-40B4-BE49-F238E27FC236}">
              <a16:creationId xmlns:a16="http://schemas.microsoft.com/office/drawing/2014/main" id="{A0928FB6-39D4-483E-9127-B416CD4A49D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5844647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84" name="AutoShape 40" descr="Currently available antiretroviral drugs | Download Table">
          <a:extLst>
            <a:ext uri="{FF2B5EF4-FFF2-40B4-BE49-F238E27FC236}">
              <a16:creationId xmlns:a16="http://schemas.microsoft.com/office/drawing/2014/main" id="{F0E19ABC-EB67-4A54-83C3-84370443583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5844647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85" name="AutoShape 40" descr="Currently available antiretroviral drugs | Download Table">
          <a:extLst>
            <a:ext uri="{FF2B5EF4-FFF2-40B4-BE49-F238E27FC236}">
              <a16:creationId xmlns:a16="http://schemas.microsoft.com/office/drawing/2014/main" id="{B7724672-6D58-4756-80B9-7AE849E706A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5844647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86" name="AutoShape 40" descr="Currently available antiretroviral drugs | Download Table">
          <a:extLst>
            <a:ext uri="{FF2B5EF4-FFF2-40B4-BE49-F238E27FC236}">
              <a16:creationId xmlns:a16="http://schemas.microsoft.com/office/drawing/2014/main" id="{08E20A64-EA02-49B5-8728-F05DD0F28C2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5844647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87" name="AutoShape 40" descr="Currently available antiretroviral drugs | Download Table">
          <a:extLst>
            <a:ext uri="{FF2B5EF4-FFF2-40B4-BE49-F238E27FC236}">
              <a16:creationId xmlns:a16="http://schemas.microsoft.com/office/drawing/2014/main" id="{BB6271E5-1213-43CE-81B0-3FA061831C6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5844647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88" name="AutoShape 40" descr="Currently available antiretroviral drugs | Download Table">
          <a:extLst>
            <a:ext uri="{FF2B5EF4-FFF2-40B4-BE49-F238E27FC236}">
              <a16:creationId xmlns:a16="http://schemas.microsoft.com/office/drawing/2014/main" id="{BCB20E4F-EAC5-496F-A23E-399DC975FA2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602394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89" name="AutoShape 40" descr="Currently available antiretroviral drugs | Download Table">
          <a:extLst>
            <a:ext uri="{FF2B5EF4-FFF2-40B4-BE49-F238E27FC236}">
              <a16:creationId xmlns:a16="http://schemas.microsoft.com/office/drawing/2014/main" id="{0FD523C2-9FED-415A-900C-6E425180DDF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5844647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90" name="AutoShape 40" descr="Currently available antiretroviral drugs | Download Table">
          <a:extLst>
            <a:ext uri="{FF2B5EF4-FFF2-40B4-BE49-F238E27FC236}">
              <a16:creationId xmlns:a16="http://schemas.microsoft.com/office/drawing/2014/main" id="{F8BE1BD2-B9E0-4819-99BF-B82BC58C00E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5844647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91" name="AutoShape 40" descr="Currently available antiretroviral drugs | Download Table">
          <a:extLst>
            <a:ext uri="{FF2B5EF4-FFF2-40B4-BE49-F238E27FC236}">
              <a16:creationId xmlns:a16="http://schemas.microsoft.com/office/drawing/2014/main" id="{EEA5FB58-5346-46BB-8B89-DD35A03E175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602394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92" name="AutoShape 40" descr="Currently available antiretroviral drugs | Download Table">
          <a:extLst>
            <a:ext uri="{FF2B5EF4-FFF2-40B4-BE49-F238E27FC236}">
              <a16:creationId xmlns:a16="http://schemas.microsoft.com/office/drawing/2014/main" id="{A704B4CA-F601-48F7-8E7F-F6C8DBEE18F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602394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93" name="AutoShape 40" descr="Currently available antiretroviral drugs | Download Table">
          <a:extLst>
            <a:ext uri="{FF2B5EF4-FFF2-40B4-BE49-F238E27FC236}">
              <a16:creationId xmlns:a16="http://schemas.microsoft.com/office/drawing/2014/main" id="{F268B50C-44CA-4C5A-8482-CDA2BEBC0E9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602394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94" name="AutoShape 40" descr="Currently available antiretroviral drugs | Download Table">
          <a:extLst>
            <a:ext uri="{FF2B5EF4-FFF2-40B4-BE49-F238E27FC236}">
              <a16:creationId xmlns:a16="http://schemas.microsoft.com/office/drawing/2014/main" id="{92E06DE4-B781-4122-8B94-AC61FF16656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602394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95" name="AutoShape 40" descr="Currently available antiretroviral drugs | Download Table">
          <a:extLst>
            <a:ext uri="{FF2B5EF4-FFF2-40B4-BE49-F238E27FC236}">
              <a16:creationId xmlns:a16="http://schemas.microsoft.com/office/drawing/2014/main" id="{8BB8C376-03FE-4592-B7B9-37FD1447CAF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602394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96" name="AutoShape 40" descr="Currently available antiretroviral drugs | Download Table">
          <a:extLst>
            <a:ext uri="{FF2B5EF4-FFF2-40B4-BE49-F238E27FC236}">
              <a16:creationId xmlns:a16="http://schemas.microsoft.com/office/drawing/2014/main" id="{214F8C8D-0967-403D-B573-9594BE9C322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602394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97" name="AutoShape 40" descr="Currently available antiretroviral drugs | Download Table">
          <a:extLst>
            <a:ext uri="{FF2B5EF4-FFF2-40B4-BE49-F238E27FC236}">
              <a16:creationId xmlns:a16="http://schemas.microsoft.com/office/drawing/2014/main" id="{4A2C0B8B-2FB0-4CF9-B977-759E16F8D64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602394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98" name="AutoShape 40" descr="Currently available antiretroviral drugs | Download Table">
          <a:extLst>
            <a:ext uri="{FF2B5EF4-FFF2-40B4-BE49-F238E27FC236}">
              <a16:creationId xmlns:a16="http://schemas.microsoft.com/office/drawing/2014/main" id="{FE90AADA-521C-49C4-82EE-4076298A790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620323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299" name="AutoShape 40" descr="Currently available antiretroviral drugs | Download Table">
          <a:extLst>
            <a:ext uri="{FF2B5EF4-FFF2-40B4-BE49-F238E27FC236}">
              <a16:creationId xmlns:a16="http://schemas.microsoft.com/office/drawing/2014/main" id="{AF3AC60C-CF25-406A-BF30-B435268A179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602394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00" name="AutoShape 40" descr="Currently available antiretroviral drugs | Download Table">
          <a:extLst>
            <a:ext uri="{FF2B5EF4-FFF2-40B4-BE49-F238E27FC236}">
              <a16:creationId xmlns:a16="http://schemas.microsoft.com/office/drawing/2014/main" id="{8DD0AA7E-D41E-4681-BAEE-68186BFD019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602394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01" name="AutoShape 40" descr="Currently available antiretroviral drugs | Download Table">
          <a:extLst>
            <a:ext uri="{FF2B5EF4-FFF2-40B4-BE49-F238E27FC236}">
              <a16:creationId xmlns:a16="http://schemas.microsoft.com/office/drawing/2014/main" id="{29324D3F-2810-4C22-85E3-5723AE38615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620323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02" name="AutoShape 40" descr="Currently available antiretroviral drugs | Download Table">
          <a:extLst>
            <a:ext uri="{FF2B5EF4-FFF2-40B4-BE49-F238E27FC236}">
              <a16:creationId xmlns:a16="http://schemas.microsoft.com/office/drawing/2014/main" id="{3E7CF000-317F-47A7-AF0B-FB64E33F6E9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620323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03" name="AutoShape 40" descr="Currently available antiretroviral drugs | Download Table">
          <a:extLst>
            <a:ext uri="{FF2B5EF4-FFF2-40B4-BE49-F238E27FC236}">
              <a16:creationId xmlns:a16="http://schemas.microsoft.com/office/drawing/2014/main" id="{C969CC5E-AB3B-4FBB-9472-6798C029959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620323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04" name="AutoShape 40" descr="Currently available antiretroviral drugs | Download Table">
          <a:extLst>
            <a:ext uri="{FF2B5EF4-FFF2-40B4-BE49-F238E27FC236}">
              <a16:creationId xmlns:a16="http://schemas.microsoft.com/office/drawing/2014/main" id="{E8B28208-AC04-4954-BEF6-11ABF1EE417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620323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05" name="AutoShape 40" descr="Currently available antiretroviral drugs | Download Table">
          <a:extLst>
            <a:ext uri="{FF2B5EF4-FFF2-40B4-BE49-F238E27FC236}">
              <a16:creationId xmlns:a16="http://schemas.microsoft.com/office/drawing/2014/main" id="{3A72DD99-2A7B-4891-AD82-B9EDDD54A6C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620323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06" name="AutoShape 40" descr="Currently available antiretroviral drugs | Download Table">
          <a:extLst>
            <a:ext uri="{FF2B5EF4-FFF2-40B4-BE49-F238E27FC236}">
              <a16:creationId xmlns:a16="http://schemas.microsoft.com/office/drawing/2014/main" id="{8BC4F18F-05C4-4191-A748-0D8CA23FA81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620323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07" name="AutoShape 40" descr="Currently available antiretroviral drugs | Download Table">
          <a:extLst>
            <a:ext uri="{FF2B5EF4-FFF2-40B4-BE49-F238E27FC236}">
              <a16:creationId xmlns:a16="http://schemas.microsoft.com/office/drawing/2014/main" id="{0A7997EE-D576-4B3E-BB25-89AE3DF2033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620323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08" name="AutoShape 40" descr="Currently available antiretroviral drugs | Download Table">
          <a:extLst>
            <a:ext uri="{FF2B5EF4-FFF2-40B4-BE49-F238E27FC236}">
              <a16:creationId xmlns:a16="http://schemas.microsoft.com/office/drawing/2014/main" id="{7982257B-3EF2-4F51-A54E-D2D9530837E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638252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09" name="AutoShape 40" descr="Currently available antiretroviral drugs | Download Table">
          <a:extLst>
            <a:ext uri="{FF2B5EF4-FFF2-40B4-BE49-F238E27FC236}">
              <a16:creationId xmlns:a16="http://schemas.microsoft.com/office/drawing/2014/main" id="{4EEA566A-6FEA-45C7-B827-221A45072F4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620323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10" name="AutoShape 40" descr="Currently available antiretroviral drugs | Download Table">
          <a:extLst>
            <a:ext uri="{FF2B5EF4-FFF2-40B4-BE49-F238E27FC236}">
              <a16:creationId xmlns:a16="http://schemas.microsoft.com/office/drawing/2014/main" id="{070D04AF-300A-4CC5-A537-C3BAE3677F6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620323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11" name="AutoShape 40" descr="Currently available antiretroviral drugs | Download Table">
          <a:extLst>
            <a:ext uri="{FF2B5EF4-FFF2-40B4-BE49-F238E27FC236}">
              <a16:creationId xmlns:a16="http://schemas.microsoft.com/office/drawing/2014/main" id="{19CDD448-39D3-4106-98EC-3430C2D137A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638252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12" name="AutoShape 40" descr="Currently available antiretroviral drugs | Download Table">
          <a:extLst>
            <a:ext uri="{FF2B5EF4-FFF2-40B4-BE49-F238E27FC236}">
              <a16:creationId xmlns:a16="http://schemas.microsoft.com/office/drawing/2014/main" id="{8616E580-7345-4A27-A984-774855248E7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638252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13" name="AutoShape 40" descr="Currently available antiretroviral drugs | Download Table">
          <a:extLst>
            <a:ext uri="{FF2B5EF4-FFF2-40B4-BE49-F238E27FC236}">
              <a16:creationId xmlns:a16="http://schemas.microsoft.com/office/drawing/2014/main" id="{404388E9-3D39-4F0A-8D83-E6C8C9D6549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638252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14" name="AutoShape 40" descr="Currently available antiretroviral drugs | Download Table">
          <a:extLst>
            <a:ext uri="{FF2B5EF4-FFF2-40B4-BE49-F238E27FC236}">
              <a16:creationId xmlns:a16="http://schemas.microsoft.com/office/drawing/2014/main" id="{FF644065-6637-4092-B100-1191E8C7DA3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638252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15" name="AutoShape 40" descr="Currently available antiretroviral drugs | Download Table">
          <a:extLst>
            <a:ext uri="{FF2B5EF4-FFF2-40B4-BE49-F238E27FC236}">
              <a16:creationId xmlns:a16="http://schemas.microsoft.com/office/drawing/2014/main" id="{60894724-9126-42F2-90C0-F6BBA5490F5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638252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16" name="AutoShape 40" descr="Currently available antiretroviral drugs | Download Table">
          <a:extLst>
            <a:ext uri="{FF2B5EF4-FFF2-40B4-BE49-F238E27FC236}">
              <a16:creationId xmlns:a16="http://schemas.microsoft.com/office/drawing/2014/main" id="{E7BBFA59-7AE5-416B-AD3A-2E7DA8947EE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638252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17" name="AutoShape 40" descr="Currently available antiretroviral drugs | Download Table">
          <a:extLst>
            <a:ext uri="{FF2B5EF4-FFF2-40B4-BE49-F238E27FC236}">
              <a16:creationId xmlns:a16="http://schemas.microsoft.com/office/drawing/2014/main" id="{1BAB677E-5DBE-4D44-908E-C6D384C9F23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638252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18" name="AutoShape 40" descr="Currently available antiretroviral drugs | Download Table">
          <a:extLst>
            <a:ext uri="{FF2B5EF4-FFF2-40B4-BE49-F238E27FC236}">
              <a16:creationId xmlns:a16="http://schemas.microsoft.com/office/drawing/2014/main" id="{3C214CE8-45C7-4F48-8C1F-7D62834B3C9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656182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19" name="AutoShape 40" descr="Currently available antiretroviral drugs | Download Table">
          <a:extLst>
            <a:ext uri="{FF2B5EF4-FFF2-40B4-BE49-F238E27FC236}">
              <a16:creationId xmlns:a16="http://schemas.microsoft.com/office/drawing/2014/main" id="{AB2D0F82-6016-4DD5-B6C3-36DB9A1EDBC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638252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20" name="AutoShape 40" descr="Currently available antiretroviral drugs | Download Table">
          <a:extLst>
            <a:ext uri="{FF2B5EF4-FFF2-40B4-BE49-F238E27FC236}">
              <a16:creationId xmlns:a16="http://schemas.microsoft.com/office/drawing/2014/main" id="{C3F46BEC-686D-45F6-B84D-E211FF8F19F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638252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21" name="AutoShape 40" descr="Currently available antiretroviral drugs | Download Table">
          <a:extLst>
            <a:ext uri="{FF2B5EF4-FFF2-40B4-BE49-F238E27FC236}">
              <a16:creationId xmlns:a16="http://schemas.microsoft.com/office/drawing/2014/main" id="{17B728B9-1D16-4082-8131-1EE7EAC4297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656182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22" name="AutoShape 40" descr="Currently available antiretroviral drugs | Download Table">
          <a:extLst>
            <a:ext uri="{FF2B5EF4-FFF2-40B4-BE49-F238E27FC236}">
              <a16:creationId xmlns:a16="http://schemas.microsoft.com/office/drawing/2014/main" id="{83953E85-D078-4A6A-949D-F52FD5F82D7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656182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23" name="AutoShape 40" descr="Currently available antiretroviral drugs | Download Table">
          <a:extLst>
            <a:ext uri="{FF2B5EF4-FFF2-40B4-BE49-F238E27FC236}">
              <a16:creationId xmlns:a16="http://schemas.microsoft.com/office/drawing/2014/main" id="{97CC2F69-A050-4D9C-B228-58EDA7EB358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656182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24" name="AutoShape 40" descr="Currently available antiretroviral drugs | Download Table">
          <a:extLst>
            <a:ext uri="{FF2B5EF4-FFF2-40B4-BE49-F238E27FC236}">
              <a16:creationId xmlns:a16="http://schemas.microsoft.com/office/drawing/2014/main" id="{71BAD63A-4D57-48C4-9CE1-30CA93A3088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656182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25" name="AutoShape 40" descr="Currently available antiretroviral drugs | Download Table">
          <a:extLst>
            <a:ext uri="{FF2B5EF4-FFF2-40B4-BE49-F238E27FC236}">
              <a16:creationId xmlns:a16="http://schemas.microsoft.com/office/drawing/2014/main" id="{83C6AA0A-EA0E-430B-A4B8-F188EE93051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656182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26" name="AutoShape 40" descr="Currently available antiretroviral drugs | Download Table">
          <a:extLst>
            <a:ext uri="{FF2B5EF4-FFF2-40B4-BE49-F238E27FC236}">
              <a16:creationId xmlns:a16="http://schemas.microsoft.com/office/drawing/2014/main" id="{EDCAC873-EE6C-4465-9D99-580812CBE1B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674111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27" name="AutoShape 40" descr="Currently available antiretroviral drugs | Download Table">
          <a:extLst>
            <a:ext uri="{FF2B5EF4-FFF2-40B4-BE49-F238E27FC236}">
              <a16:creationId xmlns:a16="http://schemas.microsoft.com/office/drawing/2014/main" id="{B31DB66C-6C18-4B2E-B6EB-90D9A6827F0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674111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28" name="AutoShape 40" descr="Currently available antiretroviral drugs | Download Table">
          <a:extLst>
            <a:ext uri="{FF2B5EF4-FFF2-40B4-BE49-F238E27FC236}">
              <a16:creationId xmlns:a16="http://schemas.microsoft.com/office/drawing/2014/main" id="{EE85B3CF-9E72-4E69-A899-9E43439010E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674111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13855</xdr:colOff>
      <xdr:row>2363</xdr:row>
      <xdr:rowOff>0</xdr:rowOff>
    </xdr:from>
    <xdr:ext cx="304800" cy="318408"/>
    <xdr:sp macro="" textlink="">
      <xdr:nvSpPr>
        <xdr:cNvPr id="2329" name="AutoShape 40" descr="Currently available antiretroviral drugs | Download Table">
          <a:extLst>
            <a:ext uri="{FF2B5EF4-FFF2-40B4-BE49-F238E27FC236}">
              <a16:creationId xmlns:a16="http://schemas.microsoft.com/office/drawing/2014/main" id="{0C465139-7033-4792-902C-729620634A7C}"/>
            </a:ext>
          </a:extLst>
        </xdr:cNvPr>
        <xdr:cNvSpPr>
          <a:spLocks noChangeAspect="1" noChangeArrowheads="1"/>
        </xdr:cNvSpPr>
      </xdr:nvSpPr>
      <xdr:spPr bwMode="auto">
        <a:xfrm>
          <a:off x="11940724" y="32805540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30" name="AutoShape 40" descr="Currently available antiretroviral drugs | Download Table">
          <a:extLst>
            <a:ext uri="{FF2B5EF4-FFF2-40B4-BE49-F238E27FC236}">
              <a16:creationId xmlns:a16="http://schemas.microsoft.com/office/drawing/2014/main" id="{680214F1-0C27-4363-A19E-BA0B5F78CE2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674111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31" name="AutoShape 40" descr="Currently available antiretroviral drugs | Download Table">
          <a:extLst>
            <a:ext uri="{FF2B5EF4-FFF2-40B4-BE49-F238E27FC236}">
              <a16:creationId xmlns:a16="http://schemas.microsoft.com/office/drawing/2014/main" id="{9702C1C9-F793-4154-B57C-45598B9386F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674111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32" name="AutoShape 40" descr="Currently available antiretroviral drugs | Download Table">
          <a:extLst>
            <a:ext uri="{FF2B5EF4-FFF2-40B4-BE49-F238E27FC236}">
              <a16:creationId xmlns:a16="http://schemas.microsoft.com/office/drawing/2014/main" id="{92EA9E74-AB91-419C-8C36-4751CA4E46E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674111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33" name="AutoShape 40" descr="Currently available antiretroviral drugs | Download Table">
          <a:extLst>
            <a:ext uri="{FF2B5EF4-FFF2-40B4-BE49-F238E27FC236}">
              <a16:creationId xmlns:a16="http://schemas.microsoft.com/office/drawing/2014/main" id="{7774B9F5-DD11-4BCE-BABC-6360354203C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674111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34" name="AutoShape 40" descr="Currently available antiretroviral drugs | Download Table">
          <a:extLst>
            <a:ext uri="{FF2B5EF4-FFF2-40B4-BE49-F238E27FC236}">
              <a16:creationId xmlns:a16="http://schemas.microsoft.com/office/drawing/2014/main" id="{6643D224-6AE5-4995-8A95-CB0CD373FEA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674111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35" name="AutoShape 40" descr="Currently available antiretroviral drugs | Download Table">
          <a:extLst>
            <a:ext uri="{FF2B5EF4-FFF2-40B4-BE49-F238E27FC236}">
              <a16:creationId xmlns:a16="http://schemas.microsoft.com/office/drawing/2014/main" id="{03F98B40-9691-47F8-914F-84C9FBB4512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674111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36" name="AutoShape 40" descr="Currently available antiretroviral drugs | Download Table">
          <a:extLst>
            <a:ext uri="{FF2B5EF4-FFF2-40B4-BE49-F238E27FC236}">
              <a16:creationId xmlns:a16="http://schemas.microsoft.com/office/drawing/2014/main" id="{E6819EAF-B401-40C7-BD15-EAF5B031AF1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674111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37" name="AutoShape 40" descr="Currently available antiretroviral drugs | Download Table">
          <a:extLst>
            <a:ext uri="{FF2B5EF4-FFF2-40B4-BE49-F238E27FC236}">
              <a16:creationId xmlns:a16="http://schemas.microsoft.com/office/drawing/2014/main" id="{B62C5723-03AD-4AB7-AD6D-A7C954684D3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674111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38" name="AutoShape 40" descr="Currently available antiretroviral drugs | Download Table">
          <a:extLst>
            <a:ext uri="{FF2B5EF4-FFF2-40B4-BE49-F238E27FC236}">
              <a16:creationId xmlns:a16="http://schemas.microsoft.com/office/drawing/2014/main" id="{C90C6BCD-B44E-4801-BF2B-448E19AFC9E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69204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39" name="AutoShape 40" descr="Currently available antiretroviral drugs | Download Table">
          <a:extLst>
            <a:ext uri="{FF2B5EF4-FFF2-40B4-BE49-F238E27FC236}">
              <a16:creationId xmlns:a16="http://schemas.microsoft.com/office/drawing/2014/main" id="{71EA9990-C711-46B2-9455-3CA77E0714F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674111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40" name="AutoShape 40" descr="Currently available antiretroviral drugs | Download Table">
          <a:extLst>
            <a:ext uri="{FF2B5EF4-FFF2-40B4-BE49-F238E27FC236}">
              <a16:creationId xmlns:a16="http://schemas.microsoft.com/office/drawing/2014/main" id="{5BD5D24E-C1AE-4415-B9CE-052446C698C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674111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41" name="AutoShape 40" descr="Currently available antiretroviral drugs | Download Table">
          <a:extLst>
            <a:ext uri="{FF2B5EF4-FFF2-40B4-BE49-F238E27FC236}">
              <a16:creationId xmlns:a16="http://schemas.microsoft.com/office/drawing/2014/main" id="{9491D450-2643-4DE8-8F2D-F9262356750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69204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42" name="AutoShape 40" descr="Currently available antiretroviral drugs | Download Table">
          <a:extLst>
            <a:ext uri="{FF2B5EF4-FFF2-40B4-BE49-F238E27FC236}">
              <a16:creationId xmlns:a16="http://schemas.microsoft.com/office/drawing/2014/main" id="{6191FC3A-D04D-4206-AA66-EF988850925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69204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43" name="AutoShape 40" descr="Currently available antiretroviral drugs | Download Table">
          <a:extLst>
            <a:ext uri="{FF2B5EF4-FFF2-40B4-BE49-F238E27FC236}">
              <a16:creationId xmlns:a16="http://schemas.microsoft.com/office/drawing/2014/main" id="{48023119-BEF5-4030-A851-9DC08BE5CF6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69204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44" name="AutoShape 40" descr="Currently available antiretroviral drugs | Download Table">
          <a:extLst>
            <a:ext uri="{FF2B5EF4-FFF2-40B4-BE49-F238E27FC236}">
              <a16:creationId xmlns:a16="http://schemas.microsoft.com/office/drawing/2014/main" id="{4C6FF59A-7754-4575-B7C9-A68865B8619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69204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45" name="AutoShape 40" descr="Currently available antiretroviral drugs | Download Table">
          <a:extLst>
            <a:ext uri="{FF2B5EF4-FFF2-40B4-BE49-F238E27FC236}">
              <a16:creationId xmlns:a16="http://schemas.microsoft.com/office/drawing/2014/main" id="{94A0C2D8-ED3F-424D-8314-451994C40D6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69204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46" name="AutoShape 40" descr="Currently available antiretroviral drugs | Download Table">
          <a:extLst>
            <a:ext uri="{FF2B5EF4-FFF2-40B4-BE49-F238E27FC236}">
              <a16:creationId xmlns:a16="http://schemas.microsoft.com/office/drawing/2014/main" id="{6F2B4965-6166-4427-A589-4FEFFC3B131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69204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47" name="AutoShape 40" descr="Currently available antiretroviral drugs | Download Table">
          <a:extLst>
            <a:ext uri="{FF2B5EF4-FFF2-40B4-BE49-F238E27FC236}">
              <a16:creationId xmlns:a16="http://schemas.microsoft.com/office/drawing/2014/main" id="{EE677719-D2A2-4AC1-AF94-DF4CEAA05D1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69204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48" name="AutoShape 40" descr="Currently available antiretroviral drugs | Download Table">
          <a:extLst>
            <a:ext uri="{FF2B5EF4-FFF2-40B4-BE49-F238E27FC236}">
              <a16:creationId xmlns:a16="http://schemas.microsoft.com/office/drawing/2014/main" id="{E53575FA-B89B-4018-9F99-DFC858B8B5B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69204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49" name="AutoShape 40" descr="Currently available antiretroviral drugs | Download Table">
          <a:extLst>
            <a:ext uri="{FF2B5EF4-FFF2-40B4-BE49-F238E27FC236}">
              <a16:creationId xmlns:a16="http://schemas.microsoft.com/office/drawing/2014/main" id="{8BC24A85-3EB1-4A7F-B04B-8CFF43C2AF9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69204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50" name="AutoShape 40" descr="Currently available antiretroviral drugs | Download Table">
          <a:extLst>
            <a:ext uri="{FF2B5EF4-FFF2-40B4-BE49-F238E27FC236}">
              <a16:creationId xmlns:a16="http://schemas.microsoft.com/office/drawing/2014/main" id="{B5C3FD99-DB22-4119-996E-87EA5755842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69204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51" name="AutoShape 40" descr="Currently available antiretroviral drugs | Download Table">
          <a:extLst>
            <a:ext uri="{FF2B5EF4-FFF2-40B4-BE49-F238E27FC236}">
              <a16:creationId xmlns:a16="http://schemas.microsoft.com/office/drawing/2014/main" id="{7A8FFB76-006B-443F-8777-59AA0E07C15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69204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52" name="AutoShape 40" descr="Currently available antiretroviral drugs | Download Table">
          <a:extLst>
            <a:ext uri="{FF2B5EF4-FFF2-40B4-BE49-F238E27FC236}">
              <a16:creationId xmlns:a16="http://schemas.microsoft.com/office/drawing/2014/main" id="{456060D2-8B6C-4FE0-B84E-2FABCC32A99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69204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53" name="AutoShape 40" descr="Currently available antiretroviral drugs | Download Table">
          <a:extLst>
            <a:ext uri="{FF2B5EF4-FFF2-40B4-BE49-F238E27FC236}">
              <a16:creationId xmlns:a16="http://schemas.microsoft.com/office/drawing/2014/main" id="{6F3F4910-5C35-4168-846A-6C9956DAC2D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69204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54" name="AutoShape 40" descr="Currently available antiretroviral drugs | Download Table">
          <a:extLst>
            <a:ext uri="{FF2B5EF4-FFF2-40B4-BE49-F238E27FC236}">
              <a16:creationId xmlns:a16="http://schemas.microsoft.com/office/drawing/2014/main" id="{4E8D8AC4-23A0-42D9-9F69-A6994FF92A1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69204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55" name="AutoShape 40" descr="Currently available antiretroviral drugs | Download Table">
          <a:extLst>
            <a:ext uri="{FF2B5EF4-FFF2-40B4-BE49-F238E27FC236}">
              <a16:creationId xmlns:a16="http://schemas.microsoft.com/office/drawing/2014/main" id="{212E8BB3-DF26-43E7-8A18-999925ADE42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69204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56" name="AutoShape 40" descr="Currently available antiretroviral drugs | Download Table">
          <a:extLst>
            <a:ext uri="{FF2B5EF4-FFF2-40B4-BE49-F238E27FC236}">
              <a16:creationId xmlns:a16="http://schemas.microsoft.com/office/drawing/2014/main" id="{2BA434B9-BCE0-4850-8740-ACB86D161D5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69204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57" name="AutoShape 40" descr="Currently available antiretroviral drugs | Download Table">
          <a:extLst>
            <a:ext uri="{FF2B5EF4-FFF2-40B4-BE49-F238E27FC236}">
              <a16:creationId xmlns:a16="http://schemas.microsoft.com/office/drawing/2014/main" id="{2C1C0119-7E28-4EAB-B778-B4793D1E290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69204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58" name="AutoShape 40" descr="Currently available antiretroviral drugs | Download Table">
          <a:extLst>
            <a:ext uri="{FF2B5EF4-FFF2-40B4-BE49-F238E27FC236}">
              <a16:creationId xmlns:a16="http://schemas.microsoft.com/office/drawing/2014/main" id="{53C7600B-3327-40A0-A506-CD18041E810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099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59" name="AutoShape 40" descr="Currently available antiretroviral drugs | Download Table">
          <a:extLst>
            <a:ext uri="{FF2B5EF4-FFF2-40B4-BE49-F238E27FC236}">
              <a16:creationId xmlns:a16="http://schemas.microsoft.com/office/drawing/2014/main" id="{53710074-FF38-40D4-B70E-1BDDF773422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69204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60" name="AutoShape 40" descr="Currently available antiretroviral drugs | Download Table">
          <a:extLst>
            <a:ext uri="{FF2B5EF4-FFF2-40B4-BE49-F238E27FC236}">
              <a16:creationId xmlns:a16="http://schemas.microsoft.com/office/drawing/2014/main" id="{10A24850-F14A-4D12-BD0A-2500AF02D93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69204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61" name="AutoShape 40" descr="Currently available antiretroviral drugs | Download Table">
          <a:extLst>
            <a:ext uri="{FF2B5EF4-FFF2-40B4-BE49-F238E27FC236}">
              <a16:creationId xmlns:a16="http://schemas.microsoft.com/office/drawing/2014/main" id="{A282278C-9244-424E-8604-FA33120A9FF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099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62" name="AutoShape 40" descr="Currently available antiretroviral drugs | Download Table">
          <a:extLst>
            <a:ext uri="{FF2B5EF4-FFF2-40B4-BE49-F238E27FC236}">
              <a16:creationId xmlns:a16="http://schemas.microsoft.com/office/drawing/2014/main" id="{3DAEFBC6-1411-4289-BFD9-2B5FC9E38B7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099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63" name="AutoShape 40" descr="Currently available antiretroviral drugs | Download Table">
          <a:extLst>
            <a:ext uri="{FF2B5EF4-FFF2-40B4-BE49-F238E27FC236}">
              <a16:creationId xmlns:a16="http://schemas.microsoft.com/office/drawing/2014/main" id="{BB95C047-F8E7-47DA-8F2C-2AA67C73829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099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64" name="AutoShape 40" descr="Currently available antiretroviral drugs | Download Table">
          <a:extLst>
            <a:ext uri="{FF2B5EF4-FFF2-40B4-BE49-F238E27FC236}">
              <a16:creationId xmlns:a16="http://schemas.microsoft.com/office/drawing/2014/main" id="{C2A6A8E7-7019-45E3-8A26-D130393DDE6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099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65" name="AutoShape 40" descr="Currently available antiretroviral drugs | Download Table">
          <a:extLst>
            <a:ext uri="{FF2B5EF4-FFF2-40B4-BE49-F238E27FC236}">
              <a16:creationId xmlns:a16="http://schemas.microsoft.com/office/drawing/2014/main" id="{F7366B6A-F621-45F5-9C5B-BEC966CA7DB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099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66" name="AutoShape 40" descr="Currently available antiretroviral drugs | Download Table">
          <a:extLst>
            <a:ext uri="{FF2B5EF4-FFF2-40B4-BE49-F238E27FC236}">
              <a16:creationId xmlns:a16="http://schemas.microsoft.com/office/drawing/2014/main" id="{3C1D26F7-D990-4E93-8271-156FE66B320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099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67" name="AutoShape 40" descr="Currently available antiretroviral drugs | Download Table">
          <a:extLst>
            <a:ext uri="{FF2B5EF4-FFF2-40B4-BE49-F238E27FC236}">
              <a16:creationId xmlns:a16="http://schemas.microsoft.com/office/drawing/2014/main" id="{84008034-3274-4EB0-BD9B-A01C67FA5EF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099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68" name="AutoShape 40" descr="Currently available antiretroviral drugs | Download Table">
          <a:extLst>
            <a:ext uri="{FF2B5EF4-FFF2-40B4-BE49-F238E27FC236}">
              <a16:creationId xmlns:a16="http://schemas.microsoft.com/office/drawing/2014/main" id="{6E2730C1-3C62-4DB3-84D5-554F3C8B4E6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099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69" name="AutoShape 40" descr="Currently available antiretroviral drugs | Download Table">
          <a:extLst>
            <a:ext uri="{FF2B5EF4-FFF2-40B4-BE49-F238E27FC236}">
              <a16:creationId xmlns:a16="http://schemas.microsoft.com/office/drawing/2014/main" id="{865D1AFD-ABFB-4D76-83A5-B3A659E1923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099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70" name="AutoShape 40" descr="Currently available antiretroviral drugs | Download Table">
          <a:extLst>
            <a:ext uri="{FF2B5EF4-FFF2-40B4-BE49-F238E27FC236}">
              <a16:creationId xmlns:a16="http://schemas.microsoft.com/office/drawing/2014/main" id="{1525534A-E911-4963-89CE-D72331B4F90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099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71" name="AutoShape 40" descr="Currently available antiretroviral drugs | Download Table">
          <a:extLst>
            <a:ext uri="{FF2B5EF4-FFF2-40B4-BE49-F238E27FC236}">
              <a16:creationId xmlns:a16="http://schemas.microsoft.com/office/drawing/2014/main" id="{2572D5FE-5479-450B-8478-CB366F9B552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099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72" name="AutoShape 40" descr="Currently available antiretroviral drugs | Download Table">
          <a:extLst>
            <a:ext uri="{FF2B5EF4-FFF2-40B4-BE49-F238E27FC236}">
              <a16:creationId xmlns:a16="http://schemas.microsoft.com/office/drawing/2014/main" id="{F2DDFE5B-0331-441B-8C5A-A6F650DF081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099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73" name="AutoShape 40" descr="Currently available antiretroviral drugs | Download Table">
          <a:extLst>
            <a:ext uri="{FF2B5EF4-FFF2-40B4-BE49-F238E27FC236}">
              <a16:creationId xmlns:a16="http://schemas.microsoft.com/office/drawing/2014/main" id="{DE3BC093-7F2F-4D86-A8BF-D7D5859A852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099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74" name="AutoShape 40" descr="Currently available antiretroviral drugs | Download Table">
          <a:extLst>
            <a:ext uri="{FF2B5EF4-FFF2-40B4-BE49-F238E27FC236}">
              <a16:creationId xmlns:a16="http://schemas.microsoft.com/office/drawing/2014/main" id="{5992D1AA-D774-474B-8DBE-0CE1752ECDC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099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75" name="AutoShape 40" descr="Currently available antiretroviral drugs | Download Table">
          <a:extLst>
            <a:ext uri="{FF2B5EF4-FFF2-40B4-BE49-F238E27FC236}">
              <a16:creationId xmlns:a16="http://schemas.microsoft.com/office/drawing/2014/main" id="{B776B323-DEBF-4A85-AB44-020A44270D7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099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76" name="AutoShape 40" descr="Currently available antiretroviral drugs | Download Table">
          <a:extLst>
            <a:ext uri="{FF2B5EF4-FFF2-40B4-BE49-F238E27FC236}">
              <a16:creationId xmlns:a16="http://schemas.microsoft.com/office/drawing/2014/main" id="{550C9E51-3D21-42F0-839B-7616C9183B2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099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77" name="AutoShape 40" descr="Currently available antiretroviral drugs | Download Table">
          <a:extLst>
            <a:ext uri="{FF2B5EF4-FFF2-40B4-BE49-F238E27FC236}">
              <a16:creationId xmlns:a16="http://schemas.microsoft.com/office/drawing/2014/main" id="{12438DF5-1BDA-4510-AB29-0A60970751C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099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78" name="AutoShape 40" descr="Currently available antiretroviral drugs | Download Table">
          <a:extLst>
            <a:ext uri="{FF2B5EF4-FFF2-40B4-BE49-F238E27FC236}">
              <a16:creationId xmlns:a16="http://schemas.microsoft.com/office/drawing/2014/main" id="{88AEB1AB-EFCA-420F-857F-F4ECCEC3028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279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79" name="AutoShape 40" descr="Currently available antiretroviral drugs | Download Table">
          <a:extLst>
            <a:ext uri="{FF2B5EF4-FFF2-40B4-BE49-F238E27FC236}">
              <a16:creationId xmlns:a16="http://schemas.microsoft.com/office/drawing/2014/main" id="{5D6BD1D5-CBDC-44A6-B97A-0FDD56D6896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099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80" name="AutoShape 40" descr="Currently available antiretroviral drugs | Download Table">
          <a:extLst>
            <a:ext uri="{FF2B5EF4-FFF2-40B4-BE49-F238E27FC236}">
              <a16:creationId xmlns:a16="http://schemas.microsoft.com/office/drawing/2014/main" id="{E336E6E5-62F3-499E-917D-1F45F42DD90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099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81" name="AutoShape 40" descr="Currently available antiretroviral drugs | Download Table">
          <a:extLst>
            <a:ext uri="{FF2B5EF4-FFF2-40B4-BE49-F238E27FC236}">
              <a16:creationId xmlns:a16="http://schemas.microsoft.com/office/drawing/2014/main" id="{FD0C7DEB-A0A6-4A1C-8D65-6DE31C23B7C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279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82" name="AutoShape 40" descr="Currently available antiretroviral drugs | Download Table">
          <a:extLst>
            <a:ext uri="{FF2B5EF4-FFF2-40B4-BE49-F238E27FC236}">
              <a16:creationId xmlns:a16="http://schemas.microsoft.com/office/drawing/2014/main" id="{7A491949-195D-4F97-B159-F0BC3125FAC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279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83" name="AutoShape 40" descr="Currently available antiretroviral drugs | Download Table">
          <a:extLst>
            <a:ext uri="{FF2B5EF4-FFF2-40B4-BE49-F238E27FC236}">
              <a16:creationId xmlns:a16="http://schemas.microsoft.com/office/drawing/2014/main" id="{0B3FFA22-EBA6-4EEC-82EA-75866171894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279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84" name="AutoShape 40" descr="Currently available antiretroviral drugs | Download Table">
          <a:extLst>
            <a:ext uri="{FF2B5EF4-FFF2-40B4-BE49-F238E27FC236}">
              <a16:creationId xmlns:a16="http://schemas.microsoft.com/office/drawing/2014/main" id="{87CA86D4-5498-4232-BA5E-BCD84046B0E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279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85" name="AutoShape 40" descr="Currently available antiretroviral drugs | Download Table">
          <a:extLst>
            <a:ext uri="{FF2B5EF4-FFF2-40B4-BE49-F238E27FC236}">
              <a16:creationId xmlns:a16="http://schemas.microsoft.com/office/drawing/2014/main" id="{6F84911E-3B62-48D4-BFAA-75C8533E901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279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86" name="AutoShape 40" descr="Currently available antiretroviral drugs | Download Table">
          <a:extLst>
            <a:ext uri="{FF2B5EF4-FFF2-40B4-BE49-F238E27FC236}">
              <a16:creationId xmlns:a16="http://schemas.microsoft.com/office/drawing/2014/main" id="{11C9E60E-FF0B-4892-9E11-4BE24A15B33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279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87" name="AutoShape 40" descr="Currently available antiretroviral drugs | Download Table">
          <a:extLst>
            <a:ext uri="{FF2B5EF4-FFF2-40B4-BE49-F238E27FC236}">
              <a16:creationId xmlns:a16="http://schemas.microsoft.com/office/drawing/2014/main" id="{FB088059-9FA9-482E-8913-A7139BAF2CD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279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88" name="AutoShape 40" descr="Currently available antiretroviral drugs | Download Table">
          <a:extLst>
            <a:ext uri="{FF2B5EF4-FFF2-40B4-BE49-F238E27FC236}">
              <a16:creationId xmlns:a16="http://schemas.microsoft.com/office/drawing/2014/main" id="{A4DB16DD-D03F-4ED1-A52A-5D7158192A0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279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89" name="AutoShape 40" descr="Currently available antiretroviral drugs | Download Table">
          <a:extLst>
            <a:ext uri="{FF2B5EF4-FFF2-40B4-BE49-F238E27FC236}">
              <a16:creationId xmlns:a16="http://schemas.microsoft.com/office/drawing/2014/main" id="{0C3F72D4-09FC-442A-9811-E32B686A919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279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90" name="AutoShape 40" descr="Currently available antiretroviral drugs | Download Table">
          <a:extLst>
            <a:ext uri="{FF2B5EF4-FFF2-40B4-BE49-F238E27FC236}">
              <a16:creationId xmlns:a16="http://schemas.microsoft.com/office/drawing/2014/main" id="{F8D78710-5A84-412B-AAE9-A30A8760A77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279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91" name="AutoShape 40" descr="Currently available antiretroviral drugs | Download Table">
          <a:extLst>
            <a:ext uri="{FF2B5EF4-FFF2-40B4-BE49-F238E27FC236}">
              <a16:creationId xmlns:a16="http://schemas.microsoft.com/office/drawing/2014/main" id="{1581E48A-B5D2-4069-BD52-4F08B026608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279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92" name="AutoShape 40" descr="Currently available antiretroviral drugs | Download Table">
          <a:extLst>
            <a:ext uri="{FF2B5EF4-FFF2-40B4-BE49-F238E27FC236}">
              <a16:creationId xmlns:a16="http://schemas.microsoft.com/office/drawing/2014/main" id="{229B961A-7D01-46C4-B64F-566EF6F9DFA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279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93" name="AutoShape 40" descr="Currently available antiretroviral drugs | Download Table">
          <a:extLst>
            <a:ext uri="{FF2B5EF4-FFF2-40B4-BE49-F238E27FC236}">
              <a16:creationId xmlns:a16="http://schemas.microsoft.com/office/drawing/2014/main" id="{3BDF6848-3AAB-44ED-A0D4-77CF06EE2D9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279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94" name="AutoShape 40" descr="Currently available antiretroviral drugs | Download Table">
          <a:extLst>
            <a:ext uri="{FF2B5EF4-FFF2-40B4-BE49-F238E27FC236}">
              <a16:creationId xmlns:a16="http://schemas.microsoft.com/office/drawing/2014/main" id="{46F4D161-1865-42A7-8B1C-D25CD1ABB0E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279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95" name="AutoShape 40" descr="Currently available antiretroviral drugs | Download Table">
          <a:extLst>
            <a:ext uri="{FF2B5EF4-FFF2-40B4-BE49-F238E27FC236}">
              <a16:creationId xmlns:a16="http://schemas.microsoft.com/office/drawing/2014/main" id="{A68FAA68-B4CF-43C7-942D-B65C650ADDF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279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96" name="AutoShape 40" descr="Currently available antiretroviral drugs | Download Table">
          <a:extLst>
            <a:ext uri="{FF2B5EF4-FFF2-40B4-BE49-F238E27FC236}">
              <a16:creationId xmlns:a16="http://schemas.microsoft.com/office/drawing/2014/main" id="{3D70985D-5E72-41D7-A086-95DA91DA54C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279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97" name="AutoShape 40" descr="Currently available antiretroviral drugs | Download Table">
          <a:extLst>
            <a:ext uri="{FF2B5EF4-FFF2-40B4-BE49-F238E27FC236}">
              <a16:creationId xmlns:a16="http://schemas.microsoft.com/office/drawing/2014/main" id="{D271FC4D-5C97-4D26-97DC-7BB55382BBB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279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98" name="AutoShape 40" descr="Currently available antiretroviral drugs | Download Table">
          <a:extLst>
            <a:ext uri="{FF2B5EF4-FFF2-40B4-BE49-F238E27FC236}">
              <a16:creationId xmlns:a16="http://schemas.microsoft.com/office/drawing/2014/main" id="{1133163D-75BC-4486-B2EB-851E8AC681F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458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399" name="AutoShape 40" descr="Currently available antiretroviral drugs | Download Table">
          <a:extLst>
            <a:ext uri="{FF2B5EF4-FFF2-40B4-BE49-F238E27FC236}">
              <a16:creationId xmlns:a16="http://schemas.microsoft.com/office/drawing/2014/main" id="{49DA2D24-914E-4056-AB70-5E6A81D076C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279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00" name="AutoShape 40" descr="Currently available antiretroviral drugs | Download Table">
          <a:extLst>
            <a:ext uri="{FF2B5EF4-FFF2-40B4-BE49-F238E27FC236}">
              <a16:creationId xmlns:a16="http://schemas.microsoft.com/office/drawing/2014/main" id="{B2499F2C-7533-488D-969C-996DAB10255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279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01" name="AutoShape 40" descr="Currently available antiretroviral drugs | Download Table">
          <a:extLst>
            <a:ext uri="{FF2B5EF4-FFF2-40B4-BE49-F238E27FC236}">
              <a16:creationId xmlns:a16="http://schemas.microsoft.com/office/drawing/2014/main" id="{2AC05947-A8F3-42AE-BEFD-2D68DF05C9D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458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02" name="AutoShape 40" descr="Currently available antiretroviral drugs | Download Table">
          <a:extLst>
            <a:ext uri="{FF2B5EF4-FFF2-40B4-BE49-F238E27FC236}">
              <a16:creationId xmlns:a16="http://schemas.microsoft.com/office/drawing/2014/main" id="{C33796DA-84E8-44B9-90FF-638BFBE30C7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458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03" name="AutoShape 40" descr="Currently available antiretroviral drugs | Download Table">
          <a:extLst>
            <a:ext uri="{FF2B5EF4-FFF2-40B4-BE49-F238E27FC236}">
              <a16:creationId xmlns:a16="http://schemas.microsoft.com/office/drawing/2014/main" id="{CFDAA35C-9B76-4F50-BD14-8C7B90DB2AE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458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04" name="AutoShape 40" descr="Currently available antiretroviral drugs | Download Table">
          <a:extLst>
            <a:ext uri="{FF2B5EF4-FFF2-40B4-BE49-F238E27FC236}">
              <a16:creationId xmlns:a16="http://schemas.microsoft.com/office/drawing/2014/main" id="{B30B0A96-D839-4B8E-8677-F4D331534C5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458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05" name="AutoShape 40" descr="Currently available antiretroviral drugs | Download Table">
          <a:extLst>
            <a:ext uri="{FF2B5EF4-FFF2-40B4-BE49-F238E27FC236}">
              <a16:creationId xmlns:a16="http://schemas.microsoft.com/office/drawing/2014/main" id="{48FE6617-C574-437E-9557-0C8C1C3A534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458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06" name="AutoShape 40" descr="Currently available antiretroviral drugs | Download Table">
          <a:extLst>
            <a:ext uri="{FF2B5EF4-FFF2-40B4-BE49-F238E27FC236}">
              <a16:creationId xmlns:a16="http://schemas.microsoft.com/office/drawing/2014/main" id="{E8BB5B70-5B59-45B6-AACA-FA07B0EB471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458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07" name="AutoShape 40" descr="Currently available antiretroviral drugs | Download Table">
          <a:extLst>
            <a:ext uri="{FF2B5EF4-FFF2-40B4-BE49-F238E27FC236}">
              <a16:creationId xmlns:a16="http://schemas.microsoft.com/office/drawing/2014/main" id="{2332F9FA-40AF-4658-A024-776ACA1A612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458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08" name="AutoShape 40" descr="Currently available antiretroviral drugs | Download Table">
          <a:extLst>
            <a:ext uri="{FF2B5EF4-FFF2-40B4-BE49-F238E27FC236}">
              <a16:creationId xmlns:a16="http://schemas.microsoft.com/office/drawing/2014/main" id="{BEC80632-895F-4D65-8A17-4E67FFFC0CB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458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09" name="AutoShape 40" descr="Currently available antiretroviral drugs | Download Table">
          <a:extLst>
            <a:ext uri="{FF2B5EF4-FFF2-40B4-BE49-F238E27FC236}">
              <a16:creationId xmlns:a16="http://schemas.microsoft.com/office/drawing/2014/main" id="{B0BB61AE-09B9-4D74-AA18-A0D751F1D5C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458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10" name="AutoShape 40" descr="Currently available antiretroviral drugs | Download Table">
          <a:extLst>
            <a:ext uri="{FF2B5EF4-FFF2-40B4-BE49-F238E27FC236}">
              <a16:creationId xmlns:a16="http://schemas.microsoft.com/office/drawing/2014/main" id="{0B30DB98-BAD2-4A26-88B3-3E1857F22EE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458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11" name="AutoShape 40" descr="Currently available antiretroviral drugs | Download Table">
          <a:extLst>
            <a:ext uri="{FF2B5EF4-FFF2-40B4-BE49-F238E27FC236}">
              <a16:creationId xmlns:a16="http://schemas.microsoft.com/office/drawing/2014/main" id="{FF17D89B-5D25-4EDC-A246-CB51C50A0C9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458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12" name="AutoShape 40" descr="Currently available antiretroviral drugs | Download Table">
          <a:extLst>
            <a:ext uri="{FF2B5EF4-FFF2-40B4-BE49-F238E27FC236}">
              <a16:creationId xmlns:a16="http://schemas.microsoft.com/office/drawing/2014/main" id="{05DC5617-43F0-42AD-9F1E-D53A7D05BFE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458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13" name="AutoShape 40" descr="Currently available antiretroviral drugs | Download Table">
          <a:extLst>
            <a:ext uri="{FF2B5EF4-FFF2-40B4-BE49-F238E27FC236}">
              <a16:creationId xmlns:a16="http://schemas.microsoft.com/office/drawing/2014/main" id="{B57CEBCC-E845-4F63-AD39-69474B964EA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458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14" name="AutoShape 40" descr="Currently available antiretroviral drugs | Download Table">
          <a:extLst>
            <a:ext uri="{FF2B5EF4-FFF2-40B4-BE49-F238E27FC236}">
              <a16:creationId xmlns:a16="http://schemas.microsoft.com/office/drawing/2014/main" id="{1B958CD7-F4EA-45BF-9409-520934CE7FD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458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15" name="AutoShape 40" descr="Currently available antiretroviral drugs | Download Table">
          <a:extLst>
            <a:ext uri="{FF2B5EF4-FFF2-40B4-BE49-F238E27FC236}">
              <a16:creationId xmlns:a16="http://schemas.microsoft.com/office/drawing/2014/main" id="{0A19A230-C729-4552-8A54-3772A5AFC73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458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16" name="AutoShape 40" descr="Currently available antiretroviral drugs | Download Table">
          <a:extLst>
            <a:ext uri="{FF2B5EF4-FFF2-40B4-BE49-F238E27FC236}">
              <a16:creationId xmlns:a16="http://schemas.microsoft.com/office/drawing/2014/main" id="{2E25139E-E4E2-4DF3-A081-88AE0E5634E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458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17" name="AutoShape 40" descr="Currently available antiretroviral drugs | Download Table">
          <a:extLst>
            <a:ext uri="{FF2B5EF4-FFF2-40B4-BE49-F238E27FC236}">
              <a16:creationId xmlns:a16="http://schemas.microsoft.com/office/drawing/2014/main" id="{19EF484F-E197-4052-83AD-D13180C470F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458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18" name="AutoShape 40" descr="Currently available antiretroviral drugs | Download Table">
          <a:extLst>
            <a:ext uri="{FF2B5EF4-FFF2-40B4-BE49-F238E27FC236}">
              <a16:creationId xmlns:a16="http://schemas.microsoft.com/office/drawing/2014/main" id="{F22E25AE-91E6-4796-BF6E-0B39BD98FC1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637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19" name="AutoShape 40" descr="Currently available antiretroviral drugs | Download Table">
          <a:extLst>
            <a:ext uri="{FF2B5EF4-FFF2-40B4-BE49-F238E27FC236}">
              <a16:creationId xmlns:a16="http://schemas.microsoft.com/office/drawing/2014/main" id="{9A11A32F-0B5F-426C-B2FB-D42792AD2EA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458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20" name="AutoShape 40" descr="Currently available antiretroviral drugs | Download Table">
          <a:extLst>
            <a:ext uri="{FF2B5EF4-FFF2-40B4-BE49-F238E27FC236}">
              <a16:creationId xmlns:a16="http://schemas.microsoft.com/office/drawing/2014/main" id="{5FA88B52-E0B5-466F-AC71-986625755C0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458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21" name="AutoShape 40" descr="Currently available antiretroviral drugs | Download Table">
          <a:extLst>
            <a:ext uri="{FF2B5EF4-FFF2-40B4-BE49-F238E27FC236}">
              <a16:creationId xmlns:a16="http://schemas.microsoft.com/office/drawing/2014/main" id="{AB01EEB9-A208-481F-8CF0-036CD800165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637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22" name="AutoShape 40" descr="Currently available antiretroviral drugs | Download Table">
          <a:extLst>
            <a:ext uri="{FF2B5EF4-FFF2-40B4-BE49-F238E27FC236}">
              <a16:creationId xmlns:a16="http://schemas.microsoft.com/office/drawing/2014/main" id="{71941446-5B1F-4996-B6DD-136166A8AC2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637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23" name="AutoShape 40" descr="Currently available antiretroviral drugs | Download Table">
          <a:extLst>
            <a:ext uri="{FF2B5EF4-FFF2-40B4-BE49-F238E27FC236}">
              <a16:creationId xmlns:a16="http://schemas.microsoft.com/office/drawing/2014/main" id="{B7D80FA6-6B7E-49A3-8FA0-83627FF2101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637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24" name="AutoShape 40" descr="Currently available antiretroviral drugs | Download Table">
          <a:extLst>
            <a:ext uri="{FF2B5EF4-FFF2-40B4-BE49-F238E27FC236}">
              <a16:creationId xmlns:a16="http://schemas.microsoft.com/office/drawing/2014/main" id="{21FDEE1D-4752-4639-9E68-6B5E03061D1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637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25" name="AutoShape 40" descr="Currently available antiretroviral drugs | Download Table">
          <a:extLst>
            <a:ext uri="{FF2B5EF4-FFF2-40B4-BE49-F238E27FC236}">
              <a16:creationId xmlns:a16="http://schemas.microsoft.com/office/drawing/2014/main" id="{1B26920A-03C9-4A71-816B-68B52CDB32C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637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26" name="AutoShape 40" descr="Currently available antiretroviral drugs | Download Table">
          <a:extLst>
            <a:ext uri="{FF2B5EF4-FFF2-40B4-BE49-F238E27FC236}">
              <a16:creationId xmlns:a16="http://schemas.microsoft.com/office/drawing/2014/main" id="{A8B2EB56-3BD9-42D4-9C34-520024B1D7D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637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27" name="AutoShape 40" descr="Currently available antiretroviral drugs | Download Table">
          <a:extLst>
            <a:ext uri="{FF2B5EF4-FFF2-40B4-BE49-F238E27FC236}">
              <a16:creationId xmlns:a16="http://schemas.microsoft.com/office/drawing/2014/main" id="{52F23DB6-FA2B-4CCA-9283-E0E48545482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637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28" name="AutoShape 40" descr="Currently available antiretroviral drugs | Download Table">
          <a:extLst>
            <a:ext uri="{FF2B5EF4-FFF2-40B4-BE49-F238E27FC236}">
              <a16:creationId xmlns:a16="http://schemas.microsoft.com/office/drawing/2014/main" id="{E4060F87-C06D-4CDB-9FF0-D156F7375B3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637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29" name="AutoShape 40" descr="Currently available antiretroviral drugs | Download Table">
          <a:extLst>
            <a:ext uri="{FF2B5EF4-FFF2-40B4-BE49-F238E27FC236}">
              <a16:creationId xmlns:a16="http://schemas.microsoft.com/office/drawing/2014/main" id="{F1365421-6063-4D25-8C1B-9C2B5810408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637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30" name="AutoShape 40" descr="Currently available antiretroviral drugs | Download Table">
          <a:extLst>
            <a:ext uri="{FF2B5EF4-FFF2-40B4-BE49-F238E27FC236}">
              <a16:creationId xmlns:a16="http://schemas.microsoft.com/office/drawing/2014/main" id="{4882EFF4-54EA-44C1-AC63-F9265F3BE7F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637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31" name="AutoShape 40" descr="Currently available antiretroviral drugs | Download Table">
          <a:extLst>
            <a:ext uri="{FF2B5EF4-FFF2-40B4-BE49-F238E27FC236}">
              <a16:creationId xmlns:a16="http://schemas.microsoft.com/office/drawing/2014/main" id="{16E20AC0-9552-40E3-8C08-C196D715609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637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32" name="AutoShape 40" descr="Currently available antiretroviral drugs | Download Table">
          <a:extLst>
            <a:ext uri="{FF2B5EF4-FFF2-40B4-BE49-F238E27FC236}">
              <a16:creationId xmlns:a16="http://schemas.microsoft.com/office/drawing/2014/main" id="{9A8D3784-21C9-48FC-8FDB-7C1053E56E7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637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33" name="AutoShape 40" descr="Currently available antiretroviral drugs | Download Table">
          <a:extLst>
            <a:ext uri="{FF2B5EF4-FFF2-40B4-BE49-F238E27FC236}">
              <a16:creationId xmlns:a16="http://schemas.microsoft.com/office/drawing/2014/main" id="{A5060A27-8B54-40D5-9E20-BF1B1DCF546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637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34" name="AutoShape 40" descr="Currently available antiretroviral drugs | Download Table">
          <a:extLst>
            <a:ext uri="{FF2B5EF4-FFF2-40B4-BE49-F238E27FC236}">
              <a16:creationId xmlns:a16="http://schemas.microsoft.com/office/drawing/2014/main" id="{51CE1E17-FEA4-4623-B2D6-E9C57993555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637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35" name="AutoShape 40" descr="Currently available antiretroviral drugs | Download Table">
          <a:extLst>
            <a:ext uri="{FF2B5EF4-FFF2-40B4-BE49-F238E27FC236}">
              <a16:creationId xmlns:a16="http://schemas.microsoft.com/office/drawing/2014/main" id="{CF10BE48-2FD3-462F-83C9-CF26725751D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637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36" name="AutoShape 40" descr="Currently available antiretroviral drugs | Download Table">
          <a:extLst>
            <a:ext uri="{FF2B5EF4-FFF2-40B4-BE49-F238E27FC236}">
              <a16:creationId xmlns:a16="http://schemas.microsoft.com/office/drawing/2014/main" id="{FFACCE16-B0B7-4177-B44D-AAE6757564A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637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37" name="AutoShape 40" descr="Currently available antiretroviral drugs | Download Table">
          <a:extLst>
            <a:ext uri="{FF2B5EF4-FFF2-40B4-BE49-F238E27FC236}">
              <a16:creationId xmlns:a16="http://schemas.microsoft.com/office/drawing/2014/main" id="{81E930FB-4021-4342-8981-FBE1A248FF4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637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38" name="AutoShape 40" descr="Currently available antiretroviral drugs | Download Table">
          <a:extLst>
            <a:ext uri="{FF2B5EF4-FFF2-40B4-BE49-F238E27FC236}">
              <a16:creationId xmlns:a16="http://schemas.microsoft.com/office/drawing/2014/main" id="{B019BA05-6B8D-42AB-8581-C3BEB8682B2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816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39" name="AutoShape 40" descr="Currently available antiretroviral drugs | Download Table">
          <a:extLst>
            <a:ext uri="{FF2B5EF4-FFF2-40B4-BE49-F238E27FC236}">
              <a16:creationId xmlns:a16="http://schemas.microsoft.com/office/drawing/2014/main" id="{A901BA8E-806A-47BF-AB65-CACBD986294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637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40" name="AutoShape 40" descr="Currently available antiretroviral drugs | Download Table">
          <a:extLst>
            <a:ext uri="{FF2B5EF4-FFF2-40B4-BE49-F238E27FC236}">
              <a16:creationId xmlns:a16="http://schemas.microsoft.com/office/drawing/2014/main" id="{CE58ADCB-DCF3-445F-BFED-9FA7FF76F5D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637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41" name="AutoShape 40" descr="Currently available antiretroviral drugs | Download Table">
          <a:extLst>
            <a:ext uri="{FF2B5EF4-FFF2-40B4-BE49-F238E27FC236}">
              <a16:creationId xmlns:a16="http://schemas.microsoft.com/office/drawing/2014/main" id="{0F5DE90C-CE72-47F7-B0E3-27BCAAF557E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816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42" name="AutoShape 40" descr="Currently available antiretroviral drugs | Download Table">
          <a:extLst>
            <a:ext uri="{FF2B5EF4-FFF2-40B4-BE49-F238E27FC236}">
              <a16:creationId xmlns:a16="http://schemas.microsoft.com/office/drawing/2014/main" id="{25A61A2C-3343-4B8B-8022-71565A81796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816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43" name="AutoShape 40" descr="Currently available antiretroviral drugs | Download Table">
          <a:extLst>
            <a:ext uri="{FF2B5EF4-FFF2-40B4-BE49-F238E27FC236}">
              <a16:creationId xmlns:a16="http://schemas.microsoft.com/office/drawing/2014/main" id="{1E9665FC-A926-4560-838E-546D02F4958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816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44" name="AutoShape 40" descr="Currently available antiretroviral drugs | Download Table">
          <a:extLst>
            <a:ext uri="{FF2B5EF4-FFF2-40B4-BE49-F238E27FC236}">
              <a16:creationId xmlns:a16="http://schemas.microsoft.com/office/drawing/2014/main" id="{7F8D195E-FC9D-4884-B6E9-0814A0639A3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816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45" name="AutoShape 40" descr="Currently available antiretroviral drugs | Download Table">
          <a:extLst>
            <a:ext uri="{FF2B5EF4-FFF2-40B4-BE49-F238E27FC236}">
              <a16:creationId xmlns:a16="http://schemas.microsoft.com/office/drawing/2014/main" id="{8E860C68-0FA3-4391-B085-06739344881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816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46" name="AutoShape 40" descr="Currently available antiretroviral drugs | Download Table">
          <a:extLst>
            <a:ext uri="{FF2B5EF4-FFF2-40B4-BE49-F238E27FC236}">
              <a16:creationId xmlns:a16="http://schemas.microsoft.com/office/drawing/2014/main" id="{79938179-F052-4B8F-9B25-24C6D6F0684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816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47" name="AutoShape 40" descr="Currently available antiretroviral drugs | Download Table">
          <a:extLst>
            <a:ext uri="{FF2B5EF4-FFF2-40B4-BE49-F238E27FC236}">
              <a16:creationId xmlns:a16="http://schemas.microsoft.com/office/drawing/2014/main" id="{7EB3F7F0-7B90-4374-B651-1A30937D53F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816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48" name="AutoShape 40" descr="Currently available antiretroviral drugs | Download Table">
          <a:extLst>
            <a:ext uri="{FF2B5EF4-FFF2-40B4-BE49-F238E27FC236}">
              <a16:creationId xmlns:a16="http://schemas.microsoft.com/office/drawing/2014/main" id="{6D9DB2AD-EDC4-428C-B530-B0F023BACF1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816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49" name="AutoShape 40" descr="Currently available antiretroviral drugs | Download Table">
          <a:extLst>
            <a:ext uri="{FF2B5EF4-FFF2-40B4-BE49-F238E27FC236}">
              <a16:creationId xmlns:a16="http://schemas.microsoft.com/office/drawing/2014/main" id="{641CAA11-79E8-4B7F-A4CF-121BB319993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816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50" name="AutoShape 40" descr="Currently available antiretroviral drugs | Download Table">
          <a:extLst>
            <a:ext uri="{FF2B5EF4-FFF2-40B4-BE49-F238E27FC236}">
              <a16:creationId xmlns:a16="http://schemas.microsoft.com/office/drawing/2014/main" id="{965E766C-096B-4E15-B68F-7D6DE6AFBE3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816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51" name="AutoShape 40" descr="Currently available antiretroviral drugs | Download Table">
          <a:extLst>
            <a:ext uri="{FF2B5EF4-FFF2-40B4-BE49-F238E27FC236}">
              <a16:creationId xmlns:a16="http://schemas.microsoft.com/office/drawing/2014/main" id="{EAF83EE2-101A-4119-AFFB-A1793480E08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816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52" name="AutoShape 40" descr="Currently available antiretroviral drugs | Download Table">
          <a:extLst>
            <a:ext uri="{FF2B5EF4-FFF2-40B4-BE49-F238E27FC236}">
              <a16:creationId xmlns:a16="http://schemas.microsoft.com/office/drawing/2014/main" id="{28AD0925-7944-43EA-AF1D-11921F1A83B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816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53" name="AutoShape 40" descr="Currently available antiretroviral drugs | Download Table">
          <a:extLst>
            <a:ext uri="{FF2B5EF4-FFF2-40B4-BE49-F238E27FC236}">
              <a16:creationId xmlns:a16="http://schemas.microsoft.com/office/drawing/2014/main" id="{2B7308BE-0134-4A2A-A59A-3B79AB6EFEA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816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54" name="AutoShape 40" descr="Currently available antiretroviral drugs | Download Table">
          <a:extLst>
            <a:ext uri="{FF2B5EF4-FFF2-40B4-BE49-F238E27FC236}">
              <a16:creationId xmlns:a16="http://schemas.microsoft.com/office/drawing/2014/main" id="{173A338F-50FD-4151-84F3-A943ECDE90E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816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55" name="AutoShape 40" descr="Currently available antiretroviral drugs | Download Table">
          <a:extLst>
            <a:ext uri="{FF2B5EF4-FFF2-40B4-BE49-F238E27FC236}">
              <a16:creationId xmlns:a16="http://schemas.microsoft.com/office/drawing/2014/main" id="{84B0E1E9-CA61-41E2-AD63-1B9F2A11348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816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56" name="AutoShape 40" descr="Currently available antiretroviral drugs | Download Table">
          <a:extLst>
            <a:ext uri="{FF2B5EF4-FFF2-40B4-BE49-F238E27FC236}">
              <a16:creationId xmlns:a16="http://schemas.microsoft.com/office/drawing/2014/main" id="{B84493B3-E744-4044-BFAB-2D2BDAC79DA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816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57" name="AutoShape 40" descr="Currently available antiretroviral drugs | Download Table">
          <a:extLst>
            <a:ext uri="{FF2B5EF4-FFF2-40B4-BE49-F238E27FC236}">
              <a16:creationId xmlns:a16="http://schemas.microsoft.com/office/drawing/2014/main" id="{C63EFEB3-EADC-401F-980A-70EDC29908D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816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58" name="AutoShape 40" descr="Currently available antiretroviral drugs | Download Table">
          <a:extLst>
            <a:ext uri="{FF2B5EF4-FFF2-40B4-BE49-F238E27FC236}">
              <a16:creationId xmlns:a16="http://schemas.microsoft.com/office/drawing/2014/main" id="{1FEA6D05-EFA7-4AD5-90AF-BDE489B7563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996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59" name="AutoShape 40" descr="Currently available antiretroviral drugs | Download Table">
          <a:extLst>
            <a:ext uri="{FF2B5EF4-FFF2-40B4-BE49-F238E27FC236}">
              <a16:creationId xmlns:a16="http://schemas.microsoft.com/office/drawing/2014/main" id="{8DB6F016-CFF0-4D21-AEFF-2685E558396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816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60" name="AutoShape 40" descr="Currently available antiretroviral drugs | Download Table">
          <a:extLst>
            <a:ext uri="{FF2B5EF4-FFF2-40B4-BE49-F238E27FC236}">
              <a16:creationId xmlns:a16="http://schemas.microsoft.com/office/drawing/2014/main" id="{CEE0B514-409C-4CCA-9102-E52CA9F07B4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816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61" name="AutoShape 40" descr="Currently available antiretroviral drugs | Download Table">
          <a:extLst>
            <a:ext uri="{FF2B5EF4-FFF2-40B4-BE49-F238E27FC236}">
              <a16:creationId xmlns:a16="http://schemas.microsoft.com/office/drawing/2014/main" id="{845FEA2C-2F2D-422C-B69C-867FBD389FA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996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62" name="AutoShape 40" descr="Currently available antiretroviral drugs | Download Table">
          <a:extLst>
            <a:ext uri="{FF2B5EF4-FFF2-40B4-BE49-F238E27FC236}">
              <a16:creationId xmlns:a16="http://schemas.microsoft.com/office/drawing/2014/main" id="{BDDFFE05-795C-4538-ABDA-CCBA5FA824E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996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63" name="AutoShape 40" descr="Currently available antiretroviral drugs | Download Table">
          <a:extLst>
            <a:ext uri="{FF2B5EF4-FFF2-40B4-BE49-F238E27FC236}">
              <a16:creationId xmlns:a16="http://schemas.microsoft.com/office/drawing/2014/main" id="{CB752D4A-5D96-409B-BDF1-3F68437F789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996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64" name="AutoShape 40" descr="Currently available antiretroviral drugs | Download Table">
          <a:extLst>
            <a:ext uri="{FF2B5EF4-FFF2-40B4-BE49-F238E27FC236}">
              <a16:creationId xmlns:a16="http://schemas.microsoft.com/office/drawing/2014/main" id="{A37B8806-7BE6-441A-B559-B67FBC92011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996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65" name="AutoShape 40" descr="Currently available antiretroviral drugs | Download Table">
          <a:extLst>
            <a:ext uri="{FF2B5EF4-FFF2-40B4-BE49-F238E27FC236}">
              <a16:creationId xmlns:a16="http://schemas.microsoft.com/office/drawing/2014/main" id="{965D1B94-B8F4-48CC-BD82-9573E2E9CD5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996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66" name="AutoShape 40" descr="Currently available antiretroviral drugs | Download Table">
          <a:extLst>
            <a:ext uri="{FF2B5EF4-FFF2-40B4-BE49-F238E27FC236}">
              <a16:creationId xmlns:a16="http://schemas.microsoft.com/office/drawing/2014/main" id="{07933141-D687-4195-B9AA-63D7095CD19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996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67" name="AutoShape 40" descr="Currently available antiretroviral drugs | Download Table">
          <a:extLst>
            <a:ext uri="{FF2B5EF4-FFF2-40B4-BE49-F238E27FC236}">
              <a16:creationId xmlns:a16="http://schemas.microsoft.com/office/drawing/2014/main" id="{B74A090C-2177-42AB-9A9C-750571A72C0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996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68" name="AutoShape 40" descr="Currently available antiretroviral drugs | Download Table">
          <a:extLst>
            <a:ext uri="{FF2B5EF4-FFF2-40B4-BE49-F238E27FC236}">
              <a16:creationId xmlns:a16="http://schemas.microsoft.com/office/drawing/2014/main" id="{2D7685CD-5208-475C-90C8-C7B85984538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996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69" name="AutoShape 40" descr="Currently available antiretroviral drugs | Download Table">
          <a:extLst>
            <a:ext uri="{FF2B5EF4-FFF2-40B4-BE49-F238E27FC236}">
              <a16:creationId xmlns:a16="http://schemas.microsoft.com/office/drawing/2014/main" id="{151F5C57-E1C4-47C4-AB46-418149351BC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996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70" name="AutoShape 40" descr="Currently available antiretroviral drugs | Download Table">
          <a:extLst>
            <a:ext uri="{FF2B5EF4-FFF2-40B4-BE49-F238E27FC236}">
              <a16:creationId xmlns:a16="http://schemas.microsoft.com/office/drawing/2014/main" id="{02911BD4-4374-4765-A0FF-B636C0AC3E3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996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71" name="AutoShape 40" descr="Currently available antiretroviral drugs | Download Table">
          <a:extLst>
            <a:ext uri="{FF2B5EF4-FFF2-40B4-BE49-F238E27FC236}">
              <a16:creationId xmlns:a16="http://schemas.microsoft.com/office/drawing/2014/main" id="{D1F14C0C-5BD8-417C-9C5B-D2072765B32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996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72" name="AutoShape 40" descr="Currently available antiretroviral drugs | Download Table">
          <a:extLst>
            <a:ext uri="{FF2B5EF4-FFF2-40B4-BE49-F238E27FC236}">
              <a16:creationId xmlns:a16="http://schemas.microsoft.com/office/drawing/2014/main" id="{B9D67A07-6901-43BB-84FB-F135727F22B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996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73" name="AutoShape 40" descr="Currently available antiretroviral drugs | Download Table">
          <a:extLst>
            <a:ext uri="{FF2B5EF4-FFF2-40B4-BE49-F238E27FC236}">
              <a16:creationId xmlns:a16="http://schemas.microsoft.com/office/drawing/2014/main" id="{430D7A56-8E3E-440B-840E-A24E7F600BD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996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74" name="AutoShape 40" descr="Currently available antiretroviral drugs | Download Table">
          <a:extLst>
            <a:ext uri="{FF2B5EF4-FFF2-40B4-BE49-F238E27FC236}">
              <a16:creationId xmlns:a16="http://schemas.microsoft.com/office/drawing/2014/main" id="{82B85FA7-DFD0-4DA6-A8BE-A69D0BEFF22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996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75" name="AutoShape 40" descr="Currently available antiretroviral drugs | Download Table">
          <a:extLst>
            <a:ext uri="{FF2B5EF4-FFF2-40B4-BE49-F238E27FC236}">
              <a16:creationId xmlns:a16="http://schemas.microsoft.com/office/drawing/2014/main" id="{2AE8DF73-35CC-489E-A78F-2DFFADBEABC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996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76" name="AutoShape 40" descr="Currently available antiretroviral drugs | Download Table">
          <a:extLst>
            <a:ext uri="{FF2B5EF4-FFF2-40B4-BE49-F238E27FC236}">
              <a16:creationId xmlns:a16="http://schemas.microsoft.com/office/drawing/2014/main" id="{E0D80AD1-8FB5-4F6F-820B-DC5AD4347BA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996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77" name="AutoShape 40" descr="Currently available antiretroviral drugs | Download Table">
          <a:extLst>
            <a:ext uri="{FF2B5EF4-FFF2-40B4-BE49-F238E27FC236}">
              <a16:creationId xmlns:a16="http://schemas.microsoft.com/office/drawing/2014/main" id="{DBA988C4-A97F-48E9-9D0B-4D521F4CE50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996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78" name="AutoShape 40" descr="Currently available antiretroviral drugs | Download Table">
          <a:extLst>
            <a:ext uri="{FF2B5EF4-FFF2-40B4-BE49-F238E27FC236}">
              <a16:creationId xmlns:a16="http://schemas.microsoft.com/office/drawing/2014/main" id="{F4FAFC8F-D137-4078-81DB-05D4EE97F89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8175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79" name="AutoShape 40" descr="Currently available antiretroviral drugs | Download Table">
          <a:extLst>
            <a:ext uri="{FF2B5EF4-FFF2-40B4-BE49-F238E27FC236}">
              <a16:creationId xmlns:a16="http://schemas.microsoft.com/office/drawing/2014/main" id="{7CB4DA6C-42E8-4C7B-AD5B-DD9610275F4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996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80" name="AutoShape 40" descr="Currently available antiretroviral drugs | Download Table">
          <a:extLst>
            <a:ext uri="{FF2B5EF4-FFF2-40B4-BE49-F238E27FC236}">
              <a16:creationId xmlns:a16="http://schemas.microsoft.com/office/drawing/2014/main" id="{17D6E0FF-34B4-4AB2-A5E3-02E786EC017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7996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81" name="AutoShape 40" descr="Currently available antiretroviral drugs | Download Table">
          <a:extLst>
            <a:ext uri="{FF2B5EF4-FFF2-40B4-BE49-F238E27FC236}">
              <a16:creationId xmlns:a16="http://schemas.microsoft.com/office/drawing/2014/main" id="{1A449436-ED82-46CA-93B1-B18E362DE14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8175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82" name="AutoShape 40" descr="Currently available antiretroviral drugs | Download Table">
          <a:extLst>
            <a:ext uri="{FF2B5EF4-FFF2-40B4-BE49-F238E27FC236}">
              <a16:creationId xmlns:a16="http://schemas.microsoft.com/office/drawing/2014/main" id="{E507D82E-3D00-4DAF-9618-6C1F8454995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8175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83" name="AutoShape 40" descr="Currently available antiretroviral drugs | Download Table">
          <a:extLst>
            <a:ext uri="{FF2B5EF4-FFF2-40B4-BE49-F238E27FC236}">
              <a16:creationId xmlns:a16="http://schemas.microsoft.com/office/drawing/2014/main" id="{5002973F-B897-4AC6-A674-8F4B1AF12B1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8175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84" name="AutoShape 40" descr="Currently available antiretroviral drugs | Download Table">
          <a:extLst>
            <a:ext uri="{FF2B5EF4-FFF2-40B4-BE49-F238E27FC236}">
              <a16:creationId xmlns:a16="http://schemas.microsoft.com/office/drawing/2014/main" id="{5D5B1C66-2D51-4F1A-A4AE-9837A3AE5E1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8175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85" name="AutoShape 40" descr="Currently available antiretroviral drugs | Download Table">
          <a:extLst>
            <a:ext uri="{FF2B5EF4-FFF2-40B4-BE49-F238E27FC236}">
              <a16:creationId xmlns:a16="http://schemas.microsoft.com/office/drawing/2014/main" id="{11ED28EF-EF8B-4726-B8FE-145B75CB7F5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8175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86" name="AutoShape 40" descr="Currently available antiretroviral drugs | Download Table">
          <a:extLst>
            <a:ext uri="{FF2B5EF4-FFF2-40B4-BE49-F238E27FC236}">
              <a16:creationId xmlns:a16="http://schemas.microsoft.com/office/drawing/2014/main" id="{848EB480-5D18-4A14-9500-C468B6B0598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8175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87" name="AutoShape 40" descr="Currently available antiretroviral drugs | Download Table">
          <a:extLst>
            <a:ext uri="{FF2B5EF4-FFF2-40B4-BE49-F238E27FC236}">
              <a16:creationId xmlns:a16="http://schemas.microsoft.com/office/drawing/2014/main" id="{C49B5B60-C374-4E92-B39E-7C0DAE84EFF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8175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88" name="AutoShape 40" descr="Currently available antiretroviral drugs | Download Table">
          <a:extLst>
            <a:ext uri="{FF2B5EF4-FFF2-40B4-BE49-F238E27FC236}">
              <a16:creationId xmlns:a16="http://schemas.microsoft.com/office/drawing/2014/main" id="{8CC949FE-45DD-427E-8AF8-F1AA2509077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8175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89" name="AutoShape 40" descr="Currently available antiretroviral drugs | Download Table">
          <a:extLst>
            <a:ext uri="{FF2B5EF4-FFF2-40B4-BE49-F238E27FC236}">
              <a16:creationId xmlns:a16="http://schemas.microsoft.com/office/drawing/2014/main" id="{DCC21257-6E64-4A8A-976F-B7E41183867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8175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90" name="AutoShape 40" descr="Currently available antiretroviral drugs | Download Table">
          <a:extLst>
            <a:ext uri="{FF2B5EF4-FFF2-40B4-BE49-F238E27FC236}">
              <a16:creationId xmlns:a16="http://schemas.microsoft.com/office/drawing/2014/main" id="{5184D7B9-99CC-43FA-9C35-2751B8A1F31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8175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91" name="AutoShape 40" descr="Currently available antiretroviral drugs | Download Table">
          <a:extLst>
            <a:ext uri="{FF2B5EF4-FFF2-40B4-BE49-F238E27FC236}">
              <a16:creationId xmlns:a16="http://schemas.microsoft.com/office/drawing/2014/main" id="{9AD1FFD6-9634-42B1-81FA-58FABA32BFD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8175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92" name="AutoShape 40" descr="Currently available antiretroviral drugs | Download Table">
          <a:extLst>
            <a:ext uri="{FF2B5EF4-FFF2-40B4-BE49-F238E27FC236}">
              <a16:creationId xmlns:a16="http://schemas.microsoft.com/office/drawing/2014/main" id="{AD7D2AA9-E4C5-4902-8F93-37CD919DCAF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8175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93" name="AutoShape 40" descr="Currently available antiretroviral drugs | Download Table">
          <a:extLst>
            <a:ext uri="{FF2B5EF4-FFF2-40B4-BE49-F238E27FC236}">
              <a16:creationId xmlns:a16="http://schemas.microsoft.com/office/drawing/2014/main" id="{D71A97C6-ABB1-4321-B8C1-6A9B2870C1C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8175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94" name="AutoShape 40" descr="Currently available antiretroviral drugs | Download Table">
          <a:extLst>
            <a:ext uri="{FF2B5EF4-FFF2-40B4-BE49-F238E27FC236}">
              <a16:creationId xmlns:a16="http://schemas.microsoft.com/office/drawing/2014/main" id="{D1F845C6-0717-4A27-A534-72B198AFBE7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8175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95" name="AutoShape 40" descr="Currently available antiretroviral drugs | Download Table">
          <a:extLst>
            <a:ext uri="{FF2B5EF4-FFF2-40B4-BE49-F238E27FC236}">
              <a16:creationId xmlns:a16="http://schemas.microsoft.com/office/drawing/2014/main" id="{D4997277-552E-498E-9D4A-0921E609E82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8175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96" name="AutoShape 40" descr="Currently available antiretroviral drugs | Download Table">
          <a:extLst>
            <a:ext uri="{FF2B5EF4-FFF2-40B4-BE49-F238E27FC236}">
              <a16:creationId xmlns:a16="http://schemas.microsoft.com/office/drawing/2014/main" id="{B27F21AE-62EF-4B08-B0B7-3DAC37C6FD9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8175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97" name="AutoShape 40" descr="Currently available antiretroviral drugs | Download Table">
          <a:extLst>
            <a:ext uri="{FF2B5EF4-FFF2-40B4-BE49-F238E27FC236}">
              <a16:creationId xmlns:a16="http://schemas.microsoft.com/office/drawing/2014/main" id="{7D733B84-C413-4E47-A5E6-C9A6999A12B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8175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98" name="AutoShape 40" descr="Currently available antiretroviral drugs | Download Table">
          <a:extLst>
            <a:ext uri="{FF2B5EF4-FFF2-40B4-BE49-F238E27FC236}">
              <a16:creationId xmlns:a16="http://schemas.microsoft.com/office/drawing/2014/main" id="{88997870-8289-4B44-BC76-3EF9017594E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835476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499" name="AutoShape 40" descr="Currently available antiretroviral drugs | Download Table">
          <a:extLst>
            <a:ext uri="{FF2B5EF4-FFF2-40B4-BE49-F238E27FC236}">
              <a16:creationId xmlns:a16="http://schemas.microsoft.com/office/drawing/2014/main" id="{C47E3A5D-655D-466B-9120-F60E72730C3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8175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00" name="AutoShape 40" descr="Currently available antiretroviral drugs | Download Table">
          <a:extLst>
            <a:ext uri="{FF2B5EF4-FFF2-40B4-BE49-F238E27FC236}">
              <a16:creationId xmlns:a16="http://schemas.microsoft.com/office/drawing/2014/main" id="{16BA983B-2DFD-47E6-A427-A5D9A1CD32C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8175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01" name="AutoShape 40" descr="Currently available antiretroviral drugs | Download Table">
          <a:extLst>
            <a:ext uri="{FF2B5EF4-FFF2-40B4-BE49-F238E27FC236}">
              <a16:creationId xmlns:a16="http://schemas.microsoft.com/office/drawing/2014/main" id="{518E453A-5C3A-4079-AD89-1427BC03EC5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835476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02" name="AutoShape 40" descr="Currently available antiretroviral drugs | Download Table">
          <a:extLst>
            <a:ext uri="{FF2B5EF4-FFF2-40B4-BE49-F238E27FC236}">
              <a16:creationId xmlns:a16="http://schemas.microsoft.com/office/drawing/2014/main" id="{25972A19-AB6E-4D64-9008-BB7E80CA8EF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835476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03" name="AutoShape 40" descr="Currently available antiretroviral drugs | Download Table">
          <a:extLst>
            <a:ext uri="{FF2B5EF4-FFF2-40B4-BE49-F238E27FC236}">
              <a16:creationId xmlns:a16="http://schemas.microsoft.com/office/drawing/2014/main" id="{AB6A9E2F-86D8-47CD-B4AC-A58D56993E8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835476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04" name="AutoShape 40" descr="Currently available antiretroviral drugs | Download Table">
          <a:extLst>
            <a:ext uri="{FF2B5EF4-FFF2-40B4-BE49-F238E27FC236}">
              <a16:creationId xmlns:a16="http://schemas.microsoft.com/office/drawing/2014/main" id="{5F6E7F4A-E3DE-40E8-8AA0-9FD7E04FE6E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835476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05" name="AutoShape 40" descr="Currently available antiretroviral drugs | Download Table">
          <a:extLst>
            <a:ext uri="{FF2B5EF4-FFF2-40B4-BE49-F238E27FC236}">
              <a16:creationId xmlns:a16="http://schemas.microsoft.com/office/drawing/2014/main" id="{9509A1B3-5AAD-495C-94AE-4962E606A77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835476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06" name="AutoShape 40" descr="Currently available antiretroviral drugs | Download Table">
          <a:extLst>
            <a:ext uri="{FF2B5EF4-FFF2-40B4-BE49-F238E27FC236}">
              <a16:creationId xmlns:a16="http://schemas.microsoft.com/office/drawing/2014/main" id="{AE6AC15B-6DD7-4471-9ABB-0961EA08127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835476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07" name="AutoShape 40" descr="Currently available antiretroviral drugs | Download Table">
          <a:extLst>
            <a:ext uri="{FF2B5EF4-FFF2-40B4-BE49-F238E27FC236}">
              <a16:creationId xmlns:a16="http://schemas.microsoft.com/office/drawing/2014/main" id="{407DF6BB-F6C9-4FD6-8426-A0194368F4E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835476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08" name="AutoShape 40" descr="Currently available antiretroviral drugs | Download Table">
          <a:extLst>
            <a:ext uri="{FF2B5EF4-FFF2-40B4-BE49-F238E27FC236}">
              <a16:creationId xmlns:a16="http://schemas.microsoft.com/office/drawing/2014/main" id="{4870AFBD-389F-45ED-A341-E8CFEB5F0AB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835476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09" name="AutoShape 40" descr="Currently available antiretroviral drugs | Download Table">
          <a:extLst>
            <a:ext uri="{FF2B5EF4-FFF2-40B4-BE49-F238E27FC236}">
              <a16:creationId xmlns:a16="http://schemas.microsoft.com/office/drawing/2014/main" id="{F76F428B-23F2-4EF5-A360-6FD387DCD29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835476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10" name="AutoShape 40" descr="Currently available antiretroviral drugs | Download Table">
          <a:extLst>
            <a:ext uri="{FF2B5EF4-FFF2-40B4-BE49-F238E27FC236}">
              <a16:creationId xmlns:a16="http://schemas.microsoft.com/office/drawing/2014/main" id="{F6A55F2E-9C27-4B19-9D7E-2BE57E638BD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835476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11" name="AutoShape 40" descr="Currently available antiretroviral drugs | Download Table">
          <a:extLst>
            <a:ext uri="{FF2B5EF4-FFF2-40B4-BE49-F238E27FC236}">
              <a16:creationId xmlns:a16="http://schemas.microsoft.com/office/drawing/2014/main" id="{394DE19D-CCA7-40F4-B76C-C2FC5C36D4D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835476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12" name="AutoShape 40" descr="Currently available antiretroviral drugs | Download Table">
          <a:extLst>
            <a:ext uri="{FF2B5EF4-FFF2-40B4-BE49-F238E27FC236}">
              <a16:creationId xmlns:a16="http://schemas.microsoft.com/office/drawing/2014/main" id="{682D6E50-64BD-4F95-B959-221CDF508A3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835476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13" name="AutoShape 40" descr="Currently available antiretroviral drugs | Download Table">
          <a:extLst>
            <a:ext uri="{FF2B5EF4-FFF2-40B4-BE49-F238E27FC236}">
              <a16:creationId xmlns:a16="http://schemas.microsoft.com/office/drawing/2014/main" id="{FEEF9008-03B0-47AF-A2A1-6097130D73E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835476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14" name="AutoShape 40" descr="Currently available antiretroviral drugs | Download Table">
          <a:extLst>
            <a:ext uri="{FF2B5EF4-FFF2-40B4-BE49-F238E27FC236}">
              <a16:creationId xmlns:a16="http://schemas.microsoft.com/office/drawing/2014/main" id="{C61C27B4-6526-43C3-9E61-87EB01A9CEB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835476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15" name="AutoShape 40" descr="Currently available antiretroviral drugs | Download Table">
          <a:extLst>
            <a:ext uri="{FF2B5EF4-FFF2-40B4-BE49-F238E27FC236}">
              <a16:creationId xmlns:a16="http://schemas.microsoft.com/office/drawing/2014/main" id="{504150C0-2C65-4D92-9ABD-98126DD3D48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835476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16" name="AutoShape 40" descr="Currently available antiretroviral drugs | Download Table">
          <a:extLst>
            <a:ext uri="{FF2B5EF4-FFF2-40B4-BE49-F238E27FC236}">
              <a16:creationId xmlns:a16="http://schemas.microsoft.com/office/drawing/2014/main" id="{7A683B18-4DFE-4DAE-9B3F-C3B9F48BE42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835476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17" name="AutoShape 40" descr="Currently available antiretroviral drugs | Download Table">
          <a:extLst>
            <a:ext uri="{FF2B5EF4-FFF2-40B4-BE49-F238E27FC236}">
              <a16:creationId xmlns:a16="http://schemas.microsoft.com/office/drawing/2014/main" id="{2A47B1D7-E2BC-4046-94EE-5A075A3B3DC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835476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18" name="AutoShape 40" descr="Currently available antiretroviral drugs | Download Table">
          <a:extLst>
            <a:ext uri="{FF2B5EF4-FFF2-40B4-BE49-F238E27FC236}">
              <a16:creationId xmlns:a16="http://schemas.microsoft.com/office/drawing/2014/main" id="{00A328CA-2225-4BE0-889B-87D2E091C0B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853405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19" name="AutoShape 40" descr="Currently available antiretroviral drugs | Download Table">
          <a:extLst>
            <a:ext uri="{FF2B5EF4-FFF2-40B4-BE49-F238E27FC236}">
              <a16:creationId xmlns:a16="http://schemas.microsoft.com/office/drawing/2014/main" id="{1F22F33C-890D-45F3-A170-A7C4B319E0E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835476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20" name="AutoShape 40" descr="Currently available antiretroviral drugs | Download Table">
          <a:extLst>
            <a:ext uri="{FF2B5EF4-FFF2-40B4-BE49-F238E27FC236}">
              <a16:creationId xmlns:a16="http://schemas.microsoft.com/office/drawing/2014/main" id="{592FB2EE-80C6-4763-A9BF-9DC1457B9B9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835476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21" name="AutoShape 40" descr="Currently available antiretroviral drugs | Download Table">
          <a:extLst>
            <a:ext uri="{FF2B5EF4-FFF2-40B4-BE49-F238E27FC236}">
              <a16:creationId xmlns:a16="http://schemas.microsoft.com/office/drawing/2014/main" id="{19F6AC6E-8EB6-44E8-A299-5651DB8B503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853405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22" name="AutoShape 40" descr="Currently available antiretroviral drugs | Download Table">
          <a:extLst>
            <a:ext uri="{FF2B5EF4-FFF2-40B4-BE49-F238E27FC236}">
              <a16:creationId xmlns:a16="http://schemas.microsoft.com/office/drawing/2014/main" id="{B275C498-4A8C-4CE6-A194-2ADCE7E08DD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853405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23" name="AutoShape 40" descr="Currently available antiretroviral drugs | Download Table">
          <a:extLst>
            <a:ext uri="{FF2B5EF4-FFF2-40B4-BE49-F238E27FC236}">
              <a16:creationId xmlns:a16="http://schemas.microsoft.com/office/drawing/2014/main" id="{7B99698A-669B-4665-A662-1781D195F75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853405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24" name="AutoShape 40" descr="Currently available antiretroviral drugs | Download Table">
          <a:extLst>
            <a:ext uri="{FF2B5EF4-FFF2-40B4-BE49-F238E27FC236}">
              <a16:creationId xmlns:a16="http://schemas.microsoft.com/office/drawing/2014/main" id="{7E2395E4-25A9-475B-BAD7-D65E28D8DF2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853405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25" name="AutoShape 40" descr="Currently available antiretroviral drugs | Download Table">
          <a:extLst>
            <a:ext uri="{FF2B5EF4-FFF2-40B4-BE49-F238E27FC236}">
              <a16:creationId xmlns:a16="http://schemas.microsoft.com/office/drawing/2014/main" id="{5681A4F4-7059-4170-BF9E-A4968337012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853405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26" name="AutoShape 40" descr="Currently available antiretroviral drugs | Download Table">
          <a:extLst>
            <a:ext uri="{FF2B5EF4-FFF2-40B4-BE49-F238E27FC236}">
              <a16:creationId xmlns:a16="http://schemas.microsoft.com/office/drawing/2014/main" id="{CCB27A79-EB1B-4E59-BE62-163FB1D252C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853405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27" name="AutoShape 40" descr="Currently available antiretroviral drugs | Download Table">
          <a:extLst>
            <a:ext uri="{FF2B5EF4-FFF2-40B4-BE49-F238E27FC236}">
              <a16:creationId xmlns:a16="http://schemas.microsoft.com/office/drawing/2014/main" id="{6D200FF7-4089-47A6-B03C-8524E9FECA2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853405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28" name="AutoShape 40" descr="Currently available antiretroviral drugs | Download Table">
          <a:extLst>
            <a:ext uri="{FF2B5EF4-FFF2-40B4-BE49-F238E27FC236}">
              <a16:creationId xmlns:a16="http://schemas.microsoft.com/office/drawing/2014/main" id="{2205FC49-C388-45A1-A667-F5424F5C879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853405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29" name="AutoShape 40" descr="Currently available antiretroviral drugs | Download Table">
          <a:extLst>
            <a:ext uri="{FF2B5EF4-FFF2-40B4-BE49-F238E27FC236}">
              <a16:creationId xmlns:a16="http://schemas.microsoft.com/office/drawing/2014/main" id="{F543266F-21B4-4003-A6F6-0E55387213C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853405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30" name="AutoShape 40" descr="Currently available antiretroviral drugs | Download Table">
          <a:extLst>
            <a:ext uri="{FF2B5EF4-FFF2-40B4-BE49-F238E27FC236}">
              <a16:creationId xmlns:a16="http://schemas.microsoft.com/office/drawing/2014/main" id="{A8C90FED-A3CF-490F-9A3F-D1781CD1522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853405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31" name="AutoShape 40" descr="Currently available antiretroviral drugs | Download Table">
          <a:extLst>
            <a:ext uri="{FF2B5EF4-FFF2-40B4-BE49-F238E27FC236}">
              <a16:creationId xmlns:a16="http://schemas.microsoft.com/office/drawing/2014/main" id="{DF93D209-5A18-427D-A3ED-40A38907F0A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853405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32" name="AutoShape 40" descr="Currently available antiretroviral drugs | Download Table">
          <a:extLst>
            <a:ext uri="{FF2B5EF4-FFF2-40B4-BE49-F238E27FC236}">
              <a16:creationId xmlns:a16="http://schemas.microsoft.com/office/drawing/2014/main" id="{076F0ED2-7E46-49EA-991C-29C79E17A76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853405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33" name="AutoShape 40" descr="Currently available antiretroviral drugs | Download Table">
          <a:extLst>
            <a:ext uri="{FF2B5EF4-FFF2-40B4-BE49-F238E27FC236}">
              <a16:creationId xmlns:a16="http://schemas.microsoft.com/office/drawing/2014/main" id="{D65650CB-D105-418B-85BC-7EF0A99121A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853405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34" name="AutoShape 40" descr="Currently available antiretroviral drugs | Download Table">
          <a:extLst>
            <a:ext uri="{FF2B5EF4-FFF2-40B4-BE49-F238E27FC236}">
              <a16:creationId xmlns:a16="http://schemas.microsoft.com/office/drawing/2014/main" id="{A0E66D24-4C00-4C50-A717-3E224E4579F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853405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35" name="AutoShape 40" descr="Currently available antiretroviral drugs | Download Table">
          <a:extLst>
            <a:ext uri="{FF2B5EF4-FFF2-40B4-BE49-F238E27FC236}">
              <a16:creationId xmlns:a16="http://schemas.microsoft.com/office/drawing/2014/main" id="{81922BA2-8487-4CE2-AA9D-999BE01D5C4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853405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36" name="AutoShape 40" descr="Currently available antiretroviral drugs | Download Table">
          <a:extLst>
            <a:ext uri="{FF2B5EF4-FFF2-40B4-BE49-F238E27FC236}">
              <a16:creationId xmlns:a16="http://schemas.microsoft.com/office/drawing/2014/main" id="{98034CF4-C53D-439C-A6E4-B9E7E2B13B4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853405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37" name="AutoShape 40" descr="Currently available antiretroviral drugs | Download Table">
          <a:extLst>
            <a:ext uri="{FF2B5EF4-FFF2-40B4-BE49-F238E27FC236}">
              <a16:creationId xmlns:a16="http://schemas.microsoft.com/office/drawing/2014/main" id="{29E46BE6-AF6B-4A58-9FE8-DCD7F549190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853405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38" name="AutoShape 40" descr="Currently available antiretroviral drugs | Download Table">
          <a:extLst>
            <a:ext uri="{FF2B5EF4-FFF2-40B4-BE49-F238E27FC236}">
              <a16:creationId xmlns:a16="http://schemas.microsoft.com/office/drawing/2014/main" id="{43CBFEC9-01BE-4330-9BD8-54B3D24B3FA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871335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39" name="AutoShape 40" descr="Currently available antiretroviral drugs | Download Table">
          <a:extLst>
            <a:ext uri="{FF2B5EF4-FFF2-40B4-BE49-F238E27FC236}">
              <a16:creationId xmlns:a16="http://schemas.microsoft.com/office/drawing/2014/main" id="{F6BC0081-B6DD-4492-A2AF-E63C495DD7C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853405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40" name="AutoShape 40" descr="Currently available antiretroviral drugs | Download Table">
          <a:extLst>
            <a:ext uri="{FF2B5EF4-FFF2-40B4-BE49-F238E27FC236}">
              <a16:creationId xmlns:a16="http://schemas.microsoft.com/office/drawing/2014/main" id="{8EB49096-F5A3-4497-B63B-79996D843F4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853405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41" name="AutoShape 40" descr="Currently available antiretroviral drugs | Download Table">
          <a:extLst>
            <a:ext uri="{FF2B5EF4-FFF2-40B4-BE49-F238E27FC236}">
              <a16:creationId xmlns:a16="http://schemas.microsoft.com/office/drawing/2014/main" id="{BC96EC69-545A-49BA-B087-D164CD7A71E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871335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42" name="AutoShape 40" descr="Currently available antiretroviral drugs | Download Table">
          <a:extLst>
            <a:ext uri="{FF2B5EF4-FFF2-40B4-BE49-F238E27FC236}">
              <a16:creationId xmlns:a16="http://schemas.microsoft.com/office/drawing/2014/main" id="{604225A8-FD00-4670-AE56-F86521D4B96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871335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43" name="AutoShape 40" descr="Currently available antiretroviral drugs | Download Table">
          <a:extLst>
            <a:ext uri="{FF2B5EF4-FFF2-40B4-BE49-F238E27FC236}">
              <a16:creationId xmlns:a16="http://schemas.microsoft.com/office/drawing/2014/main" id="{5EDA86C1-98C7-40EC-A565-5505F12F15D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871335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44" name="AutoShape 40" descr="Currently available antiretroviral drugs | Download Table">
          <a:extLst>
            <a:ext uri="{FF2B5EF4-FFF2-40B4-BE49-F238E27FC236}">
              <a16:creationId xmlns:a16="http://schemas.microsoft.com/office/drawing/2014/main" id="{FBAC7BBF-316B-4FE9-BB6D-EC8D858B44A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871335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45" name="AutoShape 40" descr="Currently available antiretroviral drugs | Download Table">
          <a:extLst>
            <a:ext uri="{FF2B5EF4-FFF2-40B4-BE49-F238E27FC236}">
              <a16:creationId xmlns:a16="http://schemas.microsoft.com/office/drawing/2014/main" id="{46F8740E-D15C-4D1C-8CC3-C8AF47DDED3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871335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46" name="AutoShape 40" descr="Currently available antiretroviral drugs | Download Table">
          <a:extLst>
            <a:ext uri="{FF2B5EF4-FFF2-40B4-BE49-F238E27FC236}">
              <a16:creationId xmlns:a16="http://schemas.microsoft.com/office/drawing/2014/main" id="{74F28213-2AAC-40CB-A454-086D753C116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871335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47" name="AutoShape 40" descr="Currently available antiretroviral drugs | Download Table">
          <a:extLst>
            <a:ext uri="{FF2B5EF4-FFF2-40B4-BE49-F238E27FC236}">
              <a16:creationId xmlns:a16="http://schemas.microsoft.com/office/drawing/2014/main" id="{DB70A9C0-0217-41FD-B3D6-488990CDF9E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871335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48" name="AutoShape 40" descr="Currently available antiretroviral drugs | Download Table">
          <a:extLst>
            <a:ext uri="{FF2B5EF4-FFF2-40B4-BE49-F238E27FC236}">
              <a16:creationId xmlns:a16="http://schemas.microsoft.com/office/drawing/2014/main" id="{83D9B833-9B5C-4E62-A97A-C98D86C6DE0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871335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49" name="AutoShape 40" descr="Currently available antiretroviral drugs | Download Table">
          <a:extLst>
            <a:ext uri="{FF2B5EF4-FFF2-40B4-BE49-F238E27FC236}">
              <a16:creationId xmlns:a16="http://schemas.microsoft.com/office/drawing/2014/main" id="{4E846FA5-1A9A-47F6-BBD3-EBDAFAD0BF8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871335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50" name="AutoShape 40" descr="Currently available antiretroviral drugs | Download Table">
          <a:extLst>
            <a:ext uri="{FF2B5EF4-FFF2-40B4-BE49-F238E27FC236}">
              <a16:creationId xmlns:a16="http://schemas.microsoft.com/office/drawing/2014/main" id="{8812D92D-08BC-4A17-8CA1-4E9B4F6A913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871335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51" name="AutoShape 40" descr="Currently available antiretroviral drugs | Download Table">
          <a:extLst>
            <a:ext uri="{FF2B5EF4-FFF2-40B4-BE49-F238E27FC236}">
              <a16:creationId xmlns:a16="http://schemas.microsoft.com/office/drawing/2014/main" id="{3F875618-217D-4F75-A75A-AED4F1A92D6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871335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52" name="AutoShape 40" descr="Currently available antiretroviral drugs | Download Table">
          <a:extLst>
            <a:ext uri="{FF2B5EF4-FFF2-40B4-BE49-F238E27FC236}">
              <a16:creationId xmlns:a16="http://schemas.microsoft.com/office/drawing/2014/main" id="{89C2DA7C-95C1-44C1-A6AE-4B7695F532E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871335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53" name="AutoShape 40" descr="Currently available antiretroviral drugs | Download Table">
          <a:extLst>
            <a:ext uri="{FF2B5EF4-FFF2-40B4-BE49-F238E27FC236}">
              <a16:creationId xmlns:a16="http://schemas.microsoft.com/office/drawing/2014/main" id="{E24021E8-8322-4E2E-AF3E-FF1B7C5365C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871335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54" name="AutoShape 40" descr="Currently available antiretroviral drugs | Download Table">
          <a:extLst>
            <a:ext uri="{FF2B5EF4-FFF2-40B4-BE49-F238E27FC236}">
              <a16:creationId xmlns:a16="http://schemas.microsoft.com/office/drawing/2014/main" id="{2FB23CAC-AE50-4D6B-ABA8-9222CCAF57D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871335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55" name="AutoShape 40" descr="Currently available antiretroviral drugs | Download Table">
          <a:extLst>
            <a:ext uri="{FF2B5EF4-FFF2-40B4-BE49-F238E27FC236}">
              <a16:creationId xmlns:a16="http://schemas.microsoft.com/office/drawing/2014/main" id="{F75EE89A-4E7B-43B4-9170-3DAE7A73426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871335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56" name="AutoShape 40" descr="Currently available antiretroviral drugs | Download Table">
          <a:extLst>
            <a:ext uri="{FF2B5EF4-FFF2-40B4-BE49-F238E27FC236}">
              <a16:creationId xmlns:a16="http://schemas.microsoft.com/office/drawing/2014/main" id="{5E66D4FB-EFBA-49D9-9916-E7467749CD2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871335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57" name="AutoShape 40" descr="Currently available antiretroviral drugs | Download Table">
          <a:extLst>
            <a:ext uri="{FF2B5EF4-FFF2-40B4-BE49-F238E27FC236}">
              <a16:creationId xmlns:a16="http://schemas.microsoft.com/office/drawing/2014/main" id="{9BDC2538-A249-48CF-AF1A-9379F659247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871335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58" name="AutoShape 40" descr="Currently available antiretroviral drugs | Download Table">
          <a:extLst>
            <a:ext uri="{FF2B5EF4-FFF2-40B4-BE49-F238E27FC236}">
              <a16:creationId xmlns:a16="http://schemas.microsoft.com/office/drawing/2014/main" id="{BEC44825-B6B1-4F6A-A5C9-BE0BD7965BE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8892647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59" name="AutoShape 40" descr="Currently available antiretroviral drugs | Download Table">
          <a:extLst>
            <a:ext uri="{FF2B5EF4-FFF2-40B4-BE49-F238E27FC236}">
              <a16:creationId xmlns:a16="http://schemas.microsoft.com/office/drawing/2014/main" id="{85DF50EE-7D89-4049-A403-71185F32AE5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871335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60" name="AutoShape 40" descr="Currently available antiretroviral drugs | Download Table">
          <a:extLst>
            <a:ext uri="{FF2B5EF4-FFF2-40B4-BE49-F238E27FC236}">
              <a16:creationId xmlns:a16="http://schemas.microsoft.com/office/drawing/2014/main" id="{EA994146-B80C-421F-A004-48B43DAA37E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871335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61" name="AutoShape 40" descr="Currently available antiretroviral drugs | Download Table">
          <a:extLst>
            <a:ext uri="{FF2B5EF4-FFF2-40B4-BE49-F238E27FC236}">
              <a16:creationId xmlns:a16="http://schemas.microsoft.com/office/drawing/2014/main" id="{C0558382-FCF4-41CF-A987-A65243450C5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8892647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62" name="AutoShape 40" descr="Currently available antiretroviral drugs | Download Table">
          <a:extLst>
            <a:ext uri="{FF2B5EF4-FFF2-40B4-BE49-F238E27FC236}">
              <a16:creationId xmlns:a16="http://schemas.microsoft.com/office/drawing/2014/main" id="{B7CF0B27-4578-4396-8945-AD3355F4BCD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8892647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63" name="AutoShape 40" descr="Currently available antiretroviral drugs | Download Table">
          <a:extLst>
            <a:ext uri="{FF2B5EF4-FFF2-40B4-BE49-F238E27FC236}">
              <a16:creationId xmlns:a16="http://schemas.microsoft.com/office/drawing/2014/main" id="{FA0860D3-1137-416F-BB08-8701BB5F955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8892647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64" name="AutoShape 40" descr="Currently available antiretroviral drugs | Download Table">
          <a:extLst>
            <a:ext uri="{FF2B5EF4-FFF2-40B4-BE49-F238E27FC236}">
              <a16:creationId xmlns:a16="http://schemas.microsoft.com/office/drawing/2014/main" id="{5581D932-7128-47A3-9A64-7BEF70642D0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8892647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65" name="AutoShape 40" descr="Currently available antiretroviral drugs | Download Table">
          <a:extLst>
            <a:ext uri="{FF2B5EF4-FFF2-40B4-BE49-F238E27FC236}">
              <a16:creationId xmlns:a16="http://schemas.microsoft.com/office/drawing/2014/main" id="{346D80F8-4800-41D8-B2BC-FA0D698D5A7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8892647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66" name="AutoShape 40" descr="Currently available antiretroviral drugs | Download Table">
          <a:extLst>
            <a:ext uri="{FF2B5EF4-FFF2-40B4-BE49-F238E27FC236}">
              <a16:creationId xmlns:a16="http://schemas.microsoft.com/office/drawing/2014/main" id="{2507E77D-B836-4870-9366-A134D54AE6E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8892647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67" name="AutoShape 40" descr="Currently available antiretroviral drugs | Download Table">
          <a:extLst>
            <a:ext uri="{FF2B5EF4-FFF2-40B4-BE49-F238E27FC236}">
              <a16:creationId xmlns:a16="http://schemas.microsoft.com/office/drawing/2014/main" id="{86F832A8-F226-4727-9EA3-93BE5923298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8892647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68" name="AutoShape 40" descr="Currently available antiretroviral drugs | Download Table">
          <a:extLst>
            <a:ext uri="{FF2B5EF4-FFF2-40B4-BE49-F238E27FC236}">
              <a16:creationId xmlns:a16="http://schemas.microsoft.com/office/drawing/2014/main" id="{2B6BB902-1C96-4E6D-8A39-76D0850FCCF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8892647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69" name="AutoShape 40" descr="Currently available antiretroviral drugs | Download Table">
          <a:extLst>
            <a:ext uri="{FF2B5EF4-FFF2-40B4-BE49-F238E27FC236}">
              <a16:creationId xmlns:a16="http://schemas.microsoft.com/office/drawing/2014/main" id="{33E88D64-2300-4795-8739-D5AE26649DE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8892647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70" name="AutoShape 40" descr="Currently available antiretroviral drugs | Download Table">
          <a:extLst>
            <a:ext uri="{FF2B5EF4-FFF2-40B4-BE49-F238E27FC236}">
              <a16:creationId xmlns:a16="http://schemas.microsoft.com/office/drawing/2014/main" id="{1E6E0DCD-578A-46D1-BBB2-06FD5B0A55A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8892647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71" name="AutoShape 40" descr="Currently available antiretroviral drugs | Download Table">
          <a:extLst>
            <a:ext uri="{FF2B5EF4-FFF2-40B4-BE49-F238E27FC236}">
              <a16:creationId xmlns:a16="http://schemas.microsoft.com/office/drawing/2014/main" id="{22F29385-C517-492B-A83E-82B979B2357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8892647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72" name="AutoShape 40" descr="Currently available antiretroviral drugs | Download Table">
          <a:extLst>
            <a:ext uri="{FF2B5EF4-FFF2-40B4-BE49-F238E27FC236}">
              <a16:creationId xmlns:a16="http://schemas.microsoft.com/office/drawing/2014/main" id="{E5525927-736D-4E5A-819E-3A5E48FBA23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8892647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73" name="AutoShape 40" descr="Currently available antiretroviral drugs | Download Table">
          <a:extLst>
            <a:ext uri="{FF2B5EF4-FFF2-40B4-BE49-F238E27FC236}">
              <a16:creationId xmlns:a16="http://schemas.microsoft.com/office/drawing/2014/main" id="{E059F3AD-151B-4256-8EDD-D8DBB8CBED3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8892647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74" name="AutoShape 40" descr="Currently available antiretroviral drugs | Download Table">
          <a:extLst>
            <a:ext uri="{FF2B5EF4-FFF2-40B4-BE49-F238E27FC236}">
              <a16:creationId xmlns:a16="http://schemas.microsoft.com/office/drawing/2014/main" id="{A1779977-4B2E-4216-A8B5-81574C182DE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8892647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75" name="AutoShape 40" descr="Currently available antiretroviral drugs | Download Table">
          <a:extLst>
            <a:ext uri="{FF2B5EF4-FFF2-40B4-BE49-F238E27FC236}">
              <a16:creationId xmlns:a16="http://schemas.microsoft.com/office/drawing/2014/main" id="{7747A59D-742A-4E96-ACE3-FCB45F36B9B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8892647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76" name="AutoShape 40" descr="Currently available antiretroviral drugs | Download Table">
          <a:extLst>
            <a:ext uri="{FF2B5EF4-FFF2-40B4-BE49-F238E27FC236}">
              <a16:creationId xmlns:a16="http://schemas.microsoft.com/office/drawing/2014/main" id="{CC8E6BCA-ED78-4A82-87DE-26D4129CA7C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8892647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77" name="AutoShape 40" descr="Currently available antiretroviral drugs | Download Table">
          <a:extLst>
            <a:ext uri="{FF2B5EF4-FFF2-40B4-BE49-F238E27FC236}">
              <a16:creationId xmlns:a16="http://schemas.microsoft.com/office/drawing/2014/main" id="{36765F1B-D855-4D5C-9123-846E793C696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8892647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78" name="AutoShape 40" descr="Currently available antiretroviral drugs | Download Table">
          <a:extLst>
            <a:ext uri="{FF2B5EF4-FFF2-40B4-BE49-F238E27FC236}">
              <a16:creationId xmlns:a16="http://schemas.microsoft.com/office/drawing/2014/main" id="{9D6BE41B-9D91-4E48-A8C3-8B1C93D7D16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907194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79" name="AutoShape 40" descr="Currently available antiretroviral drugs | Download Table">
          <a:extLst>
            <a:ext uri="{FF2B5EF4-FFF2-40B4-BE49-F238E27FC236}">
              <a16:creationId xmlns:a16="http://schemas.microsoft.com/office/drawing/2014/main" id="{DFE2039C-FDA9-4323-964B-5C8DC91F693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8892647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80" name="AutoShape 40" descr="Currently available antiretroviral drugs | Download Table">
          <a:extLst>
            <a:ext uri="{FF2B5EF4-FFF2-40B4-BE49-F238E27FC236}">
              <a16:creationId xmlns:a16="http://schemas.microsoft.com/office/drawing/2014/main" id="{69E7AE8E-527F-4614-8A4C-B4A1195BB5B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8892647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81" name="AutoShape 40" descr="Currently available antiretroviral drugs | Download Table">
          <a:extLst>
            <a:ext uri="{FF2B5EF4-FFF2-40B4-BE49-F238E27FC236}">
              <a16:creationId xmlns:a16="http://schemas.microsoft.com/office/drawing/2014/main" id="{D54A583B-EB7A-4578-88DC-84C74481343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907194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82" name="AutoShape 40" descr="Currently available antiretroviral drugs | Download Table">
          <a:extLst>
            <a:ext uri="{FF2B5EF4-FFF2-40B4-BE49-F238E27FC236}">
              <a16:creationId xmlns:a16="http://schemas.microsoft.com/office/drawing/2014/main" id="{BED40263-8B32-4CE9-867A-3B0862D8D2F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907194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83" name="AutoShape 40" descr="Currently available antiretroviral drugs | Download Table">
          <a:extLst>
            <a:ext uri="{FF2B5EF4-FFF2-40B4-BE49-F238E27FC236}">
              <a16:creationId xmlns:a16="http://schemas.microsoft.com/office/drawing/2014/main" id="{7CB8D329-F61F-47CA-B913-24B729BC140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907194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84" name="AutoShape 40" descr="Currently available antiretroviral drugs | Download Table">
          <a:extLst>
            <a:ext uri="{FF2B5EF4-FFF2-40B4-BE49-F238E27FC236}">
              <a16:creationId xmlns:a16="http://schemas.microsoft.com/office/drawing/2014/main" id="{C0C00777-3E84-4CD3-92C2-E827602B242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907194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85" name="AutoShape 40" descr="Currently available antiretroviral drugs | Download Table">
          <a:extLst>
            <a:ext uri="{FF2B5EF4-FFF2-40B4-BE49-F238E27FC236}">
              <a16:creationId xmlns:a16="http://schemas.microsoft.com/office/drawing/2014/main" id="{93EBD621-965C-465D-A0D7-9FE98C983DB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907194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86" name="AutoShape 40" descr="Currently available antiretroviral drugs | Download Table">
          <a:extLst>
            <a:ext uri="{FF2B5EF4-FFF2-40B4-BE49-F238E27FC236}">
              <a16:creationId xmlns:a16="http://schemas.microsoft.com/office/drawing/2014/main" id="{40C2E355-4287-46C8-8B25-BFC6164A75E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907194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87" name="AutoShape 40" descr="Currently available antiretroviral drugs | Download Table">
          <a:extLst>
            <a:ext uri="{FF2B5EF4-FFF2-40B4-BE49-F238E27FC236}">
              <a16:creationId xmlns:a16="http://schemas.microsoft.com/office/drawing/2014/main" id="{2F6A1F7B-A5C7-4FB6-A53D-848E78768C2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907194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88" name="AutoShape 40" descr="Currently available antiretroviral drugs | Download Table">
          <a:extLst>
            <a:ext uri="{FF2B5EF4-FFF2-40B4-BE49-F238E27FC236}">
              <a16:creationId xmlns:a16="http://schemas.microsoft.com/office/drawing/2014/main" id="{7FFE1723-9BF1-4F0A-9813-B3FFAFCE76E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907194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89" name="AutoShape 40" descr="Currently available antiretroviral drugs | Download Table">
          <a:extLst>
            <a:ext uri="{FF2B5EF4-FFF2-40B4-BE49-F238E27FC236}">
              <a16:creationId xmlns:a16="http://schemas.microsoft.com/office/drawing/2014/main" id="{6664CC87-A0EC-41E1-87B5-4521307BD89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907194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90" name="AutoShape 40" descr="Currently available antiretroviral drugs | Download Table">
          <a:extLst>
            <a:ext uri="{FF2B5EF4-FFF2-40B4-BE49-F238E27FC236}">
              <a16:creationId xmlns:a16="http://schemas.microsoft.com/office/drawing/2014/main" id="{03334136-E83B-4EEC-AD5A-1F993FBB02C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907194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91" name="AutoShape 40" descr="Currently available antiretroviral drugs | Download Table">
          <a:extLst>
            <a:ext uri="{FF2B5EF4-FFF2-40B4-BE49-F238E27FC236}">
              <a16:creationId xmlns:a16="http://schemas.microsoft.com/office/drawing/2014/main" id="{79BA6635-364D-423B-9385-A11EA75F2D0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907194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92" name="AutoShape 40" descr="Currently available antiretroviral drugs | Download Table">
          <a:extLst>
            <a:ext uri="{FF2B5EF4-FFF2-40B4-BE49-F238E27FC236}">
              <a16:creationId xmlns:a16="http://schemas.microsoft.com/office/drawing/2014/main" id="{FAC013D6-B219-4EDB-8579-7DBBC01846F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907194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93" name="AutoShape 40" descr="Currently available antiretroviral drugs | Download Table">
          <a:extLst>
            <a:ext uri="{FF2B5EF4-FFF2-40B4-BE49-F238E27FC236}">
              <a16:creationId xmlns:a16="http://schemas.microsoft.com/office/drawing/2014/main" id="{4E7B24D0-289C-439A-B4B9-15DAB8F8709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907194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94" name="AutoShape 40" descr="Currently available antiretroviral drugs | Download Table">
          <a:extLst>
            <a:ext uri="{FF2B5EF4-FFF2-40B4-BE49-F238E27FC236}">
              <a16:creationId xmlns:a16="http://schemas.microsoft.com/office/drawing/2014/main" id="{6DAE6553-1EED-4ED4-AEAE-F96A98F1681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907194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95" name="AutoShape 40" descr="Currently available antiretroviral drugs | Download Table">
          <a:extLst>
            <a:ext uri="{FF2B5EF4-FFF2-40B4-BE49-F238E27FC236}">
              <a16:creationId xmlns:a16="http://schemas.microsoft.com/office/drawing/2014/main" id="{B121783C-4518-475D-8A0B-89874C15040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907194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96" name="AutoShape 40" descr="Currently available antiretroviral drugs | Download Table">
          <a:extLst>
            <a:ext uri="{FF2B5EF4-FFF2-40B4-BE49-F238E27FC236}">
              <a16:creationId xmlns:a16="http://schemas.microsoft.com/office/drawing/2014/main" id="{7F34CD03-3EB8-430E-9966-B1E6331C0EC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907194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97" name="AutoShape 40" descr="Currently available antiretroviral drugs | Download Table">
          <a:extLst>
            <a:ext uri="{FF2B5EF4-FFF2-40B4-BE49-F238E27FC236}">
              <a16:creationId xmlns:a16="http://schemas.microsoft.com/office/drawing/2014/main" id="{D63427CF-DB4E-4F4C-8D02-1D87CDF8724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907194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98" name="AutoShape 40" descr="Currently available antiretroviral drugs | Download Table">
          <a:extLst>
            <a:ext uri="{FF2B5EF4-FFF2-40B4-BE49-F238E27FC236}">
              <a16:creationId xmlns:a16="http://schemas.microsoft.com/office/drawing/2014/main" id="{D5171A2D-71A7-4CA4-8BDC-E3730C28CC4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925123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599" name="AutoShape 40" descr="Currently available antiretroviral drugs | Download Table">
          <a:extLst>
            <a:ext uri="{FF2B5EF4-FFF2-40B4-BE49-F238E27FC236}">
              <a16:creationId xmlns:a16="http://schemas.microsoft.com/office/drawing/2014/main" id="{8916DDC8-3994-4E44-AFFE-88D0D7F7B28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907194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00" name="AutoShape 40" descr="Currently available antiretroviral drugs | Download Table">
          <a:extLst>
            <a:ext uri="{FF2B5EF4-FFF2-40B4-BE49-F238E27FC236}">
              <a16:creationId xmlns:a16="http://schemas.microsoft.com/office/drawing/2014/main" id="{918B97B9-8711-49C7-856B-F41E04F30F9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907194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01" name="AutoShape 40" descr="Currently available antiretroviral drugs | Download Table">
          <a:extLst>
            <a:ext uri="{FF2B5EF4-FFF2-40B4-BE49-F238E27FC236}">
              <a16:creationId xmlns:a16="http://schemas.microsoft.com/office/drawing/2014/main" id="{6AAB7F07-853B-49CC-B880-4E5EFD5BFF8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925123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02" name="AutoShape 40" descr="Currently available antiretroviral drugs | Download Table">
          <a:extLst>
            <a:ext uri="{FF2B5EF4-FFF2-40B4-BE49-F238E27FC236}">
              <a16:creationId xmlns:a16="http://schemas.microsoft.com/office/drawing/2014/main" id="{FF81AF2B-C6A9-4DB9-B032-A5906B7CF9E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925123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03" name="AutoShape 40" descr="Currently available antiretroviral drugs | Download Table">
          <a:extLst>
            <a:ext uri="{FF2B5EF4-FFF2-40B4-BE49-F238E27FC236}">
              <a16:creationId xmlns:a16="http://schemas.microsoft.com/office/drawing/2014/main" id="{43625867-B3C7-4C81-868D-89FB2B2417C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925123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04" name="AutoShape 40" descr="Currently available antiretroviral drugs | Download Table">
          <a:extLst>
            <a:ext uri="{FF2B5EF4-FFF2-40B4-BE49-F238E27FC236}">
              <a16:creationId xmlns:a16="http://schemas.microsoft.com/office/drawing/2014/main" id="{78870242-0DF7-4F5A-9371-399372C59F0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925123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05" name="AutoShape 40" descr="Currently available antiretroviral drugs | Download Table">
          <a:extLst>
            <a:ext uri="{FF2B5EF4-FFF2-40B4-BE49-F238E27FC236}">
              <a16:creationId xmlns:a16="http://schemas.microsoft.com/office/drawing/2014/main" id="{BDE90A3D-ABB7-40C0-BBA1-C7ABB1E2D3A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925123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06" name="AutoShape 40" descr="Currently available antiretroviral drugs | Download Table">
          <a:extLst>
            <a:ext uri="{FF2B5EF4-FFF2-40B4-BE49-F238E27FC236}">
              <a16:creationId xmlns:a16="http://schemas.microsoft.com/office/drawing/2014/main" id="{D6EE950F-3F16-4FFD-A822-39B8CA1153D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925123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07" name="AutoShape 40" descr="Currently available antiretroviral drugs | Download Table">
          <a:extLst>
            <a:ext uri="{FF2B5EF4-FFF2-40B4-BE49-F238E27FC236}">
              <a16:creationId xmlns:a16="http://schemas.microsoft.com/office/drawing/2014/main" id="{7E564CCB-D75E-4110-B171-935A81A3BF1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925123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08" name="AutoShape 40" descr="Currently available antiretroviral drugs | Download Table">
          <a:extLst>
            <a:ext uri="{FF2B5EF4-FFF2-40B4-BE49-F238E27FC236}">
              <a16:creationId xmlns:a16="http://schemas.microsoft.com/office/drawing/2014/main" id="{85513819-71E5-43FE-B365-C67638CA7E6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925123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09" name="AutoShape 40" descr="Currently available antiretroviral drugs | Download Table">
          <a:extLst>
            <a:ext uri="{FF2B5EF4-FFF2-40B4-BE49-F238E27FC236}">
              <a16:creationId xmlns:a16="http://schemas.microsoft.com/office/drawing/2014/main" id="{62BC3AA8-8050-4EA0-B47A-6D470020134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925123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10" name="AutoShape 40" descr="Currently available antiretroviral drugs | Download Table">
          <a:extLst>
            <a:ext uri="{FF2B5EF4-FFF2-40B4-BE49-F238E27FC236}">
              <a16:creationId xmlns:a16="http://schemas.microsoft.com/office/drawing/2014/main" id="{97B91029-13FD-484C-BB7A-0CEEEE5F4D2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925123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11" name="AutoShape 40" descr="Currently available antiretroviral drugs | Download Table">
          <a:extLst>
            <a:ext uri="{FF2B5EF4-FFF2-40B4-BE49-F238E27FC236}">
              <a16:creationId xmlns:a16="http://schemas.microsoft.com/office/drawing/2014/main" id="{49C17128-593E-4603-AF77-5C8E2D2D454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925123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12" name="AutoShape 40" descr="Currently available antiretroviral drugs | Download Table">
          <a:extLst>
            <a:ext uri="{FF2B5EF4-FFF2-40B4-BE49-F238E27FC236}">
              <a16:creationId xmlns:a16="http://schemas.microsoft.com/office/drawing/2014/main" id="{7F0B1317-4E2D-4785-8EC4-8FE554AA5F1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925123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13" name="AutoShape 40" descr="Currently available antiretroviral drugs | Download Table">
          <a:extLst>
            <a:ext uri="{FF2B5EF4-FFF2-40B4-BE49-F238E27FC236}">
              <a16:creationId xmlns:a16="http://schemas.microsoft.com/office/drawing/2014/main" id="{39A2CFA2-139E-4980-B775-84C97ED92E3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925123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14" name="AutoShape 40" descr="Currently available antiretroviral drugs | Download Table">
          <a:extLst>
            <a:ext uri="{FF2B5EF4-FFF2-40B4-BE49-F238E27FC236}">
              <a16:creationId xmlns:a16="http://schemas.microsoft.com/office/drawing/2014/main" id="{A8403CA3-86BA-4541-B128-21DFB499318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925123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15" name="AutoShape 40" descr="Currently available antiretroviral drugs | Download Table">
          <a:extLst>
            <a:ext uri="{FF2B5EF4-FFF2-40B4-BE49-F238E27FC236}">
              <a16:creationId xmlns:a16="http://schemas.microsoft.com/office/drawing/2014/main" id="{C8FE24EE-A32C-464A-8285-51CDC72C693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925123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16" name="AutoShape 40" descr="Currently available antiretroviral drugs | Download Table">
          <a:extLst>
            <a:ext uri="{FF2B5EF4-FFF2-40B4-BE49-F238E27FC236}">
              <a16:creationId xmlns:a16="http://schemas.microsoft.com/office/drawing/2014/main" id="{1B185BFB-AFB6-414D-B0FF-62704422108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925123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17" name="AutoShape 40" descr="Currently available antiretroviral drugs | Download Table">
          <a:extLst>
            <a:ext uri="{FF2B5EF4-FFF2-40B4-BE49-F238E27FC236}">
              <a16:creationId xmlns:a16="http://schemas.microsoft.com/office/drawing/2014/main" id="{482FD63B-639D-4EE0-9A68-649BA311DB0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925123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18" name="AutoShape 40" descr="Currently available antiretroviral drugs | Download Table">
          <a:extLst>
            <a:ext uri="{FF2B5EF4-FFF2-40B4-BE49-F238E27FC236}">
              <a16:creationId xmlns:a16="http://schemas.microsoft.com/office/drawing/2014/main" id="{2C8DE2BB-D9B4-4C19-9812-1FF3F70770D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943052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19" name="AutoShape 40" descr="Currently available antiretroviral drugs | Download Table">
          <a:extLst>
            <a:ext uri="{FF2B5EF4-FFF2-40B4-BE49-F238E27FC236}">
              <a16:creationId xmlns:a16="http://schemas.microsoft.com/office/drawing/2014/main" id="{646B917B-B0AB-478B-8C0E-39BA59F945E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925123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20" name="AutoShape 40" descr="Currently available antiretroviral drugs | Download Table">
          <a:extLst>
            <a:ext uri="{FF2B5EF4-FFF2-40B4-BE49-F238E27FC236}">
              <a16:creationId xmlns:a16="http://schemas.microsoft.com/office/drawing/2014/main" id="{68600FCA-BF08-4CA6-90C8-8299D0CFFB7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925123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21" name="AutoShape 40" descr="Currently available antiretroviral drugs | Download Table">
          <a:extLst>
            <a:ext uri="{FF2B5EF4-FFF2-40B4-BE49-F238E27FC236}">
              <a16:creationId xmlns:a16="http://schemas.microsoft.com/office/drawing/2014/main" id="{212168EE-C63A-443B-A861-EF225C5F339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943052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22" name="AutoShape 40" descr="Currently available antiretroviral drugs | Download Table">
          <a:extLst>
            <a:ext uri="{FF2B5EF4-FFF2-40B4-BE49-F238E27FC236}">
              <a16:creationId xmlns:a16="http://schemas.microsoft.com/office/drawing/2014/main" id="{4BF77C41-F691-4B2D-9F13-A2B42B1148A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943052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23" name="AutoShape 40" descr="Currently available antiretroviral drugs | Download Table">
          <a:extLst>
            <a:ext uri="{FF2B5EF4-FFF2-40B4-BE49-F238E27FC236}">
              <a16:creationId xmlns:a16="http://schemas.microsoft.com/office/drawing/2014/main" id="{30C2DA86-0D57-4F04-9DE2-F3C8B1CA991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943052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24" name="AutoShape 40" descr="Currently available antiretroviral drugs | Download Table">
          <a:extLst>
            <a:ext uri="{FF2B5EF4-FFF2-40B4-BE49-F238E27FC236}">
              <a16:creationId xmlns:a16="http://schemas.microsoft.com/office/drawing/2014/main" id="{934A72CD-F60C-4592-A546-497BA7B7937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943052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25" name="AutoShape 40" descr="Currently available antiretroviral drugs | Download Table">
          <a:extLst>
            <a:ext uri="{FF2B5EF4-FFF2-40B4-BE49-F238E27FC236}">
              <a16:creationId xmlns:a16="http://schemas.microsoft.com/office/drawing/2014/main" id="{22D16F27-C7A8-447B-A5D0-C8FEFA3A99A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943052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26" name="AutoShape 40" descr="Currently available antiretroviral drugs | Download Table">
          <a:extLst>
            <a:ext uri="{FF2B5EF4-FFF2-40B4-BE49-F238E27FC236}">
              <a16:creationId xmlns:a16="http://schemas.microsoft.com/office/drawing/2014/main" id="{74E818C0-9F13-4450-82DE-59F9D3CFCB3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943052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27" name="AutoShape 40" descr="Currently available antiretroviral drugs | Download Table">
          <a:extLst>
            <a:ext uri="{FF2B5EF4-FFF2-40B4-BE49-F238E27FC236}">
              <a16:creationId xmlns:a16="http://schemas.microsoft.com/office/drawing/2014/main" id="{BFA9E6CA-B8FC-46A5-A53A-6373DC1E8B0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943052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28" name="AutoShape 40" descr="Currently available antiretroviral drugs | Download Table">
          <a:extLst>
            <a:ext uri="{FF2B5EF4-FFF2-40B4-BE49-F238E27FC236}">
              <a16:creationId xmlns:a16="http://schemas.microsoft.com/office/drawing/2014/main" id="{03628C1B-A887-4648-9C3B-1042D14E1EA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943052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29" name="AutoShape 40" descr="Currently available antiretroviral drugs | Download Table">
          <a:extLst>
            <a:ext uri="{FF2B5EF4-FFF2-40B4-BE49-F238E27FC236}">
              <a16:creationId xmlns:a16="http://schemas.microsoft.com/office/drawing/2014/main" id="{B72D820A-27D8-4FAF-8CF5-FD8335CA295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943052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30" name="AutoShape 40" descr="Currently available antiretroviral drugs | Download Table">
          <a:extLst>
            <a:ext uri="{FF2B5EF4-FFF2-40B4-BE49-F238E27FC236}">
              <a16:creationId xmlns:a16="http://schemas.microsoft.com/office/drawing/2014/main" id="{BAC67D3D-29C6-4A11-BA84-44BE177824D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943052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31" name="AutoShape 40" descr="Currently available antiretroviral drugs | Download Table">
          <a:extLst>
            <a:ext uri="{FF2B5EF4-FFF2-40B4-BE49-F238E27FC236}">
              <a16:creationId xmlns:a16="http://schemas.microsoft.com/office/drawing/2014/main" id="{56C60375-9B03-4D58-9850-C200D80596B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943052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32" name="AutoShape 40" descr="Currently available antiretroviral drugs | Download Table">
          <a:extLst>
            <a:ext uri="{FF2B5EF4-FFF2-40B4-BE49-F238E27FC236}">
              <a16:creationId xmlns:a16="http://schemas.microsoft.com/office/drawing/2014/main" id="{F86AB9CF-8C0E-47CF-A758-F37F389F231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943052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33" name="AutoShape 40" descr="Currently available antiretroviral drugs | Download Table">
          <a:extLst>
            <a:ext uri="{FF2B5EF4-FFF2-40B4-BE49-F238E27FC236}">
              <a16:creationId xmlns:a16="http://schemas.microsoft.com/office/drawing/2014/main" id="{BD5A5A03-D236-4C3D-BD51-011158E60F0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943052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34" name="AutoShape 40" descr="Currently available antiretroviral drugs | Download Table">
          <a:extLst>
            <a:ext uri="{FF2B5EF4-FFF2-40B4-BE49-F238E27FC236}">
              <a16:creationId xmlns:a16="http://schemas.microsoft.com/office/drawing/2014/main" id="{593B97A8-40D2-462D-AF12-2CD021FD423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943052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35" name="AutoShape 40" descr="Currently available antiretroviral drugs | Download Table">
          <a:extLst>
            <a:ext uri="{FF2B5EF4-FFF2-40B4-BE49-F238E27FC236}">
              <a16:creationId xmlns:a16="http://schemas.microsoft.com/office/drawing/2014/main" id="{7FE11F55-42E5-4452-8A89-FC11BD78A1E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943052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36" name="AutoShape 40" descr="Currently available antiretroviral drugs | Download Table">
          <a:extLst>
            <a:ext uri="{FF2B5EF4-FFF2-40B4-BE49-F238E27FC236}">
              <a16:creationId xmlns:a16="http://schemas.microsoft.com/office/drawing/2014/main" id="{BB522FEC-D374-45DD-BBE8-F1AE0377BE5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943052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37" name="AutoShape 40" descr="Currently available antiretroviral drugs | Download Table">
          <a:extLst>
            <a:ext uri="{FF2B5EF4-FFF2-40B4-BE49-F238E27FC236}">
              <a16:creationId xmlns:a16="http://schemas.microsoft.com/office/drawing/2014/main" id="{613B3046-AC4B-4A8A-9673-CC5BA1F510D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943052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38" name="AutoShape 40" descr="Currently available antiretroviral drugs | Download Table">
          <a:extLst>
            <a:ext uri="{FF2B5EF4-FFF2-40B4-BE49-F238E27FC236}">
              <a16:creationId xmlns:a16="http://schemas.microsoft.com/office/drawing/2014/main" id="{33ECDC41-4A57-4D0F-B5F1-6F991D112BF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960982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39" name="AutoShape 40" descr="Currently available antiretroviral drugs | Download Table">
          <a:extLst>
            <a:ext uri="{FF2B5EF4-FFF2-40B4-BE49-F238E27FC236}">
              <a16:creationId xmlns:a16="http://schemas.microsoft.com/office/drawing/2014/main" id="{10E2186B-5BD9-41CD-8B04-522ECE0E860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943052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40" name="AutoShape 40" descr="Currently available antiretroviral drugs | Download Table">
          <a:extLst>
            <a:ext uri="{FF2B5EF4-FFF2-40B4-BE49-F238E27FC236}">
              <a16:creationId xmlns:a16="http://schemas.microsoft.com/office/drawing/2014/main" id="{99111F7E-7669-4315-87D4-10C074C6356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943052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41" name="AutoShape 40" descr="Currently available antiretroviral drugs | Download Table">
          <a:extLst>
            <a:ext uri="{FF2B5EF4-FFF2-40B4-BE49-F238E27FC236}">
              <a16:creationId xmlns:a16="http://schemas.microsoft.com/office/drawing/2014/main" id="{E6F75665-0AB8-4081-8126-661F20C881D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960982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42" name="AutoShape 40" descr="Currently available antiretroviral drugs | Download Table">
          <a:extLst>
            <a:ext uri="{FF2B5EF4-FFF2-40B4-BE49-F238E27FC236}">
              <a16:creationId xmlns:a16="http://schemas.microsoft.com/office/drawing/2014/main" id="{57109C35-1988-43C4-8B5F-B2B6F7BE928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960982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43" name="AutoShape 40" descr="Currently available antiretroviral drugs | Download Table">
          <a:extLst>
            <a:ext uri="{FF2B5EF4-FFF2-40B4-BE49-F238E27FC236}">
              <a16:creationId xmlns:a16="http://schemas.microsoft.com/office/drawing/2014/main" id="{233B529E-AB8D-4F34-8C85-4570F9A4B47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960982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44" name="AutoShape 40" descr="Currently available antiretroviral drugs | Download Table">
          <a:extLst>
            <a:ext uri="{FF2B5EF4-FFF2-40B4-BE49-F238E27FC236}">
              <a16:creationId xmlns:a16="http://schemas.microsoft.com/office/drawing/2014/main" id="{2BF5EA3E-6637-4161-A0D0-E2C489002E6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960982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45" name="AutoShape 40" descr="Currently available antiretroviral drugs | Download Table">
          <a:extLst>
            <a:ext uri="{FF2B5EF4-FFF2-40B4-BE49-F238E27FC236}">
              <a16:creationId xmlns:a16="http://schemas.microsoft.com/office/drawing/2014/main" id="{FE05A536-D091-403E-991F-3E3D69BF16B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960982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46" name="AutoShape 40" descr="Currently available antiretroviral drugs | Download Table">
          <a:extLst>
            <a:ext uri="{FF2B5EF4-FFF2-40B4-BE49-F238E27FC236}">
              <a16:creationId xmlns:a16="http://schemas.microsoft.com/office/drawing/2014/main" id="{C808CF29-A3BE-41BB-9260-71F819AC9AF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960982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47" name="AutoShape 40" descr="Currently available antiretroviral drugs | Download Table">
          <a:extLst>
            <a:ext uri="{FF2B5EF4-FFF2-40B4-BE49-F238E27FC236}">
              <a16:creationId xmlns:a16="http://schemas.microsoft.com/office/drawing/2014/main" id="{A01F10FC-0C33-4E2D-BFC8-6CA5C4A8D5F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960982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48" name="AutoShape 40" descr="Currently available antiretroviral drugs | Download Table">
          <a:extLst>
            <a:ext uri="{FF2B5EF4-FFF2-40B4-BE49-F238E27FC236}">
              <a16:creationId xmlns:a16="http://schemas.microsoft.com/office/drawing/2014/main" id="{8000C2DF-FDD5-419F-A070-97F325A74D3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960982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49" name="AutoShape 40" descr="Currently available antiretroviral drugs | Download Table">
          <a:extLst>
            <a:ext uri="{FF2B5EF4-FFF2-40B4-BE49-F238E27FC236}">
              <a16:creationId xmlns:a16="http://schemas.microsoft.com/office/drawing/2014/main" id="{AD243042-04BA-4555-B8DC-A639D6502DA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960982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50" name="AutoShape 40" descr="Currently available antiretroviral drugs | Download Table">
          <a:extLst>
            <a:ext uri="{FF2B5EF4-FFF2-40B4-BE49-F238E27FC236}">
              <a16:creationId xmlns:a16="http://schemas.microsoft.com/office/drawing/2014/main" id="{BACF51A3-6AA6-495E-8DA7-328053213C9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960982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51" name="AutoShape 40" descr="Currently available antiretroviral drugs | Download Table">
          <a:extLst>
            <a:ext uri="{FF2B5EF4-FFF2-40B4-BE49-F238E27FC236}">
              <a16:creationId xmlns:a16="http://schemas.microsoft.com/office/drawing/2014/main" id="{9A0A293A-88D6-4C06-B0D0-E009D14993A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960982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52" name="AutoShape 40" descr="Currently available antiretroviral drugs | Download Table">
          <a:extLst>
            <a:ext uri="{FF2B5EF4-FFF2-40B4-BE49-F238E27FC236}">
              <a16:creationId xmlns:a16="http://schemas.microsoft.com/office/drawing/2014/main" id="{1B435608-E01F-4727-9721-EA309BE6EBE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960982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53" name="AutoShape 40" descr="Currently available antiretroviral drugs | Download Table">
          <a:extLst>
            <a:ext uri="{FF2B5EF4-FFF2-40B4-BE49-F238E27FC236}">
              <a16:creationId xmlns:a16="http://schemas.microsoft.com/office/drawing/2014/main" id="{20FF66C7-BFEF-4FED-A300-49CA8BEFC71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960982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54" name="AutoShape 40" descr="Currently available antiretroviral drugs | Download Table">
          <a:extLst>
            <a:ext uri="{FF2B5EF4-FFF2-40B4-BE49-F238E27FC236}">
              <a16:creationId xmlns:a16="http://schemas.microsoft.com/office/drawing/2014/main" id="{88EE1385-ABC5-44EA-8681-8D5C0AB1D10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960982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55" name="AutoShape 40" descr="Currently available antiretroviral drugs | Download Table">
          <a:extLst>
            <a:ext uri="{FF2B5EF4-FFF2-40B4-BE49-F238E27FC236}">
              <a16:creationId xmlns:a16="http://schemas.microsoft.com/office/drawing/2014/main" id="{05B57CBA-11DB-4B0C-8111-D2EDF1CF90E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960982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56" name="AutoShape 40" descr="Currently available antiretroviral drugs | Download Table">
          <a:extLst>
            <a:ext uri="{FF2B5EF4-FFF2-40B4-BE49-F238E27FC236}">
              <a16:creationId xmlns:a16="http://schemas.microsoft.com/office/drawing/2014/main" id="{7193A8F0-2FD1-481E-A9AF-95F45FFD742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960982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57" name="AutoShape 40" descr="Currently available antiretroviral drugs | Download Table">
          <a:extLst>
            <a:ext uri="{FF2B5EF4-FFF2-40B4-BE49-F238E27FC236}">
              <a16:creationId xmlns:a16="http://schemas.microsoft.com/office/drawing/2014/main" id="{118A9699-8B22-456D-903C-9DBACAA1417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960982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58" name="AutoShape 40" descr="Currently available antiretroviral drugs | Download Table">
          <a:extLst>
            <a:ext uri="{FF2B5EF4-FFF2-40B4-BE49-F238E27FC236}">
              <a16:creationId xmlns:a16="http://schemas.microsoft.com/office/drawing/2014/main" id="{D5BE0570-597F-4EE9-9B6C-27A9DC83AD2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978911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59" name="AutoShape 40" descr="Currently available antiretroviral drugs | Download Table">
          <a:extLst>
            <a:ext uri="{FF2B5EF4-FFF2-40B4-BE49-F238E27FC236}">
              <a16:creationId xmlns:a16="http://schemas.microsoft.com/office/drawing/2014/main" id="{2CDA0375-907A-4FF8-A8CE-A8B41E75198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960982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60" name="AutoShape 40" descr="Currently available antiretroviral drugs | Download Table">
          <a:extLst>
            <a:ext uri="{FF2B5EF4-FFF2-40B4-BE49-F238E27FC236}">
              <a16:creationId xmlns:a16="http://schemas.microsoft.com/office/drawing/2014/main" id="{36FB9C37-FF6E-4FB8-A726-2F84BF8B955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960982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61" name="AutoShape 40" descr="Currently available antiretroviral drugs | Download Table">
          <a:extLst>
            <a:ext uri="{FF2B5EF4-FFF2-40B4-BE49-F238E27FC236}">
              <a16:creationId xmlns:a16="http://schemas.microsoft.com/office/drawing/2014/main" id="{63A7BB00-FF01-450D-86DE-7B32D46EE48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978911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62" name="AutoShape 40" descr="Currently available antiretroviral drugs | Download Table">
          <a:extLst>
            <a:ext uri="{FF2B5EF4-FFF2-40B4-BE49-F238E27FC236}">
              <a16:creationId xmlns:a16="http://schemas.microsoft.com/office/drawing/2014/main" id="{D5A79231-EC23-43BE-9C36-AFDC3844F95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978911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63" name="AutoShape 40" descr="Currently available antiretroviral drugs | Download Table">
          <a:extLst>
            <a:ext uri="{FF2B5EF4-FFF2-40B4-BE49-F238E27FC236}">
              <a16:creationId xmlns:a16="http://schemas.microsoft.com/office/drawing/2014/main" id="{E2E8864B-A5D7-4352-9892-E8FB6EB5F86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978911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64" name="AutoShape 40" descr="Currently available antiretroviral drugs | Download Table">
          <a:extLst>
            <a:ext uri="{FF2B5EF4-FFF2-40B4-BE49-F238E27FC236}">
              <a16:creationId xmlns:a16="http://schemas.microsoft.com/office/drawing/2014/main" id="{22E90315-7CF9-4F10-B855-15EE1E028E9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978911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65" name="AutoShape 40" descr="Currently available antiretroviral drugs | Download Table">
          <a:extLst>
            <a:ext uri="{FF2B5EF4-FFF2-40B4-BE49-F238E27FC236}">
              <a16:creationId xmlns:a16="http://schemas.microsoft.com/office/drawing/2014/main" id="{EDC8B964-1491-44C7-9FD4-49A0C77585F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978911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66" name="AutoShape 40" descr="Currently available antiretroviral drugs | Download Table">
          <a:extLst>
            <a:ext uri="{FF2B5EF4-FFF2-40B4-BE49-F238E27FC236}">
              <a16:creationId xmlns:a16="http://schemas.microsoft.com/office/drawing/2014/main" id="{3089A27D-4B37-4177-81E1-8AB7586CE7A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978911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67" name="AutoShape 40" descr="Currently available antiretroviral drugs | Download Table">
          <a:extLst>
            <a:ext uri="{FF2B5EF4-FFF2-40B4-BE49-F238E27FC236}">
              <a16:creationId xmlns:a16="http://schemas.microsoft.com/office/drawing/2014/main" id="{E4D5D656-CFF0-4B91-88A1-0F63A173D62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978911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68" name="AutoShape 40" descr="Currently available antiretroviral drugs | Download Table">
          <a:extLst>
            <a:ext uri="{FF2B5EF4-FFF2-40B4-BE49-F238E27FC236}">
              <a16:creationId xmlns:a16="http://schemas.microsoft.com/office/drawing/2014/main" id="{CA5F63F4-9B95-48C8-A4D4-8E79EC4E592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978911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69" name="AutoShape 40" descr="Currently available antiretroviral drugs | Download Table">
          <a:extLst>
            <a:ext uri="{FF2B5EF4-FFF2-40B4-BE49-F238E27FC236}">
              <a16:creationId xmlns:a16="http://schemas.microsoft.com/office/drawing/2014/main" id="{D361C2EF-019F-4917-AF7E-28E0CE9FEB6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978911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70" name="AutoShape 40" descr="Currently available antiretroviral drugs | Download Table">
          <a:extLst>
            <a:ext uri="{FF2B5EF4-FFF2-40B4-BE49-F238E27FC236}">
              <a16:creationId xmlns:a16="http://schemas.microsoft.com/office/drawing/2014/main" id="{3E0241A0-7BEF-4209-8945-7623D0E9108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147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71" name="AutoShape 40" descr="Currently available antiretroviral drugs | Download Table">
          <a:extLst>
            <a:ext uri="{FF2B5EF4-FFF2-40B4-BE49-F238E27FC236}">
              <a16:creationId xmlns:a16="http://schemas.microsoft.com/office/drawing/2014/main" id="{88C6934F-DAEA-4F24-A288-7B2A125FF08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147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72" name="AutoShape 40" descr="Currently available antiretroviral drugs | Download Table">
          <a:extLst>
            <a:ext uri="{FF2B5EF4-FFF2-40B4-BE49-F238E27FC236}">
              <a16:creationId xmlns:a16="http://schemas.microsoft.com/office/drawing/2014/main" id="{4A0FFBED-FE3A-435A-B4F5-2CD48128CF0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147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73" name="AutoShape 40" descr="Currently available antiretroviral drugs | Download Table">
          <a:extLst>
            <a:ext uri="{FF2B5EF4-FFF2-40B4-BE49-F238E27FC236}">
              <a16:creationId xmlns:a16="http://schemas.microsoft.com/office/drawing/2014/main" id="{97A0A93E-934D-4E76-8390-79AB21675C8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147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74" name="AutoShape 40" descr="Currently available antiretroviral drugs | Download Table">
          <a:extLst>
            <a:ext uri="{FF2B5EF4-FFF2-40B4-BE49-F238E27FC236}">
              <a16:creationId xmlns:a16="http://schemas.microsoft.com/office/drawing/2014/main" id="{100917FC-94D5-4960-A4B6-0AC82BA91A7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147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75" name="AutoShape 40" descr="Currently available antiretroviral drugs | Download Table">
          <a:extLst>
            <a:ext uri="{FF2B5EF4-FFF2-40B4-BE49-F238E27FC236}">
              <a16:creationId xmlns:a16="http://schemas.microsoft.com/office/drawing/2014/main" id="{ADA1E1FF-160D-4C4D-9204-502D90C1E3D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147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76" name="AutoShape 40" descr="Currently available antiretroviral drugs | Download Table">
          <a:extLst>
            <a:ext uri="{FF2B5EF4-FFF2-40B4-BE49-F238E27FC236}">
              <a16:creationId xmlns:a16="http://schemas.microsoft.com/office/drawing/2014/main" id="{1E87D485-B3E6-4A61-97BC-A3CECDBBEE5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147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77" name="AutoShape 40" descr="Currently available antiretroviral drugs | Download Table">
          <a:extLst>
            <a:ext uri="{FF2B5EF4-FFF2-40B4-BE49-F238E27FC236}">
              <a16:creationId xmlns:a16="http://schemas.microsoft.com/office/drawing/2014/main" id="{D612216D-7261-41CC-862C-3D7C9A35AD6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147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78" name="AutoShape 40" descr="Currently available antiretroviral drugs | Download Table">
          <a:extLst>
            <a:ext uri="{FF2B5EF4-FFF2-40B4-BE49-F238E27FC236}">
              <a16:creationId xmlns:a16="http://schemas.microsoft.com/office/drawing/2014/main" id="{4ABEA731-5DA9-4A62-AA70-A296EA03621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147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79" name="AutoShape 40" descr="Currently available antiretroviral drugs | Download Table">
          <a:extLst>
            <a:ext uri="{FF2B5EF4-FFF2-40B4-BE49-F238E27FC236}">
              <a16:creationId xmlns:a16="http://schemas.microsoft.com/office/drawing/2014/main" id="{8F369349-C2D8-470C-BD66-DC04F5A4C65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147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80" name="AutoShape 40" descr="Currently available antiretroviral drugs | Download Table">
          <a:extLst>
            <a:ext uri="{FF2B5EF4-FFF2-40B4-BE49-F238E27FC236}">
              <a16:creationId xmlns:a16="http://schemas.microsoft.com/office/drawing/2014/main" id="{5DA37A73-B5F3-4314-AD37-240A49D3038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147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81" name="AutoShape 40" descr="Currently available antiretroviral drugs | Download Table">
          <a:extLst>
            <a:ext uri="{FF2B5EF4-FFF2-40B4-BE49-F238E27FC236}">
              <a16:creationId xmlns:a16="http://schemas.microsoft.com/office/drawing/2014/main" id="{BCDB9C40-C036-4ACA-A27B-688EB8200C4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327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82" name="AutoShape 40" descr="Currently available antiretroviral drugs | Download Table">
          <a:extLst>
            <a:ext uri="{FF2B5EF4-FFF2-40B4-BE49-F238E27FC236}">
              <a16:creationId xmlns:a16="http://schemas.microsoft.com/office/drawing/2014/main" id="{4B7774C8-87D0-4432-8E7D-32FEC1E8C49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147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83" name="AutoShape 40" descr="Currently available antiretroviral drugs | Download Table">
          <a:extLst>
            <a:ext uri="{FF2B5EF4-FFF2-40B4-BE49-F238E27FC236}">
              <a16:creationId xmlns:a16="http://schemas.microsoft.com/office/drawing/2014/main" id="{DEC90870-17E3-46AD-A4AF-9ABDB3DD123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147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84" name="AutoShape 40" descr="Currently available antiretroviral drugs | Download Table">
          <a:extLst>
            <a:ext uri="{FF2B5EF4-FFF2-40B4-BE49-F238E27FC236}">
              <a16:creationId xmlns:a16="http://schemas.microsoft.com/office/drawing/2014/main" id="{31EAEDCF-1F7F-427B-8937-874A20283D1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327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85" name="AutoShape 40" descr="Currently available antiretroviral drugs | Download Table">
          <a:extLst>
            <a:ext uri="{FF2B5EF4-FFF2-40B4-BE49-F238E27FC236}">
              <a16:creationId xmlns:a16="http://schemas.microsoft.com/office/drawing/2014/main" id="{8A6E6FA5-754C-4A93-B195-A1E94D0008E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327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86" name="AutoShape 40" descr="Currently available antiretroviral drugs | Download Table">
          <a:extLst>
            <a:ext uri="{FF2B5EF4-FFF2-40B4-BE49-F238E27FC236}">
              <a16:creationId xmlns:a16="http://schemas.microsoft.com/office/drawing/2014/main" id="{58EC8E45-2648-4A07-A4CA-1843259FE52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327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87" name="AutoShape 40" descr="Currently available antiretroviral drugs | Download Table">
          <a:extLst>
            <a:ext uri="{FF2B5EF4-FFF2-40B4-BE49-F238E27FC236}">
              <a16:creationId xmlns:a16="http://schemas.microsoft.com/office/drawing/2014/main" id="{049E5A00-8B7A-4C21-8D62-78863BB3BBF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327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88" name="AutoShape 40" descr="Currently available antiretroviral drugs | Download Table">
          <a:extLst>
            <a:ext uri="{FF2B5EF4-FFF2-40B4-BE49-F238E27FC236}">
              <a16:creationId xmlns:a16="http://schemas.microsoft.com/office/drawing/2014/main" id="{1A6721C5-D49F-4DE9-A7A4-E738CE993D8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327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89" name="AutoShape 40" descr="Currently available antiretroviral drugs | Download Table">
          <a:extLst>
            <a:ext uri="{FF2B5EF4-FFF2-40B4-BE49-F238E27FC236}">
              <a16:creationId xmlns:a16="http://schemas.microsoft.com/office/drawing/2014/main" id="{1ACE1ECC-B3CD-4F3B-8059-8FE16BB735A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327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90" name="AutoShape 40" descr="Currently available antiretroviral drugs | Download Table">
          <a:extLst>
            <a:ext uri="{FF2B5EF4-FFF2-40B4-BE49-F238E27FC236}">
              <a16:creationId xmlns:a16="http://schemas.microsoft.com/office/drawing/2014/main" id="{5E9B108B-C600-4610-81C0-CE6E1F0AD26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327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91" name="AutoShape 40" descr="Currently available antiretroviral drugs | Download Table">
          <a:extLst>
            <a:ext uri="{FF2B5EF4-FFF2-40B4-BE49-F238E27FC236}">
              <a16:creationId xmlns:a16="http://schemas.microsoft.com/office/drawing/2014/main" id="{1FD171A6-38DE-4818-9E7A-15E3D9A36C1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327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92" name="AutoShape 40" descr="Currently available antiretroviral drugs | Download Table">
          <a:extLst>
            <a:ext uri="{FF2B5EF4-FFF2-40B4-BE49-F238E27FC236}">
              <a16:creationId xmlns:a16="http://schemas.microsoft.com/office/drawing/2014/main" id="{B305126C-6D5E-4A17-8422-D71EDAE74D4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327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93" name="AutoShape 40" descr="Currently available antiretroviral drugs | Download Table">
          <a:extLst>
            <a:ext uri="{FF2B5EF4-FFF2-40B4-BE49-F238E27FC236}">
              <a16:creationId xmlns:a16="http://schemas.microsoft.com/office/drawing/2014/main" id="{0D38EAB1-56D0-43E3-93F2-022D50ED519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327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94" name="AutoShape 40" descr="Currently available antiretroviral drugs | Download Table">
          <a:extLst>
            <a:ext uri="{FF2B5EF4-FFF2-40B4-BE49-F238E27FC236}">
              <a16:creationId xmlns:a16="http://schemas.microsoft.com/office/drawing/2014/main" id="{AAA18167-B467-484D-B6DD-B4B7066C717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327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95" name="AutoShape 40" descr="Currently available antiretroviral drugs | Download Table">
          <a:extLst>
            <a:ext uri="{FF2B5EF4-FFF2-40B4-BE49-F238E27FC236}">
              <a16:creationId xmlns:a16="http://schemas.microsoft.com/office/drawing/2014/main" id="{1F23CAC3-A8D4-49AD-846F-932AD90E611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327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96" name="AutoShape 40" descr="Currently available antiretroviral drugs | Download Table">
          <a:extLst>
            <a:ext uri="{FF2B5EF4-FFF2-40B4-BE49-F238E27FC236}">
              <a16:creationId xmlns:a16="http://schemas.microsoft.com/office/drawing/2014/main" id="{45BF602C-1C71-4182-8BDA-BE627E6CA39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327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97" name="AutoShape 40" descr="Currently available antiretroviral drugs | Download Table">
          <a:extLst>
            <a:ext uri="{FF2B5EF4-FFF2-40B4-BE49-F238E27FC236}">
              <a16:creationId xmlns:a16="http://schemas.microsoft.com/office/drawing/2014/main" id="{D026794B-F600-4475-A461-EE7AEDEE931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327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98" name="AutoShape 40" descr="Currently available antiretroviral drugs | Download Table">
          <a:extLst>
            <a:ext uri="{FF2B5EF4-FFF2-40B4-BE49-F238E27FC236}">
              <a16:creationId xmlns:a16="http://schemas.microsoft.com/office/drawing/2014/main" id="{E782A135-31E3-4877-B724-AE2933D8A5D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327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699" name="AutoShape 40" descr="Currently available antiretroviral drugs | Download Table">
          <a:extLst>
            <a:ext uri="{FF2B5EF4-FFF2-40B4-BE49-F238E27FC236}">
              <a16:creationId xmlns:a16="http://schemas.microsoft.com/office/drawing/2014/main" id="{78B56839-F571-4774-A60F-72E53835537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327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00" name="AutoShape 40" descr="Currently available antiretroviral drugs | Download Table">
          <a:extLst>
            <a:ext uri="{FF2B5EF4-FFF2-40B4-BE49-F238E27FC236}">
              <a16:creationId xmlns:a16="http://schemas.microsoft.com/office/drawing/2014/main" id="{82B1C5E2-567E-44F0-99AA-D669D53D49E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327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01" name="AutoShape 40" descr="Currently available antiretroviral drugs | Download Table">
          <a:extLst>
            <a:ext uri="{FF2B5EF4-FFF2-40B4-BE49-F238E27FC236}">
              <a16:creationId xmlns:a16="http://schemas.microsoft.com/office/drawing/2014/main" id="{A9CC6F42-BCCD-42FE-B64B-5F656F141BB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327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02" name="AutoShape 40" descr="Currently available antiretroviral drugs | Download Table">
          <a:extLst>
            <a:ext uri="{FF2B5EF4-FFF2-40B4-BE49-F238E27FC236}">
              <a16:creationId xmlns:a16="http://schemas.microsoft.com/office/drawing/2014/main" id="{4AF8246F-4D88-454B-8911-FC9A67E4BBC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327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03" name="AutoShape 40" descr="Currently available antiretroviral drugs | Download Table">
          <a:extLst>
            <a:ext uri="{FF2B5EF4-FFF2-40B4-BE49-F238E27FC236}">
              <a16:creationId xmlns:a16="http://schemas.microsoft.com/office/drawing/2014/main" id="{836DC3CB-6898-43F1-BB2B-30C5E810DD5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99684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04" name="AutoShape 40" descr="Currently available antiretroviral drugs | Download Table">
          <a:extLst>
            <a:ext uri="{FF2B5EF4-FFF2-40B4-BE49-F238E27FC236}">
              <a16:creationId xmlns:a16="http://schemas.microsoft.com/office/drawing/2014/main" id="{5C873F2A-874E-4099-9EA0-0CAD8933691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99684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05" name="AutoShape 40" descr="Currently available antiretroviral drugs | Download Table">
          <a:extLst>
            <a:ext uri="{FF2B5EF4-FFF2-40B4-BE49-F238E27FC236}">
              <a16:creationId xmlns:a16="http://schemas.microsoft.com/office/drawing/2014/main" id="{9F9DD0DC-7C39-4EF3-9CA5-19CA87FB81E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99684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06" name="AutoShape 40" descr="Currently available antiretroviral drugs | Download Table">
          <a:extLst>
            <a:ext uri="{FF2B5EF4-FFF2-40B4-BE49-F238E27FC236}">
              <a16:creationId xmlns:a16="http://schemas.microsoft.com/office/drawing/2014/main" id="{AB7FF763-9F38-4239-AB8B-35D8FE25B07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99684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07" name="AutoShape 40" descr="Currently available antiretroviral drugs | Download Table">
          <a:extLst>
            <a:ext uri="{FF2B5EF4-FFF2-40B4-BE49-F238E27FC236}">
              <a16:creationId xmlns:a16="http://schemas.microsoft.com/office/drawing/2014/main" id="{A6764FE6-E3E1-420B-A552-6E769A3A001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99684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08" name="AutoShape 40" descr="Currently available antiretroviral drugs | Download Table">
          <a:extLst>
            <a:ext uri="{FF2B5EF4-FFF2-40B4-BE49-F238E27FC236}">
              <a16:creationId xmlns:a16="http://schemas.microsoft.com/office/drawing/2014/main" id="{4CAD4A72-A712-4768-8E5D-19F5F7C46D9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99684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09" name="AutoShape 40" descr="Currently available antiretroviral drugs | Download Table">
          <a:extLst>
            <a:ext uri="{FF2B5EF4-FFF2-40B4-BE49-F238E27FC236}">
              <a16:creationId xmlns:a16="http://schemas.microsoft.com/office/drawing/2014/main" id="{D30717C5-1F2C-4F1D-BD64-217ACE12B23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99684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10" name="AutoShape 40" descr="Currently available antiretroviral drugs | Download Table">
          <a:extLst>
            <a:ext uri="{FF2B5EF4-FFF2-40B4-BE49-F238E27FC236}">
              <a16:creationId xmlns:a16="http://schemas.microsoft.com/office/drawing/2014/main" id="{08CFE067-E6B1-4502-8EAE-0AC0B0CA44C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99684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11" name="AutoShape 40" descr="Currently available antiretroviral drugs | Download Table">
          <a:extLst>
            <a:ext uri="{FF2B5EF4-FFF2-40B4-BE49-F238E27FC236}">
              <a16:creationId xmlns:a16="http://schemas.microsoft.com/office/drawing/2014/main" id="{014CDD4F-C2EB-46CB-840E-7931B6EFBDB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99684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12" name="AutoShape 40" descr="Currently available antiretroviral drugs | Download Table">
          <a:extLst>
            <a:ext uri="{FF2B5EF4-FFF2-40B4-BE49-F238E27FC236}">
              <a16:creationId xmlns:a16="http://schemas.microsoft.com/office/drawing/2014/main" id="{8551DDD2-9E25-4271-A04A-19FE534402A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99684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13" name="AutoShape 40" descr="Currently available antiretroviral drugs | Download Table">
          <a:extLst>
            <a:ext uri="{FF2B5EF4-FFF2-40B4-BE49-F238E27FC236}">
              <a16:creationId xmlns:a16="http://schemas.microsoft.com/office/drawing/2014/main" id="{1EC3B4A7-D4F3-4BA1-9D59-43315AD134C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99684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14" name="AutoShape 40" descr="Currently available antiretroviral drugs | Download Table">
          <a:extLst>
            <a:ext uri="{FF2B5EF4-FFF2-40B4-BE49-F238E27FC236}">
              <a16:creationId xmlns:a16="http://schemas.microsoft.com/office/drawing/2014/main" id="{4688EE12-1684-49A9-9A54-114CB9C251C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147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15" name="AutoShape 40" descr="Currently available antiretroviral drugs | Download Table">
          <a:extLst>
            <a:ext uri="{FF2B5EF4-FFF2-40B4-BE49-F238E27FC236}">
              <a16:creationId xmlns:a16="http://schemas.microsoft.com/office/drawing/2014/main" id="{D98661CA-FCF3-4E46-BFA7-C278890DB2C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99684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16" name="AutoShape 40" descr="Currently available antiretroviral drugs | Download Table">
          <a:extLst>
            <a:ext uri="{FF2B5EF4-FFF2-40B4-BE49-F238E27FC236}">
              <a16:creationId xmlns:a16="http://schemas.microsoft.com/office/drawing/2014/main" id="{37C361DE-BC32-4BE5-973E-CF2270DC9CC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299684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17" name="AutoShape 40" descr="Currently available antiretroviral drugs | Download Table">
          <a:extLst>
            <a:ext uri="{FF2B5EF4-FFF2-40B4-BE49-F238E27FC236}">
              <a16:creationId xmlns:a16="http://schemas.microsoft.com/office/drawing/2014/main" id="{427265E0-1BB7-449B-B2F0-A3BE35CC486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147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18" name="AutoShape 40" descr="Currently available antiretroviral drugs | Download Table">
          <a:extLst>
            <a:ext uri="{FF2B5EF4-FFF2-40B4-BE49-F238E27FC236}">
              <a16:creationId xmlns:a16="http://schemas.microsoft.com/office/drawing/2014/main" id="{CD75D26A-F7D7-419E-A843-E320F14EE86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147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19" name="AutoShape 40" descr="Currently available antiretroviral drugs | Download Table">
          <a:extLst>
            <a:ext uri="{FF2B5EF4-FFF2-40B4-BE49-F238E27FC236}">
              <a16:creationId xmlns:a16="http://schemas.microsoft.com/office/drawing/2014/main" id="{2E6592F2-3F9E-457B-A2C8-A6DF116A229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147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20" name="AutoShape 40" descr="Currently available antiretroviral drugs | Download Table">
          <a:extLst>
            <a:ext uri="{FF2B5EF4-FFF2-40B4-BE49-F238E27FC236}">
              <a16:creationId xmlns:a16="http://schemas.microsoft.com/office/drawing/2014/main" id="{616CC994-0C27-4472-AFD7-CDC881B33AB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147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21" name="AutoShape 40" descr="Currently available antiretroviral drugs | Download Table">
          <a:extLst>
            <a:ext uri="{FF2B5EF4-FFF2-40B4-BE49-F238E27FC236}">
              <a16:creationId xmlns:a16="http://schemas.microsoft.com/office/drawing/2014/main" id="{256D44FC-6623-42AA-B5D8-E78508124C8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147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22" name="AutoShape 40" descr="Currently available antiretroviral drugs | Download Table">
          <a:extLst>
            <a:ext uri="{FF2B5EF4-FFF2-40B4-BE49-F238E27FC236}">
              <a16:creationId xmlns:a16="http://schemas.microsoft.com/office/drawing/2014/main" id="{2231F86E-A3E7-46F5-9D4E-D4837939052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147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23" name="AutoShape 40" descr="Currently available antiretroviral drugs | Download Table">
          <a:extLst>
            <a:ext uri="{FF2B5EF4-FFF2-40B4-BE49-F238E27FC236}">
              <a16:creationId xmlns:a16="http://schemas.microsoft.com/office/drawing/2014/main" id="{5836D619-B8D1-49BF-882B-30AE138DE7C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147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24" name="AutoShape 40" descr="Currently available antiretroviral drugs | Download Table">
          <a:extLst>
            <a:ext uri="{FF2B5EF4-FFF2-40B4-BE49-F238E27FC236}">
              <a16:creationId xmlns:a16="http://schemas.microsoft.com/office/drawing/2014/main" id="{3913E4C4-A3F9-4248-920A-627697E7AE5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147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25" name="AutoShape 40" descr="Currently available antiretroviral drugs | Download Table">
          <a:extLst>
            <a:ext uri="{FF2B5EF4-FFF2-40B4-BE49-F238E27FC236}">
              <a16:creationId xmlns:a16="http://schemas.microsoft.com/office/drawing/2014/main" id="{ADB79947-DFF2-4C6D-B061-92D7CDCDE51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147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26" name="AutoShape 40" descr="Currently available antiretroviral drugs | Download Table">
          <a:extLst>
            <a:ext uri="{FF2B5EF4-FFF2-40B4-BE49-F238E27FC236}">
              <a16:creationId xmlns:a16="http://schemas.microsoft.com/office/drawing/2014/main" id="{581F66DF-B3A7-432D-9B87-C5789A0686F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147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27" name="AutoShape 40" descr="Currently available antiretroviral drugs | Download Table">
          <a:extLst>
            <a:ext uri="{FF2B5EF4-FFF2-40B4-BE49-F238E27FC236}">
              <a16:creationId xmlns:a16="http://schemas.microsoft.com/office/drawing/2014/main" id="{14D83B63-C05C-44A8-8AAA-E1908700B6E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147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28" name="AutoShape 40" descr="Currently available antiretroviral drugs | Download Table">
          <a:extLst>
            <a:ext uri="{FF2B5EF4-FFF2-40B4-BE49-F238E27FC236}">
              <a16:creationId xmlns:a16="http://schemas.microsoft.com/office/drawing/2014/main" id="{15ABD40A-9778-4205-B73F-A2247827D5D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147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29" name="AutoShape 40" descr="Currently available antiretroviral drugs | Download Table">
          <a:extLst>
            <a:ext uri="{FF2B5EF4-FFF2-40B4-BE49-F238E27FC236}">
              <a16:creationId xmlns:a16="http://schemas.microsoft.com/office/drawing/2014/main" id="{2E4A907E-BDCF-4A99-971D-47AF71AB511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147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30" name="AutoShape 40" descr="Currently available antiretroviral drugs | Download Table">
          <a:extLst>
            <a:ext uri="{FF2B5EF4-FFF2-40B4-BE49-F238E27FC236}">
              <a16:creationId xmlns:a16="http://schemas.microsoft.com/office/drawing/2014/main" id="{C063E0EE-B146-4599-A253-4CF4AE149EC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147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31" name="AutoShape 40" descr="Currently available antiretroviral drugs | Download Table">
          <a:extLst>
            <a:ext uri="{FF2B5EF4-FFF2-40B4-BE49-F238E27FC236}">
              <a16:creationId xmlns:a16="http://schemas.microsoft.com/office/drawing/2014/main" id="{6DBCCA45-B47C-4099-975C-DB6FE260724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147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32" name="AutoShape 40" descr="Currently available antiretroviral drugs | Download Table">
          <a:extLst>
            <a:ext uri="{FF2B5EF4-FFF2-40B4-BE49-F238E27FC236}">
              <a16:creationId xmlns:a16="http://schemas.microsoft.com/office/drawing/2014/main" id="{BE95B051-B192-4496-B043-523409BE67F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147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33" name="AutoShape 40" descr="Currently available antiretroviral drugs | Download Table">
          <a:extLst>
            <a:ext uri="{FF2B5EF4-FFF2-40B4-BE49-F238E27FC236}">
              <a16:creationId xmlns:a16="http://schemas.microsoft.com/office/drawing/2014/main" id="{682F4796-E6DD-4CCD-94C9-A13F1FB66FC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147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34" name="AutoShape 40" descr="Currently available antiretroviral drugs | Download Table">
          <a:extLst>
            <a:ext uri="{FF2B5EF4-FFF2-40B4-BE49-F238E27FC236}">
              <a16:creationId xmlns:a16="http://schemas.microsoft.com/office/drawing/2014/main" id="{B53FD153-6B98-429C-8D52-5852AB7D1F0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147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35" name="AutoShape 40" descr="Currently available antiretroviral drugs | Download Table">
          <a:extLst>
            <a:ext uri="{FF2B5EF4-FFF2-40B4-BE49-F238E27FC236}">
              <a16:creationId xmlns:a16="http://schemas.microsoft.com/office/drawing/2014/main" id="{FFD1808F-61A5-42CC-8DE5-34A364AF9F6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147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36" name="AutoShape 40" descr="Currently available antiretroviral drugs | Download Table">
          <a:extLst>
            <a:ext uri="{FF2B5EF4-FFF2-40B4-BE49-F238E27FC236}">
              <a16:creationId xmlns:a16="http://schemas.microsoft.com/office/drawing/2014/main" id="{CFAE987C-67CE-4E21-8ED9-3BEBAAD08F4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327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37" name="AutoShape 40" descr="Currently available antiretroviral drugs | Download Table">
          <a:extLst>
            <a:ext uri="{FF2B5EF4-FFF2-40B4-BE49-F238E27FC236}">
              <a16:creationId xmlns:a16="http://schemas.microsoft.com/office/drawing/2014/main" id="{2F6DFA05-AE67-4DFC-BD19-FD83040D6E0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327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38" name="AutoShape 40" descr="Currently available antiretroviral drugs | Download Table">
          <a:extLst>
            <a:ext uri="{FF2B5EF4-FFF2-40B4-BE49-F238E27FC236}">
              <a16:creationId xmlns:a16="http://schemas.microsoft.com/office/drawing/2014/main" id="{DEF2EA68-ABDE-400D-97C4-AF37841B2C7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327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39" name="AutoShape 40" descr="Currently available antiretroviral drugs | Download Table">
          <a:extLst>
            <a:ext uri="{FF2B5EF4-FFF2-40B4-BE49-F238E27FC236}">
              <a16:creationId xmlns:a16="http://schemas.microsoft.com/office/drawing/2014/main" id="{DF6424E3-6DFF-4CF2-A10E-2FE2FE3E701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327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40" name="AutoShape 40" descr="Currently available antiretroviral drugs | Download Table">
          <a:extLst>
            <a:ext uri="{FF2B5EF4-FFF2-40B4-BE49-F238E27FC236}">
              <a16:creationId xmlns:a16="http://schemas.microsoft.com/office/drawing/2014/main" id="{50C3B27F-74E2-4384-8E54-7C897196603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327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41" name="AutoShape 40" descr="Currently available antiretroviral drugs | Download Table">
          <a:extLst>
            <a:ext uri="{FF2B5EF4-FFF2-40B4-BE49-F238E27FC236}">
              <a16:creationId xmlns:a16="http://schemas.microsoft.com/office/drawing/2014/main" id="{E19537EC-D1CC-4A00-BE0E-400E7BC45A7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327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42" name="AutoShape 40" descr="Currently available antiretroviral drugs | Download Table">
          <a:extLst>
            <a:ext uri="{FF2B5EF4-FFF2-40B4-BE49-F238E27FC236}">
              <a16:creationId xmlns:a16="http://schemas.microsoft.com/office/drawing/2014/main" id="{112633B8-3DF4-44E2-8BF9-4AFF38348F4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327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43" name="AutoShape 40" descr="Currently available antiretroviral drugs | Download Table">
          <a:extLst>
            <a:ext uri="{FF2B5EF4-FFF2-40B4-BE49-F238E27FC236}">
              <a16:creationId xmlns:a16="http://schemas.microsoft.com/office/drawing/2014/main" id="{6A964E49-BA22-43D0-9C26-7988FA0427A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327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44" name="AutoShape 40" descr="Currently available antiretroviral drugs | Download Table">
          <a:extLst>
            <a:ext uri="{FF2B5EF4-FFF2-40B4-BE49-F238E27FC236}">
              <a16:creationId xmlns:a16="http://schemas.microsoft.com/office/drawing/2014/main" id="{A859C4CD-E218-497E-95FB-6C9DEADA825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327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45" name="AutoShape 40" descr="Currently available antiretroviral drugs | Download Table">
          <a:extLst>
            <a:ext uri="{FF2B5EF4-FFF2-40B4-BE49-F238E27FC236}">
              <a16:creationId xmlns:a16="http://schemas.microsoft.com/office/drawing/2014/main" id="{B9C19EAA-F248-4C76-9607-1A8E1E222AB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327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46" name="AutoShape 40" descr="Currently available antiretroviral drugs | Download Table">
          <a:extLst>
            <a:ext uri="{FF2B5EF4-FFF2-40B4-BE49-F238E27FC236}">
              <a16:creationId xmlns:a16="http://schemas.microsoft.com/office/drawing/2014/main" id="{95FE15FB-8547-4151-B4E2-47EC96191B0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327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47" name="AutoShape 40" descr="Currently available antiretroviral drugs | Download Table">
          <a:extLst>
            <a:ext uri="{FF2B5EF4-FFF2-40B4-BE49-F238E27FC236}">
              <a16:creationId xmlns:a16="http://schemas.microsoft.com/office/drawing/2014/main" id="{75F84BDA-7021-4CE7-9928-81D48E7E9DB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327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48" name="AutoShape 40" descr="Currently available antiretroviral drugs | Download Table">
          <a:extLst>
            <a:ext uri="{FF2B5EF4-FFF2-40B4-BE49-F238E27FC236}">
              <a16:creationId xmlns:a16="http://schemas.microsoft.com/office/drawing/2014/main" id="{B6D85FF3-9D52-4CEB-9F1F-639519B948A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327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49" name="AutoShape 40" descr="Currently available antiretroviral drugs | Download Table">
          <a:extLst>
            <a:ext uri="{FF2B5EF4-FFF2-40B4-BE49-F238E27FC236}">
              <a16:creationId xmlns:a16="http://schemas.microsoft.com/office/drawing/2014/main" id="{F237DD09-8E62-4E8D-BD2B-E46F39BF2F3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147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50" name="AutoShape 40" descr="Currently available antiretroviral drugs | Download Table">
          <a:extLst>
            <a:ext uri="{FF2B5EF4-FFF2-40B4-BE49-F238E27FC236}">
              <a16:creationId xmlns:a16="http://schemas.microsoft.com/office/drawing/2014/main" id="{4DF58CFC-F3DB-4E3C-A107-8EAB07B912B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147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51" name="AutoShape 40" descr="Currently available antiretroviral drugs | Download Table">
          <a:extLst>
            <a:ext uri="{FF2B5EF4-FFF2-40B4-BE49-F238E27FC236}">
              <a16:creationId xmlns:a16="http://schemas.microsoft.com/office/drawing/2014/main" id="{E0DDFCFF-0157-4737-99FC-BAAD4EE9561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147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52" name="AutoShape 40" descr="Currently available antiretroviral drugs | Download Table">
          <a:extLst>
            <a:ext uri="{FF2B5EF4-FFF2-40B4-BE49-F238E27FC236}">
              <a16:creationId xmlns:a16="http://schemas.microsoft.com/office/drawing/2014/main" id="{4F825102-389F-4ABC-A046-A4C90BAE5ED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147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53" name="AutoShape 40" descr="Currently available antiretroviral drugs | Download Table">
          <a:extLst>
            <a:ext uri="{FF2B5EF4-FFF2-40B4-BE49-F238E27FC236}">
              <a16:creationId xmlns:a16="http://schemas.microsoft.com/office/drawing/2014/main" id="{7FE39437-0EE1-41C2-95B7-E70F2AF7ED6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147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54" name="AutoShape 40" descr="Currently available antiretroviral drugs | Download Table">
          <a:extLst>
            <a:ext uri="{FF2B5EF4-FFF2-40B4-BE49-F238E27FC236}">
              <a16:creationId xmlns:a16="http://schemas.microsoft.com/office/drawing/2014/main" id="{F7D2127E-B2A8-4902-B88B-4A380B56AE3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147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55" name="AutoShape 40" descr="Currently available antiretroviral drugs | Download Table">
          <a:extLst>
            <a:ext uri="{FF2B5EF4-FFF2-40B4-BE49-F238E27FC236}">
              <a16:creationId xmlns:a16="http://schemas.microsoft.com/office/drawing/2014/main" id="{C76B80D9-4A02-49BF-B364-D502CD62635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147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56" name="AutoShape 40" descr="Currently available antiretroviral drugs | Download Table">
          <a:extLst>
            <a:ext uri="{FF2B5EF4-FFF2-40B4-BE49-F238E27FC236}">
              <a16:creationId xmlns:a16="http://schemas.microsoft.com/office/drawing/2014/main" id="{B91A6E15-8751-4763-B247-E51A28ED0AC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147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57" name="AutoShape 40" descr="Currently available antiretroviral drugs | Download Table">
          <a:extLst>
            <a:ext uri="{FF2B5EF4-FFF2-40B4-BE49-F238E27FC236}">
              <a16:creationId xmlns:a16="http://schemas.microsoft.com/office/drawing/2014/main" id="{94D7B38B-C75C-4D7E-B771-BD1A909A3FD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147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58" name="AutoShape 40" descr="Currently available antiretroviral drugs | Download Table">
          <a:extLst>
            <a:ext uri="{FF2B5EF4-FFF2-40B4-BE49-F238E27FC236}">
              <a16:creationId xmlns:a16="http://schemas.microsoft.com/office/drawing/2014/main" id="{E1746041-9F7E-4A9C-B92B-AD88C1D995A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147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59" name="AutoShape 40" descr="Currently available antiretroviral drugs | Download Table">
          <a:extLst>
            <a:ext uri="{FF2B5EF4-FFF2-40B4-BE49-F238E27FC236}">
              <a16:creationId xmlns:a16="http://schemas.microsoft.com/office/drawing/2014/main" id="{10A06C1B-B575-4A01-8457-751B9F34866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147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60" name="AutoShape 40" descr="Currently available antiretroviral drugs | Download Table">
          <a:extLst>
            <a:ext uri="{FF2B5EF4-FFF2-40B4-BE49-F238E27FC236}">
              <a16:creationId xmlns:a16="http://schemas.microsoft.com/office/drawing/2014/main" id="{CD40FDE4-2616-439B-BDB6-317069479BF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327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61" name="AutoShape 40" descr="Currently available antiretroviral drugs | Download Table">
          <a:extLst>
            <a:ext uri="{FF2B5EF4-FFF2-40B4-BE49-F238E27FC236}">
              <a16:creationId xmlns:a16="http://schemas.microsoft.com/office/drawing/2014/main" id="{D58AB78F-01EA-4A4F-B270-EEA5EABB51B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147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62" name="AutoShape 40" descr="Currently available antiretroviral drugs | Download Table">
          <a:extLst>
            <a:ext uri="{FF2B5EF4-FFF2-40B4-BE49-F238E27FC236}">
              <a16:creationId xmlns:a16="http://schemas.microsoft.com/office/drawing/2014/main" id="{388DF14E-BE67-4943-AD2E-3B6F9D72CBD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147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63" name="AutoShape 40" descr="Currently available antiretroviral drugs | Download Table">
          <a:extLst>
            <a:ext uri="{FF2B5EF4-FFF2-40B4-BE49-F238E27FC236}">
              <a16:creationId xmlns:a16="http://schemas.microsoft.com/office/drawing/2014/main" id="{490906E6-482C-4B92-B351-2D6916D03C7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327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64" name="AutoShape 40" descr="Currently available antiretroviral drugs | Download Table">
          <a:extLst>
            <a:ext uri="{FF2B5EF4-FFF2-40B4-BE49-F238E27FC236}">
              <a16:creationId xmlns:a16="http://schemas.microsoft.com/office/drawing/2014/main" id="{BE1B0AF4-7F45-4EDE-9065-768BBE8203C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327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65" name="AutoShape 40" descr="Currently available antiretroviral drugs | Download Table">
          <a:extLst>
            <a:ext uri="{FF2B5EF4-FFF2-40B4-BE49-F238E27FC236}">
              <a16:creationId xmlns:a16="http://schemas.microsoft.com/office/drawing/2014/main" id="{15BA8DB8-4B9D-43F6-BA79-241138144FA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327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66" name="AutoShape 40" descr="Currently available antiretroviral drugs | Download Table">
          <a:extLst>
            <a:ext uri="{FF2B5EF4-FFF2-40B4-BE49-F238E27FC236}">
              <a16:creationId xmlns:a16="http://schemas.microsoft.com/office/drawing/2014/main" id="{5D4C74B2-D556-46C9-8B84-1952F75DC08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327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67" name="AutoShape 40" descr="Currently available antiretroviral drugs | Download Table">
          <a:extLst>
            <a:ext uri="{FF2B5EF4-FFF2-40B4-BE49-F238E27FC236}">
              <a16:creationId xmlns:a16="http://schemas.microsoft.com/office/drawing/2014/main" id="{EB1CF51C-2B97-4E8C-8839-AE8109FE1BD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327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68" name="AutoShape 40" descr="Currently available antiretroviral drugs | Download Table">
          <a:extLst>
            <a:ext uri="{FF2B5EF4-FFF2-40B4-BE49-F238E27FC236}">
              <a16:creationId xmlns:a16="http://schemas.microsoft.com/office/drawing/2014/main" id="{57656EEA-0837-41D3-AC46-DCC6AAB3262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327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69" name="AutoShape 40" descr="Currently available antiretroviral drugs | Download Table">
          <a:extLst>
            <a:ext uri="{FF2B5EF4-FFF2-40B4-BE49-F238E27FC236}">
              <a16:creationId xmlns:a16="http://schemas.microsoft.com/office/drawing/2014/main" id="{35E8D099-46E3-4077-8823-82D1ED55DED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327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70" name="AutoShape 40" descr="Currently available antiretroviral drugs | Download Table">
          <a:extLst>
            <a:ext uri="{FF2B5EF4-FFF2-40B4-BE49-F238E27FC236}">
              <a16:creationId xmlns:a16="http://schemas.microsoft.com/office/drawing/2014/main" id="{C1106EE6-C69D-4442-AE48-239CBDE7AC5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327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71" name="AutoShape 40" descr="Currently available antiretroviral drugs | Download Table">
          <a:extLst>
            <a:ext uri="{FF2B5EF4-FFF2-40B4-BE49-F238E27FC236}">
              <a16:creationId xmlns:a16="http://schemas.microsoft.com/office/drawing/2014/main" id="{BA45706A-6059-4465-A816-469C110C9FE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327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72" name="AutoShape 40" descr="Currently available antiretroviral drugs | Download Table">
          <a:extLst>
            <a:ext uri="{FF2B5EF4-FFF2-40B4-BE49-F238E27FC236}">
              <a16:creationId xmlns:a16="http://schemas.microsoft.com/office/drawing/2014/main" id="{A0E3300F-3D5B-4C2A-B19F-FD4545D622F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327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73" name="AutoShape 40" descr="Currently available antiretroviral drugs | Download Table">
          <a:extLst>
            <a:ext uri="{FF2B5EF4-FFF2-40B4-BE49-F238E27FC236}">
              <a16:creationId xmlns:a16="http://schemas.microsoft.com/office/drawing/2014/main" id="{B9BB7FDC-75AB-45C2-BD17-D5A7B7F7BA5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327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74" name="AutoShape 40" descr="Currently available antiretroviral drugs | Download Table">
          <a:extLst>
            <a:ext uri="{FF2B5EF4-FFF2-40B4-BE49-F238E27FC236}">
              <a16:creationId xmlns:a16="http://schemas.microsoft.com/office/drawing/2014/main" id="{12AD526E-66C4-4C1D-933B-FDD3BFFC648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327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75" name="AutoShape 40" descr="Currently available antiretroviral drugs | Download Table">
          <a:extLst>
            <a:ext uri="{FF2B5EF4-FFF2-40B4-BE49-F238E27FC236}">
              <a16:creationId xmlns:a16="http://schemas.microsoft.com/office/drawing/2014/main" id="{5F781FD7-A07C-4354-AEEE-5C138D5B059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327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76" name="AutoShape 40" descr="Currently available antiretroviral drugs | Download Table">
          <a:extLst>
            <a:ext uri="{FF2B5EF4-FFF2-40B4-BE49-F238E27FC236}">
              <a16:creationId xmlns:a16="http://schemas.microsoft.com/office/drawing/2014/main" id="{E5B35516-F520-4E60-89C3-5372B8A32B2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327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77" name="AutoShape 40" descr="Currently available antiretroviral drugs | Download Table">
          <a:extLst>
            <a:ext uri="{FF2B5EF4-FFF2-40B4-BE49-F238E27FC236}">
              <a16:creationId xmlns:a16="http://schemas.microsoft.com/office/drawing/2014/main" id="{BD319819-73B9-438D-B88C-45B4FA2E469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327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78" name="AutoShape 40" descr="Currently available antiretroviral drugs | Download Table">
          <a:extLst>
            <a:ext uri="{FF2B5EF4-FFF2-40B4-BE49-F238E27FC236}">
              <a16:creationId xmlns:a16="http://schemas.microsoft.com/office/drawing/2014/main" id="{B62DBA0E-ABFE-4F52-AA69-168C24B48D4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327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79" name="AutoShape 40" descr="Currently available antiretroviral drugs | Download Table">
          <a:extLst>
            <a:ext uri="{FF2B5EF4-FFF2-40B4-BE49-F238E27FC236}">
              <a16:creationId xmlns:a16="http://schemas.microsoft.com/office/drawing/2014/main" id="{265BF62F-EA16-4ECB-AE5A-3A9D3CBE0A9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327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80" name="AutoShape 40" descr="Currently available antiretroviral drugs | Download Table">
          <a:extLst>
            <a:ext uri="{FF2B5EF4-FFF2-40B4-BE49-F238E27FC236}">
              <a16:creationId xmlns:a16="http://schemas.microsoft.com/office/drawing/2014/main" id="{F2923E5F-586C-41F0-AA92-5B6DD22E19B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327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81" name="AutoShape 40" descr="Currently available antiretroviral drugs | Download Table">
          <a:extLst>
            <a:ext uri="{FF2B5EF4-FFF2-40B4-BE49-F238E27FC236}">
              <a16:creationId xmlns:a16="http://schemas.microsoft.com/office/drawing/2014/main" id="{B56DF130-D867-4460-B7BC-D5A8BFA609D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327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82" name="AutoShape 40" descr="Currently available antiretroviral drugs | Download Table">
          <a:extLst>
            <a:ext uri="{FF2B5EF4-FFF2-40B4-BE49-F238E27FC236}">
              <a16:creationId xmlns:a16="http://schemas.microsoft.com/office/drawing/2014/main" id="{1CF437A2-F52C-449F-B3E1-B1E97B75E6F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506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83" name="AutoShape 40" descr="Currently available antiretroviral drugs | Download Table">
          <a:extLst>
            <a:ext uri="{FF2B5EF4-FFF2-40B4-BE49-F238E27FC236}">
              <a16:creationId xmlns:a16="http://schemas.microsoft.com/office/drawing/2014/main" id="{8394D26E-7FC1-4EFF-9F6D-07F1B520ADF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506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84" name="AutoShape 40" descr="Currently available antiretroviral drugs | Download Table">
          <a:extLst>
            <a:ext uri="{FF2B5EF4-FFF2-40B4-BE49-F238E27FC236}">
              <a16:creationId xmlns:a16="http://schemas.microsoft.com/office/drawing/2014/main" id="{83D3483A-C3B9-4076-A35D-02691A604D1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506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85" name="AutoShape 40" descr="Currently available antiretroviral drugs | Download Table">
          <a:extLst>
            <a:ext uri="{FF2B5EF4-FFF2-40B4-BE49-F238E27FC236}">
              <a16:creationId xmlns:a16="http://schemas.microsoft.com/office/drawing/2014/main" id="{79F92EF6-1036-4D9B-8BA5-B26567F4142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506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86" name="AutoShape 40" descr="Currently available antiretroviral drugs | Download Table">
          <a:extLst>
            <a:ext uri="{FF2B5EF4-FFF2-40B4-BE49-F238E27FC236}">
              <a16:creationId xmlns:a16="http://schemas.microsoft.com/office/drawing/2014/main" id="{35544DF2-EBFA-43B9-BC27-99E2B31B652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506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87" name="AutoShape 40" descr="Currently available antiretroviral drugs | Download Table">
          <a:extLst>
            <a:ext uri="{FF2B5EF4-FFF2-40B4-BE49-F238E27FC236}">
              <a16:creationId xmlns:a16="http://schemas.microsoft.com/office/drawing/2014/main" id="{ECFA5432-1603-4909-AE76-E75D6F68D97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506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88" name="AutoShape 40" descr="Currently available antiretroviral drugs | Download Table">
          <a:extLst>
            <a:ext uri="{FF2B5EF4-FFF2-40B4-BE49-F238E27FC236}">
              <a16:creationId xmlns:a16="http://schemas.microsoft.com/office/drawing/2014/main" id="{1C358BAD-34D3-49BB-93E2-6BB540FD7C6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506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89" name="AutoShape 40" descr="Currently available antiretroviral drugs | Download Table">
          <a:extLst>
            <a:ext uri="{FF2B5EF4-FFF2-40B4-BE49-F238E27FC236}">
              <a16:creationId xmlns:a16="http://schemas.microsoft.com/office/drawing/2014/main" id="{CEA3B79B-1D73-45A3-AD8E-D9AB1F207B8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506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90" name="AutoShape 40" descr="Currently available antiretroviral drugs | Download Table">
          <a:extLst>
            <a:ext uri="{FF2B5EF4-FFF2-40B4-BE49-F238E27FC236}">
              <a16:creationId xmlns:a16="http://schemas.microsoft.com/office/drawing/2014/main" id="{4D7DC072-E450-4E5D-A798-36D9551C4B1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506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91" name="AutoShape 40" descr="Currently available antiretroviral drugs | Download Table">
          <a:extLst>
            <a:ext uri="{FF2B5EF4-FFF2-40B4-BE49-F238E27FC236}">
              <a16:creationId xmlns:a16="http://schemas.microsoft.com/office/drawing/2014/main" id="{4E8D6211-933B-4B64-8807-5AED3E35A10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506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92" name="AutoShape 40" descr="Currently available antiretroviral drugs | Download Table">
          <a:extLst>
            <a:ext uri="{FF2B5EF4-FFF2-40B4-BE49-F238E27FC236}">
              <a16:creationId xmlns:a16="http://schemas.microsoft.com/office/drawing/2014/main" id="{F41FEEF8-4491-4C41-8F5C-9FDC0B45782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506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93" name="AutoShape 40" descr="Currently available antiretroviral drugs | Download Table">
          <a:extLst>
            <a:ext uri="{FF2B5EF4-FFF2-40B4-BE49-F238E27FC236}">
              <a16:creationId xmlns:a16="http://schemas.microsoft.com/office/drawing/2014/main" id="{C713A5EC-CC74-4A2B-B733-E2D29144425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506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94" name="AutoShape 40" descr="Currently available antiretroviral drugs | Download Table">
          <a:extLst>
            <a:ext uri="{FF2B5EF4-FFF2-40B4-BE49-F238E27FC236}">
              <a16:creationId xmlns:a16="http://schemas.microsoft.com/office/drawing/2014/main" id="{9BE58AE9-4886-410C-AA5D-F721D7A9F10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506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95" name="AutoShape 40" descr="Currently available antiretroviral drugs | Download Table">
          <a:extLst>
            <a:ext uri="{FF2B5EF4-FFF2-40B4-BE49-F238E27FC236}">
              <a16:creationId xmlns:a16="http://schemas.microsoft.com/office/drawing/2014/main" id="{908FD9E8-0EF7-470A-8F12-9F98F9BB1EB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327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96" name="AutoShape 40" descr="Currently available antiretroviral drugs | Download Table">
          <a:extLst>
            <a:ext uri="{FF2B5EF4-FFF2-40B4-BE49-F238E27FC236}">
              <a16:creationId xmlns:a16="http://schemas.microsoft.com/office/drawing/2014/main" id="{EC4AED69-5C65-45F9-B198-6030038DDD4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327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97" name="AutoShape 40" descr="Currently available antiretroviral drugs | Download Table">
          <a:extLst>
            <a:ext uri="{FF2B5EF4-FFF2-40B4-BE49-F238E27FC236}">
              <a16:creationId xmlns:a16="http://schemas.microsoft.com/office/drawing/2014/main" id="{7E4E388E-8035-4D72-9791-2AC1EB5E0F1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327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98" name="AutoShape 40" descr="Currently available antiretroviral drugs | Download Table">
          <a:extLst>
            <a:ext uri="{FF2B5EF4-FFF2-40B4-BE49-F238E27FC236}">
              <a16:creationId xmlns:a16="http://schemas.microsoft.com/office/drawing/2014/main" id="{F27DE36F-4571-441C-A4DB-835855C85EC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327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799" name="AutoShape 40" descr="Currently available antiretroviral drugs | Download Table">
          <a:extLst>
            <a:ext uri="{FF2B5EF4-FFF2-40B4-BE49-F238E27FC236}">
              <a16:creationId xmlns:a16="http://schemas.microsoft.com/office/drawing/2014/main" id="{EE0E4DE3-092A-4779-BAE4-E756C4AABB7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327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00" name="AutoShape 40" descr="Currently available antiretroviral drugs | Download Table">
          <a:extLst>
            <a:ext uri="{FF2B5EF4-FFF2-40B4-BE49-F238E27FC236}">
              <a16:creationId xmlns:a16="http://schemas.microsoft.com/office/drawing/2014/main" id="{D8E6AF02-CFAA-4BB3-997E-080F9920D93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327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01" name="AutoShape 40" descr="Currently available antiretroviral drugs | Download Table">
          <a:extLst>
            <a:ext uri="{FF2B5EF4-FFF2-40B4-BE49-F238E27FC236}">
              <a16:creationId xmlns:a16="http://schemas.microsoft.com/office/drawing/2014/main" id="{2863275F-EF4D-4092-AED0-238DA9BEA04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327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02" name="AutoShape 40" descr="Currently available antiretroviral drugs | Download Table">
          <a:extLst>
            <a:ext uri="{FF2B5EF4-FFF2-40B4-BE49-F238E27FC236}">
              <a16:creationId xmlns:a16="http://schemas.microsoft.com/office/drawing/2014/main" id="{61BFD2D6-C73D-4989-B4A3-CD7905718ED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327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03" name="AutoShape 40" descr="Currently available antiretroviral drugs | Download Table">
          <a:extLst>
            <a:ext uri="{FF2B5EF4-FFF2-40B4-BE49-F238E27FC236}">
              <a16:creationId xmlns:a16="http://schemas.microsoft.com/office/drawing/2014/main" id="{FB975F4D-9BBD-4F91-BF63-5C91AB03648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327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04" name="AutoShape 40" descr="Currently available antiretroviral drugs | Download Table">
          <a:extLst>
            <a:ext uri="{FF2B5EF4-FFF2-40B4-BE49-F238E27FC236}">
              <a16:creationId xmlns:a16="http://schemas.microsoft.com/office/drawing/2014/main" id="{777A1EE7-4F93-4BB5-B003-FDE7C9E0070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327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05" name="AutoShape 40" descr="Currently available antiretroviral drugs | Download Table">
          <a:extLst>
            <a:ext uri="{FF2B5EF4-FFF2-40B4-BE49-F238E27FC236}">
              <a16:creationId xmlns:a16="http://schemas.microsoft.com/office/drawing/2014/main" id="{985C3292-D850-494C-B342-9955705B00A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327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06" name="AutoShape 40" descr="Currently available antiretroviral drugs | Download Table">
          <a:extLst>
            <a:ext uri="{FF2B5EF4-FFF2-40B4-BE49-F238E27FC236}">
              <a16:creationId xmlns:a16="http://schemas.microsoft.com/office/drawing/2014/main" id="{5DD6E8B0-8DD4-4C81-890B-6631A287A44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506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07" name="AutoShape 40" descr="Currently available antiretroviral drugs | Download Table">
          <a:extLst>
            <a:ext uri="{FF2B5EF4-FFF2-40B4-BE49-F238E27FC236}">
              <a16:creationId xmlns:a16="http://schemas.microsoft.com/office/drawing/2014/main" id="{546FE512-46A2-4EEC-BCB5-20CDEA37BB5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327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08" name="AutoShape 40" descr="Currently available antiretroviral drugs | Download Table">
          <a:extLst>
            <a:ext uri="{FF2B5EF4-FFF2-40B4-BE49-F238E27FC236}">
              <a16:creationId xmlns:a16="http://schemas.microsoft.com/office/drawing/2014/main" id="{4FA15B9D-77FB-42C5-88DA-651764B0B4B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327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09" name="AutoShape 40" descr="Currently available antiretroviral drugs | Download Table">
          <a:extLst>
            <a:ext uri="{FF2B5EF4-FFF2-40B4-BE49-F238E27FC236}">
              <a16:creationId xmlns:a16="http://schemas.microsoft.com/office/drawing/2014/main" id="{3C4E72CF-5203-4749-9B41-6E81D187D00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506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10" name="AutoShape 40" descr="Currently available antiretroviral drugs | Download Table">
          <a:extLst>
            <a:ext uri="{FF2B5EF4-FFF2-40B4-BE49-F238E27FC236}">
              <a16:creationId xmlns:a16="http://schemas.microsoft.com/office/drawing/2014/main" id="{EE65CF2E-7AF9-44AC-90FE-27AA121FB83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506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11" name="AutoShape 40" descr="Currently available antiretroviral drugs | Download Table">
          <a:extLst>
            <a:ext uri="{FF2B5EF4-FFF2-40B4-BE49-F238E27FC236}">
              <a16:creationId xmlns:a16="http://schemas.microsoft.com/office/drawing/2014/main" id="{1DDEA2C1-827D-4C7D-8C1A-EC50033F2A9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506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12" name="AutoShape 40" descr="Currently available antiretroviral drugs | Download Table">
          <a:extLst>
            <a:ext uri="{FF2B5EF4-FFF2-40B4-BE49-F238E27FC236}">
              <a16:creationId xmlns:a16="http://schemas.microsoft.com/office/drawing/2014/main" id="{C8E6A870-5C50-43B1-8115-F19D030BEFF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506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13" name="AutoShape 40" descr="Currently available antiretroviral drugs | Download Table">
          <a:extLst>
            <a:ext uri="{FF2B5EF4-FFF2-40B4-BE49-F238E27FC236}">
              <a16:creationId xmlns:a16="http://schemas.microsoft.com/office/drawing/2014/main" id="{0053EF74-3D1E-47AA-A105-C48612532A4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506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14" name="AutoShape 40" descr="Currently available antiretroviral drugs | Download Table">
          <a:extLst>
            <a:ext uri="{FF2B5EF4-FFF2-40B4-BE49-F238E27FC236}">
              <a16:creationId xmlns:a16="http://schemas.microsoft.com/office/drawing/2014/main" id="{25C27E80-7E7C-4275-87FA-58FCEE7667C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506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15" name="AutoShape 40" descr="Currently available antiretroviral drugs | Download Table">
          <a:extLst>
            <a:ext uri="{FF2B5EF4-FFF2-40B4-BE49-F238E27FC236}">
              <a16:creationId xmlns:a16="http://schemas.microsoft.com/office/drawing/2014/main" id="{B5024065-2500-47BE-BDC5-E08B4D3C1C7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506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16" name="AutoShape 40" descr="Currently available antiretroviral drugs | Download Table">
          <a:extLst>
            <a:ext uri="{FF2B5EF4-FFF2-40B4-BE49-F238E27FC236}">
              <a16:creationId xmlns:a16="http://schemas.microsoft.com/office/drawing/2014/main" id="{39EB70DF-53A1-43D6-89ED-C956BBE8170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506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17" name="AutoShape 40" descr="Currently available antiretroviral drugs | Download Table">
          <a:extLst>
            <a:ext uri="{FF2B5EF4-FFF2-40B4-BE49-F238E27FC236}">
              <a16:creationId xmlns:a16="http://schemas.microsoft.com/office/drawing/2014/main" id="{4798B09A-7968-4E49-ADB4-B0FE43CF9A7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506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18" name="AutoShape 40" descr="Currently available antiretroviral drugs | Download Table">
          <a:extLst>
            <a:ext uri="{FF2B5EF4-FFF2-40B4-BE49-F238E27FC236}">
              <a16:creationId xmlns:a16="http://schemas.microsoft.com/office/drawing/2014/main" id="{F572AA85-D674-4B81-BB80-BFFB1881593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506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19" name="AutoShape 40" descr="Currently available antiretroviral drugs | Download Table">
          <a:extLst>
            <a:ext uri="{FF2B5EF4-FFF2-40B4-BE49-F238E27FC236}">
              <a16:creationId xmlns:a16="http://schemas.microsoft.com/office/drawing/2014/main" id="{D3D2CE97-621C-4888-A71C-90B332798E3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506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20" name="AutoShape 40" descr="Currently available antiretroviral drugs | Download Table">
          <a:extLst>
            <a:ext uri="{FF2B5EF4-FFF2-40B4-BE49-F238E27FC236}">
              <a16:creationId xmlns:a16="http://schemas.microsoft.com/office/drawing/2014/main" id="{C65B93B2-E2BC-4D77-951A-8665A016D4A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506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21" name="AutoShape 40" descr="Currently available antiretroviral drugs | Download Table">
          <a:extLst>
            <a:ext uri="{FF2B5EF4-FFF2-40B4-BE49-F238E27FC236}">
              <a16:creationId xmlns:a16="http://schemas.microsoft.com/office/drawing/2014/main" id="{B08E7B0B-622B-4970-90EB-EC4AF51EFFA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506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22" name="AutoShape 40" descr="Currently available antiretroviral drugs | Download Table">
          <a:extLst>
            <a:ext uri="{FF2B5EF4-FFF2-40B4-BE49-F238E27FC236}">
              <a16:creationId xmlns:a16="http://schemas.microsoft.com/office/drawing/2014/main" id="{F1763523-1F2E-4D57-905D-DA66DFBB63A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506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23" name="AutoShape 40" descr="Currently available antiretroviral drugs | Download Table">
          <a:extLst>
            <a:ext uri="{FF2B5EF4-FFF2-40B4-BE49-F238E27FC236}">
              <a16:creationId xmlns:a16="http://schemas.microsoft.com/office/drawing/2014/main" id="{E98BA1D5-C91D-4908-85C9-90A68A9FE7B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506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24" name="AutoShape 40" descr="Currently available antiretroviral drugs | Download Table">
          <a:extLst>
            <a:ext uri="{FF2B5EF4-FFF2-40B4-BE49-F238E27FC236}">
              <a16:creationId xmlns:a16="http://schemas.microsoft.com/office/drawing/2014/main" id="{34F22C31-C96B-40AC-9712-F840440B446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506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25" name="AutoShape 40" descr="Currently available antiretroviral drugs | Download Table">
          <a:extLst>
            <a:ext uri="{FF2B5EF4-FFF2-40B4-BE49-F238E27FC236}">
              <a16:creationId xmlns:a16="http://schemas.microsoft.com/office/drawing/2014/main" id="{169EE448-87DC-4438-87C7-29E0484D1D0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506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26" name="AutoShape 40" descr="Currently available antiretroviral drugs | Download Table">
          <a:extLst>
            <a:ext uri="{FF2B5EF4-FFF2-40B4-BE49-F238E27FC236}">
              <a16:creationId xmlns:a16="http://schemas.microsoft.com/office/drawing/2014/main" id="{801CFD1E-2D6A-4FDA-AFBD-3B457AED351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506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27" name="AutoShape 40" descr="Currently available antiretroviral drugs | Download Table">
          <a:extLst>
            <a:ext uri="{FF2B5EF4-FFF2-40B4-BE49-F238E27FC236}">
              <a16:creationId xmlns:a16="http://schemas.microsoft.com/office/drawing/2014/main" id="{1D58A0E7-FC4A-4472-853D-5476CF70E53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506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28" name="AutoShape 40" descr="Currently available antiretroviral drugs | Download Table">
          <a:extLst>
            <a:ext uri="{FF2B5EF4-FFF2-40B4-BE49-F238E27FC236}">
              <a16:creationId xmlns:a16="http://schemas.microsoft.com/office/drawing/2014/main" id="{094309FC-0B72-4219-90DC-4EF0561FF31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506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29" name="AutoShape 40" descr="Currently available antiretroviral drugs | Download Table">
          <a:extLst>
            <a:ext uri="{FF2B5EF4-FFF2-40B4-BE49-F238E27FC236}">
              <a16:creationId xmlns:a16="http://schemas.microsoft.com/office/drawing/2014/main" id="{8E34A222-964F-44B4-BB2D-90323D956A2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506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30" name="AutoShape 40" descr="Currently available antiretroviral drugs | Download Table">
          <a:extLst>
            <a:ext uri="{FF2B5EF4-FFF2-40B4-BE49-F238E27FC236}">
              <a16:creationId xmlns:a16="http://schemas.microsoft.com/office/drawing/2014/main" id="{64C4AA1F-3F5F-47DB-853C-EB4749F6734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506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31" name="AutoShape 40" descr="Currently available antiretroviral drugs | Download Table">
          <a:extLst>
            <a:ext uri="{FF2B5EF4-FFF2-40B4-BE49-F238E27FC236}">
              <a16:creationId xmlns:a16="http://schemas.microsoft.com/office/drawing/2014/main" id="{73071661-4312-4DB9-B6E1-3181ECB14D3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506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32" name="AutoShape 40" descr="Currently available antiretroviral drugs | Download Table">
          <a:extLst>
            <a:ext uri="{FF2B5EF4-FFF2-40B4-BE49-F238E27FC236}">
              <a16:creationId xmlns:a16="http://schemas.microsoft.com/office/drawing/2014/main" id="{CC6ACF08-FC3E-4C2A-A487-9C64D041459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506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33" name="AutoShape 40" descr="Currently available antiretroviral drugs | Download Table">
          <a:extLst>
            <a:ext uri="{FF2B5EF4-FFF2-40B4-BE49-F238E27FC236}">
              <a16:creationId xmlns:a16="http://schemas.microsoft.com/office/drawing/2014/main" id="{DF255EF1-F307-48CC-8FDD-BBFB9BA3E1C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506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34" name="AutoShape 40" descr="Currently available antiretroviral drugs | Download Table">
          <a:extLst>
            <a:ext uri="{FF2B5EF4-FFF2-40B4-BE49-F238E27FC236}">
              <a16:creationId xmlns:a16="http://schemas.microsoft.com/office/drawing/2014/main" id="{C1B65224-430A-4BEB-A00F-A1EA7AE43C8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506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35" name="AutoShape 40" descr="Currently available antiretroviral drugs | Download Table">
          <a:extLst>
            <a:ext uri="{FF2B5EF4-FFF2-40B4-BE49-F238E27FC236}">
              <a16:creationId xmlns:a16="http://schemas.microsoft.com/office/drawing/2014/main" id="{077A3235-E9D7-468F-BF6B-7C4A6FE9E44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506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36" name="AutoShape 40" descr="Currently available antiretroviral drugs | Download Table">
          <a:extLst>
            <a:ext uri="{FF2B5EF4-FFF2-40B4-BE49-F238E27FC236}">
              <a16:creationId xmlns:a16="http://schemas.microsoft.com/office/drawing/2014/main" id="{7B170275-BCF2-4FF1-8766-152B3D5D41F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506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37" name="AutoShape 40" descr="Currently available antiretroviral drugs | Download Table">
          <a:extLst>
            <a:ext uri="{FF2B5EF4-FFF2-40B4-BE49-F238E27FC236}">
              <a16:creationId xmlns:a16="http://schemas.microsoft.com/office/drawing/2014/main" id="{D50772AF-6B18-4F8F-9CFA-2F143070E6B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506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38" name="AutoShape 40" descr="Currently available antiretroviral drugs | Download Table">
          <a:extLst>
            <a:ext uri="{FF2B5EF4-FFF2-40B4-BE49-F238E27FC236}">
              <a16:creationId xmlns:a16="http://schemas.microsoft.com/office/drawing/2014/main" id="{17E44D19-7921-493B-B278-3B688CD6389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506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39" name="AutoShape 40" descr="Currently available antiretroviral drugs | Download Table">
          <a:extLst>
            <a:ext uri="{FF2B5EF4-FFF2-40B4-BE49-F238E27FC236}">
              <a16:creationId xmlns:a16="http://schemas.microsoft.com/office/drawing/2014/main" id="{DF226CF8-A766-450D-9517-373AE456777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506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40" name="AutoShape 40" descr="Currently available antiretroviral drugs | Download Table">
          <a:extLst>
            <a:ext uri="{FF2B5EF4-FFF2-40B4-BE49-F238E27FC236}">
              <a16:creationId xmlns:a16="http://schemas.microsoft.com/office/drawing/2014/main" id="{E97074EA-CAE2-4DC1-8CA9-6950E27FA57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506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41" name="AutoShape 40" descr="Currently available antiretroviral drugs | Download Table">
          <a:extLst>
            <a:ext uri="{FF2B5EF4-FFF2-40B4-BE49-F238E27FC236}">
              <a16:creationId xmlns:a16="http://schemas.microsoft.com/office/drawing/2014/main" id="{2F571DE1-4F31-47B2-89C2-1A385B1E0D3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685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42" name="AutoShape 40" descr="Currently available antiretroviral drugs | Download Table">
          <a:extLst>
            <a:ext uri="{FF2B5EF4-FFF2-40B4-BE49-F238E27FC236}">
              <a16:creationId xmlns:a16="http://schemas.microsoft.com/office/drawing/2014/main" id="{85A16CB2-5991-48C8-B6DB-885EAC72B89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685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43" name="AutoShape 40" descr="Currently available antiretroviral drugs | Download Table">
          <a:extLst>
            <a:ext uri="{FF2B5EF4-FFF2-40B4-BE49-F238E27FC236}">
              <a16:creationId xmlns:a16="http://schemas.microsoft.com/office/drawing/2014/main" id="{FC8B6BB9-061C-4360-94FF-E0630D46CEE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685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44" name="AutoShape 40" descr="Currently available antiretroviral drugs | Download Table">
          <a:extLst>
            <a:ext uri="{FF2B5EF4-FFF2-40B4-BE49-F238E27FC236}">
              <a16:creationId xmlns:a16="http://schemas.microsoft.com/office/drawing/2014/main" id="{8F838FCD-E0EA-4E2F-B706-F4EE2BBCC2C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685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45" name="AutoShape 40" descr="Currently available antiretroviral drugs | Download Table">
          <a:extLst>
            <a:ext uri="{FF2B5EF4-FFF2-40B4-BE49-F238E27FC236}">
              <a16:creationId xmlns:a16="http://schemas.microsoft.com/office/drawing/2014/main" id="{C6D889CB-49ED-4C4F-BE13-2B454E7A46B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685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46" name="AutoShape 40" descr="Currently available antiretroviral drugs | Download Table">
          <a:extLst>
            <a:ext uri="{FF2B5EF4-FFF2-40B4-BE49-F238E27FC236}">
              <a16:creationId xmlns:a16="http://schemas.microsoft.com/office/drawing/2014/main" id="{026A0425-01DB-4323-AE4E-9595ECB9EDF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685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47" name="AutoShape 40" descr="Currently available antiretroviral drugs | Download Table">
          <a:extLst>
            <a:ext uri="{FF2B5EF4-FFF2-40B4-BE49-F238E27FC236}">
              <a16:creationId xmlns:a16="http://schemas.microsoft.com/office/drawing/2014/main" id="{916CE563-D70F-491D-8D5A-AD30DA79C8E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685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48" name="AutoShape 40" descr="Currently available antiretroviral drugs | Download Table">
          <a:extLst>
            <a:ext uri="{FF2B5EF4-FFF2-40B4-BE49-F238E27FC236}">
              <a16:creationId xmlns:a16="http://schemas.microsoft.com/office/drawing/2014/main" id="{4E0EF52F-E27E-41A4-9D00-12580F8BEE5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685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49" name="AutoShape 40" descr="Currently available antiretroviral drugs | Download Table">
          <a:extLst>
            <a:ext uri="{FF2B5EF4-FFF2-40B4-BE49-F238E27FC236}">
              <a16:creationId xmlns:a16="http://schemas.microsoft.com/office/drawing/2014/main" id="{91168D86-B451-46CE-B253-F85C8C97C74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685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50" name="AutoShape 40" descr="Currently available antiretroviral drugs | Download Table">
          <a:extLst>
            <a:ext uri="{FF2B5EF4-FFF2-40B4-BE49-F238E27FC236}">
              <a16:creationId xmlns:a16="http://schemas.microsoft.com/office/drawing/2014/main" id="{6B29DC07-FF33-4025-AC98-B81F8510B35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685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51" name="AutoShape 40" descr="Currently available antiretroviral drugs | Download Table">
          <a:extLst>
            <a:ext uri="{FF2B5EF4-FFF2-40B4-BE49-F238E27FC236}">
              <a16:creationId xmlns:a16="http://schemas.microsoft.com/office/drawing/2014/main" id="{55460021-83D4-447C-84C2-295F83F5089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685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52" name="AutoShape 40" descr="Currently available antiretroviral drugs | Download Table">
          <a:extLst>
            <a:ext uri="{FF2B5EF4-FFF2-40B4-BE49-F238E27FC236}">
              <a16:creationId xmlns:a16="http://schemas.microsoft.com/office/drawing/2014/main" id="{AE65D717-C82B-4348-8500-9AB45E0AD3A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685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53" name="AutoShape 40" descr="Currently available antiretroviral drugs | Download Table">
          <a:extLst>
            <a:ext uri="{FF2B5EF4-FFF2-40B4-BE49-F238E27FC236}">
              <a16:creationId xmlns:a16="http://schemas.microsoft.com/office/drawing/2014/main" id="{A16A8972-20C9-47DF-B13D-1B6F8BAC4AB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685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54" name="AutoShape 40" descr="Currently available antiretroviral drugs | Download Table">
          <a:extLst>
            <a:ext uri="{FF2B5EF4-FFF2-40B4-BE49-F238E27FC236}">
              <a16:creationId xmlns:a16="http://schemas.microsoft.com/office/drawing/2014/main" id="{90252F70-6984-438E-8846-B189412B9E4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506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55" name="AutoShape 40" descr="Currently available antiretroviral drugs | Download Table">
          <a:extLst>
            <a:ext uri="{FF2B5EF4-FFF2-40B4-BE49-F238E27FC236}">
              <a16:creationId xmlns:a16="http://schemas.microsoft.com/office/drawing/2014/main" id="{05134FA1-C19C-4E1A-B413-59491C1DC9A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506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56" name="AutoShape 40" descr="Currently available antiretroviral drugs | Download Table">
          <a:extLst>
            <a:ext uri="{FF2B5EF4-FFF2-40B4-BE49-F238E27FC236}">
              <a16:creationId xmlns:a16="http://schemas.microsoft.com/office/drawing/2014/main" id="{63551A16-BEDC-4B93-9803-03E32576D16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506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57" name="AutoShape 40" descr="Currently available antiretroviral drugs | Download Table">
          <a:extLst>
            <a:ext uri="{FF2B5EF4-FFF2-40B4-BE49-F238E27FC236}">
              <a16:creationId xmlns:a16="http://schemas.microsoft.com/office/drawing/2014/main" id="{4475E499-8C66-4B2D-B5B9-3C1AF5DDACC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506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58" name="AutoShape 40" descr="Currently available antiretroviral drugs | Download Table">
          <a:extLst>
            <a:ext uri="{FF2B5EF4-FFF2-40B4-BE49-F238E27FC236}">
              <a16:creationId xmlns:a16="http://schemas.microsoft.com/office/drawing/2014/main" id="{F721A50A-1197-477F-B39C-DB9326F6789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506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59" name="AutoShape 40" descr="Currently available antiretroviral drugs | Download Table">
          <a:extLst>
            <a:ext uri="{FF2B5EF4-FFF2-40B4-BE49-F238E27FC236}">
              <a16:creationId xmlns:a16="http://schemas.microsoft.com/office/drawing/2014/main" id="{696EA8B1-58C8-45DD-ACEB-9613700D37D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506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60" name="AutoShape 40" descr="Currently available antiretroviral drugs | Download Table">
          <a:extLst>
            <a:ext uri="{FF2B5EF4-FFF2-40B4-BE49-F238E27FC236}">
              <a16:creationId xmlns:a16="http://schemas.microsoft.com/office/drawing/2014/main" id="{6B9AED3D-65B3-4411-A190-F176E7651FA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506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61" name="AutoShape 40" descr="Currently available antiretroviral drugs | Download Table">
          <a:extLst>
            <a:ext uri="{FF2B5EF4-FFF2-40B4-BE49-F238E27FC236}">
              <a16:creationId xmlns:a16="http://schemas.microsoft.com/office/drawing/2014/main" id="{0ABB3381-CA8B-49FA-9781-ACEC849C7A9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506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62" name="AutoShape 40" descr="Currently available antiretroviral drugs | Download Table">
          <a:extLst>
            <a:ext uri="{FF2B5EF4-FFF2-40B4-BE49-F238E27FC236}">
              <a16:creationId xmlns:a16="http://schemas.microsoft.com/office/drawing/2014/main" id="{C0DC44CA-D630-4AB0-866D-3C60DE49C34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506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63" name="AutoShape 40" descr="Currently available antiretroviral drugs | Download Table">
          <a:extLst>
            <a:ext uri="{FF2B5EF4-FFF2-40B4-BE49-F238E27FC236}">
              <a16:creationId xmlns:a16="http://schemas.microsoft.com/office/drawing/2014/main" id="{69A24914-0DB0-4A93-95FF-45FE2FC12A0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506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64" name="AutoShape 40" descr="Currently available antiretroviral drugs | Download Table">
          <a:extLst>
            <a:ext uri="{FF2B5EF4-FFF2-40B4-BE49-F238E27FC236}">
              <a16:creationId xmlns:a16="http://schemas.microsoft.com/office/drawing/2014/main" id="{618C957E-F872-4BBC-B3E5-372F793FF07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506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65" name="AutoShape 40" descr="Currently available antiretroviral drugs | Download Table">
          <a:extLst>
            <a:ext uri="{FF2B5EF4-FFF2-40B4-BE49-F238E27FC236}">
              <a16:creationId xmlns:a16="http://schemas.microsoft.com/office/drawing/2014/main" id="{B6EAA041-54D2-447E-839F-A509DEBE0B2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685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66" name="AutoShape 40" descr="Currently available antiretroviral drugs | Download Table">
          <a:extLst>
            <a:ext uri="{FF2B5EF4-FFF2-40B4-BE49-F238E27FC236}">
              <a16:creationId xmlns:a16="http://schemas.microsoft.com/office/drawing/2014/main" id="{0E9D62AC-B438-40A5-A0E2-49948525228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506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67" name="AutoShape 40" descr="Currently available antiretroviral drugs | Download Table">
          <a:extLst>
            <a:ext uri="{FF2B5EF4-FFF2-40B4-BE49-F238E27FC236}">
              <a16:creationId xmlns:a16="http://schemas.microsoft.com/office/drawing/2014/main" id="{A2412FE2-1E09-4E9B-8632-52BBB4435D6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506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68" name="AutoShape 40" descr="Currently available antiretroviral drugs | Download Table">
          <a:extLst>
            <a:ext uri="{FF2B5EF4-FFF2-40B4-BE49-F238E27FC236}">
              <a16:creationId xmlns:a16="http://schemas.microsoft.com/office/drawing/2014/main" id="{4252822E-D747-462E-8CA5-73B4D39842E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685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69" name="AutoShape 40" descr="Currently available antiretroviral drugs | Download Table">
          <a:extLst>
            <a:ext uri="{FF2B5EF4-FFF2-40B4-BE49-F238E27FC236}">
              <a16:creationId xmlns:a16="http://schemas.microsoft.com/office/drawing/2014/main" id="{0DC7D9FB-6F61-4E39-802E-8E17B218017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685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70" name="AutoShape 40" descr="Currently available antiretroviral drugs | Download Table">
          <a:extLst>
            <a:ext uri="{FF2B5EF4-FFF2-40B4-BE49-F238E27FC236}">
              <a16:creationId xmlns:a16="http://schemas.microsoft.com/office/drawing/2014/main" id="{E8D92F8B-8C91-4AB4-B7D7-F5E3AB24C6A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685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71" name="AutoShape 40" descr="Currently available antiretroviral drugs | Download Table">
          <a:extLst>
            <a:ext uri="{FF2B5EF4-FFF2-40B4-BE49-F238E27FC236}">
              <a16:creationId xmlns:a16="http://schemas.microsoft.com/office/drawing/2014/main" id="{DDDA0987-922A-427B-8CB9-807F9D589C4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685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72" name="AutoShape 40" descr="Currently available antiretroviral drugs | Download Table">
          <a:extLst>
            <a:ext uri="{FF2B5EF4-FFF2-40B4-BE49-F238E27FC236}">
              <a16:creationId xmlns:a16="http://schemas.microsoft.com/office/drawing/2014/main" id="{DF3C7EF6-66C0-4365-A4B0-F178679A771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685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73" name="AutoShape 40" descr="Currently available antiretroviral drugs | Download Table">
          <a:extLst>
            <a:ext uri="{FF2B5EF4-FFF2-40B4-BE49-F238E27FC236}">
              <a16:creationId xmlns:a16="http://schemas.microsoft.com/office/drawing/2014/main" id="{466DFFF1-2BE6-4BC7-96DA-35C7AD81E35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685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74" name="AutoShape 40" descr="Currently available antiretroviral drugs | Download Table">
          <a:extLst>
            <a:ext uri="{FF2B5EF4-FFF2-40B4-BE49-F238E27FC236}">
              <a16:creationId xmlns:a16="http://schemas.microsoft.com/office/drawing/2014/main" id="{F8F3581B-804A-4CEA-B488-23376140C1A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685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75" name="AutoShape 40" descr="Currently available antiretroviral drugs | Download Table">
          <a:extLst>
            <a:ext uri="{FF2B5EF4-FFF2-40B4-BE49-F238E27FC236}">
              <a16:creationId xmlns:a16="http://schemas.microsoft.com/office/drawing/2014/main" id="{7D4865B1-01B1-4098-8905-335EC707785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685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76" name="AutoShape 40" descr="Currently available antiretroviral drugs | Download Table">
          <a:extLst>
            <a:ext uri="{FF2B5EF4-FFF2-40B4-BE49-F238E27FC236}">
              <a16:creationId xmlns:a16="http://schemas.microsoft.com/office/drawing/2014/main" id="{ADD04662-73D7-44C9-808C-26ADF46591D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685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77" name="AutoShape 40" descr="Currently available antiretroviral drugs | Download Table">
          <a:extLst>
            <a:ext uri="{FF2B5EF4-FFF2-40B4-BE49-F238E27FC236}">
              <a16:creationId xmlns:a16="http://schemas.microsoft.com/office/drawing/2014/main" id="{B0C0BF07-2BE5-47C1-8A88-4BAF4D6E667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685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78" name="AutoShape 40" descr="Currently available antiretroviral drugs | Download Table">
          <a:extLst>
            <a:ext uri="{FF2B5EF4-FFF2-40B4-BE49-F238E27FC236}">
              <a16:creationId xmlns:a16="http://schemas.microsoft.com/office/drawing/2014/main" id="{25E91894-42F7-4860-824C-EEC2B23FE4A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685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79" name="AutoShape 40" descr="Currently available antiretroviral drugs | Download Table">
          <a:extLst>
            <a:ext uri="{FF2B5EF4-FFF2-40B4-BE49-F238E27FC236}">
              <a16:creationId xmlns:a16="http://schemas.microsoft.com/office/drawing/2014/main" id="{71B24644-D319-40F5-87FB-C0679AE30DD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685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80" name="AutoShape 40" descr="Currently available antiretroviral drugs | Download Table">
          <a:extLst>
            <a:ext uri="{FF2B5EF4-FFF2-40B4-BE49-F238E27FC236}">
              <a16:creationId xmlns:a16="http://schemas.microsoft.com/office/drawing/2014/main" id="{7EBF8B66-78DA-422E-A513-3412A5CAFA1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685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81" name="AutoShape 40" descr="Currently available antiretroviral drugs | Download Table">
          <a:extLst>
            <a:ext uri="{FF2B5EF4-FFF2-40B4-BE49-F238E27FC236}">
              <a16:creationId xmlns:a16="http://schemas.microsoft.com/office/drawing/2014/main" id="{689297CC-6494-4FE5-A557-1525E6E13D5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685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82" name="AutoShape 40" descr="Currently available antiretroviral drugs | Download Table">
          <a:extLst>
            <a:ext uri="{FF2B5EF4-FFF2-40B4-BE49-F238E27FC236}">
              <a16:creationId xmlns:a16="http://schemas.microsoft.com/office/drawing/2014/main" id="{45C970A9-FABB-4DC2-8877-58D5B19BEE8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685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83" name="AutoShape 40" descr="Currently available antiretroviral drugs | Download Table">
          <a:extLst>
            <a:ext uri="{FF2B5EF4-FFF2-40B4-BE49-F238E27FC236}">
              <a16:creationId xmlns:a16="http://schemas.microsoft.com/office/drawing/2014/main" id="{DAD90A5E-E6D4-46DB-B77A-970660857B1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685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84" name="AutoShape 40" descr="Currently available antiretroviral drugs | Download Table">
          <a:extLst>
            <a:ext uri="{FF2B5EF4-FFF2-40B4-BE49-F238E27FC236}">
              <a16:creationId xmlns:a16="http://schemas.microsoft.com/office/drawing/2014/main" id="{2621B7F2-18FC-4FE5-BA93-8776ADD66F3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685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85" name="AutoShape 40" descr="Currently available antiretroviral drugs | Download Table">
          <a:extLst>
            <a:ext uri="{FF2B5EF4-FFF2-40B4-BE49-F238E27FC236}">
              <a16:creationId xmlns:a16="http://schemas.microsoft.com/office/drawing/2014/main" id="{3D40979D-BA35-42D8-9245-D87F60A3217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685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86" name="AutoShape 40" descr="Currently available antiretroviral drugs | Download Table">
          <a:extLst>
            <a:ext uri="{FF2B5EF4-FFF2-40B4-BE49-F238E27FC236}">
              <a16:creationId xmlns:a16="http://schemas.microsoft.com/office/drawing/2014/main" id="{B206C48E-522D-4914-B7CF-89D1A2D4A92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685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87" name="AutoShape 40" descr="Currently available antiretroviral drugs | Download Table">
          <a:extLst>
            <a:ext uri="{FF2B5EF4-FFF2-40B4-BE49-F238E27FC236}">
              <a16:creationId xmlns:a16="http://schemas.microsoft.com/office/drawing/2014/main" id="{FE76E6F5-BD19-48EE-8032-30A28B89FF6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685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88" name="AutoShape 40" descr="Currently available antiretroviral drugs | Download Table">
          <a:extLst>
            <a:ext uri="{FF2B5EF4-FFF2-40B4-BE49-F238E27FC236}">
              <a16:creationId xmlns:a16="http://schemas.microsoft.com/office/drawing/2014/main" id="{D3D0C5D9-1872-4B4B-B0EE-25F265FA295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685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89" name="AutoShape 40" descr="Currently available antiretroviral drugs | Download Table">
          <a:extLst>
            <a:ext uri="{FF2B5EF4-FFF2-40B4-BE49-F238E27FC236}">
              <a16:creationId xmlns:a16="http://schemas.microsoft.com/office/drawing/2014/main" id="{045BF733-C60E-4EE0-88D1-1CD258BEECA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685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90" name="AutoShape 40" descr="Currently available antiretroviral drugs | Download Table">
          <a:extLst>
            <a:ext uri="{FF2B5EF4-FFF2-40B4-BE49-F238E27FC236}">
              <a16:creationId xmlns:a16="http://schemas.microsoft.com/office/drawing/2014/main" id="{A515E2F7-B7B0-418A-8183-2E0BFFF9E80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685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91" name="AutoShape 40" descr="Currently available antiretroviral drugs | Download Table">
          <a:extLst>
            <a:ext uri="{FF2B5EF4-FFF2-40B4-BE49-F238E27FC236}">
              <a16:creationId xmlns:a16="http://schemas.microsoft.com/office/drawing/2014/main" id="{F09EDA27-7759-4079-8E4B-3F4335938BD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685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92" name="AutoShape 40" descr="Currently available antiretroviral drugs | Download Table">
          <a:extLst>
            <a:ext uri="{FF2B5EF4-FFF2-40B4-BE49-F238E27FC236}">
              <a16:creationId xmlns:a16="http://schemas.microsoft.com/office/drawing/2014/main" id="{7278ED7C-DA73-404D-9C23-D40D0E31092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685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93" name="AutoShape 40" descr="Currently available antiretroviral drugs | Download Table">
          <a:extLst>
            <a:ext uri="{FF2B5EF4-FFF2-40B4-BE49-F238E27FC236}">
              <a16:creationId xmlns:a16="http://schemas.microsoft.com/office/drawing/2014/main" id="{29D1C8C3-1A2B-4234-A488-FAF3A5172D6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685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94" name="AutoShape 40" descr="Currently available antiretroviral drugs | Download Table">
          <a:extLst>
            <a:ext uri="{FF2B5EF4-FFF2-40B4-BE49-F238E27FC236}">
              <a16:creationId xmlns:a16="http://schemas.microsoft.com/office/drawing/2014/main" id="{AB27F3B0-4E33-4D79-A75D-DCCF14054E7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685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95" name="AutoShape 40" descr="Currently available antiretroviral drugs | Download Table">
          <a:extLst>
            <a:ext uri="{FF2B5EF4-FFF2-40B4-BE49-F238E27FC236}">
              <a16:creationId xmlns:a16="http://schemas.microsoft.com/office/drawing/2014/main" id="{8158C968-37CD-4D0C-9432-C8EACA47D3F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685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96" name="AutoShape 40" descr="Currently available antiretroviral drugs | Download Table">
          <a:extLst>
            <a:ext uri="{FF2B5EF4-FFF2-40B4-BE49-F238E27FC236}">
              <a16:creationId xmlns:a16="http://schemas.microsoft.com/office/drawing/2014/main" id="{622193BE-FEFC-4609-90EC-2977489AC02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685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97" name="AutoShape 40" descr="Currently available antiretroviral drugs | Download Table">
          <a:extLst>
            <a:ext uri="{FF2B5EF4-FFF2-40B4-BE49-F238E27FC236}">
              <a16:creationId xmlns:a16="http://schemas.microsoft.com/office/drawing/2014/main" id="{7604FEE1-189B-4015-BA51-B25A50AC2E2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685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98" name="AutoShape 40" descr="Currently available antiretroviral drugs | Download Table">
          <a:extLst>
            <a:ext uri="{FF2B5EF4-FFF2-40B4-BE49-F238E27FC236}">
              <a16:creationId xmlns:a16="http://schemas.microsoft.com/office/drawing/2014/main" id="{EB59AB5F-1296-4D51-8993-9F5A16D529E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685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899" name="AutoShape 40" descr="Currently available antiretroviral drugs | Download Table">
          <a:extLst>
            <a:ext uri="{FF2B5EF4-FFF2-40B4-BE49-F238E27FC236}">
              <a16:creationId xmlns:a16="http://schemas.microsoft.com/office/drawing/2014/main" id="{7734ADA7-1924-4078-93F3-CDE6EEB52DA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685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00" name="AutoShape 40" descr="Currently available antiretroviral drugs | Download Table">
          <a:extLst>
            <a:ext uri="{FF2B5EF4-FFF2-40B4-BE49-F238E27FC236}">
              <a16:creationId xmlns:a16="http://schemas.microsoft.com/office/drawing/2014/main" id="{A87C71E4-5088-495D-AE26-A11CC761C27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864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01" name="AutoShape 40" descr="Currently available antiretroviral drugs | Download Table">
          <a:extLst>
            <a:ext uri="{FF2B5EF4-FFF2-40B4-BE49-F238E27FC236}">
              <a16:creationId xmlns:a16="http://schemas.microsoft.com/office/drawing/2014/main" id="{F09ED4DF-0D06-4FD3-82E5-A5BE7ED4657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864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02" name="AutoShape 40" descr="Currently available antiretroviral drugs | Download Table">
          <a:extLst>
            <a:ext uri="{FF2B5EF4-FFF2-40B4-BE49-F238E27FC236}">
              <a16:creationId xmlns:a16="http://schemas.microsoft.com/office/drawing/2014/main" id="{03155BB9-25FA-44E8-AFF9-CEA5E3F6586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864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03" name="AutoShape 40" descr="Currently available antiretroviral drugs | Download Table">
          <a:extLst>
            <a:ext uri="{FF2B5EF4-FFF2-40B4-BE49-F238E27FC236}">
              <a16:creationId xmlns:a16="http://schemas.microsoft.com/office/drawing/2014/main" id="{615F1F12-B12B-4BB0-813C-8C4D8B83166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864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04" name="AutoShape 40" descr="Currently available antiretroviral drugs | Download Table">
          <a:extLst>
            <a:ext uri="{FF2B5EF4-FFF2-40B4-BE49-F238E27FC236}">
              <a16:creationId xmlns:a16="http://schemas.microsoft.com/office/drawing/2014/main" id="{5469BEF7-367B-44AB-B377-FB4EC904395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864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05" name="AutoShape 40" descr="Currently available antiretroviral drugs | Download Table">
          <a:extLst>
            <a:ext uri="{FF2B5EF4-FFF2-40B4-BE49-F238E27FC236}">
              <a16:creationId xmlns:a16="http://schemas.microsoft.com/office/drawing/2014/main" id="{E25D6A86-9D79-4A42-9BAE-FE6CA3E80A1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864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06" name="AutoShape 40" descr="Currently available antiretroviral drugs | Download Table">
          <a:extLst>
            <a:ext uri="{FF2B5EF4-FFF2-40B4-BE49-F238E27FC236}">
              <a16:creationId xmlns:a16="http://schemas.microsoft.com/office/drawing/2014/main" id="{4FA40B96-BA79-415C-B51E-C63677AFDC1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864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07" name="AutoShape 40" descr="Currently available antiretroviral drugs | Download Table">
          <a:extLst>
            <a:ext uri="{FF2B5EF4-FFF2-40B4-BE49-F238E27FC236}">
              <a16:creationId xmlns:a16="http://schemas.microsoft.com/office/drawing/2014/main" id="{A4312BDB-7B75-41B8-B31E-599192ACC3E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864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08" name="AutoShape 40" descr="Currently available antiretroviral drugs | Download Table">
          <a:extLst>
            <a:ext uri="{FF2B5EF4-FFF2-40B4-BE49-F238E27FC236}">
              <a16:creationId xmlns:a16="http://schemas.microsoft.com/office/drawing/2014/main" id="{98947E34-FD7A-4758-BC60-35C1B7111B0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864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09" name="AutoShape 40" descr="Currently available antiretroviral drugs | Download Table">
          <a:extLst>
            <a:ext uri="{FF2B5EF4-FFF2-40B4-BE49-F238E27FC236}">
              <a16:creationId xmlns:a16="http://schemas.microsoft.com/office/drawing/2014/main" id="{14FB82AF-5798-4C44-8DDD-B48D6027A90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864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10" name="AutoShape 40" descr="Currently available antiretroviral drugs | Download Table">
          <a:extLst>
            <a:ext uri="{FF2B5EF4-FFF2-40B4-BE49-F238E27FC236}">
              <a16:creationId xmlns:a16="http://schemas.microsoft.com/office/drawing/2014/main" id="{6F4A1DA0-6EBB-4561-9F9C-34D225B699B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864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11" name="AutoShape 40" descr="Currently available antiretroviral drugs | Download Table">
          <a:extLst>
            <a:ext uri="{FF2B5EF4-FFF2-40B4-BE49-F238E27FC236}">
              <a16:creationId xmlns:a16="http://schemas.microsoft.com/office/drawing/2014/main" id="{8403D265-4325-410B-BF74-1853B0F9990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864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12" name="AutoShape 40" descr="Currently available antiretroviral drugs | Download Table">
          <a:extLst>
            <a:ext uri="{FF2B5EF4-FFF2-40B4-BE49-F238E27FC236}">
              <a16:creationId xmlns:a16="http://schemas.microsoft.com/office/drawing/2014/main" id="{78584930-2A1C-4DD8-B9CC-0BF300E9138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864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13" name="AutoShape 40" descr="Currently available antiretroviral drugs | Download Table">
          <a:extLst>
            <a:ext uri="{FF2B5EF4-FFF2-40B4-BE49-F238E27FC236}">
              <a16:creationId xmlns:a16="http://schemas.microsoft.com/office/drawing/2014/main" id="{91CD5DDA-F3A9-449D-9DD7-17D37D6E8AB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685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14" name="AutoShape 40" descr="Currently available antiretroviral drugs | Download Table">
          <a:extLst>
            <a:ext uri="{FF2B5EF4-FFF2-40B4-BE49-F238E27FC236}">
              <a16:creationId xmlns:a16="http://schemas.microsoft.com/office/drawing/2014/main" id="{74270F9D-08C1-40B1-BB8F-A96FD4E4E60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685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15" name="AutoShape 40" descr="Currently available antiretroviral drugs | Download Table">
          <a:extLst>
            <a:ext uri="{FF2B5EF4-FFF2-40B4-BE49-F238E27FC236}">
              <a16:creationId xmlns:a16="http://schemas.microsoft.com/office/drawing/2014/main" id="{485EF38A-801B-4DB7-B8FE-24E34037AC9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685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16" name="AutoShape 40" descr="Currently available antiretroviral drugs | Download Table">
          <a:extLst>
            <a:ext uri="{FF2B5EF4-FFF2-40B4-BE49-F238E27FC236}">
              <a16:creationId xmlns:a16="http://schemas.microsoft.com/office/drawing/2014/main" id="{D4598211-5528-4D92-9D19-D1E130487C7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685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17" name="AutoShape 40" descr="Currently available antiretroviral drugs | Download Table">
          <a:extLst>
            <a:ext uri="{FF2B5EF4-FFF2-40B4-BE49-F238E27FC236}">
              <a16:creationId xmlns:a16="http://schemas.microsoft.com/office/drawing/2014/main" id="{C7AEF13C-B6E0-4CBC-83E4-D5572EE62E3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685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18" name="AutoShape 40" descr="Currently available antiretroviral drugs | Download Table">
          <a:extLst>
            <a:ext uri="{FF2B5EF4-FFF2-40B4-BE49-F238E27FC236}">
              <a16:creationId xmlns:a16="http://schemas.microsoft.com/office/drawing/2014/main" id="{787806FA-B5BA-4AEB-A177-6B7AE426DED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685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19" name="AutoShape 40" descr="Currently available antiretroviral drugs | Download Table">
          <a:extLst>
            <a:ext uri="{FF2B5EF4-FFF2-40B4-BE49-F238E27FC236}">
              <a16:creationId xmlns:a16="http://schemas.microsoft.com/office/drawing/2014/main" id="{EBB04EB4-CBCC-4B10-90DB-502BA030555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685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20" name="AutoShape 40" descr="Currently available antiretroviral drugs | Download Table">
          <a:extLst>
            <a:ext uri="{FF2B5EF4-FFF2-40B4-BE49-F238E27FC236}">
              <a16:creationId xmlns:a16="http://schemas.microsoft.com/office/drawing/2014/main" id="{610118F2-3320-426F-BA5E-D5A09CA19CB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685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21" name="AutoShape 40" descr="Currently available antiretroviral drugs | Download Table">
          <a:extLst>
            <a:ext uri="{FF2B5EF4-FFF2-40B4-BE49-F238E27FC236}">
              <a16:creationId xmlns:a16="http://schemas.microsoft.com/office/drawing/2014/main" id="{5973CD16-18DA-46B5-AC33-BD6684EB846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685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22" name="AutoShape 40" descr="Currently available antiretroviral drugs | Download Table">
          <a:extLst>
            <a:ext uri="{FF2B5EF4-FFF2-40B4-BE49-F238E27FC236}">
              <a16:creationId xmlns:a16="http://schemas.microsoft.com/office/drawing/2014/main" id="{66CE9446-023A-47FE-AD41-AA506E3CEBC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685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23" name="AutoShape 40" descr="Currently available antiretroviral drugs | Download Table">
          <a:extLst>
            <a:ext uri="{FF2B5EF4-FFF2-40B4-BE49-F238E27FC236}">
              <a16:creationId xmlns:a16="http://schemas.microsoft.com/office/drawing/2014/main" id="{A25F49D6-D5FB-4ADF-A0A7-90E346F5237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685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24" name="AutoShape 40" descr="Currently available antiretroviral drugs | Download Table">
          <a:extLst>
            <a:ext uri="{FF2B5EF4-FFF2-40B4-BE49-F238E27FC236}">
              <a16:creationId xmlns:a16="http://schemas.microsoft.com/office/drawing/2014/main" id="{EAAD1B82-6390-41DB-B91B-95510B21F12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864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25" name="AutoShape 40" descr="Currently available antiretroviral drugs | Download Table">
          <a:extLst>
            <a:ext uri="{FF2B5EF4-FFF2-40B4-BE49-F238E27FC236}">
              <a16:creationId xmlns:a16="http://schemas.microsoft.com/office/drawing/2014/main" id="{EE0808B0-EAB9-4ECD-B925-481C84A8F31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685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26" name="AutoShape 40" descr="Currently available antiretroviral drugs | Download Table">
          <a:extLst>
            <a:ext uri="{FF2B5EF4-FFF2-40B4-BE49-F238E27FC236}">
              <a16:creationId xmlns:a16="http://schemas.microsoft.com/office/drawing/2014/main" id="{C109487B-F6B9-45FB-A724-E939E7E8A7E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685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27" name="AutoShape 40" descr="Currently available antiretroviral drugs | Download Table">
          <a:extLst>
            <a:ext uri="{FF2B5EF4-FFF2-40B4-BE49-F238E27FC236}">
              <a16:creationId xmlns:a16="http://schemas.microsoft.com/office/drawing/2014/main" id="{DF048366-5790-491D-A8C1-3D25460F2C2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864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28" name="AutoShape 40" descr="Currently available antiretroviral drugs | Download Table">
          <a:extLst>
            <a:ext uri="{FF2B5EF4-FFF2-40B4-BE49-F238E27FC236}">
              <a16:creationId xmlns:a16="http://schemas.microsoft.com/office/drawing/2014/main" id="{F00D4BC2-4D67-4A6D-96E6-0B804B775F6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864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29" name="AutoShape 40" descr="Currently available antiretroviral drugs | Download Table">
          <a:extLst>
            <a:ext uri="{FF2B5EF4-FFF2-40B4-BE49-F238E27FC236}">
              <a16:creationId xmlns:a16="http://schemas.microsoft.com/office/drawing/2014/main" id="{EB0E8686-F04A-4D57-9484-F75D6080A6F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864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30" name="AutoShape 40" descr="Currently available antiretroviral drugs | Download Table">
          <a:extLst>
            <a:ext uri="{FF2B5EF4-FFF2-40B4-BE49-F238E27FC236}">
              <a16:creationId xmlns:a16="http://schemas.microsoft.com/office/drawing/2014/main" id="{180BCC72-19D2-4F6A-96D0-900DB21CFDB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864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31" name="AutoShape 40" descr="Currently available antiretroviral drugs | Download Table">
          <a:extLst>
            <a:ext uri="{FF2B5EF4-FFF2-40B4-BE49-F238E27FC236}">
              <a16:creationId xmlns:a16="http://schemas.microsoft.com/office/drawing/2014/main" id="{F3AF6E92-D2CF-426F-8B10-78C1482EB73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864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32" name="AutoShape 40" descr="Currently available antiretroviral drugs | Download Table">
          <a:extLst>
            <a:ext uri="{FF2B5EF4-FFF2-40B4-BE49-F238E27FC236}">
              <a16:creationId xmlns:a16="http://schemas.microsoft.com/office/drawing/2014/main" id="{1CE09550-CC31-4455-BFAB-E47C5A2775E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864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33" name="AutoShape 40" descr="Currently available antiretroviral drugs | Download Table">
          <a:extLst>
            <a:ext uri="{FF2B5EF4-FFF2-40B4-BE49-F238E27FC236}">
              <a16:creationId xmlns:a16="http://schemas.microsoft.com/office/drawing/2014/main" id="{EF7C7675-ED7F-41B5-A5A6-34FB0DCAB1F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864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34" name="AutoShape 40" descr="Currently available antiretroviral drugs | Download Table">
          <a:extLst>
            <a:ext uri="{FF2B5EF4-FFF2-40B4-BE49-F238E27FC236}">
              <a16:creationId xmlns:a16="http://schemas.microsoft.com/office/drawing/2014/main" id="{B05333FF-76E2-4929-8627-8F06588A392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864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35" name="AutoShape 40" descr="Currently available antiretroviral drugs | Download Table">
          <a:extLst>
            <a:ext uri="{FF2B5EF4-FFF2-40B4-BE49-F238E27FC236}">
              <a16:creationId xmlns:a16="http://schemas.microsoft.com/office/drawing/2014/main" id="{60D83048-D3C7-465E-9BEB-791E595B5AB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864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36" name="AutoShape 40" descr="Currently available antiretroviral drugs | Download Table">
          <a:extLst>
            <a:ext uri="{FF2B5EF4-FFF2-40B4-BE49-F238E27FC236}">
              <a16:creationId xmlns:a16="http://schemas.microsoft.com/office/drawing/2014/main" id="{0B615764-1F16-4860-A056-71B2CC39E93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864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37" name="AutoShape 40" descr="Currently available antiretroviral drugs | Download Table">
          <a:extLst>
            <a:ext uri="{FF2B5EF4-FFF2-40B4-BE49-F238E27FC236}">
              <a16:creationId xmlns:a16="http://schemas.microsoft.com/office/drawing/2014/main" id="{54BDBDFF-2335-4A9F-83FE-70D1236D604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864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38" name="AutoShape 40" descr="Currently available antiretroviral drugs | Download Table">
          <a:extLst>
            <a:ext uri="{FF2B5EF4-FFF2-40B4-BE49-F238E27FC236}">
              <a16:creationId xmlns:a16="http://schemas.microsoft.com/office/drawing/2014/main" id="{89F3F108-BC76-468F-9650-D363DFD5995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864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39" name="AutoShape 40" descr="Currently available antiretroviral drugs | Download Table">
          <a:extLst>
            <a:ext uri="{FF2B5EF4-FFF2-40B4-BE49-F238E27FC236}">
              <a16:creationId xmlns:a16="http://schemas.microsoft.com/office/drawing/2014/main" id="{36226409-075C-4288-942E-5687DA3CF39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864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40" name="AutoShape 40" descr="Currently available antiretroviral drugs | Download Table">
          <a:extLst>
            <a:ext uri="{FF2B5EF4-FFF2-40B4-BE49-F238E27FC236}">
              <a16:creationId xmlns:a16="http://schemas.microsoft.com/office/drawing/2014/main" id="{38F2EE71-2449-49BB-8005-65BD484DD3D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864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41" name="AutoShape 40" descr="Currently available antiretroviral drugs | Download Table">
          <a:extLst>
            <a:ext uri="{FF2B5EF4-FFF2-40B4-BE49-F238E27FC236}">
              <a16:creationId xmlns:a16="http://schemas.microsoft.com/office/drawing/2014/main" id="{56CE6B7A-1CA6-4DA7-B2AD-68C6BE89083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864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42" name="AutoShape 40" descr="Currently available antiretroviral drugs | Download Table">
          <a:extLst>
            <a:ext uri="{FF2B5EF4-FFF2-40B4-BE49-F238E27FC236}">
              <a16:creationId xmlns:a16="http://schemas.microsoft.com/office/drawing/2014/main" id="{4B5E8C5C-173E-496D-AC42-B24CCD33D93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864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43" name="AutoShape 40" descr="Currently available antiretroviral drugs | Download Table">
          <a:extLst>
            <a:ext uri="{FF2B5EF4-FFF2-40B4-BE49-F238E27FC236}">
              <a16:creationId xmlns:a16="http://schemas.microsoft.com/office/drawing/2014/main" id="{5E173EC6-3CE1-4323-B7B2-7AA246CADCF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864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44" name="AutoShape 40" descr="Currently available antiretroviral drugs | Download Table">
          <a:extLst>
            <a:ext uri="{FF2B5EF4-FFF2-40B4-BE49-F238E27FC236}">
              <a16:creationId xmlns:a16="http://schemas.microsoft.com/office/drawing/2014/main" id="{79F8CFC2-4793-44ED-B0CA-2B36925A62D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864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45" name="AutoShape 40" descr="Currently available antiretroviral drugs | Download Table">
          <a:extLst>
            <a:ext uri="{FF2B5EF4-FFF2-40B4-BE49-F238E27FC236}">
              <a16:creationId xmlns:a16="http://schemas.microsoft.com/office/drawing/2014/main" id="{0DFF36A8-5E0F-42F4-8F10-B1FE9C6FDD5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864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46" name="AutoShape 40" descr="Currently available antiretroviral drugs | Download Table">
          <a:extLst>
            <a:ext uri="{FF2B5EF4-FFF2-40B4-BE49-F238E27FC236}">
              <a16:creationId xmlns:a16="http://schemas.microsoft.com/office/drawing/2014/main" id="{451499B9-7E7F-43DC-8A32-003C25F8D81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864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47" name="AutoShape 40" descr="Currently available antiretroviral drugs | Download Table">
          <a:extLst>
            <a:ext uri="{FF2B5EF4-FFF2-40B4-BE49-F238E27FC236}">
              <a16:creationId xmlns:a16="http://schemas.microsoft.com/office/drawing/2014/main" id="{C49F47E4-C7FF-4F7F-9DD4-15EAA717D4C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864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48" name="AutoShape 40" descr="Currently available antiretroviral drugs | Download Table">
          <a:extLst>
            <a:ext uri="{FF2B5EF4-FFF2-40B4-BE49-F238E27FC236}">
              <a16:creationId xmlns:a16="http://schemas.microsoft.com/office/drawing/2014/main" id="{E5B28468-345C-4409-A57F-88347EEC48A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864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49" name="AutoShape 40" descr="Currently available antiretroviral drugs | Download Table">
          <a:extLst>
            <a:ext uri="{FF2B5EF4-FFF2-40B4-BE49-F238E27FC236}">
              <a16:creationId xmlns:a16="http://schemas.microsoft.com/office/drawing/2014/main" id="{E17776BB-34F6-445B-A0FD-63357C607D1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864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50" name="AutoShape 40" descr="Currently available antiretroviral drugs | Download Table">
          <a:extLst>
            <a:ext uri="{FF2B5EF4-FFF2-40B4-BE49-F238E27FC236}">
              <a16:creationId xmlns:a16="http://schemas.microsoft.com/office/drawing/2014/main" id="{94AC58DC-DFA3-4C41-9A3A-67836CEE3E2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864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51" name="AutoShape 40" descr="Currently available antiretroviral drugs | Download Table">
          <a:extLst>
            <a:ext uri="{FF2B5EF4-FFF2-40B4-BE49-F238E27FC236}">
              <a16:creationId xmlns:a16="http://schemas.microsoft.com/office/drawing/2014/main" id="{15B9258A-BFEA-4C65-92F3-6CA8BF7E808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864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52" name="AutoShape 40" descr="Currently available antiretroviral drugs | Download Table">
          <a:extLst>
            <a:ext uri="{FF2B5EF4-FFF2-40B4-BE49-F238E27FC236}">
              <a16:creationId xmlns:a16="http://schemas.microsoft.com/office/drawing/2014/main" id="{DBD70B0D-30C2-4AC2-9357-A587101172C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864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53" name="AutoShape 40" descr="Currently available antiretroviral drugs | Download Table">
          <a:extLst>
            <a:ext uri="{FF2B5EF4-FFF2-40B4-BE49-F238E27FC236}">
              <a16:creationId xmlns:a16="http://schemas.microsoft.com/office/drawing/2014/main" id="{C02ABA96-CE1A-4F4A-B7E3-6C0AD1A76E4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864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54" name="AutoShape 40" descr="Currently available antiretroviral drugs | Download Table">
          <a:extLst>
            <a:ext uri="{FF2B5EF4-FFF2-40B4-BE49-F238E27FC236}">
              <a16:creationId xmlns:a16="http://schemas.microsoft.com/office/drawing/2014/main" id="{A2E91500-C011-4444-9501-327D46B3432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864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55" name="AutoShape 40" descr="Currently available antiretroviral drugs | Download Table">
          <a:extLst>
            <a:ext uri="{FF2B5EF4-FFF2-40B4-BE49-F238E27FC236}">
              <a16:creationId xmlns:a16="http://schemas.microsoft.com/office/drawing/2014/main" id="{F650D730-EA77-47E1-A8DC-60F0167472D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864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56" name="AutoShape 40" descr="Currently available antiretroviral drugs | Download Table">
          <a:extLst>
            <a:ext uri="{FF2B5EF4-FFF2-40B4-BE49-F238E27FC236}">
              <a16:creationId xmlns:a16="http://schemas.microsoft.com/office/drawing/2014/main" id="{7A8CFDF5-87DF-4437-B001-7271B96CFE8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864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57" name="AutoShape 40" descr="Currently available antiretroviral drugs | Download Table">
          <a:extLst>
            <a:ext uri="{FF2B5EF4-FFF2-40B4-BE49-F238E27FC236}">
              <a16:creationId xmlns:a16="http://schemas.microsoft.com/office/drawing/2014/main" id="{ACF10C06-5599-4F23-ABC6-FF099D8231E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864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58" name="AutoShape 40" descr="Currently available antiretroviral drugs | Download Table">
          <a:extLst>
            <a:ext uri="{FF2B5EF4-FFF2-40B4-BE49-F238E27FC236}">
              <a16:creationId xmlns:a16="http://schemas.microsoft.com/office/drawing/2014/main" id="{722A64C4-FB62-4562-9EE7-69649F786AC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864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59" name="AutoShape 40" descr="Currently available antiretroviral drugs | Download Table">
          <a:extLst>
            <a:ext uri="{FF2B5EF4-FFF2-40B4-BE49-F238E27FC236}">
              <a16:creationId xmlns:a16="http://schemas.microsoft.com/office/drawing/2014/main" id="{C7C0C6E3-7D90-42FC-B723-3869FA752A0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044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60" name="AutoShape 40" descr="Currently available antiretroviral drugs | Download Table">
          <a:extLst>
            <a:ext uri="{FF2B5EF4-FFF2-40B4-BE49-F238E27FC236}">
              <a16:creationId xmlns:a16="http://schemas.microsoft.com/office/drawing/2014/main" id="{399C2BC2-D0F3-456E-8FCC-3723D320CF8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044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61" name="AutoShape 40" descr="Currently available antiretroviral drugs | Download Table">
          <a:extLst>
            <a:ext uri="{FF2B5EF4-FFF2-40B4-BE49-F238E27FC236}">
              <a16:creationId xmlns:a16="http://schemas.microsoft.com/office/drawing/2014/main" id="{1523F026-50BD-45A9-BFDF-A50A9AA4164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044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62" name="AutoShape 40" descr="Currently available antiretroviral drugs | Download Table">
          <a:extLst>
            <a:ext uri="{FF2B5EF4-FFF2-40B4-BE49-F238E27FC236}">
              <a16:creationId xmlns:a16="http://schemas.microsoft.com/office/drawing/2014/main" id="{22FC71A0-2B78-42C1-B394-7E04CC2131F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044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63" name="AutoShape 40" descr="Currently available antiretroviral drugs | Download Table">
          <a:extLst>
            <a:ext uri="{FF2B5EF4-FFF2-40B4-BE49-F238E27FC236}">
              <a16:creationId xmlns:a16="http://schemas.microsoft.com/office/drawing/2014/main" id="{37CFC07A-7C44-4CFB-AEB3-2EDF05BF39E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044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64" name="AutoShape 40" descr="Currently available antiretroviral drugs | Download Table">
          <a:extLst>
            <a:ext uri="{FF2B5EF4-FFF2-40B4-BE49-F238E27FC236}">
              <a16:creationId xmlns:a16="http://schemas.microsoft.com/office/drawing/2014/main" id="{70B1034F-B2F4-4076-ACC7-2B7026B755B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044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65" name="AutoShape 40" descr="Currently available antiretroviral drugs | Download Table">
          <a:extLst>
            <a:ext uri="{FF2B5EF4-FFF2-40B4-BE49-F238E27FC236}">
              <a16:creationId xmlns:a16="http://schemas.microsoft.com/office/drawing/2014/main" id="{ED4AE6AF-E006-487A-BD16-78E867B1F3E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044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66" name="AutoShape 40" descr="Currently available antiretroviral drugs | Download Table">
          <a:extLst>
            <a:ext uri="{FF2B5EF4-FFF2-40B4-BE49-F238E27FC236}">
              <a16:creationId xmlns:a16="http://schemas.microsoft.com/office/drawing/2014/main" id="{C54AE3EC-C5CF-4FBF-B4BA-9B6F44205FB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044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67" name="AutoShape 40" descr="Currently available antiretroviral drugs | Download Table">
          <a:extLst>
            <a:ext uri="{FF2B5EF4-FFF2-40B4-BE49-F238E27FC236}">
              <a16:creationId xmlns:a16="http://schemas.microsoft.com/office/drawing/2014/main" id="{978C649F-4D2E-4E4F-A61D-F5BA192BBDD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044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68" name="AutoShape 40" descr="Currently available antiretroviral drugs | Download Table">
          <a:extLst>
            <a:ext uri="{FF2B5EF4-FFF2-40B4-BE49-F238E27FC236}">
              <a16:creationId xmlns:a16="http://schemas.microsoft.com/office/drawing/2014/main" id="{956EFF16-BA9F-4238-B5E2-0F9E282717E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044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69" name="AutoShape 40" descr="Currently available antiretroviral drugs | Download Table">
          <a:extLst>
            <a:ext uri="{FF2B5EF4-FFF2-40B4-BE49-F238E27FC236}">
              <a16:creationId xmlns:a16="http://schemas.microsoft.com/office/drawing/2014/main" id="{ABAB2DB3-E5D5-4FAD-B8B4-67E77A7C0F6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044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70" name="AutoShape 40" descr="Currently available antiretroviral drugs | Download Table">
          <a:extLst>
            <a:ext uri="{FF2B5EF4-FFF2-40B4-BE49-F238E27FC236}">
              <a16:creationId xmlns:a16="http://schemas.microsoft.com/office/drawing/2014/main" id="{81A6422F-DA86-448C-A9F4-625E055D7A2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044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71" name="AutoShape 40" descr="Currently available antiretroviral drugs | Download Table">
          <a:extLst>
            <a:ext uri="{FF2B5EF4-FFF2-40B4-BE49-F238E27FC236}">
              <a16:creationId xmlns:a16="http://schemas.microsoft.com/office/drawing/2014/main" id="{53C5A11D-9BC2-431C-8246-C90C130A7B0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044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72" name="AutoShape 40" descr="Currently available antiretroviral drugs | Download Table">
          <a:extLst>
            <a:ext uri="{FF2B5EF4-FFF2-40B4-BE49-F238E27FC236}">
              <a16:creationId xmlns:a16="http://schemas.microsoft.com/office/drawing/2014/main" id="{26DB9464-57EC-4668-9265-EF3C12B3D49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864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73" name="AutoShape 40" descr="Currently available antiretroviral drugs | Download Table">
          <a:extLst>
            <a:ext uri="{FF2B5EF4-FFF2-40B4-BE49-F238E27FC236}">
              <a16:creationId xmlns:a16="http://schemas.microsoft.com/office/drawing/2014/main" id="{F691340A-8326-4830-80DC-9E0CE9F67FC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864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74" name="AutoShape 40" descr="Currently available antiretroviral drugs | Download Table">
          <a:extLst>
            <a:ext uri="{FF2B5EF4-FFF2-40B4-BE49-F238E27FC236}">
              <a16:creationId xmlns:a16="http://schemas.microsoft.com/office/drawing/2014/main" id="{C23B3118-AB4E-43F6-AAE3-4DCF4D4E3A3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864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75" name="AutoShape 40" descr="Currently available antiretroviral drugs | Download Table">
          <a:extLst>
            <a:ext uri="{FF2B5EF4-FFF2-40B4-BE49-F238E27FC236}">
              <a16:creationId xmlns:a16="http://schemas.microsoft.com/office/drawing/2014/main" id="{43D26858-9FE0-4748-B634-EBA863D9B41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864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76" name="AutoShape 40" descr="Currently available antiretroviral drugs | Download Table">
          <a:extLst>
            <a:ext uri="{FF2B5EF4-FFF2-40B4-BE49-F238E27FC236}">
              <a16:creationId xmlns:a16="http://schemas.microsoft.com/office/drawing/2014/main" id="{7D3B575E-0ACF-4D9C-B629-D1AC795E3B4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864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77" name="AutoShape 40" descr="Currently available antiretroviral drugs | Download Table">
          <a:extLst>
            <a:ext uri="{FF2B5EF4-FFF2-40B4-BE49-F238E27FC236}">
              <a16:creationId xmlns:a16="http://schemas.microsoft.com/office/drawing/2014/main" id="{DFE48189-97BA-4229-989C-CFE1BD89B80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864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78" name="AutoShape 40" descr="Currently available antiretroviral drugs | Download Table">
          <a:extLst>
            <a:ext uri="{FF2B5EF4-FFF2-40B4-BE49-F238E27FC236}">
              <a16:creationId xmlns:a16="http://schemas.microsoft.com/office/drawing/2014/main" id="{A5A634F5-3925-49C7-9F13-8E6AC5E3FE8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864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79" name="AutoShape 40" descr="Currently available antiretroviral drugs | Download Table">
          <a:extLst>
            <a:ext uri="{FF2B5EF4-FFF2-40B4-BE49-F238E27FC236}">
              <a16:creationId xmlns:a16="http://schemas.microsoft.com/office/drawing/2014/main" id="{AB42AFD0-9D42-41B9-9B6D-AB9D8E3669C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864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80" name="AutoShape 40" descr="Currently available antiretroviral drugs | Download Table">
          <a:extLst>
            <a:ext uri="{FF2B5EF4-FFF2-40B4-BE49-F238E27FC236}">
              <a16:creationId xmlns:a16="http://schemas.microsoft.com/office/drawing/2014/main" id="{5018B52D-BA0A-4D1D-B7D2-C843CE6EF58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864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81" name="AutoShape 40" descr="Currently available antiretroviral drugs | Download Table">
          <a:extLst>
            <a:ext uri="{FF2B5EF4-FFF2-40B4-BE49-F238E27FC236}">
              <a16:creationId xmlns:a16="http://schemas.microsoft.com/office/drawing/2014/main" id="{72A27E5A-5AF9-438E-843D-457DCD61B2D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864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82" name="AutoShape 40" descr="Currently available antiretroviral drugs | Download Table">
          <a:extLst>
            <a:ext uri="{FF2B5EF4-FFF2-40B4-BE49-F238E27FC236}">
              <a16:creationId xmlns:a16="http://schemas.microsoft.com/office/drawing/2014/main" id="{71967734-26E0-45F8-8C9C-46CF63F04C4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864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83" name="AutoShape 40" descr="Currently available antiretroviral drugs | Download Table">
          <a:extLst>
            <a:ext uri="{FF2B5EF4-FFF2-40B4-BE49-F238E27FC236}">
              <a16:creationId xmlns:a16="http://schemas.microsoft.com/office/drawing/2014/main" id="{5FB18F3D-B2D4-42C8-9A4D-11F727F976F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044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84" name="AutoShape 40" descr="Currently available antiretroviral drugs | Download Table">
          <a:extLst>
            <a:ext uri="{FF2B5EF4-FFF2-40B4-BE49-F238E27FC236}">
              <a16:creationId xmlns:a16="http://schemas.microsoft.com/office/drawing/2014/main" id="{D41BCDA6-4DFA-463F-933A-F2CE0BE38E0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864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85" name="AutoShape 40" descr="Currently available antiretroviral drugs | Download Table">
          <a:extLst>
            <a:ext uri="{FF2B5EF4-FFF2-40B4-BE49-F238E27FC236}">
              <a16:creationId xmlns:a16="http://schemas.microsoft.com/office/drawing/2014/main" id="{7EDAB592-4C72-4E5E-A50C-CB1E1822D85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0864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86" name="AutoShape 40" descr="Currently available antiretroviral drugs | Download Table">
          <a:extLst>
            <a:ext uri="{FF2B5EF4-FFF2-40B4-BE49-F238E27FC236}">
              <a16:creationId xmlns:a16="http://schemas.microsoft.com/office/drawing/2014/main" id="{2E0E06AB-F960-45EA-8C4E-0ABBEAC911B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044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87" name="AutoShape 40" descr="Currently available antiretroviral drugs | Download Table">
          <a:extLst>
            <a:ext uri="{FF2B5EF4-FFF2-40B4-BE49-F238E27FC236}">
              <a16:creationId xmlns:a16="http://schemas.microsoft.com/office/drawing/2014/main" id="{4373B9DB-3670-47C8-8484-A2DACA13C8E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044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88" name="AutoShape 40" descr="Currently available antiretroviral drugs | Download Table">
          <a:extLst>
            <a:ext uri="{FF2B5EF4-FFF2-40B4-BE49-F238E27FC236}">
              <a16:creationId xmlns:a16="http://schemas.microsoft.com/office/drawing/2014/main" id="{4D008ADC-BCD2-4FD1-A2BD-5AA4105E5F1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044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89" name="AutoShape 40" descr="Currently available antiretroviral drugs | Download Table">
          <a:extLst>
            <a:ext uri="{FF2B5EF4-FFF2-40B4-BE49-F238E27FC236}">
              <a16:creationId xmlns:a16="http://schemas.microsoft.com/office/drawing/2014/main" id="{F4AFB951-DB42-44E9-A3F4-9171C71E713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044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90" name="AutoShape 40" descr="Currently available antiretroviral drugs | Download Table">
          <a:extLst>
            <a:ext uri="{FF2B5EF4-FFF2-40B4-BE49-F238E27FC236}">
              <a16:creationId xmlns:a16="http://schemas.microsoft.com/office/drawing/2014/main" id="{F24DF09A-1747-4CCB-8482-2FB7092C8EC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044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91" name="AutoShape 40" descr="Currently available antiretroviral drugs | Download Table">
          <a:extLst>
            <a:ext uri="{FF2B5EF4-FFF2-40B4-BE49-F238E27FC236}">
              <a16:creationId xmlns:a16="http://schemas.microsoft.com/office/drawing/2014/main" id="{4AA9F08A-4A17-423D-96B5-527D0BF01E5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044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92" name="AutoShape 40" descr="Currently available antiretroviral drugs | Download Table">
          <a:extLst>
            <a:ext uri="{FF2B5EF4-FFF2-40B4-BE49-F238E27FC236}">
              <a16:creationId xmlns:a16="http://schemas.microsoft.com/office/drawing/2014/main" id="{6BC8BD1F-9F24-4968-BBCC-E85D07AF064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044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93" name="AutoShape 40" descr="Currently available antiretroviral drugs | Download Table">
          <a:extLst>
            <a:ext uri="{FF2B5EF4-FFF2-40B4-BE49-F238E27FC236}">
              <a16:creationId xmlns:a16="http://schemas.microsoft.com/office/drawing/2014/main" id="{EB75BC45-736A-49B7-84BD-6EE847B0479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044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94" name="AutoShape 40" descr="Currently available antiretroviral drugs | Download Table">
          <a:extLst>
            <a:ext uri="{FF2B5EF4-FFF2-40B4-BE49-F238E27FC236}">
              <a16:creationId xmlns:a16="http://schemas.microsoft.com/office/drawing/2014/main" id="{A976BEE4-E63A-4AB7-931B-28862A8546D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044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95" name="AutoShape 40" descr="Currently available antiretroviral drugs | Download Table">
          <a:extLst>
            <a:ext uri="{FF2B5EF4-FFF2-40B4-BE49-F238E27FC236}">
              <a16:creationId xmlns:a16="http://schemas.microsoft.com/office/drawing/2014/main" id="{C1D5E1EA-206E-49F2-B4DE-86D07F61463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044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96" name="AutoShape 40" descr="Currently available antiretroviral drugs | Download Table">
          <a:extLst>
            <a:ext uri="{FF2B5EF4-FFF2-40B4-BE49-F238E27FC236}">
              <a16:creationId xmlns:a16="http://schemas.microsoft.com/office/drawing/2014/main" id="{A185C94F-3617-4014-8E89-445892E0C59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044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97" name="AutoShape 40" descr="Currently available antiretroviral drugs | Download Table">
          <a:extLst>
            <a:ext uri="{FF2B5EF4-FFF2-40B4-BE49-F238E27FC236}">
              <a16:creationId xmlns:a16="http://schemas.microsoft.com/office/drawing/2014/main" id="{EAFFD95C-6087-498A-8BDC-3B906CB9723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044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98" name="AutoShape 40" descr="Currently available antiretroviral drugs | Download Table">
          <a:extLst>
            <a:ext uri="{FF2B5EF4-FFF2-40B4-BE49-F238E27FC236}">
              <a16:creationId xmlns:a16="http://schemas.microsoft.com/office/drawing/2014/main" id="{DFE10B97-6A02-4F4D-9F41-4F73E0E636A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044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2999" name="AutoShape 40" descr="Currently available antiretroviral drugs | Download Table">
          <a:extLst>
            <a:ext uri="{FF2B5EF4-FFF2-40B4-BE49-F238E27FC236}">
              <a16:creationId xmlns:a16="http://schemas.microsoft.com/office/drawing/2014/main" id="{6B613A44-802F-463A-9157-C7F15F2E601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044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00" name="AutoShape 40" descr="Currently available antiretroviral drugs | Download Table">
          <a:extLst>
            <a:ext uri="{FF2B5EF4-FFF2-40B4-BE49-F238E27FC236}">
              <a16:creationId xmlns:a16="http://schemas.microsoft.com/office/drawing/2014/main" id="{8F50271B-7089-40CD-97F8-ED8497A6FBA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044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01" name="AutoShape 40" descr="Currently available antiretroviral drugs | Download Table">
          <a:extLst>
            <a:ext uri="{FF2B5EF4-FFF2-40B4-BE49-F238E27FC236}">
              <a16:creationId xmlns:a16="http://schemas.microsoft.com/office/drawing/2014/main" id="{82B5B3ED-F752-4727-9336-06F04A08D6E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044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02" name="AutoShape 40" descr="Currently available antiretroviral drugs | Download Table">
          <a:extLst>
            <a:ext uri="{FF2B5EF4-FFF2-40B4-BE49-F238E27FC236}">
              <a16:creationId xmlns:a16="http://schemas.microsoft.com/office/drawing/2014/main" id="{7173386D-0730-4946-B97D-F8F283F81E2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044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03" name="AutoShape 40" descr="Currently available antiretroviral drugs | Download Table">
          <a:extLst>
            <a:ext uri="{FF2B5EF4-FFF2-40B4-BE49-F238E27FC236}">
              <a16:creationId xmlns:a16="http://schemas.microsoft.com/office/drawing/2014/main" id="{D7BB6D79-662B-4DFF-ABB5-0E5963D66D8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044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04" name="AutoShape 40" descr="Currently available antiretroviral drugs | Download Table">
          <a:extLst>
            <a:ext uri="{FF2B5EF4-FFF2-40B4-BE49-F238E27FC236}">
              <a16:creationId xmlns:a16="http://schemas.microsoft.com/office/drawing/2014/main" id="{C306EF13-2EE5-4721-AA2B-BC7828C1789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044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05" name="AutoShape 40" descr="Currently available antiretroviral drugs | Download Table">
          <a:extLst>
            <a:ext uri="{FF2B5EF4-FFF2-40B4-BE49-F238E27FC236}">
              <a16:creationId xmlns:a16="http://schemas.microsoft.com/office/drawing/2014/main" id="{29B4802E-77BA-4A0A-8599-0F78863B061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044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06" name="AutoShape 40" descr="Currently available antiretroviral drugs | Download Table">
          <a:extLst>
            <a:ext uri="{FF2B5EF4-FFF2-40B4-BE49-F238E27FC236}">
              <a16:creationId xmlns:a16="http://schemas.microsoft.com/office/drawing/2014/main" id="{5B9FC244-EBFB-4C67-B170-21B281D9EC0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044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07" name="AutoShape 40" descr="Currently available antiretroviral drugs | Download Table">
          <a:extLst>
            <a:ext uri="{FF2B5EF4-FFF2-40B4-BE49-F238E27FC236}">
              <a16:creationId xmlns:a16="http://schemas.microsoft.com/office/drawing/2014/main" id="{4AF3F04A-5BD6-4F67-B90E-A0AE4160C71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044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08" name="AutoShape 40" descr="Currently available antiretroviral drugs | Download Table">
          <a:extLst>
            <a:ext uri="{FF2B5EF4-FFF2-40B4-BE49-F238E27FC236}">
              <a16:creationId xmlns:a16="http://schemas.microsoft.com/office/drawing/2014/main" id="{F61A169F-547F-4B31-A447-1D42B143372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044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09" name="AutoShape 40" descr="Currently available antiretroviral drugs | Download Table">
          <a:extLst>
            <a:ext uri="{FF2B5EF4-FFF2-40B4-BE49-F238E27FC236}">
              <a16:creationId xmlns:a16="http://schemas.microsoft.com/office/drawing/2014/main" id="{3C76D6E9-D2CC-4391-AE4B-BD8CABDE3EB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044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10" name="AutoShape 40" descr="Currently available antiretroviral drugs | Download Table">
          <a:extLst>
            <a:ext uri="{FF2B5EF4-FFF2-40B4-BE49-F238E27FC236}">
              <a16:creationId xmlns:a16="http://schemas.microsoft.com/office/drawing/2014/main" id="{C14F4B64-6E1A-4E80-8AE1-542D7252E2C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044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11" name="AutoShape 40" descr="Currently available antiretroviral drugs | Download Table">
          <a:extLst>
            <a:ext uri="{FF2B5EF4-FFF2-40B4-BE49-F238E27FC236}">
              <a16:creationId xmlns:a16="http://schemas.microsoft.com/office/drawing/2014/main" id="{B02F1728-6CAC-4BC7-AC0A-A6EFFB812F2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044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12" name="AutoShape 40" descr="Currently available antiretroviral drugs | Download Table">
          <a:extLst>
            <a:ext uri="{FF2B5EF4-FFF2-40B4-BE49-F238E27FC236}">
              <a16:creationId xmlns:a16="http://schemas.microsoft.com/office/drawing/2014/main" id="{25DD8D00-659C-4DB5-A54D-FD93048489F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044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13" name="AutoShape 40" descr="Currently available antiretroviral drugs | Download Table">
          <a:extLst>
            <a:ext uri="{FF2B5EF4-FFF2-40B4-BE49-F238E27FC236}">
              <a16:creationId xmlns:a16="http://schemas.microsoft.com/office/drawing/2014/main" id="{D3E8D4E1-1477-483D-9613-8187FC947D6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044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14" name="AutoShape 40" descr="Currently available antiretroviral drugs | Download Table">
          <a:extLst>
            <a:ext uri="{FF2B5EF4-FFF2-40B4-BE49-F238E27FC236}">
              <a16:creationId xmlns:a16="http://schemas.microsoft.com/office/drawing/2014/main" id="{1BF2E840-D4A5-4DC0-9449-254212CDA76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044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15" name="AutoShape 40" descr="Currently available antiretroviral drugs | Download Table">
          <a:extLst>
            <a:ext uri="{FF2B5EF4-FFF2-40B4-BE49-F238E27FC236}">
              <a16:creationId xmlns:a16="http://schemas.microsoft.com/office/drawing/2014/main" id="{475430BC-8D95-4FE8-81CE-B20739C9B4D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044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16" name="AutoShape 40" descr="Currently available antiretroviral drugs | Download Table">
          <a:extLst>
            <a:ext uri="{FF2B5EF4-FFF2-40B4-BE49-F238E27FC236}">
              <a16:creationId xmlns:a16="http://schemas.microsoft.com/office/drawing/2014/main" id="{0BB853F1-128F-458A-A737-BBFD64034A9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044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17" name="AutoShape 40" descr="Currently available antiretroviral drugs | Download Table">
          <a:extLst>
            <a:ext uri="{FF2B5EF4-FFF2-40B4-BE49-F238E27FC236}">
              <a16:creationId xmlns:a16="http://schemas.microsoft.com/office/drawing/2014/main" id="{B856B02D-EFD4-4E66-9309-9503492B6D5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044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18" name="AutoShape 40" descr="Currently available antiretroviral drugs | Download Table">
          <a:extLst>
            <a:ext uri="{FF2B5EF4-FFF2-40B4-BE49-F238E27FC236}">
              <a16:creationId xmlns:a16="http://schemas.microsoft.com/office/drawing/2014/main" id="{AD3E5EC2-3254-465B-A3CF-28B876896D0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223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19" name="AutoShape 40" descr="Currently available antiretroviral drugs | Download Table">
          <a:extLst>
            <a:ext uri="{FF2B5EF4-FFF2-40B4-BE49-F238E27FC236}">
              <a16:creationId xmlns:a16="http://schemas.microsoft.com/office/drawing/2014/main" id="{93BF4651-DD7D-4354-B660-3385ACCBE3C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223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20" name="AutoShape 40" descr="Currently available antiretroviral drugs | Download Table">
          <a:extLst>
            <a:ext uri="{FF2B5EF4-FFF2-40B4-BE49-F238E27FC236}">
              <a16:creationId xmlns:a16="http://schemas.microsoft.com/office/drawing/2014/main" id="{ACCB6EA6-4B1D-463D-A9A8-DB4C16A445C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223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21" name="AutoShape 40" descr="Currently available antiretroviral drugs | Download Table">
          <a:extLst>
            <a:ext uri="{FF2B5EF4-FFF2-40B4-BE49-F238E27FC236}">
              <a16:creationId xmlns:a16="http://schemas.microsoft.com/office/drawing/2014/main" id="{3D8D4124-81E2-429C-B503-50E66A7F6E8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223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22" name="AutoShape 40" descr="Currently available antiretroviral drugs | Download Table">
          <a:extLst>
            <a:ext uri="{FF2B5EF4-FFF2-40B4-BE49-F238E27FC236}">
              <a16:creationId xmlns:a16="http://schemas.microsoft.com/office/drawing/2014/main" id="{EEAFA574-C9CD-4035-8FDB-054EDBEDCDD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223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23" name="AutoShape 40" descr="Currently available antiretroviral drugs | Download Table">
          <a:extLst>
            <a:ext uri="{FF2B5EF4-FFF2-40B4-BE49-F238E27FC236}">
              <a16:creationId xmlns:a16="http://schemas.microsoft.com/office/drawing/2014/main" id="{113375F3-4CA5-4EED-ADA8-DECFCBB6D18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223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24" name="AutoShape 40" descr="Currently available antiretroviral drugs | Download Table">
          <a:extLst>
            <a:ext uri="{FF2B5EF4-FFF2-40B4-BE49-F238E27FC236}">
              <a16:creationId xmlns:a16="http://schemas.microsoft.com/office/drawing/2014/main" id="{C022370C-D7F1-4886-B09A-CD561DAAF4B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223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25" name="AutoShape 40" descr="Currently available antiretroviral drugs | Download Table">
          <a:extLst>
            <a:ext uri="{FF2B5EF4-FFF2-40B4-BE49-F238E27FC236}">
              <a16:creationId xmlns:a16="http://schemas.microsoft.com/office/drawing/2014/main" id="{D963BBF9-46E9-48A5-98D0-A670107A221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223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26" name="AutoShape 40" descr="Currently available antiretroviral drugs | Download Table">
          <a:extLst>
            <a:ext uri="{FF2B5EF4-FFF2-40B4-BE49-F238E27FC236}">
              <a16:creationId xmlns:a16="http://schemas.microsoft.com/office/drawing/2014/main" id="{3D69A9FE-46FE-4E1B-BDB3-089DA50ECBA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223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27" name="AutoShape 40" descr="Currently available antiretroviral drugs | Download Table">
          <a:extLst>
            <a:ext uri="{FF2B5EF4-FFF2-40B4-BE49-F238E27FC236}">
              <a16:creationId xmlns:a16="http://schemas.microsoft.com/office/drawing/2014/main" id="{28F4837C-D831-4471-87B6-28243EDB156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223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28" name="AutoShape 40" descr="Currently available antiretroviral drugs | Download Table">
          <a:extLst>
            <a:ext uri="{FF2B5EF4-FFF2-40B4-BE49-F238E27FC236}">
              <a16:creationId xmlns:a16="http://schemas.microsoft.com/office/drawing/2014/main" id="{B9ED983D-E444-409E-804B-04F92364195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223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29" name="AutoShape 40" descr="Currently available antiretroviral drugs | Download Table">
          <a:extLst>
            <a:ext uri="{FF2B5EF4-FFF2-40B4-BE49-F238E27FC236}">
              <a16:creationId xmlns:a16="http://schemas.microsoft.com/office/drawing/2014/main" id="{2AEEB73C-AF62-48C9-B4E1-174A84BE7DA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223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30" name="AutoShape 40" descr="Currently available antiretroviral drugs | Download Table">
          <a:extLst>
            <a:ext uri="{FF2B5EF4-FFF2-40B4-BE49-F238E27FC236}">
              <a16:creationId xmlns:a16="http://schemas.microsoft.com/office/drawing/2014/main" id="{86FEE093-7104-4721-A488-138738BE9E8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223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31" name="AutoShape 40" descr="Currently available antiretroviral drugs | Download Table">
          <a:extLst>
            <a:ext uri="{FF2B5EF4-FFF2-40B4-BE49-F238E27FC236}">
              <a16:creationId xmlns:a16="http://schemas.microsoft.com/office/drawing/2014/main" id="{AA1F6D7D-14BA-47F9-A64E-B712AD2A060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044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32" name="AutoShape 40" descr="Currently available antiretroviral drugs | Download Table">
          <a:extLst>
            <a:ext uri="{FF2B5EF4-FFF2-40B4-BE49-F238E27FC236}">
              <a16:creationId xmlns:a16="http://schemas.microsoft.com/office/drawing/2014/main" id="{64E95ED5-249C-4A9F-8A51-9BD9811A3FF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044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33" name="AutoShape 40" descr="Currently available antiretroviral drugs | Download Table">
          <a:extLst>
            <a:ext uri="{FF2B5EF4-FFF2-40B4-BE49-F238E27FC236}">
              <a16:creationId xmlns:a16="http://schemas.microsoft.com/office/drawing/2014/main" id="{6D54F0CE-FAB6-4CC9-8A09-86297690095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044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34" name="AutoShape 40" descr="Currently available antiretroviral drugs | Download Table">
          <a:extLst>
            <a:ext uri="{FF2B5EF4-FFF2-40B4-BE49-F238E27FC236}">
              <a16:creationId xmlns:a16="http://schemas.microsoft.com/office/drawing/2014/main" id="{082C02F2-D0E0-44C6-B5E6-C3C7C2C9BF8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044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35" name="AutoShape 40" descr="Currently available antiretroviral drugs | Download Table">
          <a:extLst>
            <a:ext uri="{FF2B5EF4-FFF2-40B4-BE49-F238E27FC236}">
              <a16:creationId xmlns:a16="http://schemas.microsoft.com/office/drawing/2014/main" id="{0F4F2D73-9C07-40DD-8551-20D3610441D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044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36" name="AutoShape 40" descr="Currently available antiretroviral drugs | Download Table">
          <a:extLst>
            <a:ext uri="{FF2B5EF4-FFF2-40B4-BE49-F238E27FC236}">
              <a16:creationId xmlns:a16="http://schemas.microsoft.com/office/drawing/2014/main" id="{3482961D-8EBF-4FA7-B542-E17706D0E2F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044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37" name="AutoShape 40" descr="Currently available antiretroviral drugs | Download Table">
          <a:extLst>
            <a:ext uri="{FF2B5EF4-FFF2-40B4-BE49-F238E27FC236}">
              <a16:creationId xmlns:a16="http://schemas.microsoft.com/office/drawing/2014/main" id="{18D84FC3-7314-4A83-B4E7-39C12BC29F7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044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38" name="AutoShape 40" descr="Currently available antiretroviral drugs | Download Table">
          <a:extLst>
            <a:ext uri="{FF2B5EF4-FFF2-40B4-BE49-F238E27FC236}">
              <a16:creationId xmlns:a16="http://schemas.microsoft.com/office/drawing/2014/main" id="{A70027E5-EB26-4A58-B420-F81B75121EA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044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39" name="AutoShape 40" descr="Currently available antiretroviral drugs | Download Table">
          <a:extLst>
            <a:ext uri="{FF2B5EF4-FFF2-40B4-BE49-F238E27FC236}">
              <a16:creationId xmlns:a16="http://schemas.microsoft.com/office/drawing/2014/main" id="{DBDDD23A-E699-4F07-A283-51546A476DC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044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40" name="AutoShape 40" descr="Currently available antiretroviral drugs | Download Table">
          <a:extLst>
            <a:ext uri="{FF2B5EF4-FFF2-40B4-BE49-F238E27FC236}">
              <a16:creationId xmlns:a16="http://schemas.microsoft.com/office/drawing/2014/main" id="{7B7D5A2A-0A7C-46C3-89DC-A4EBEEEAAEC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044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41" name="AutoShape 40" descr="Currently available antiretroviral drugs | Download Table">
          <a:extLst>
            <a:ext uri="{FF2B5EF4-FFF2-40B4-BE49-F238E27FC236}">
              <a16:creationId xmlns:a16="http://schemas.microsoft.com/office/drawing/2014/main" id="{B7A9A5E0-D35B-4DDB-90DC-9349F036E97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044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42" name="AutoShape 40" descr="Currently available antiretroviral drugs | Download Table">
          <a:extLst>
            <a:ext uri="{FF2B5EF4-FFF2-40B4-BE49-F238E27FC236}">
              <a16:creationId xmlns:a16="http://schemas.microsoft.com/office/drawing/2014/main" id="{2ADE8059-97E3-43AD-8FE9-F2FF0BA938B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223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43" name="AutoShape 40" descr="Currently available antiretroviral drugs | Download Table">
          <a:extLst>
            <a:ext uri="{FF2B5EF4-FFF2-40B4-BE49-F238E27FC236}">
              <a16:creationId xmlns:a16="http://schemas.microsoft.com/office/drawing/2014/main" id="{302260F4-3E48-45CB-A533-BD9EFC5F7AB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044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44" name="AutoShape 40" descr="Currently available antiretroviral drugs | Download Table">
          <a:extLst>
            <a:ext uri="{FF2B5EF4-FFF2-40B4-BE49-F238E27FC236}">
              <a16:creationId xmlns:a16="http://schemas.microsoft.com/office/drawing/2014/main" id="{09CF75EC-965B-402A-A7B3-C19F037AC6C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044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45" name="AutoShape 40" descr="Currently available antiretroviral drugs | Download Table">
          <a:extLst>
            <a:ext uri="{FF2B5EF4-FFF2-40B4-BE49-F238E27FC236}">
              <a16:creationId xmlns:a16="http://schemas.microsoft.com/office/drawing/2014/main" id="{5E868EAE-11FC-4E37-A92A-BB8A1A1CC7B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223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46" name="AutoShape 40" descr="Currently available antiretroviral drugs | Download Table">
          <a:extLst>
            <a:ext uri="{FF2B5EF4-FFF2-40B4-BE49-F238E27FC236}">
              <a16:creationId xmlns:a16="http://schemas.microsoft.com/office/drawing/2014/main" id="{A07C5ADF-E27A-4DEF-BF8A-4E0DEEB252F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223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47" name="AutoShape 40" descr="Currently available antiretroviral drugs | Download Table">
          <a:extLst>
            <a:ext uri="{FF2B5EF4-FFF2-40B4-BE49-F238E27FC236}">
              <a16:creationId xmlns:a16="http://schemas.microsoft.com/office/drawing/2014/main" id="{52BCE03F-9DD2-40AF-A94E-3F35F5B7ADA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223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48" name="AutoShape 40" descr="Currently available antiretroviral drugs | Download Table">
          <a:extLst>
            <a:ext uri="{FF2B5EF4-FFF2-40B4-BE49-F238E27FC236}">
              <a16:creationId xmlns:a16="http://schemas.microsoft.com/office/drawing/2014/main" id="{43A3F499-32C7-4420-9C04-571C5ED39B6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223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49" name="AutoShape 40" descr="Currently available antiretroviral drugs | Download Table">
          <a:extLst>
            <a:ext uri="{FF2B5EF4-FFF2-40B4-BE49-F238E27FC236}">
              <a16:creationId xmlns:a16="http://schemas.microsoft.com/office/drawing/2014/main" id="{34D3F92A-4C4B-49DE-A06E-D664F435D29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223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50" name="AutoShape 40" descr="Currently available antiretroviral drugs | Download Table">
          <a:extLst>
            <a:ext uri="{FF2B5EF4-FFF2-40B4-BE49-F238E27FC236}">
              <a16:creationId xmlns:a16="http://schemas.microsoft.com/office/drawing/2014/main" id="{18B09B8C-E11A-4E7B-A11E-2F06FA09A51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223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51" name="AutoShape 40" descr="Currently available antiretroviral drugs | Download Table">
          <a:extLst>
            <a:ext uri="{FF2B5EF4-FFF2-40B4-BE49-F238E27FC236}">
              <a16:creationId xmlns:a16="http://schemas.microsoft.com/office/drawing/2014/main" id="{9B81BA74-42CF-470E-B444-8C74920AFA0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223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52" name="AutoShape 40" descr="Currently available antiretroviral drugs | Download Table">
          <a:extLst>
            <a:ext uri="{FF2B5EF4-FFF2-40B4-BE49-F238E27FC236}">
              <a16:creationId xmlns:a16="http://schemas.microsoft.com/office/drawing/2014/main" id="{AE7A5884-BD2E-448B-BA53-DCB00E29F51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223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53" name="AutoShape 40" descr="Currently available antiretroviral drugs | Download Table">
          <a:extLst>
            <a:ext uri="{FF2B5EF4-FFF2-40B4-BE49-F238E27FC236}">
              <a16:creationId xmlns:a16="http://schemas.microsoft.com/office/drawing/2014/main" id="{B299DF90-8116-486B-A7DC-2756E73A8E5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223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54" name="AutoShape 40" descr="Currently available antiretroviral drugs | Download Table">
          <a:extLst>
            <a:ext uri="{FF2B5EF4-FFF2-40B4-BE49-F238E27FC236}">
              <a16:creationId xmlns:a16="http://schemas.microsoft.com/office/drawing/2014/main" id="{E7AC6546-EB71-42FB-AF04-06B5B2F6108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223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55" name="AutoShape 40" descr="Currently available antiretroviral drugs | Download Table">
          <a:extLst>
            <a:ext uri="{FF2B5EF4-FFF2-40B4-BE49-F238E27FC236}">
              <a16:creationId xmlns:a16="http://schemas.microsoft.com/office/drawing/2014/main" id="{14BAAE96-0F3F-4093-B0C9-D150B7CE132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223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56" name="AutoShape 40" descr="Currently available antiretroviral drugs | Download Table">
          <a:extLst>
            <a:ext uri="{FF2B5EF4-FFF2-40B4-BE49-F238E27FC236}">
              <a16:creationId xmlns:a16="http://schemas.microsoft.com/office/drawing/2014/main" id="{30CCA3A1-331F-47FD-9A9A-FAB9579F5DB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223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57" name="AutoShape 40" descr="Currently available antiretroviral drugs | Download Table">
          <a:extLst>
            <a:ext uri="{FF2B5EF4-FFF2-40B4-BE49-F238E27FC236}">
              <a16:creationId xmlns:a16="http://schemas.microsoft.com/office/drawing/2014/main" id="{2B71B829-10A6-47BE-B790-154076ECF97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223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58" name="AutoShape 40" descr="Currently available antiretroviral drugs | Download Table">
          <a:extLst>
            <a:ext uri="{FF2B5EF4-FFF2-40B4-BE49-F238E27FC236}">
              <a16:creationId xmlns:a16="http://schemas.microsoft.com/office/drawing/2014/main" id="{EC03A662-FAEA-4BC2-953B-8EE1950126D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223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59" name="AutoShape 40" descr="Currently available antiretroviral drugs | Download Table">
          <a:extLst>
            <a:ext uri="{FF2B5EF4-FFF2-40B4-BE49-F238E27FC236}">
              <a16:creationId xmlns:a16="http://schemas.microsoft.com/office/drawing/2014/main" id="{D570D115-BCFF-49C4-8E35-F1E81232BA9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223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60" name="AutoShape 40" descr="Currently available antiretroviral drugs | Download Table">
          <a:extLst>
            <a:ext uri="{FF2B5EF4-FFF2-40B4-BE49-F238E27FC236}">
              <a16:creationId xmlns:a16="http://schemas.microsoft.com/office/drawing/2014/main" id="{08600B96-2D26-446A-BD00-8C8468F4AAB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223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61" name="AutoShape 40" descr="Currently available antiretroviral drugs | Download Table">
          <a:extLst>
            <a:ext uri="{FF2B5EF4-FFF2-40B4-BE49-F238E27FC236}">
              <a16:creationId xmlns:a16="http://schemas.microsoft.com/office/drawing/2014/main" id="{F0A03AF9-7BE8-4F39-BBC2-99E12B85634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223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62" name="AutoShape 40" descr="Currently available antiretroviral drugs | Download Table">
          <a:extLst>
            <a:ext uri="{FF2B5EF4-FFF2-40B4-BE49-F238E27FC236}">
              <a16:creationId xmlns:a16="http://schemas.microsoft.com/office/drawing/2014/main" id="{AA915FE7-8F37-4529-98A1-C8774A54E7D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223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63" name="AutoShape 40" descr="Currently available antiretroviral drugs | Download Table">
          <a:extLst>
            <a:ext uri="{FF2B5EF4-FFF2-40B4-BE49-F238E27FC236}">
              <a16:creationId xmlns:a16="http://schemas.microsoft.com/office/drawing/2014/main" id="{81F3E91E-4267-45C2-9549-64E91AAF90C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223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64" name="AutoShape 40" descr="Currently available antiretroviral drugs | Download Table">
          <a:extLst>
            <a:ext uri="{FF2B5EF4-FFF2-40B4-BE49-F238E27FC236}">
              <a16:creationId xmlns:a16="http://schemas.microsoft.com/office/drawing/2014/main" id="{FE489CE9-C39E-4E44-AFB4-1E2F5F80EFA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223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65" name="AutoShape 40" descr="Currently available antiretroviral drugs | Download Table">
          <a:extLst>
            <a:ext uri="{FF2B5EF4-FFF2-40B4-BE49-F238E27FC236}">
              <a16:creationId xmlns:a16="http://schemas.microsoft.com/office/drawing/2014/main" id="{3EFC4644-62F5-43F6-ACBA-226E05F2F76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223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66" name="AutoShape 40" descr="Currently available antiretroviral drugs | Download Table">
          <a:extLst>
            <a:ext uri="{FF2B5EF4-FFF2-40B4-BE49-F238E27FC236}">
              <a16:creationId xmlns:a16="http://schemas.microsoft.com/office/drawing/2014/main" id="{2D11D2DD-6B05-4916-A134-CBAD5DFE08E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223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67" name="AutoShape 40" descr="Currently available antiretroviral drugs | Download Table">
          <a:extLst>
            <a:ext uri="{FF2B5EF4-FFF2-40B4-BE49-F238E27FC236}">
              <a16:creationId xmlns:a16="http://schemas.microsoft.com/office/drawing/2014/main" id="{FB418C64-14AF-4F1D-AE7A-97D158B292B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223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68" name="AutoShape 40" descr="Currently available antiretroviral drugs | Download Table">
          <a:extLst>
            <a:ext uri="{FF2B5EF4-FFF2-40B4-BE49-F238E27FC236}">
              <a16:creationId xmlns:a16="http://schemas.microsoft.com/office/drawing/2014/main" id="{B70DAEDE-9B10-4A40-9E51-C790BE644D8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223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69" name="AutoShape 40" descr="Currently available antiretroviral drugs | Download Table">
          <a:extLst>
            <a:ext uri="{FF2B5EF4-FFF2-40B4-BE49-F238E27FC236}">
              <a16:creationId xmlns:a16="http://schemas.microsoft.com/office/drawing/2014/main" id="{CDF3959D-A1F8-4CC5-A6C8-4B8A0961E5D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223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70" name="AutoShape 40" descr="Currently available antiretroviral drugs | Download Table">
          <a:extLst>
            <a:ext uri="{FF2B5EF4-FFF2-40B4-BE49-F238E27FC236}">
              <a16:creationId xmlns:a16="http://schemas.microsoft.com/office/drawing/2014/main" id="{4E5F162A-E3E2-486A-B4EE-2946AFF19D9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223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71" name="AutoShape 40" descr="Currently available antiretroviral drugs | Download Table">
          <a:extLst>
            <a:ext uri="{FF2B5EF4-FFF2-40B4-BE49-F238E27FC236}">
              <a16:creationId xmlns:a16="http://schemas.microsoft.com/office/drawing/2014/main" id="{A69E1342-59C3-4AC2-84DF-60DC40EB54F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223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72" name="AutoShape 40" descr="Currently available antiretroviral drugs | Download Table">
          <a:extLst>
            <a:ext uri="{FF2B5EF4-FFF2-40B4-BE49-F238E27FC236}">
              <a16:creationId xmlns:a16="http://schemas.microsoft.com/office/drawing/2014/main" id="{C90E09E6-DAF9-4ABB-8AAE-9E0A74FE344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223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73" name="AutoShape 40" descr="Currently available antiretroviral drugs | Download Table">
          <a:extLst>
            <a:ext uri="{FF2B5EF4-FFF2-40B4-BE49-F238E27FC236}">
              <a16:creationId xmlns:a16="http://schemas.microsoft.com/office/drawing/2014/main" id="{9964419D-8CC3-422E-8E25-622232D93A1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223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74" name="AutoShape 40" descr="Currently available antiretroviral drugs | Download Table">
          <a:extLst>
            <a:ext uri="{FF2B5EF4-FFF2-40B4-BE49-F238E27FC236}">
              <a16:creationId xmlns:a16="http://schemas.microsoft.com/office/drawing/2014/main" id="{7D53D68B-DCBE-47AD-8D4F-AEB0DD2F2A1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223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75" name="AutoShape 40" descr="Currently available antiretroviral drugs | Download Table">
          <a:extLst>
            <a:ext uri="{FF2B5EF4-FFF2-40B4-BE49-F238E27FC236}">
              <a16:creationId xmlns:a16="http://schemas.microsoft.com/office/drawing/2014/main" id="{27EB677C-38C7-49D2-8FA3-A1FFB67585B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223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76" name="AutoShape 40" descr="Currently available antiretroviral drugs | Download Table">
          <a:extLst>
            <a:ext uri="{FF2B5EF4-FFF2-40B4-BE49-F238E27FC236}">
              <a16:creationId xmlns:a16="http://schemas.microsoft.com/office/drawing/2014/main" id="{A168315C-8DD8-4B35-B642-8D72CCC0CDF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223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77" name="AutoShape 40" descr="Currently available antiretroviral drugs | Download Table">
          <a:extLst>
            <a:ext uri="{FF2B5EF4-FFF2-40B4-BE49-F238E27FC236}">
              <a16:creationId xmlns:a16="http://schemas.microsoft.com/office/drawing/2014/main" id="{AEC25793-B867-4174-AF65-D910F15DC1E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40276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78" name="AutoShape 40" descr="Currently available antiretroviral drugs | Download Table">
          <a:extLst>
            <a:ext uri="{FF2B5EF4-FFF2-40B4-BE49-F238E27FC236}">
              <a16:creationId xmlns:a16="http://schemas.microsoft.com/office/drawing/2014/main" id="{C0CD7CFD-312B-4F1A-B50A-B2C69ECB934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40276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79" name="AutoShape 40" descr="Currently available antiretroviral drugs | Download Table">
          <a:extLst>
            <a:ext uri="{FF2B5EF4-FFF2-40B4-BE49-F238E27FC236}">
              <a16:creationId xmlns:a16="http://schemas.microsoft.com/office/drawing/2014/main" id="{12BFFF32-6BC7-4909-B6C5-1869BB1D441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40276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80" name="AutoShape 40" descr="Currently available antiretroviral drugs | Download Table">
          <a:extLst>
            <a:ext uri="{FF2B5EF4-FFF2-40B4-BE49-F238E27FC236}">
              <a16:creationId xmlns:a16="http://schemas.microsoft.com/office/drawing/2014/main" id="{213151EC-D549-429D-8C57-488EB6BB2CC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40276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81" name="AutoShape 40" descr="Currently available antiretroviral drugs | Download Table">
          <a:extLst>
            <a:ext uri="{FF2B5EF4-FFF2-40B4-BE49-F238E27FC236}">
              <a16:creationId xmlns:a16="http://schemas.microsoft.com/office/drawing/2014/main" id="{B5F1E045-D160-4FDB-AC33-C6C22306D26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40276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82" name="AutoShape 40" descr="Currently available antiretroviral drugs | Download Table">
          <a:extLst>
            <a:ext uri="{FF2B5EF4-FFF2-40B4-BE49-F238E27FC236}">
              <a16:creationId xmlns:a16="http://schemas.microsoft.com/office/drawing/2014/main" id="{22E9C5CF-66BB-481D-94FE-A647582CC9E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40276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83" name="AutoShape 40" descr="Currently available antiretroviral drugs | Download Table">
          <a:extLst>
            <a:ext uri="{FF2B5EF4-FFF2-40B4-BE49-F238E27FC236}">
              <a16:creationId xmlns:a16="http://schemas.microsoft.com/office/drawing/2014/main" id="{0CDD98E7-7B56-4A82-BFBA-A1EACAA634E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40276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84" name="AutoShape 40" descr="Currently available antiretroviral drugs | Download Table">
          <a:extLst>
            <a:ext uri="{FF2B5EF4-FFF2-40B4-BE49-F238E27FC236}">
              <a16:creationId xmlns:a16="http://schemas.microsoft.com/office/drawing/2014/main" id="{474776B4-5D1D-4817-8A79-D674F94C22A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40276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85" name="AutoShape 40" descr="Currently available antiretroviral drugs | Download Table">
          <a:extLst>
            <a:ext uri="{FF2B5EF4-FFF2-40B4-BE49-F238E27FC236}">
              <a16:creationId xmlns:a16="http://schemas.microsoft.com/office/drawing/2014/main" id="{52726248-D13E-4964-B149-B4448109500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40276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86" name="AutoShape 40" descr="Currently available antiretroviral drugs | Download Table">
          <a:extLst>
            <a:ext uri="{FF2B5EF4-FFF2-40B4-BE49-F238E27FC236}">
              <a16:creationId xmlns:a16="http://schemas.microsoft.com/office/drawing/2014/main" id="{21A5E602-0E02-4ECE-A188-1A7920909A5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40276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87" name="AutoShape 40" descr="Currently available antiretroviral drugs | Download Table">
          <a:extLst>
            <a:ext uri="{FF2B5EF4-FFF2-40B4-BE49-F238E27FC236}">
              <a16:creationId xmlns:a16="http://schemas.microsoft.com/office/drawing/2014/main" id="{B1D5D65D-7F3E-494B-B3BE-0C55D9A2F8B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40276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88" name="AutoShape 40" descr="Currently available antiretroviral drugs | Download Table">
          <a:extLst>
            <a:ext uri="{FF2B5EF4-FFF2-40B4-BE49-F238E27FC236}">
              <a16:creationId xmlns:a16="http://schemas.microsoft.com/office/drawing/2014/main" id="{C05715EF-5AF1-4045-B240-542CE8F5598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40276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89" name="AutoShape 40" descr="Currently available antiretroviral drugs | Download Table">
          <a:extLst>
            <a:ext uri="{FF2B5EF4-FFF2-40B4-BE49-F238E27FC236}">
              <a16:creationId xmlns:a16="http://schemas.microsoft.com/office/drawing/2014/main" id="{8D8D328D-5ACF-4B46-9AC9-A2978A88BA9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40276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90" name="AutoShape 40" descr="Currently available antiretroviral drugs | Download Table">
          <a:extLst>
            <a:ext uri="{FF2B5EF4-FFF2-40B4-BE49-F238E27FC236}">
              <a16:creationId xmlns:a16="http://schemas.microsoft.com/office/drawing/2014/main" id="{622FCDBE-0BFD-4CCB-852F-360524772CF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223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91" name="AutoShape 40" descr="Currently available antiretroviral drugs | Download Table">
          <a:extLst>
            <a:ext uri="{FF2B5EF4-FFF2-40B4-BE49-F238E27FC236}">
              <a16:creationId xmlns:a16="http://schemas.microsoft.com/office/drawing/2014/main" id="{B7107E20-4BD3-431B-A072-795F0F78CEA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223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92" name="AutoShape 40" descr="Currently available antiretroviral drugs | Download Table">
          <a:extLst>
            <a:ext uri="{FF2B5EF4-FFF2-40B4-BE49-F238E27FC236}">
              <a16:creationId xmlns:a16="http://schemas.microsoft.com/office/drawing/2014/main" id="{249648D8-F523-4D45-BBFE-D913508343D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223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93" name="AutoShape 40" descr="Currently available antiretroviral drugs | Download Table">
          <a:extLst>
            <a:ext uri="{FF2B5EF4-FFF2-40B4-BE49-F238E27FC236}">
              <a16:creationId xmlns:a16="http://schemas.microsoft.com/office/drawing/2014/main" id="{764DB7F8-C9A2-4C51-A4CC-052B05FB3E1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223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94" name="AutoShape 40" descr="Currently available antiretroviral drugs | Download Table">
          <a:extLst>
            <a:ext uri="{FF2B5EF4-FFF2-40B4-BE49-F238E27FC236}">
              <a16:creationId xmlns:a16="http://schemas.microsoft.com/office/drawing/2014/main" id="{4C8E197F-1AA9-4AAD-A31D-4BD0B2868B9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223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95" name="AutoShape 40" descr="Currently available antiretroviral drugs | Download Table">
          <a:extLst>
            <a:ext uri="{FF2B5EF4-FFF2-40B4-BE49-F238E27FC236}">
              <a16:creationId xmlns:a16="http://schemas.microsoft.com/office/drawing/2014/main" id="{6586E330-D093-4AE5-8467-92B03A834BA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223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96" name="AutoShape 40" descr="Currently available antiretroviral drugs | Download Table">
          <a:extLst>
            <a:ext uri="{FF2B5EF4-FFF2-40B4-BE49-F238E27FC236}">
              <a16:creationId xmlns:a16="http://schemas.microsoft.com/office/drawing/2014/main" id="{6FF48893-E0BF-4E35-8EA5-76CF94DD94C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223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97" name="AutoShape 40" descr="Currently available antiretroviral drugs | Download Table">
          <a:extLst>
            <a:ext uri="{FF2B5EF4-FFF2-40B4-BE49-F238E27FC236}">
              <a16:creationId xmlns:a16="http://schemas.microsoft.com/office/drawing/2014/main" id="{955C6A66-0A44-4DE8-A83D-4F0C7C8A5C3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223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98" name="AutoShape 40" descr="Currently available antiretroviral drugs | Download Table">
          <a:extLst>
            <a:ext uri="{FF2B5EF4-FFF2-40B4-BE49-F238E27FC236}">
              <a16:creationId xmlns:a16="http://schemas.microsoft.com/office/drawing/2014/main" id="{42091F6D-AFFC-48E1-ACF1-C5C95868FAE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223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099" name="AutoShape 40" descr="Currently available antiretroviral drugs | Download Table">
          <a:extLst>
            <a:ext uri="{FF2B5EF4-FFF2-40B4-BE49-F238E27FC236}">
              <a16:creationId xmlns:a16="http://schemas.microsoft.com/office/drawing/2014/main" id="{D63543AF-2A55-4128-B2E0-6AD8FB7E154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223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00" name="AutoShape 40" descr="Currently available antiretroviral drugs | Download Table">
          <a:extLst>
            <a:ext uri="{FF2B5EF4-FFF2-40B4-BE49-F238E27FC236}">
              <a16:creationId xmlns:a16="http://schemas.microsoft.com/office/drawing/2014/main" id="{F16C27AF-983F-466A-AF0C-20FFA3F44F2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223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01" name="AutoShape 40" descr="Currently available antiretroviral drugs | Download Table">
          <a:extLst>
            <a:ext uri="{FF2B5EF4-FFF2-40B4-BE49-F238E27FC236}">
              <a16:creationId xmlns:a16="http://schemas.microsoft.com/office/drawing/2014/main" id="{6962625D-87D2-4C39-82CD-69EAEAC33E2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40276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02" name="AutoShape 40" descr="Currently available antiretroviral drugs | Download Table">
          <a:extLst>
            <a:ext uri="{FF2B5EF4-FFF2-40B4-BE49-F238E27FC236}">
              <a16:creationId xmlns:a16="http://schemas.microsoft.com/office/drawing/2014/main" id="{C2C03F2B-ED39-46A6-9B23-083B53E8B18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223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03" name="AutoShape 40" descr="Currently available antiretroviral drugs | Download Table">
          <a:extLst>
            <a:ext uri="{FF2B5EF4-FFF2-40B4-BE49-F238E27FC236}">
              <a16:creationId xmlns:a16="http://schemas.microsoft.com/office/drawing/2014/main" id="{96400597-AF55-42AD-BE3E-A930BE33C24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223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04" name="AutoShape 40" descr="Currently available antiretroviral drugs | Download Table">
          <a:extLst>
            <a:ext uri="{FF2B5EF4-FFF2-40B4-BE49-F238E27FC236}">
              <a16:creationId xmlns:a16="http://schemas.microsoft.com/office/drawing/2014/main" id="{D48C3E19-7828-422C-A48D-D5734FBC1BA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40276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05" name="AutoShape 40" descr="Currently available antiretroviral drugs | Download Table">
          <a:extLst>
            <a:ext uri="{FF2B5EF4-FFF2-40B4-BE49-F238E27FC236}">
              <a16:creationId xmlns:a16="http://schemas.microsoft.com/office/drawing/2014/main" id="{2589CA9D-5769-4B0E-AC6F-64762B36024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40276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06" name="AutoShape 40" descr="Currently available antiretroviral drugs | Download Table">
          <a:extLst>
            <a:ext uri="{FF2B5EF4-FFF2-40B4-BE49-F238E27FC236}">
              <a16:creationId xmlns:a16="http://schemas.microsoft.com/office/drawing/2014/main" id="{6E9DB18F-DF12-4D92-8405-44B5723CC6B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40276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07" name="AutoShape 40" descr="Currently available antiretroviral drugs | Download Table">
          <a:extLst>
            <a:ext uri="{FF2B5EF4-FFF2-40B4-BE49-F238E27FC236}">
              <a16:creationId xmlns:a16="http://schemas.microsoft.com/office/drawing/2014/main" id="{3C86C16F-32C1-4C1A-B86C-C3330D853F8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40276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08" name="AutoShape 40" descr="Currently available antiretroviral drugs | Download Table">
          <a:extLst>
            <a:ext uri="{FF2B5EF4-FFF2-40B4-BE49-F238E27FC236}">
              <a16:creationId xmlns:a16="http://schemas.microsoft.com/office/drawing/2014/main" id="{93131296-2688-47CD-B80F-165D2263949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40276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09" name="AutoShape 40" descr="Currently available antiretroviral drugs | Download Table">
          <a:extLst>
            <a:ext uri="{FF2B5EF4-FFF2-40B4-BE49-F238E27FC236}">
              <a16:creationId xmlns:a16="http://schemas.microsoft.com/office/drawing/2014/main" id="{DC9C58E7-15E9-4838-ACB7-3D9E7FD3910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40276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10" name="AutoShape 40" descr="Currently available antiretroviral drugs | Download Table">
          <a:extLst>
            <a:ext uri="{FF2B5EF4-FFF2-40B4-BE49-F238E27FC236}">
              <a16:creationId xmlns:a16="http://schemas.microsoft.com/office/drawing/2014/main" id="{1037AEF5-8A51-4CA7-93C3-A291D9E4EEA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40276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11" name="AutoShape 40" descr="Currently available antiretroviral drugs | Download Table">
          <a:extLst>
            <a:ext uri="{FF2B5EF4-FFF2-40B4-BE49-F238E27FC236}">
              <a16:creationId xmlns:a16="http://schemas.microsoft.com/office/drawing/2014/main" id="{3F285C1D-3E92-44E5-941F-B780FBCEB86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40276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12" name="AutoShape 40" descr="Currently available antiretroviral drugs | Download Table">
          <a:extLst>
            <a:ext uri="{FF2B5EF4-FFF2-40B4-BE49-F238E27FC236}">
              <a16:creationId xmlns:a16="http://schemas.microsoft.com/office/drawing/2014/main" id="{BA5D4395-B352-4593-8DAB-6FD7D7AD757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40276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13" name="AutoShape 40" descr="Currently available antiretroviral drugs | Download Table">
          <a:extLst>
            <a:ext uri="{FF2B5EF4-FFF2-40B4-BE49-F238E27FC236}">
              <a16:creationId xmlns:a16="http://schemas.microsoft.com/office/drawing/2014/main" id="{5C94A4DC-7250-4534-A638-2B3E5320DFD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40276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14" name="AutoShape 40" descr="Currently available antiretroviral drugs | Download Table">
          <a:extLst>
            <a:ext uri="{FF2B5EF4-FFF2-40B4-BE49-F238E27FC236}">
              <a16:creationId xmlns:a16="http://schemas.microsoft.com/office/drawing/2014/main" id="{F2189743-FC0B-4D11-AFB1-26A17E1172D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40276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15" name="AutoShape 40" descr="Currently available antiretroviral drugs | Download Table">
          <a:extLst>
            <a:ext uri="{FF2B5EF4-FFF2-40B4-BE49-F238E27FC236}">
              <a16:creationId xmlns:a16="http://schemas.microsoft.com/office/drawing/2014/main" id="{57CB650C-41CF-4824-BF9D-0296DDD3602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40276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16" name="AutoShape 40" descr="Currently available antiretroviral drugs | Download Table">
          <a:extLst>
            <a:ext uri="{FF2B5EF4-FFF2-40B4-BE49-F238E27FC236}">
              <a16:creationId xmlns:a16="http://schemas.microsoft.com/office/drawing/2014/main" id="{FAD0C41F-6B28-46C3-B4B2-4FD9409A593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40276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17" name="AutoShape 40" descr="Currently available antiretroviral drugs | Download Table">
          <a:extLst>
            <a:ext uri="{FF2B5EF4-FFF2-40B4-BE49-F238E27FC236}">
              <a16:creationId xmlns:a16="http://schemas.microsoft.com/office/drawing/2014/main" id="{97125D03-CE38-4469-877B-539557A6A77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40276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18" name="AutoShape 40" descr="Currently available antiretroviral drugs | Download Table">
          <a:extLst>
            <a:ext uri="{FF2B5EF4-FFF2-40B4-BE49-F238E27FC236}">
              <a16:creationId xmlns:a16="http://schemas.microsoft.com/office/drawing/2014/main" id="{B89C87C8-293C-4520-AD59-07702F2F725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40276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19" name="AutoShape 40" descr="Currently available antiretroviral drugs | Download Table">
          <a:extLst>
            <a:ext uri="{FF2B5EF4-FFF2-40B4-BE49-F238E27FC236}">
              <a16:creationId xmlns:a16="http://schemas.microsoft.com/office/drawing/2014/main" id="{93B2F09C-849E-4EB6-BED0-DFA86321A9B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40276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20" name="AutoShape 40" descr="Currently available antiretroviral drugs | Download Table">
          <a:extLst>
            <a:ext uri="{FF2B5EF4-FFF2-40B4-BE49-F238E27FC236}">
              <a16:creationId xmlns:a16="http://schemas.microsoft.com/office/drawing/2014/main" id="{43536FC9-996F-44CB-AA0C-9FB928CA815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40276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21" name="AutoShape 40" descr="Currently available antiretroviral drugs | Download Table">
          <a:extLst>
            <a:ext uri="{FF2B5EF4-FFF2-40B4-BE49-F238E27FC236}">
              <a16:creationId xmlns:a16="http://schemas.microsoft.com/office/drawing/2014/main" id="{00041E37-3B4B-4876-BAFA-11E515880B6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40276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22" name="AutoShape 40" descr="Currently available antiretroviral drugs | Download Table">
          <a:extLst>
            <a:ext uri="{FF2B5EF4-FFF2-40B4-BE49-F238E27FC236}">
              <a16:creationId xmlns:a16="http://schemas.microsoft.com/office/drawing/2014/main" id="{6051B77E-345A-4F5F-B12C-E3F4C21459D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40276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23" name="AutoShape 40" descr="Currently available antiretroviral drugs | Download Table">
          <a:extLst>
            <a:ext uri="{FF2B5EF4-FFF2-40B4-BE49-F238E27FC236}">
              <a16:creationId xmlns:a16="http://schemas.microsoft.com/office/drawing/2014/main" id="{CBCDCE55-7989-4807-89EE-7ACFC2AE529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40276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24" name="AutoShape 40" descr="Currently available antiretroviral drugs | Download Table">
          <a:extLst>
            <a:ext uri="{FF2B5EF4-FFF2-40B4-BE49-F238E27FC236}">
              <a16:creationId xmlns:a16="http://schemas.microsoft.com/office/drawing/2014/main" id="{8A1A9FF2-9249-4669-87FA-0D0946A1414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40276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25" name="AutoShape 40" descr="Currently available antiretroviral drugs | Download Table">
          <a:extLst>
            <a:ext uri="{FF2B5EF4-FFF2-40B4-BE49-F238E27FC236}">
              <a16:creationId xmlns:a16="http://schemas.microsoft.com/office/drawing/2014/main" id="{12F819B2-3613-498D-9AA1-940644EDE34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40276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26" name="AutoShape 40" descr="Currently available antiretroviral drugs | Download Table">
          <a:extLst>
            <a:ext uri="{FF2B5EF4-FFF2-40B4-BE49-F238E27FC236}">
              <a16:creationId xmlns:a16="http://schemas.microsoft.com/office/drawing/2014/main" id="{09D336BC-958C-4D08-9218-3FCF97C545E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40276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27" name="AutoShape 40" descr="Currently available antiretroviral drugs | Download Table">
          <a:extLst>
            <a:ext uri="{FF2B5EF4-FFF2-40B4-BE49-F238E27FC236}">
              <a16:creationId xmlns:a16="http://schemas.microsoft.com/office/drawing/2014/main" id="{7E6A6A67-6B87-4255-ADB4-5A2C610441D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40276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28" name="AutoShape 40" descr="Currently available antiretroviral drugs | Download Table">
          <a:extLst>
            <a:ext uri="{FF2B5EF4-FFF2-40B4-BE49-F238E27FC236}">
              <a16:creationId xmlns:a16="http://schemas.microsoft.com/office/drawing/2014/main" id="{EF40740F-1331-4A00-B573-7C2D5399825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40276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29" name="AutoShape 40" descr="Currently available antiretroviral drugs | Download Table">
          <a:extLst>
            <a:ext uri="{FF2B5EF4-FFF2-40B4-BE49-F238E27FC236}">
              <a16:creationId xmlns:a16="http://schemas.microsoft.com/office/drawing/2014/main" id="{60667065-15EA-40C1-839D-07082968374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40276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30" name="AutoShape 40" descr="Currently available antiretroviral drugs | Download Table">
          <a:extLst>
            <a:ext uri="{FF2B5EF4-FFF2-40B4-BE49-F238E27FC236}">
              <a16:creationId xmlns:a16="http://schemas.microsoft.com/office/drawing/2014/main" id="{140BEBEB-80F4-4A3C-8DB5-0AE0C7343E1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40276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31" name="AutoShape 40" descr="Currently available antiretroviral drugs | Download Table">
          <a:extLst>
            <a:ext uri="{FF2B5EF4-FFF2-40B4-BE49-F238E27FC236}">
              <a16:creationId xmlns:a16="http://schemas.microsoft.com/office/drawing/2014/main" id="{5D1AF0B9-B2AB-487E-B617-6610425BA8A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40276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32" name="AutoShape 40" descr="Currently available antiretroviral drugs | Download Table">
          <a:extLst>
            <a:ext uri="{FF2B5EF4-FFF2-40B4-BE49-F238E27FC236}">
              <a16:creationId xmlns:a16="http://schemas.microsoft.com/office/drawing/2014/main" id="{EFFC7D20-D910-4B76-AA23-392E4AF169E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40276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33" name="AutoShape 40" descr="Currently available antiretroviral drugs | Download Table">
          <a:extLst>
            <a:ext uri="{FF2B5EF4-FFF2-40B4-BE49-F238E27FC236}">
              <a16:creationId xmlns:a16="http://schemas.microsoft.com/office/drawing/2014/main" id="{841B4868-D6B7-4FE3-A9F4-813B9EE3EE6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40276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34" name="AutoShape 40" descr="Currently available antiretroviral drugs | Download Table">
          <a:extLst>
            <a:ext uri="{FF2B5EF4-FFF2-40B4-BE49-F238E27FC236}">
              <a16:creationId xmlns:a16="http://schemas.microsoft.com/office/drawing/2014/main" id="{40A9C3FB-2A6B-4485-BA95-CA2BFD4AC84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40276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35" name="AutoShape 40" descr="Currently available antiretroviral drugs | Download Table">
          <a:extLst>
            <a:ext uri="{FF2B5EF4-FFF2-40B4-BE49-F238E27FC236}">
              <a16:creationId xmlns:a16="http://schemas.microsoft.com/office/drawing/2014/main" id="{39795C1C-E6FB-49B6-9788-9174A3E42E6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40276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36" name="AutoShape 40" descr="Currently available antiretroviral drugs | Download Table">
          <a:extLst>
            <a:ext uri="{FF2B5EF4-FFF2-40B4-BE49-F238E27FC236}">
              <a16:creationId xmlns:a16="http://schemas.microsoft.com/office/drawing/2014/main" id="{7D454B6A-59F7-415E-8C23-D635F20EAEE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58205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37" name="AutoShape 40" descr="Currently available antiretroviral drugs | Download Table">
          <a:extLst>
            <a:ext uri="{FF2B5EF4-FFF2-40B4-BE49-F238E27FC236}">
              <a16:creationId xmlns:a16="http://schemas.microsoft.com/office/drawing/2014/main" id="{CDA5B0F2-0FA7-4765-87E8-9DF9F26F1B1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58205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38" name="AutoShape 40" descr="Currently available antiretroviral drugs | Download Table">
          <a:extLst>
            <a:ext uri="{FF2B5EF4-FFF2-40B4-BE49-F238E27FC236}">
              <a16:creationId xmlns:a16="http://schemas.microsoft.com/office/drawing/2014/main" id="{3B7974AB-217F-4709-B03F-C0547CB7C96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58205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39" name="AutoShape 40" descr="Currently available antiretroviral drugs | Download Table">
          <a:extLst>
            <a:ext uri="{FF2B5EF4-FFF2-40B4-BE49-F238E27FC236}">
              <a16:creationId xmlns:a16="http://schemas.microsoft.com/office/drawing/2014/main" id="{AE0C6D51-1C4A-4897-A3B2-0C4825ABD1E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58205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40" name="AutoShape 40" descr="Currently available antiretroviral drugs | Download Table">
          <a:extLst>
            <a:ext uri="{FF2B5EF4-FFF2-40B4-BE49-F238E27FC236}">
              <a16:creationId xmlns:a16="http://schemas.microsoft.com/office/drawing/2014/main" id="{11AA97F4-76E7-44C2-80E6-30F018E47CA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58205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41" name="AutoShape 40" descr="Currently available antiretroviral drugs | Download Table">
          <a:extLst>
            <a:ext uri="{FF2B5EF4-FFF2-40B4-BE49-F238E27FC236}">
              <a16:creationId xmlns:a16="http://schemas.microsoft.com/office/drawing/2014/main" id="{90A88F29-D588-4A43-9556-53DD7EA5E7B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58205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42" name="AutoShape 40" descr="Currently available antiretroviral drugs | Download Table">
          <a:extLst>
            <a:ext uri="{FF2B5EF4-FFF2-40B4-BE49-F238E27FC236}">
              <a16:creationId xmlns:a16="http://schemas.microsoft.com/office/drawing/2014/main" id="{2B4803A1-4E8C-42D9-8D18-9485DA37254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58205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43" name="AutoShape 40" descr="Currently available antiretroviral drugs | Download Table">
          <a:extLst>
            <a:ext uri="{FF2B5EF4-FFF2-40B4-BE49-F238E27FC236}">
              <a16:creationId xmlns:a16="http://schemas.microsoft.com/office/drawing/2014/main" id="{7BDE51E4-4D40-41D7-8E8C-C49772F2306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58205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44" name="AutoShape 40" descr="Currently available antiretroviral drugs | Download Table">
          <a:extLst>
            <a:ext uri="{FF2B5EF4-FFF2-40B4-BE49-F238E27FC236}">
              <a16:creationId xmlns:a16="http://schemas.microsoft.com/office/drawing/2014/main" id="{771C64DA-60F0-45C3-8698-DB11EF275A5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58205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45" name="AutoShape 40" descr="Currently available antiretroviral drugs | Download Table">
          <a:extLst>
            <a:ext uri="{FF2B5EF4-FFF2-40B4-BE49-F238E27FC236}">
              <a16:creationId xmlns:a16="http://schemas.microsoft.com/office/drawing/2014/main" id="{5338158F-5248-41F0-A298-41C109B4D46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58205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46" name="AutoShape 40" descr="Currently available antiretroviral drugs | Download Table">
          <a:extLst>
            <a:ext uri="{FF2B5EF4-FFF2-40B4-BE49-F238E27FC236}">
              <a16:creationId xmlns:a16="http://schemas.microsoft.com/office/drawing/2014/main" id="{39A9B9D1-2CCC-4499-BB8C-A7D39D72DA9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58205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47" name="AutoShape 40" descr="Currently available antiretroviral drugs | Download Table">
          <a:extLst>
            <a:ext uri="{FF2B5EF4-FFF2-40B4-BE49-F238E27FC236}">
              <a16:creationId xmlns:a16="http://schemas.microsoft.com/office/drawing/2014/main" id="{56E05E85-3A99-486A-9FAE-EF13A166602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58205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48" name="AutoShape 40" descr="Currently available antiretroviral drugs | Download Table">
          <a:extLst>
            <a:ext uri="{FF2B5EF4-FFF2-40B4-BE49-F238E27FC236}">
              <a16:creationId xmlns:a16="http://schemas.microsoft.com/office/drawing/2014/main" id="{CE3616C8-D5D2-4B52-B07A-8DB03135642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58205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49" name="AutoShape 40" descr="Currently available antiretroviral drugs | Download Table">
          <a:extLst>
            <a:ext uri="{FF2B5EF4-FFF2-40B4-BE49-F238E27FC236}">
              <a16:creationId xmlns:a16="http://schemas.microsoft.com/office/drawing/2014/main" id="{07DA40A0-A737-442C-BA9E-558EDDB89F0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40276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50" name="AutoShape 40" descr="Currently available antiretroviral drugs | Download Table">
          <a:extLst>
            <a:ext uri="{FF2B5EF4-FFF2-40B4-BE49-F238E27FC236}">
              <a16:creationId xmlns:a16="http://schemas.microsoft.com/office/drawing/2014/main" id="{D90916A3-A779-43F0-943D-43539532E37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40276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51" name="AutoShape 40" descr="Currently available antiretroviral drugs | Download Table">
          <a:extLst>
            <a:ext uri="{FF2B5EF4-FFF2-40B4-BE49-F238E27FC236}">
              <a16:creationId xmlns:a16="http://schemas.microsoft.com/office/drawing/2014/main" id="{6A0D8835-B65D-4ECE-AF85-694D5BEE689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40276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52" name="AutoShape 40" descr="Currently available antiretroviral drugs | Download Table">
          <a:extLst>
            <a:ext uri="{FF2B5EF4-FFF2-40B4-BE49-F238E27FC236}">
              <a16:creationId xmlns:a16="http://schemas.microsoft.com/office/drawing/2014/main" id="{89EB79E8-1ED4-4972-AFFE-D88706BDAD2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40276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53" name="AutoShape 40" descr="Currently available antiretroviral drugs | Download Table">
          <a:extLst>
            <a:ext uri="{FF2B5EF4-FFF2-40B4-BE49-F238E27FC236}">
              <a16:creationId xmlns:a16="http://schemas.microsoft.com/office/drawing/2014/main" id="{CB3B12A4-2A02-4A6F-BD83-65AC79E4227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40276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54" name="AutoShape 40" descr="Currently available antiretroviral drugs | Download Table">
          <a:extLst>
            <a:ext uri="{FF2B5EF4-FFF2-40B4-BE49-F238E27FC236}">
              <a16:creationId xmlns:a16="http://schemas.microsoft.com/office/drawing/2014/main" id="{4CAC9F60-1CB5-478B-BB3E-4B928C2003F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40276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55" name="AutoShape 40" descr="Currently available antiretroviral drugs | Download Table">
          <a:extLst>
            <a:ext uri="{FF2B5EF4-FFF2-40B4-BE49-F238E27FC236}">
              <a16:creationId xmlns:a16="http://schemas.microsoft.com/office/drawing/2014/main" id="{55EEBEE8-94FC-4918-94B1-28303040836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40276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56" name="AutoShape 40" descr="Currently available antiretroviral drugs | Download Table">
          <a:extLst>
            <a:ext uri="{FF2B5EF4-FFF2-40B4-BE49-F238E27FC236}">
              <a16:creationId xmlns:a16="http://schemas.microsoft.com/office/drawing/2014/main" id="{53342DEB-C22E-4B78-AEA6-E4E6DD2CD6E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40276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57" name="AutoShape 40" descr="Currently available antiretroviral drugs | Download Table">
          <a:extLst>
            <a:ext uri="{FF2B5EF4-FFF2-40B4-BE49-F238E27FC236}">
              <a16:creationId xmlns:a16="http://schemas.microsoft.com/office/drawing/2014/main" id="{05B480EC-8948-4641-B27D-13CA2052725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40276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58" name="AutoShape 40" descr="Currently available antiretroviral drugs | Download Table">
          <a:extLst>
            <a:ext uri="{FF2B5EF4-FFF2-40B4-BE49-F238E27FC236}">
              <a16:creationId xmlns:a16="http://schemas.microsoft.com/office/drawing/2014/main" id="{D442F484-AD8F-445B-B226-58138F537BA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40276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59" name="AutoShape 40" descr="Currently available antiretroviral drugs | Download Table">
          <a:extLst>
            <a:ext uri="{FF2B5EF4-FFF2-40B4-BE49-F238E27FC236}">
              <a16:creationId xmlns:a16="http://schemas.microsoft.com/office/drawing/2014/main" id="{8BD4D6C1-E41D-49BC-B867-9B1CCE9BA4D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40276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60" name="AutoShape 40" descr="Currently available antiretroviral drugs | Download Table">
          <a:extLst>
            <a:ext uri="{FF2B5EF4-FFF2-40B4-BE49-F238E27FC236}">
              <a16:creationId xmlns:a16="http://schemas.microsoft.com/office/drawing/2014/main" id="{1FE2780C-48AF-4F3B-A597-246E962DEC7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58205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61" name="AutoShape 40" descr="Currently available antiretroviral drugs | Download Table">
          <a:extLst>
            <a:ext uri="{FF2B5EF4-FFF2-40B4-BE49-F238E27FC236}">
              <a16:creationId xmlns:a16="http://schemas.microsoft.com/office/drawing/2014/main" id="{4A448F08-F0A3-4E99-80CA-2AB019885C2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40276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62" name="AutoShape 40" descr="Currently available antiretroviral drugs | Download Table">
          <a:extLst>
            <a:ext uri="{FF2B5EF4-FFF2-40B4-BE49-F238E27FC236}">
              <a16:creationId xmlns:a16="http://schemas.microsoft.com/office/drawing/2014/main" id="{52EE8235-D2D4-426A-8498-E2BAD7EE37B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40276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63" name="AutoShape 40" descr="Currently available antiretroviral drugs | Download Table">
          <a:extLst>
            <a:ext uri="{FF2B5EF4-FFF2-40B4-BE49-F238E27FC236}">
              <a16:creationId xmlns:a16="http://schemas.microsoft.com/office/drawing/2014/main" id="{DAF0026F-AFCF-4F68-87C3-4FC7297A1C2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58205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64" name="AutoShape 40" descr="Currently available antiretroviral drugs | Download Table">
          <a:extLst>
            <a:ext uri="{FF2B5EF4-FFF2-40B4-BE49-F238E27FC236}">
              <a16:creationId xmlns:a16="http://schemas.microsoft.com/office/drawing/2014/main" id="{AE659BDF-713A-47E3-8700-2E1FFA146FD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58205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65" name="AutoShape 40" descr="Currently available antiretroviral drugs | Download Table">
          <a:extLst>
            <a:ext uri="{FF2B5EF4-FFF2-40B4-BE49-F238E27FC236}">
              <a16:creationId xmlns:a16="http://schemas.microsoft.com/office/drawing/2014/main" id="{AB2724FD-7C78-49B0-B6B7-68314F2F267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58205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66" name="AutoShape 40" descr="Currently available antiretroviral drugs | Download Table">
          <a:extLst>
            <a:ext uri="{FF2B5EF4-FFF2-40B4-BE49-F238E27FC236}">
              <a16:creationId xmlns:a16="http://schemas.microsoft.com/office/drawing/2014/main" id="{8AF9CEBE-1F29-4BE8-8FBE-25933B3D8E4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58205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67" name="AutoShape 40" descr="Currently available antiretroviral drugs | Download Table">
          <a:extLst>
            <a:ext uri="{FF2B5EF4-FFF2-40B4-BE49-F238E27FC236}">
              <a16:creationId xmlns:a16="http://schemas.microsoft.com/office/drawing/2014/main" id="{0BAB70AE-2280-4812-9B02-CB507C14BC0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58205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68" name="AutoShape 40" descr="Currently available antiretroviral drugs | Download Table">
          <a:extLst>
            <a:ext uri="{FF2B5EF4-FFF2-40B4-BE49-F238E27FC236}">
              <a16:creationId xmlns:a16="http://schemas.microsoft.com/office/drawing/2014/main" id="{251596E5-DEC0-4679-9B0B-7C8027C4E79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58205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69" name="AutoShape 40" descr="Currently available antiretroviral drugs | Download Table">
          <a:extLst>
            <a:ext uri="{FF2B5EF4-FFF2-40B4-BE49-F238E27FC236}">
              <a16:creationId xmlns:a16="http://schemas.microsoft.com/office/drawing/2014/main" id="{1E458D50-4691-4984-B4C0-1CE53DACCBC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58205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70" name="AutoShape 40" descr="Currently available antiretroviral drugs | Download Table">
          <a:extLst>
            <a:ext uri="{FF2B5EF4-FFF2-40B4-BE49-F238E27FC236}">
              <a16:creationId xmlns:a16="http://schemas.microsoft.com/office/drawing/2014/main" id="{23B6EB1B-6D55-4A15-82F2-76920F6584E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58205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71" name="AutoShape 40" descr="Currently available antiretroviral drugs | Download Table">
          <a:extLst>
            <a:ext uri="{FF2B5EF4-FFF2-40B4-BE49-F238E27FC236}">
              <a16:creationId xmlns:a16="http://schemas.microsoft.com/office/drawing/2014/main" id="{F2F8F33A-C0EF-415D-B3DA-96727596B83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58205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72" name="AutoShape 40" descr="Currently available antiretroviral drugs | Download Table">
          <a:extLst>
            <a:ext uri="{FF2B5EF4-FFF2-40B4-BE49-F238E27FC236}">
              <a16:creationId xmlns:a16="http://schemas.microsoft.com/office/drawing/2014/main" id="{A70172B0-9958-4366-857E-8F8A88DFEF0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58205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73" name="AutoShape 40" descr="Currently available antiretroviral drugs | Download Table">
          <a:extLst>
            <a:ext uri="{FF2B5EF4-FFF2-40B4-BE49-F238E27FC236}">
              <a16:creationId xmlns:a16="http://schemas.microsoft.com/office/drawing/2014/main" id="{C7943A74-AABB-4361-879D-C385F77E2FE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58205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74" name="AutoShape 40" descr="Currently available antiretroviral drugs | Download Table">
          <a:extLst>
            <a:ext uri="{FF2B5EF4-FFF2-40B4-BE49-F238E27FC236}">
              <a16:creationId xmlns:a16="http://schemas.microsoft.com/office/drawing/2014/main" id="{F68F228D-E2A5-4769-99FC-DF5987BC552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58205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75" name="AutoShape 40" descr="Currently available antiretroviral drugs | Download Table">
          <a:extLst>
            <a:ext uri="{FF2B5EF4-FFF2-40B4-BE49-F238E27FC236}">
              <a16:creationId xmlns:a16="http://schemas.microsoft.com/office/drawing/2014/main" id="{2BBB824C-8109-4C34-8CB4-7765459A176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58205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76" name="AutoShape 40" descr="Currently available antiretroviral drugs | Download Table">
          <a:extLst>
            <a:ext uri="{FF2B5EF4-FFF2-40B4-BE49-F238E27FC236}">
              <a16:creationId xmlns:a16="http://schemas.microsoft.com/office/drawing/2014/main" id="{110B005F-D2FD-4B21-A169-4B922640C36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58205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77" name="AutoShape 40" descr="Currently available antiretroviral drugs | Download Table">
          <a:extLst>
            <a:ext uri="{FF2B5EF4-FFF2-40B4-BE49-F238E27FC236}">
              <a16:creationId xmlns:a16="http://schemas.microsoft.com/office/drawing/2014/main" id="{71F36324-AA1E-45C6-B257-F43F65B9C5E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58205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78" name="AutoShape 40" descr="Currently available antiretroviral drugs | Download Table">
          <a:extLst>
            <a:ext uri="{FF2B5EF4-FFF2-40B4-BE49-F238E27FC236}">
              <a16:creationId xmlns:a16="http://schemas.microsoft.com/office/drawing/2014/main" id="{63F0EA19-B958-4DA8-BCD3-FBBC89B8DC6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58205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79" name="AutoShape 40" descr="Currently available antiretroviral drugs | Download Table">
          <a:extLst>
            <a:ext uri="{FF2B5EF4-FFF2-40B4-BE49-F238E27FC236}">
              <a16:creationId xmlns:a16="http://schemas.microsoft.com/office/drawing/2014/main" id="{689514B4-6ABE-4A06-AE79-02C971C5623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58205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80" name="AutoShape 40" descr="Currently available antiretroviral drugs | Download Table">
          <a:extLst>
            <a:ext uri="{FF2B5EF4-FFF2-40B4-BE49-F238E27FC236}">
              <a16:creationId xmlns:a16="http://schemas.microsoft.com/office/drawing/2014/main" id="{248A703E-1E8D-41DF-B35F-A6307E083EA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58205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81" name="AutoShape 40" descr="Currently available antiretroviral drugs | Download Table">
          <a:extLst>
            <a:ext uri="{FF2B5EF4-FFF2-40B4-BE49-F238E27FC236}">
              <a16:creationId xmlns:a16="http://schemas.microsoft.com/office/drawing/2014/main" id="{2DA2CB44-0BB5-45A1-89CC-4AA299F4FBB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58205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82" name="AutoShape 40" descr="Currently available antiretroviral drugs | Download Table">
          <a:extLst>
            <a:ext uri="{FF2B5EF4-FFF2-40B4-BE49-F238E27FC236}">
              <a16:creationId xmlns:a16="http://schemas.microsoft.com/office/drawing/2014/main" id="{47FD37BB-17A4-4E12-8AB3-7C318495898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58205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83" name="AutoShape 40" descr="Currently available antiretroviral drugs | Download Table">
          <a:extLst>
            <a:ext uri="{FF2B5EF4-FFF2-40B4-BE49-F238E27FC236}">
              <a16:creationId xmlns:a16="http://schemas.microsoft.com/office/drawing/2014/main" id="{000D9495-2874-439F-812B-B5996812078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58205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84" name="AutoShape 40" descr="Currently available antiretroviral drugs | Download Table">
          <a:extLst>
            <a:ext uri="{FF2B5EF4-FFF2-40B4-BE49-F238E27FC236}">
              <a16:creationId xmlns:a16="http://schemas.microsoft.com/office/drawing/2014/main" id="{F6B45EDA-4433-4387-BEC7-CF7D7890EB4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58205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85" name="AutoShape 40" descr="Currently available antiretroviral drugs | Download Table">
          <a:extLst>
            <a:ext uri="{FF2B5EF4-FFF2-40B4-BE49-F238E27FC236}">
              <a16:creationId xmlns:a16="http://schemas.microsoft.com/office/drawing/2014/main" id="{ED00F361-7918-4E8B-B6D4-D297E6E0D35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58205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86" name="AutoShape 40" descr="Currently available antiretroviral drugs | Download Table">
          <a:extLst>
            <a:ext uri="{FF2B5EF4-FFF2-40B4-BE49-F238E27FC236}">
              <a16:creationId xmlns:a16="http://schemas.microsoft.com/office/drawing/2014/main" id="{8BB2103F-AAFF-466A-A775-C6ED163A91A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58205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87" name="AutoShape 40" descr="Currently available antiretroviral drugs | Download Table">
          <a:extLst>
            <a:ext uri="{FF2B5EF4-FFF2-40B4-BE49-F238E27FC236}">
              <a16:creationId xmlns:a16="http://schemas.microsoft.com/office/drawing/2014/main" id="{EE18D95E-4FC8-466F-92C3-51062DA1F79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58205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88" name="AutoShape 40" descr="Currently available antiretroviral drugs | Download Table">
          <a:extLst>
            <a:ext uri="{FF2B5EF4-FFF2-40B4-BE49-F238E27FC236}">
              <a16:creationId xmlns:a16="http://schemas.microsoft.com/office/drawing/2014/main" id="{E1AFA786-0174-45E8-9FBF-662EE319170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58205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89" name="AutoShape 40" descr="Currently available antiretroviral drugs | Download Table">
          <a:extLst>
            <a:ext uri="{FF2B5EF4-FFF2-40B4-BE49-F238E27FC236}">
              <a16:creationId xmlns:a16="http://schemas.microsoft.com/office/drawing/2014/main" id="{E98F76B7-4CAA-40C7-9F83-208F3EA9593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58205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90" name="AutoShape 40" descr="Currently available antiretroviral drugs | Download Table">
          <a:extLst>
            <a:ext uri="{FF2B5EF4-FFF2-40B4-BE49-F238E27FC236}">
              <a16:creationId xmlns:a16="http://schemas.microsoft.com/office/drawing/2014/main" id="{6A0BDEE6-D382-4086-99BF-DBE81AF6CFB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58205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91" name="AutoShape 40" descr="Currently available antiretroviral drugs | Download Table">
          <a:extLst>
            <a:ext uri="{FF2B5EF4-FFF2-40B4-BE49-F238E27FC236}">
              <a16:creationId xmlns:a16="http://schemas.microsoft.com/office/drawing/2014/main" id="{7F5523FD-B562-412E-9A65-9137B9B3776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58205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92" name="AutoShape 40" descr="Currently available antiretroviral drugs | Download Table">
          <a:extLst>
            <a:ext uri="{FF2B5EF4-FFF2-40B4-BE49-F238E27FC236}">
              <a16:creationId xmlns:a16="http://schemas.microsoft.com/office/drawing/2014/main" id="{CDDB4173-0B18-4914-B342-FCED1DF9646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58205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93" name="AutoShape 40" descr="Currently available antiretroviral drugs | Download Table">
          <a:extLst>
            <a:ext uri="{FF2B5EF4-FFF2-40B4-BE49-F238E27FC236}">
              <a16:creationId xmlns:a16="http://schemas.microsoft.com/office/drawing/2014/main" id="{2DD7FD1D-40CB-47F0-8653-65F43FA5B09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58205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94" name="AutoShape 40" descr="Currently available antiretroviral drugs | Download Table">
          <a:extLst>
            <a:ext uri="{FF2B5EF4-FFF2-40B4-BE49-F238E27FC236}">
              <a16:creationId xmlns:a16="http://schemas.microsoft.com/office/drawing/2014/main" id="{D1348BE1-B607-43BB-9D76-FCC8549B05C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58205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95" name="AutoShape 40" descr="Currently available antiretroviral drugs | Download Table">
          <a:extLst>
            <a:ext uri="{FF2B5EF4-FFF2-40B4-BE49-F238E27FC236}">
              <a16:creationId xmlns:a16="http://schemas.microsoft.com/office/drawing/2014/main" id="{20B04803-7783-4562-991C-384323AFD31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76135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96" name="AutoShape 40" descr="Currently available antiretroviral drugs | Download Table">
          <a:extLst>
            <a:ext uri="{FF2B5EF4-FFF2-40B4-BE49-F238E27FC236}">
              <a16:creationId xmlns:a16="http://schemas.microsoft.com/office/drawing/2014/main" id="{D2359DEA-350C-402F-AA6C-9BCE17E8DB7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76135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97" name="AutoShape 40" descr="Currently available antiretroviral drugs | Download Table">
          <a:extLst>
            <a:ext uri="{FF2B5EF4-FFF2-40B4-BE49-F238E27FC236}">
              <a16:creationId xmlns:a16="http://schemas.microsoft.com/office/drawing/2014/main" id="{6948BCC6-FEEF-4800-B464-BF2FEABE30C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76135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98" name="AutoShape 40" descr="Currently available antiretroviral drugs | Download Table">
          <a:extLst>
            <a:ext uri="{FF2B5EF4-FFF2-40B4-BE49-F238E27FC236}">
              <a16:creationId xmlns:a16="http://schemas.microsoft.com/office/drawing/2014/main" id="{425435A7-9DEE-4968-824B-0C40C97A1D3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76135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199" name="AutoShape 40" descr="Currently available antiretroviral drugs | Download Table">
          <a:extLst>
            <a:ext uri="{FF2B5EF4-FFF2-40B4-BE49-F238E27FC236}">
              <a16:creationId xmlns:a16="http://schemas.microsoft.com/office/drawing/2014/main" id="{7F399605-2B4A-47F8-9858-6345473E495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76135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00" name="AutoShape 40" descr="Currently available antiretroviral drugs | Download Table">
          <a:extLst>
            <a:ext uri="{FF2B5EF4-FFF2-40B4-BE49-F238E27FC236}">
              <a16:creationId xmlns:a16="http://schemas.microsoft.com/office/drawing/2014/main" id="{E07B275A-1A1E-4BE4-B2F8-E6E31416476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76135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01" name="AutoShape 40" descr="Currently available antiretroviral drugs | Download Table">
          <a:extLst>
            <a:ext uri="{FF2B5EF4-FFF2-40B4-BE49-F238E27FC236}">
              <a16:creationId xmlns:a16="http://schemas.microsoft.com/office/drawing/2014/main" id="{B5C3A337-01A6-480F-AA97-91EE9EECDE5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76135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02" name="AutoShape 40" descr="Currently available antiretroviral drugs | Download Table">
          <a:extLst>
            <a:ext uri="{FF2B5EF4-FFF2-40B4-BE49-F238E27FC236}">
              <a16:creationId xmlns:a16="http://schemas.microsoft.com/office/drawing/2014/main" id="{C9276B09-5FE5-47E1-9E2E-C4534C3BC33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76135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03" name="AutoShape 40" descr="Currently available antiretroviral drugs | Download Table">
          <a:extLst>
            <a:ext uri="{FF2B5EF4-FFF2-40B4-BE49-F238E27FC236}">
              <a16:creationId xmlns:a16="http://schemas.microsoft.com/office/drawing/2014/main" id="{9A8622C9-C2F4-43C1-A1C0-81FBA862488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76135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04" name="AutoShape 40" descr="Currently available antiretroviral drugs | Download Table">
          <a:extLst>
            <a:ext uri="{FF2B5EF4-FFF2-40B4-BE49-F238E27FC236}">
              <a16:creationId xmlns:a16="http://schemas.microsoft.com/office/drawing/2014/main" id="{1F64C706-3725-4E11-87A7-B4270A9D15F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76135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05" name="AutoShape 40" descr="Currently available antiretroviral drugs | Download Table">
          <a:extLst>
            <a:ext uri="{FF2B5EF4-FFF2-40B4-BE49-F238E27FC236}">
              <a16:creationId xmlns:a16="http://schemas.microsoft.com/office/drawing/2014/main" id="{BBDB91A7-9BFD-493F-BEEF-2C8CF1DC658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76135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06" name="AutoShape 40" descr="Currently available antiretroviral drugs | Download Table">
          <a:extLst>
            <a:ext uri="{FF2B5EF4-FFF2-40B4-BE49-F238E27FC236}">
              <a16:creationId xmlns:a16="http://schemas.microsoft.com/office/drawing/2014/main" id="{A0A96C72-83E0-45AA-9861-0DD527CAEBC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76135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07" name="AutoShape 40" descr="Currently available antiretroviral drugs | Download Table">
          <a:extLst>
            <a:ext uri="{FF2B5EF4-FFF2-40B4-BE49-F238E27FC236}">
              <a16:creationId xmlns:a16="http://schemas.microsoft.com/office/drawing/2014/main" id="{F7DE6FD9-5C8C-4CE3-8E29-7DF06A49510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76135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08" name="AutoShape 40" descr="Currently available antiretroviral drugs | Download Table">
          <a:extLst>
            <a:ext uri="{FF2B5EF4-FFF2-40B4-BE49-F238E27FC236}">
              <a16:creationId xmlns:a16="http://schemas.microsoft.com/office/drawing/2014/main" id="{F05F578F-904C-4F62-854E-0E9807CF396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58205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09" name="AutoShape 40" descr="Currently available antiretroviral drugs | Download Table">
          <a:extLst>
            <a:ext uri="{FF2B5EF4-FFF2-40B4-BE49-F238E27FC236}">
              <a16:creationId xmlns:a16="http://schemas.microsoft.com/office/drawing/2014/main" id="{506FF815-496B-4775-9E64-0130DFFD871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58205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10" name="AutoShape 40" descr="Currently available antiretroviral drugs | Download Table">
          <a:extLst>
            <a:ext uri="{FF2B5EF4-FFF2-40B4-BE49-F238E27FC236}">
              <a16:creationId xmlns:a16="http://schemas.microsoft.com/office/drawing/2014/main" id="{65DBB9B6-BF10-4206-A0E0-F8EB8CEFFCF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58205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11" name="AutoShape 40" descr="Currently available antiretroviral drugs | Download Table">
          <a:extLst>
            <a:ext uri="{FF2B5EF4-FFF2-40B4-BE49-F238E27FC236}">
              <a16:creationId xmlns:a16="http://schemas.microsoft.com/office/drawing/2014/main" id="{11F16575-20EF-4FC6-88F0-CED295F31B5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58205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12" name="AutoShape 40" descr="Currently available antiretroviral drugs | Download Table">
          <a:extLst>
            <a:ext uri="{FF2B5EF4-FFF2-40B4-BE49-F238E27FC236}">
              <a16:creationId xmlns:a16="http://schemas.microsoft.com/office/drawing/2014/main" id="{CFA61801-B17A-4910-98F7-41AAFD88FB4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58205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13" name="AutoShape 40" descr="Currently available antiretroviral drugs | Download Table">
          <a:extLst>
            <a:ext uri="{FF2B5EF4-FFF2-40B4-BE49-F238E27FC236}">
              <a16:creationId xmlns:a16="http://schemas.microsoft.com/office/drawing/2014/main" id="{BCB7E650-6B95-4FF9-A88E-85FA1822F2C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58205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14" name="AutoShape 40" descr="Currently available antiretroviral drugs | Download Table">
          <a:extLst>
            <a:ext uri="{FF2B5EF4-FFF2-40B4-BE49-F238E27FC236}">
              <a16:creationId xmlns:a16="http://schemas.microsoft.com/office/drawing/2014/main" id="{A3D41F0C-537F-4BD9-B4CA-F9547B9904E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58205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15" name="AutoShape 40" descr="Currently available antiretroviral drugs | Download Table">
          <a:extLst>
            <a:ext uri="{FF2B5EF4-FFF2-40B4-BE49-F238E27FC236}">
              <a16:creationId xmlns:a16="http://schemas.microsoft.com/office/drawing/2014/main" id="{413084BF-0E4D-4330-B3A4-C3CFE14A9A3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58205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16" name="AutoShape 40" descr="Currently available antiretroviral drugs | Download Table">
          <a:extLst>
            <a:ext uri="{FF2B5EF4-FFF2-40B4-BE49-F238E27FC236}">
              <a16:creationId xmlns:a16="http://schemas.microsoft.com/office/drawing/2014/main" id="{9CDDDD97-DFCC-4788-AF71-ED9D335F59A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58205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17" name="AutoShape 40" descr="Currently available antiretroviral drugs | Download Table">
          <a:extLst>
            <a:ext uri="{FF2B5EF4-FFF2-40B4-BE49-F238E27FC236}">
              <a16:creationId xmlns:a16="http://schemas.microsoft.com/office/drawing/2014/main" id="{7C2E4D0E-7A6A-4110-8003-DE3B917B98A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58205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18" name="AutoShape 40" descr="Currently available antiretroviral drugs | Download Table">
          <a:extLst>
            <a:ext uri="{FF2B5EF4-FFF2-40B4-BE49-F238E27FC236}">
              <a16:creationId xmlns:a16="http://schemas.microsoft.com/office/drawing/2014/main" id="{00149EF0-8DE8-4D98-A0E8-63359E0D2D0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58205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19" name="AutoShape 40" descr="Currently available antiretroviral drugs | Download Table">
          <a:extLst>
            <a:ext uri="{FF2B5EF4-FFF2-40B4-BE49-F238E27FC236}">
              <a16:creationId xmlns:a16="http://schemas.microsoft.com/office/drawing/2014/main" id="{9C3255F4-E2C9-46DE-B8C1-5247373E4C2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76135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20" name="AutoShape 40" descr="Currently available antiretroviral drugs | Download Table">
          <a:extLst>
            <a:ext uri="{FF2B5EF4-FFF2-40B4-BE49-F238E27FC236}">
              <a16:creationId xmlns:a16="http://schemas.microsoft.com/office/drawing/2014/main" id="{B86406EE-1429-4998-8E2E-89EE94F58AF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58205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21" name="AutoShape 40" descr="Currently available antiretroviral drugs | Download Table">
          <a:extLst>
            <a:ext uri="{FF2B5EF4-FFF2-40B4-BE49-F238E27FC236}">
              <a16:creationId xmlns:a16="http://schemas.microsoft.com/office/drawing/2014/main" id="{B856E821-D57F-4A88-98D5-C8FA6AFCAFA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58205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22" name="AutoShape 40" descr="Currently available antiretroviral drugs | Download Table">
          <a:extLst>
            <a:ext uri="{FF2B5EF4-FFF2-40B4-BE49-F238E27FC236}">
              <a16:creationId xmlns:a16="http://schemas.microsoft.com/office/drawing/2014/main" id="{CDDBB454-223A-409B-B701-1A6BBAD58DE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76135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23" name="AutoShape 40" descr="Currently available antiretroviral drugs | Download Table">
          <a:extLst>
            <a:ext uri="{FF2B5EF4-FFF2-40B4-BE49-F238E27FC236}">
              <a16:creationId xmlns:a16="http://schemas.microsoft.com/office/drawing/2014/main" id="{45F6857C-68F5-41B9-8223-27369AD2A61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76135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24" name="AutoShape 40" descr="Currently available antiretroviral drugs | Download Table">
          <a:extLst>
            <a:ext uri="{FF2B5EF4-FFF2-40B4-BE49-F238E27FC236}">
              <a16:creationId xmlns:a16="http://schemas.microsoft.com/office/drawing/2014/main" id="{31A48C0E-1F61-491E-856F-5529FFD42D0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76135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25" name="AutoShape 40" descr="Currently available antiretroviral drugs | Download Table">
          <a:extLst>
            <a:ext uri="{FF2B5EF4-FFF2-40B4-BE49-F238E27FC236}">
              <a16:creationId xmlns:a16="http://schemas.microsoft.com/office/drawing/2014/main" id="{29A30D7A-2220-461A-B82F-205CADB74E7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76135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26" name="AutoShape 40" descr="Currently available antiretroviral drugs | Download Table">
          <a:extLst>
            <a:ext uri="{FF2B5EF4-FFF2-40B4-BE49-F238E27FC236}">
              <a16:creationId xmlns:a16="http://schemas.microsoft.com/office/drawing/2014/main" id="{841D858F-669C-4AFE-B6C5-1D3641C7D2A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76135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27" name="AutoShape 40" descr="Currently available antiretroviral drugs | Download Table">
          <a:extLst>
            <a:ext uri="{FF2B5EF4-FFF2-40B4-BE49-F238E27FC236}">
              <a16:creationId xmlns:a16="http://schemas.microsoft.com/office/drawing/2014/main" id="{21944E97-0648-4DBC-AFA2-2F3FD9949D2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76135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28" name="AutoShape 40" descr="Currently available antiretroviral drugs | Download Table">
          <a:extLst>
            <a:ext uri="{FF2B5EF4-FFF2-40B4-BE49-F238E27FC236}">
              <a16:creationId xmlns:a16="http://schemas.microsoft.com/office/drawing/2014/main" id="{3CE303B3-4944-4D05-965E-41B8853431E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76135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29" name="AutoShape 40" descr="Currently available antiretroviral drugs | Download Table">
          <a:extLst>
            <a:ext uri="{FF2B5EF4-FFF2-40B4-BE49-F238E27FC236}">
              <a16:creationId xmlns:a16="http://schemas.microsoft.com/office/drawing/2014/main" id="{92F0D585-E9DD-4A0E-BAB6-71463D24828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76135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30" name="AutoShape 40" descr="Currently available antiretroviral drugs | Download Table">
          <a:extLst>
            <a:ext uri="{FF2B5EF4-FFF2-40B4-BE49-F238E27FC236}">
              <a16:creationId xmlns:a16="http://schemas.microsoft.com/office/drawing/2014/main" id="{B8C60F34-0B0A-432B-9A53-8BC3C899C58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76135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31" name="AutoShape 40" descr="Currently available antiretroviral drugs | Download Table">
          <a:extLst>
            <a:ext uri="{FF2B5EF4-FFF2-40B4-BE49-F238E27FC236}">
              <a16:creationId xmlns:a16="http://schemas.microsoft.com/office/drawing/2014/main" id="{48F26C12-D29E-4456-99D0-A58154C40DF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76135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32" name="AutoShape 40" descr="Currently available antiretroviral drugs | Download Table">
          <a:extLst>
            <a:ext uri="{FF2B5EF4-FFF2-40B4-BE49-F238E27FC236}">
              <a16:creationId xmlns:a16="http://schemas.microsoft.com/office/drawing/2014/main" id="{74D3BFE5-8384-4183-95A0-4DDEC86FD0A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76135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33" name="AutoShape 40" descr="Currently available antiretroviral drugs | Download Table">
          <a:extLst>
            <a:ext uri="{FF2B5EF4-FFF2-40B4-BE49-F238E27FC236}">
              <a16:creationId xmlns:a16="http://schemas.microsoft.com/office/drawing/2014/main" id="{2C2F2371-5BD9-4257-873E-5059D05897E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76135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34" name="AutoShape 40" descr="Currently available antiretroviral drugs | Download Table">
          <a:extLst>
            <a:ext uri="{FF2B5EF4-FFF2-40B4-BE49-F238E27FC236}">
              <a16:creationId xmlns:a16="http://schemas.microsoft.com/office/drawing/2014/main" id="{310C77C2-A66A-4E36-BC44-95FF1D596BD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76135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35" name="AutoShape 40" descr="Currently available antiretroviral drugs | Download Table">
          <a:extLst>
            <a:ext uri="{FF2B5EF4-FFF2-40B4-BE49-F238E27FC236}">
              <a16:creationId xmlns:a16="http://schemas.microsoft.com/office/drawing/2014/main" id="{74838804-F85C-4F38-90CA-C8BB0352109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76135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36" name="AutoShape 40" descr="Currently available antiretroviral drugs | Download Table">
          <a:extLst>
            <a:ext uri="{FF2B5EF4-FFF2-40B4-BE49-F238E27FC236}">
              <a16:creationId xmlns:a16="http://schemas.microsoft.com/office/drawing/2014/main" id="{5BC4C8A6-D82B-4EDB-88DE-B407F2B9DA6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76135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37" name="AutoShape 40" descr="Currently available antiretroviral drugs | Download Table">
          <a:extLst>
            <a:ext uri="{FF2B5EF4-FFF2-40B4-BE49-F238E27FC236}">
              <a16:creationId xmlns:a16="http://schemas.microsoft.com/office/drawing/2014/main" id="{34B918AF-7300-4202-8FE6-A228096DC98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76135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38" name="AutoShape 40" descr="Currently available antiretroviral drugs | Download Table">
          <a:extLst>
            <a:ext uri="{FF2B5EF4-FFF2-40B4-BE49-F238E27FC236}">
              <a16:creationId xmlns:a16="http://schemas.microsoft.com/office/drawing/2014/main" id="{CAAE3F85-E952-4D19-8A57-3C3192146E9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76135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39" name="AutoShape 40" descr="Currently available antiretroviral drugs | Download Table">
          <a:extLst>
            <a:ext uri="{FF2B5EF4-FFF2-40B4-BE49-F238E27FC236}">
              <a16:creationId xmlns:a16="http://schemas.microsoft.com/office/drawing/2014/main" id="{9115DF8C-AA3E-458D-9DB9-797DB8AE072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76135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40" name="AutoShape 40" descr="Currently available antiretroviral drugs | Download Table">
          <a:extLst>
            <a:ext uri="{FF2B5EF4-FFF2-40B4-BE49-F238E27FC236}">
              <a16:creationId xmlns:a16="http://schemas.microsoft.com/office/drawing/2014/main" id="{0CF0FF5C-3C11-4D4B-B2DD-DEB800FEF16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76135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41" name="AutoShape 40" descr="Currently available antiretroviral drugs | Download Table">
          <a:extLst>
            <a:ext uri="{FF2B5EF4-FFF2-40B4-BE49-F238E27FC236}">
              <a16:creationId xmlns:a16="http://schemas.microsoft.com/office/drawing/2014/main" id="{B4F2DBAE-29F5-43B3-BFE6-11194437EFC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76135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42" name="AutoShape 40" descr="Currently available antiretroviral drugs | Download Table">
          <a:extLst>
            <a:ext uri="{FF2B5EF4-FFF2-40B4-BE49-F238E27FC236}">
              <a16:creationId xmlns:a16="http://schemas.microsoft.com/office/drawing/2014/main" id="{F52A6570-E10B-4D6B-A1D5-19FA7FAA8FC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76135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43" name="AutoShape 40" descr="Currently available antiretroviral drugs | Download Table">
          <a:extLst>
            <a:ext uri="{FF2B5EF4-FFF2-40B4-BE49-F238E27FC236}">
              <a16:creationId xmlns:a16="http://schemas.microsoft.com/office/drawing/2014/main" id="{BF8B14F5-484F-47AA-A558-529BDF6D442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76135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44" name="AutoShape 40" descr="Currently available antiretroviral drugs | Download Table">
          <a:extLst>
            <a:ext uri="{FF2B5EF4-FFF2-40B4-BE49-F238E27FC236}">
              <a16:creationId xmlns:a16="http://schemas.microsoft.com/office/drawing/2014/main" id="{CF7FF500-A3F3-4223-9312-D1EEB52FFD6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76135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45" name="AutoShape 40" descr="Currently available antiretroviral drugs | Download Table">
          <a:extLst>
            <a:ext uri="{FF2B5EF4-FFF2-40B4-BE49-F238E27FC236}">
              <a16:creationId xmlns:a16="http://schemas.microsoft.com/office/drawing/2014/main" id="{23924320-9AB1-485D-A309-63BC819691D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76135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46" name="AutoShape 40" descr="Currently available antiretroviral drugs | Download Table">
          <a:extLst>
            <a:ext uri="{FF2B5EF4-FFF2-40B4-BE49-F238E27FC236}">
              <a16:creationId xmlns:a16="http://schemas.microsoft.com/office/drawing/2014/main" id="{F82D6AA7-7870-4421-9A43-C89C82F218B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76135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47" name="AutoShape 40" descr="Currently available antiretroviral drugs | Download Table">
          <a:extLst>
            <a:ext uri="{FF2B5EF4-FFF2-40B4-BE49-F238E27FC236}">
              <a16:creationId xmlns:a16="http://schemas.microsoft.com/office/drawing/2014/main" id="{391A5049-4A67-488C-8516-E140C5CCD09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76135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48" name="AutoShape 40" descr="Currently available antiretroviral drugs | Download Table">
          <a:extLst>
            <a:ext uri="{FF2B5EF4-FFF2-40B4-BE49-F238E27FC236}">
              <a16:creationId xmlns:a16="http://schemas.microsoft.com/office/drawing/2014/main" id="{A85F8A61-0B1C-4815-B0A1-EF7FAA25D0B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76135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49" name="AutoShape 40" descr="Currently available antiretroviral drugs | Download Table">
          <a:extLst>
            <a:ext uri="{FF2B5EF4-FFF2-40B4-BE49-F238E27FC236}">
              <a16:creationId xmlns:a16="http://schemas.microsoft.com/office/drawing/2014/main" id="{A0B88E67-0A00-4D4E-8A2A-226542D52A2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76135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50" name="AutoShape 40" descr="Currently available antiretroviral drugs | Download Table">
          <a:extLst>
            <a:ext uri="{FF2B5EF4-FFF2-40B4-BE49-F238E27FC236}">
              <a16:creationId xmlns:a16="http://schemas.microsoft.com/office/drawing/2014/main" id="{30B1D8BA-EB4D-49D4-A642-B88301FF8B7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76135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51" name="AutoShape 40" descr="Currently available antiretroviral drugs | Download Table">
          <a:extLst>
            <a:ext uri="{FF2B5EF4-FFF2-40B4-BE49-F238E27FC236}">
              <a16:creationId xmlns:a16="http://schemas.microsoft.com/office/drawing/2014/main" id="{8DAB7DD2-3C9A-4C49-9BEB-25743DAC6BB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76135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52" name="AutoShape 40" descr="Currently available antiretroviral drugs | Download Table">
          <a:extLst>
            <a:ext uri="{FF2B5EF4-FFF2-40B4-BE49-F238E27FC236}">
              <a16:creationId xmlns:a16="http://schemas.microsoft.com/office/drawing/2014/main" id="{4CF02741-BC1F-4383-8312-96A79F4E6B8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76135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53" name="AutoShape 40" descr="Currently available antiretroviral drugs | Download Table">
          <a:extLst>
            <a:ext uri="{FF2B5EF4-FFF2-40B4-BE49-F238E27FC236}">
              <a16:creationId xmlns:a16="http://schemas.microsoft.com/office/drawing/2014/main" id="{3194CDAF-8010-4880-83BF-C0046C99103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76135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54" name="AutoShape 40" descr="Currently available antiretroviral drugs | Download Table">
          <a:extLst>
            <a:ext uri="{FF2B5EF4-FFF2-40B4-BE49-F238E27FC236}">
              <a16:creationId xmlns:a16="http://schemas.microsoft.com/office/drawing/2014/main" id="{6D21504D-3B17-4610-886C-10DDEFC3B05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940647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55" name="AutoShape 40" descr="Currently available antiretroviral drugs | Download Table">
          <a:extLst>
            <a:ext uri="{FF2B5EF4-FFF2-40B4-BE49-F238E27FC236}">
              <a16:creationId xmlns:a16="http://schemas.microsoft.com/office/drawing/2014/main" id="{E106671E-0F0B-478D-86EF-52DA99334EE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940647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56" name="AutoShape 40" descr="Currently available antiretroviral drugs | Download Table">
          <a:extLst>
            <a:ext uri="{FF2B5EF4-FFF2-40B4-BE49-F238E27FC236}">
              <a16:creationId xmlns:a16="http://schemas.microsoft.com/office/drawing/2014/main" id="{B96844E0-6E03-4FF5-884E-48B340FAF1A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940647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57" name="AutoShape 40" descr="Currently available antiretroviral drugs | Download Table">
          <a:extLst>
            <a:ext uri="{FF2B5EF4-FFF2-40B4-BE49-F238E27FC236}">
              <a16:creationId xmlns:a16="http://schemas.microsoft.com/office/drawing/2014/main" id="{7F59033E-05AE-4CF5-AB83-57898C25F03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940647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58" name="AutoShape 40" descr="Currently available antiretroviral drugs | Download Table">
          <a:extLst>
            <a:ext uri="{FF2B5EF4-FFF2-40B4-BE49-F238E27FC236}">
              <a16:creationId xmlns:a16="http://schemas.microsoft.com/office/drawing/2014/main" id="{CD1EFE1A-6F65-4B35-87FA-7172751E094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940647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59" name="AutoShape 40" descr="Currently available antiretroviral drugs | Download Table">
          <a:extLst>
            <a:ext uri="{FF2B5EF4-FFF2-40B4-BE49-F238E27FC236}">
              <a16:creationId xmlns:a16="http://schemas.microsoft.com/office/drawing/2014/main" id="{FB106A11-E9FA-44FA-BCC4-7073D8E3B76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940647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60" name="AutoShape 40" descr="Currently available antiretroviral drugs | Download Table">
          <a:extLst>
            <a:ext uri="{FF2B5EF4-FFF2-40B4-BE49-F238E27FC236}">
              <a16:creationId xmlns:a16="http://schemas.microsoft.com/office/drawing/2014/main" id="{29ED1830-25CF-4588-B6BE-9F6C44BBF92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940647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61" name="AutoShape 40" descr="Currently available antiretroviral drugs | Download Table">
          <a:extLst>
            <a:ext uri="{FF2B5EF4-FFF2-40B4-BE49-F238E27FC236}">
              <a16:creationId xmlns:a16="http://schemas.microsoft.com/office/drawing/2014/main" id="{FBD08B87-B223-4B70-88DB-990764B2741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940647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62" name="AutoShape 40" descr="Currently available antiretroviral drugs | Download Table">
          <a:extLst>
            <a:ext uri="{FF2B5EF4-FFF2-40B4-BE49-F238E27FC236}">
              <a16:creationId xmlns:a16="http://schemas.microsoft.com/office/drawing/2014/main" id="{4884BA72-2233-41AA-8219-C5F843CCEA5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940647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63" name="AutoShape 40" descr="Currently available antiretroviral drugs | Download Table">
          <a:extLst>
            <a:ext uri="{FF2B5EF4-FFF2-40B4-BE49-F238E27FC236}">
              <a16:creationId xmlns:a16="http://schemas.microsoft.com/office/drawing/2014/main" id="{87F3052F-B61E-4F02-94DA-DB50A7AA76B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940647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64" name="AutoShape 40" descr="Currently available antiretroviral drugs | Download Table">
          <a:extLst>
            <a:ext uri="{FF2B5EF4-FFF2-40B4-BE49-F238E27FC236}">
              <a16:creationId xmlns:a16="http://schemas.microsoft.com/office/drawing/2014/main" id="{87A52691-9C24-4601-ADE2-FE804C6548E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940647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65" name="AutoShape 40" descr="Currently available antiretroviral drugs | Download Table">
          <a:extLst>
            <a:ext uri="{FF2B5EF4-FFF2-40B4-BE49-F238E27FC236}">
              <a16:creationId xmlns:a16="http://schemas.microsoft.com/office/drawing/2014/main" id="{1808521C-C566-4EBF-9A8E-BD29BAE39E1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940647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66" name="AutoShape 40" descr="Currently available antiretroviral drugs | Download Table">
          <a:extLst>
            <a:ext uri="{FF2B5EF4-FFF2-40B4-BE49-F238E27FC236}">
              <a16:creationId xmlns:a16="http://schemas.microsoft.com/office/drawing/2014/main" id="{4195DE6D-FE76-46BF-84F7-227C5A66305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940647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67" name="AutoShape 40" descr="Currently available antiretroviral drugs | Download Table">
          <a:extLst>
            <a:ext uri="{FF2B5EF4-FFF2-40B4-BE49-F238E27FC236}">
              <a16:creationId xmlns:a16="http://schemas.microsoft.com/office/drawing/2014/main" id="{DCCFAFB9-D9A3-45F5-946B-0A26E8106F8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76135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68" name="AutoShape 40" descr="Currently available antiretroviral drugs | Download Table">
          <a:extLst>
            <a:ext uri="{FF2B5EF4-FFF2-40B4-BE49-F238E27FC236}">
              <a16:creationId xmlns:a16="http://schemas.microsoft.com/office/drawing/2014/main" id="{BF8F39B9-589B-4691-95AC-51E8F7A00D3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76135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69" name="AutoShape 40" descr="Currently available antiretroviral drugs | Download Table">
          <a:extLst>
            <a:ext uri="{FF2B5EF4-FFF2-40B4-BE49-F238E27FC236}">
              <a16:creationId xmlns:a16="http://schemas.microsoft.com/office/drawing/2014/main" id="{2CD45480-AF90-42E0-BB03-B3EEBE5F373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76135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70" name="AutoShape 40" descr="Currently available antiretroviral drugs | Download Table">
          <a:extLst>
            <a:ext uri="{FF2B5EF4-FFF2-40B4-BE49-F238E27FC236}">
              <a16:creationId xmlns:a16="http://schemas.microsoft.com/office/drawing/2014/main" id="{5BA29D1C-EED4-42CA-B5F8-C490A20B396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76135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71" name="AutoShape 40" descr="Currently available antiretroviral drugs | Download Table">
          <a:extLst>
            <a:ext uri="{FF2B5EF4-FFF2-40B4-BE49-F238E27FC236}">
              <a16:creationId xmlns:a16="http://schemas.microsoft.com/office/drawing/2014/main" id="{7FDAB0A5-115F-411C-9A86-786B32B5BBC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76135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72" name="AutoShape 40" descr="Currently available antiretroviral drugs | Download Table">
          <a:extLst>
            <a:ext uri="{FF2B5EF4-FFF2-40B4-BE49-F238E27FC236}">
              <a16:creationId xmlns:a16="http://schemas.microsoft.com/office/drawing/2014/main" id="{604F1470-4AB7-48DB-A0FD-03B08B86A2D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76135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73" name="AutoShape 40" descr="Currently available antiretroviral drugs | Download Table">
          <a:extLst>
            <a:ext uri="{FF2B5EF4-FFF2-40B4-BE49-F238E27FC236}">
              <a16:creationId xmlns:a16="http://schemas.microsoft.com/office/drawing/2014/main" id="{25E6108E-BC16-4390-881F-36B0A0ED4DE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76135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74" name="AutoShape 40" descr="Currently available antiretroviral drugs | Download Table">
          <a:extLst>
            <a:ext uri="{FF2B5EF4-FFF2-40B4-BE49-F238E27FC236}">
              <a16:creationId xmlns:a16="http://schemas.microsoft.com/office/drawing/2014/main" id="{DC8D512C-6519-4421-BFEC-EE4218ABA67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76135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75" name="AutoShape 40" descr="Currently available antiretroviral drugs | Download Table">
          <a:extLst>
            <a:ext uri="{FF2B5EF4-FFF2-40B4-BE49-F238E27FC236}">
              <a16:creationId xmlns:a16="http://schemas.microsoft.com/office/drawing/2014/main" id="{5AAA3569-8636-48FD-9874-B4A7C8949FC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76135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76" name="AutoShape 40" descr="Currently available antiretroviral drugs | Download Table">
          <a:extLst>
            <a:ext uri="{FF2B5EF4-FFF2-40B4-BE49-F238E27FC236}">
              <a16:creationId xmlns:a16="http://schemas.microsoft.com/office/drawing/2014/main" id="{6C8F1AD8-FB7C-4987-B9CB-EFC8E78F2B1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76135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77" name="AutoShape 40" descr="Currently available antiretroviral drugs | Download Table">
          <a:extLst>
            <a:ext uri="{FF2B5EF4-FFF2-40B4-BE49-F238E27FC236}">
              <a16:creationId xmlns:a16="http://schemas.microsoft.com/office/drawing/2014/main" id="{D265BF3C-B26F-45FD-AA79-4B161D6EA86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76135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78" name="AutoShape 40" descr="Currently available antiretroviral drugs | Download Table">
          <a:extLst>
            <a:ext uri="{FF2B5EF4-FFF2-40B4-BE49-F238E27FC236}">
              <a16:creationId xmlns:a16="http://schemas.microsoft.com/office/drawing/2014/main" id="{284FE3A2-4136-40FC-9EBE-0FB6553CC24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940647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79" name="AutoShape 40" descr="Currently available antiretroviral drugs | Download Table">
          <a:extLst>
            <a:ext uri="{FF2B5EF4-FFF2-40B4-BE49-F238E27FC236}">
              <a16:creationId xmlns:a16="http://schemas.microsoft.com/office/drawing/2014/main" id="{B70C2B4F-87E7-4C45-BD40-AA31E215E37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76135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80" name="AutoShape 40" descr="Currently available antiretroviral drugs | Download Table">
          <a:extLst>
            <a:ext uri="{FF2B5EF4-FFF2-40B4-BE49-F238E27FC236}">
              <a16:creationId xmlns:a16="http://schemas.microsoft.com/office/drawing/2014/main" id="{F53D3AB7-8805-4A3D-9ADD-448DE1EA42E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761353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81" name="AutoShape 40" descr="Currently available antiretroviral drugs | Download Table">
          <a:extLst>
            <a:ext uri="{FF2B5EF4-FFF2-40B4-BE49-F238E27FC236}">
              <a16:creationId xmlns:a16="http://schemas.microsoft.com/office/drawing/2014/main" id="{4CCC0507-CA20-4506-9BA2-6833D9C95AE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940647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82" name="AutoShape 40" descr="Currently available antiretroviral drugs | Download Table">
          <a:extLst>
            <a:ext uri="{FF2B5EF4-FFF2-40B4-BE49-F238E27FC236}">
              <a16:creationId xmlns:a16="http://schemas.microsoft.com/office/drawing/2014/main" id="{5BEC12A5-06E8-4440-BB83-E0CBA146A1A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940647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83" name="AutoShape 40" descr="Currently available antiretroviral drugs | Download Table">
          <a:extLst>
            <a:ext uri="{FF2B5EF4-FFF2-40B4-BE49-F238E27FC236}">
              <a16:creationId xmlns:a16="http://schemas.microsoft.com/office/drawing/2014/main" id="{AA1A2007-1441-467C-B938-098D6C9C368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940647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84" name="AutoShape 40" descr="Currently available antiretroviral drugs | Download Table">
          <a:extLst>
            <a:ext uri="{FF2B5EF4-FFF2-40B4-BE49-F238E27FC236}">
              <a16:creationId xmlns:a16="http://schemas.microsoft.com/office/drawing/2014/main" id="{DBC4AE8D-6131-478B-AB51-67885A6A2E8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940647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85" name="AutoShape 40" descr="Currently available antiretroviral drugs | Download Table">
          <a:extLst>
            <a:ext uri="{FF2B5EF4-FFF2-40B4-BE49-F238E27FC236}">
              <a16:creationId xmlns:a16="http://schemas.microsoft.com/office/drawing/2014/main" id="{21844B1C-AF17-4E48-A48C-652A3C53D6C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940647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86" name="AutoShape 40" descr="Currently available antiretroviral drugs | Download Table">
          <a:extLst>
            <a:ext uri="{FF2B5EF4-FFF2-40B4-BE49-F238E27FC236}">
              <a16:creationId xmlns:a16="http://schemas.microsoft.com/office/drawing/2014/main" id="{69A4589E-710D-43EE-9D2E-4F1D5CDBFB0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940647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87" name="AutoShape 40" descr="Currently available antiretroviral drugs | Download Table">
          <a:extLst>
            <a:ext uri="{FF2B5EF4-FFF2-40B4-BE49-F238E27FC236}">
              <a16:creationId xmlns:a16="http://schemas.microsoft.com/office/drawing/2014/main" id="{72075DF1-B3E3-4737-8278-DCDAD1E0EAC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940647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88" name="AutoShape 40" descr="Currently available antiretroviral drugs | Download Table">
          <a:extLst>
            <a:ext uri="{FF2B5EF4-FFF2-40B4-BE49-F238E27FC236}">
              <a16:creationId xmlns:a16="http://schemas.microsoft.com/office/drawing/2014/main" id="{C5AA6B07-9A71-4622-A813-F0EFAD14031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940647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89" name="AutoShape 40" descr="Currently available antiretroviral drugs | Download Table">
          <a:extLst>
            <a:ext uri="{FF2B5EF4-FFF2-40B4-BE49-F238E27FC236}">
              <a16:creationId xmlns:a16="http://schemas.microsoft.com/office/drawing/2014/main" id="{C4333B00-7873-4605-9440-C479B90D28B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940647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90" name="AutoShape 40" descr="Currently available antiretroviral drugs | Download Table">
          <a:extLst>
            <a:ext uri="{FF2B5EF4-FFF2-40B4-BE49-F238E27FC236}">
              <a16:creationId xmlns:a16="http://schemas.microsoft.com/office/drawing/2014/main" id="{71E97B31-9295-40C0-8E1A-ACE19DAA678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940647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91" name="AutoShape 40" descr="Currently available antiretroviral drugs | Download Table">
          <a:extLst>
            <a:ext uri="{FF2B5EF4-FFF2-40B4-BE49-F238E27FC236}">
              <a16:creationId xmlns:a16="http://schemas.microsoft.com/office/drawing/2014/main" id="{814DF6DB-6DB7-4CC9-99A7-8FF8A2091D1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940647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92" name="AutoShape 40" descr="Currently available antiretroviral drugs | Download Table">
          <a:extLst>
            <a:ext uri="{FF2B5EF4-FFF2-40B4-BE49-F238E27FC236}">
              <a16:creationId xmlns:a16="http://schemas.microsoft.com/office/drawing/2014/main" id="{26B47EC8-FE81-4D8A-8182-5B1BB5B26FE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940647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93" name="AutoShape 40" descr="Currently available antiretroviral drugs | Download Table">
          <a:extLst>
            <a:ext uri="{FF2B5EF4-FFF2-40B4-BE49-F238E27FC236}">
              <a16:creationId xmlns:a16="http://schemas.microsoft.com/office/drawing/2014/main" id="{07FBB742-858B-4763-90A1-1BB9FFC394C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940647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94" name="AutoShape 40" descr="Currently available antiretroviral drugs | Download Table">
          <a:extLst>
            <a:ext uri="{FF2B5EF4-FFF2-40B4-BE49-F238E27FC236}">
              <a16:creationId xmlns:a16="http://schemas.microsoft.com/office/drawing/2014/main" id="{A716B1BC-0FDF-4768-BDD1-34D737712D0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940647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95" name="AutoShape 40" descr="Currently available antiretroviral drugs | Download Table">
          <a:extLst>
            <a:ext uri="{FF2B5EF4-FFF2-40B4-BE49-F238E27FC236}">
              <a16:creationId xmlns:a16="http://schemas.microsoft.com/office/drawing/2014/main" id="{9F27A085-FAF1-49EC-A626-ABE544BC6E3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940647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96" name="AutoShape 40" descr="Currently available antiretroviral drugs | Download Table">
          <a:extLst>
            <a:ext uri="{FF2B5EF4-FFF2-40B4-BE49-F238E27FC236}">
              <a16:creationId xmlns:a16="http://schemas.microsoft.com/office/drawing/2014/main" id="{A3452A5F-5D3B-4435-B1A1-DC3A6D57E12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940647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97" name="AutoShape 40" descr="Currently available antiretroviral drugs | Download Table">
          <a:extLst>
            <a:ext uri="{FF2B5EF4-FFF2-40B4-BE49-F238E27FC236}">
              <a16:creationId xmlns:a16="http://schemas.microsoft.com/office/drawing/2014/main" id="{E655A746-3C4A-44FD-A9B8-5FC37DDC620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940647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98" name="AutoShape 40" descr="Currently available antiretroviral drugs | Download Table">
          <a:extLst>
            <a:ext uri="{FF2B5EF4-FFF2-40B4-BE49-F238E27FC236}">
              <a16:creationId xmlns:a16="http://schemas.microsoft.com/office/drawing/2014/main" id="{B70F8693-EA96-4C41-8072-B3C791E59DF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940647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299" name="AutoShape 40" descr="Currently available antiretroviral drugs | Download Table">
          <a:extLst>
            <a:ext uri="{FF2B5EF4-FFF2-40B4-BE49-F238E27FC236}">
              <a16:creationId xmlns:a16="http://schemas.microsoft.com/office/drawing/2014/main" id="{D8E6ED61-938A-4577-87CE-E640195797D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940647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00" name="AutoShape 40" descr="Currently available antiretroviral drugs | Download Table">
          <a:extLst>
            <a:ext uri="{FF2B5EF4-FFF2-40B4-BE49-F238E27FC236}">
              <a16:creationId xmlns:a16="http://schemas.microsoft.com/office/drawing/2014/main" id="{B4AD5167-3D60-43BA-9706-F563E013B4E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940647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01" name="AutoShape 40" descr="Currently available antiretroviral drugs | Download Table">
          <a:extLst>
            <a:ext uri="{FF2B5EF4-FFF2-40B4-BE49-F238E27FC236}">
              <a16:creationId xmlns:a16="http://schemas.microsoft.com/office/drawing/2014/main" id="{918DEC7F-F996-4F12-A046-430BF425E48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940647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02" name="AutoShape 40" descr="Currently available antiretroviral drugs | Download Table">
          <a:extLst>
            <a:ext uri="{FF2B5EF4-FFF2-40B4-BE49-F238E27FC236}">
              <a16:creationId xmlns:a16="http://schemas.microsoft.com/office/drawing/2014/main" id="{737C8484-4C8E-46A7-BB7C-8687CAF47CC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940647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03" name="AutoShape 40" descr="Currently available antiretroviral drugs | Download Table">
          <a:extLst>
            <a:ext uri="{FF2B5EF4-FFF2-40B4-BE49-F238E27FC236}">
              <a16:creationId xmlns:a16="http://schemas.microsoft.com/office/drawing/2014/main" id="{7E9EC60D-B6D4-40A0-86AB-527A7318D76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940647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04" name="AutoShape 40" descr="Currently available antiretroviral drugs | Download Table">
          <a:extLst>
            <a:ext uri="{FF2B5EF4-FFF2-40B4-BE49-F238E27FC236}">
              <a16:creationId xmlns:a16="http://schemas.microsoft.com/office/drawing/2014/main" id="{4962F479-9EF5-44B8-972E-72AE1657862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940647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05" name="AutoShape 40" descr="Currently available antiretroviral drugs | Download Table">
          <a:extLst>
            <a:ext uri="{FF2B5EF4-FFF2-40B4-BE49-F238E27FC236}">
              <a16:creationId xmlns:a16="http://schemas.microsoft.com/office/drawing/2014/main" id="{F111A741-59CC-4ECF-B59D-A56625A1D39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940647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06" name="AutoShape 40" descr="Currently available antiretroviral drugs | Download Table">
          <a:extLst>
            <a:ext uri="{FF2B5EF4-FFF2-40B4-BE49-F238E27FC236}">
              <a16:creationId xmlns:a16="http://schemas.microsoft.com/office/drawing/2014/main" id="{68F9E96E-1B7E-4837-95CC-AD5EA14D75F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940647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07" name="AutoShape 40" descr="Currently available antiretroviral drugs | Download Table">
          <a:extLst>
            <a:ext uri="{FF2B5EF4-FFF2-40B4-BE49-F238E27FC236}">
              <a16:creationId xmlns:a16="http://schemas.microsoft.com/office/drawing/2014/main" id="{63B1C875-33B0-4458-A477-55E72F352A8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940647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08" name="AutoShape 40" descr="Currently available antiretroviral drugs | Download Table">
          <a:extLst>
            <a:ext uri="{FF2B5EF4-FFF2-40B4-BE49-F238E27FC236}">
              <a16:creationId xmlns:a16="http://schemas.microsoft.com/office/drawing/2014/main" id="{3518077F-8937-4F5C-AE1A-05873567565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940647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09" name="AutoShape 40" descr="Currently available antiretroviral drugs | Download Table">
          <a:extLst>
            <a:ext uri="{FF2B5EF4-FFF2-40B4-BE49-F238E27FC236}">
              <a16:creationId xmlns:a16="http://schemas.microsoft.com/office/drawing/2014/main" id="{6659F16B-C6A4-4981-B593-9BAC2296953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940647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10" name="AutoShape 40" descr="Currently available antiretroviral drugs | Download Table">
          <a:extLst>
            <a:ext uri="{FF2B5EF4-FFF2-40B4-BE49-F238E27FC236}">
              <a16:creationId xmlns:a16="http://schemas.microsoft.com/office/drawing/2014/main" id="{2FFECB51-7C81-4C98-8AFA-49BFAE233FE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940647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11" name="AutoShape 40" descr="Currently available antiretroviral drugs | Download Table">
          <a:extLst>
            <a:ext uri="{FF2B5EF4-FFF2-40B4-BE49-F238E27FC236}">
              <a16:creationId xmlns:a16="http://schemas.microsoft.com/office/drawing/2014/main" id="{03A5F219-CEAB-4A1C-B5BF-7ABD0735386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940647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12" name="AutoShape 40" descr="Currently available antiretroviral drugs | Download Table">
          <a:extLst>
            <a:ext uri="{FF2B5EF4-FFF2-40B4-BE49-F238E27FC236}">
              <a16:creationId xmlns:a16="http://schemas.microsoft.com/office/drawing/2014/main" id="{06111762-C5DE-4E45-81C8-5D436735799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940647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13" name="AutoShape 40" descr="Currently available antiretroviral drugs | Download Table">
          <a:extLst>
            <a:ext uri="{FF2B5EF4-FFF2-40B4-BE49-F238E27FC236}">
              <a16:creationId xmlns:a16="http://schemas.microsoft.com/office/drawing/2014/main" id="{8C4E43C3-AC6B-4DE5-9E94-6D77C5000C9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11994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14" name="AutoShape 40" descr="Currently available antiretroviral drugs | Download Table">
          <a:extLst>
            <a:ext uri="{FF2B5EF4-FFF2-40B4-BE49-F238E27FC236}">
              <a16:creationId xmlns:a16="http://schemas.microsoft.com/office/drawing/2014/main" id="{D1FBE570-0038-4FC9-AE74-F0A7BC8188C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11994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15" name="AutoShape 40" descr="Currently available antiretroviral drugs | Download Table">
          <a:extLst>
            <a:ext uri="{FF2B5EF4-FFF2-40B4-BE49-F238E27FC236}">
              <a16:creationId xmlns:a16="http://schemas.microsoft.com/office/drawing/2014/main" id="{9DB6DC02-5939-4303-9213-B757FC1EABD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11994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16" name="AutoShape 40" descr="Currently available antiretroviral drugs | Download Table">
          <a:extLst>
            <a:ext uri="{FF2B5EF4-FFF2-40B4-BE49-F238E27FC236}">
              <a16:creationId xmlns:a16="http://schemas.microsoft.com/office/drawing/2014/main" id="{B9BF0DAD-946C-4951-A859-3C8C2AA31BA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11994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17" name="AutoShape 40" descr="Currently available antiretroviral drugs | Download Table">
          <a:extLst>
            <a:ext uri="{FF2B5EF4-FFF2-40B4-BE49-F238E27FC236}">
              <a16:creationId xmlns:a16="http://schemas.microsoft.com/office/drawing/2014/main" id="{75864560-8426-4995-ADB9-C0888BA9DBC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11994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18" name="AutoShape 40" descr="Currently available antiretroviral drugs | Download Table">
          <a:extLst>
            <a:ext uri="{FF2B5EF4-FFF2-40B4-BE49-F238E27FC236}">
              <a16:creationId xmlns:a16="http://schemas.microsoft.com/office/drawing/2014/main" id="{E72B05B1-B3B2-402A-BDF1-9FF89C07C66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11994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19" name="AutoShape 40" descr="Currently available antiretroviral drugs | Download Table">
          <a:extLst>
            <a:ext uri="{FF2B5EF4-FFF2-40B4-BE49-F238E27FC236}">
              <a16:creationId xmlns:a16="http://schemas.microsoft.com/office/drawing/2014/main" id="{C48E06B3-2696-43CC-B2CB-446C63380B6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11994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20" name="AutoShape 40" descr="Currently available antiretroviral drugs | Download Table">
          <a:extLst>
            <a:ext uri="{FF2B5EF4-FFF2-40B4-BE49-F238E27FC236}">
              <a16:creationId xmlns:a16="http://schemas.microsoft.com/office/drawing/2014/main" id="{D046CA97-1454-4B38-B8DD-DC4500D5021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11994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21" name="AutoShape 40" descr="Currently available antiretroviral drugs | Download Table">
          <a:extLst>
            <a:ext uri="{FF2B5EF4-FFF2-40B4-BE49-F238E27FC236}">
              <a16:creationId xmlns:a16="http://schemas.microsoft.com/office/drawing/2014/main" id="{16B1B19E-9A40-41F6-964C-8423BA59DC5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11994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22" name="AutoShape 40" descr="Currently available antiretroviral drugs | Download Table">
          <a:extLst>
            <a:ext uri="{FF2B5EF4-FFF2-40B4-BE49-F238E27FC236}">
              <a16:creationId xmlns:a16="http://schemas.microsoft.com/office/drawing/2014/main" id="{9105FAF1-BDFD-4CCC-B500-7F05C454D19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11994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23" name="AutoShape 40" descr="Currently available antiretroviral drugs | Download Table">
          <a:extLst>
            <a:ext uri="{FF2B5EF4-FFF2-40B4-BE49-F238E27FC236}">
              <a16:creationId xmlns:a16="http://schemas.microsoft.com/office/drawing/2014/main" id="{6BCDCAD2-91F8-4B76-8AAE-127B358BD1C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11994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24" name="AutoShape 40" descr="Currently available antiretroviral drugs | Download Table">
          <a:extLst>
            <a:ext uri="{FF2B5EF4-FFF2-40B4-BE49-F238E27FC236}">
              <a16:creationId xmlns:a16="http://schemas.microsoft.com/office/drawing/2014/main" id="{DFE96602-7F98-4399-8F0D-5690CA05C8E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11994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25" name="AutoShape 40" descr="Currently available antiretroviral drugs | Download Table">
          <a:extLst>
            <a:ext uri="{FF2B5EF4-FFF2-40B4-BE49-F238E27FC236}">
              <a16:creationId xmlns:a16="http://schemas.microsoft.com/office/drawing/2014/main" id="{B8E545FB-B442-4D1B-9179-D6161672B53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11994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26" name="AutoShape 40" descr="Currently available antiretroviral drugs | Download Table">
          <a:extLst>
            <a:ext uri="{FF2B5EF4-FFF2-40B4-BE49-F238E27FC236}">
              <a16:creationId xmlns:a16="http://schemas.microsoft.com/office/drawing/2014/main" id="{521A1966-B725-4758-8D78-B21AA18C52C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940647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27" name="AutoShape 40" descr="Currently available antiretroviral drugs | Download Table">
          <a:extLst>
            <a:ext uri="{FF2B5EF4-FFF2-40B4-BE49-F238E27FC236}">
              <a16:creationId xmlns:a16="http://schemas.microsoft.com/office/drawing/2014/main" id="{F545EC6E-B431-48DD-A327-2C84914DA44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940647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28" name="AutoShape 40" descr="Currently available antiretroviral drugs | Download Table">
          <a:extLst>
            <a:ext uri="{FF2B5EF4-FFF2-40B4-BE49-F238E27FC236}">
              <a16:creationId xmlns:a16="http://schemas.microsoft.com/office/drawing/2014/main" id="{C3D61B3A-3D42-49B7-8888-EC19C1AE270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940647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29" name="AutoShape 40" descr="Currently available antiretroviral drugs | Download Table">
          <a:extLst>
            <a:ext uri="{FF2B5EF4-FFF2-40B4-BE49-F238E27FC236}">
              <a16:creationId xmlns:a16="http://schemas.microsoft.com/office/drawing/2014/main" id="{F240CD8E-86DC-4BC5-B566-3383E49294A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940647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30" name="AutoShape 40" descr="Currently available antiretroviral drugs | Download Table">
          <a:extLst>
            <a:ext uri="{FF2B5EF4-FFF2-40B4-BE49-F238E27FC236}">
              <a16:creationId xmlns:a16="http://schemas.microsoft.com/office/drawing/2014/main" id="{A8D5B646-8856-4BCA-B4DE-7A14C1FA415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940647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31" name="AutoShape 40" descr="Currently available antiretroviral drugs | Download Table">
          <a:extLst>
            <a:ext uri="{FF2B5EF4-FFF2-40B4-BE49-F238E27FC236}">
              <a16:creationId xmlns:a16="http://schemas.microsoft.com/office/drawing/2014/main" id="{D406237A-FDAD-4042-A84C-16695A8114E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940647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32" name="AutoShape 40" descr="Currently available antiretroviral drugs | Download Table">
          <a:extLst>
            <a:ext uri="{FF2B5EF4-FFF2-40B4-BE49-F238E27FC236}">
              <a16:creationId xmlns:a16="http://schemas.microsoft.com/office/drawing/2014/main" id="{4AF88FEB-94B8-4F2C-864D-FD5F708F9F9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940647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33" name="AutoShape 40" descr="Currently available antiretroviral drugs | Download Table">
          <a:extLst>
            <a:ext uri="{FF2B5EF4-FFF2-40B4-BE49-F238E27FC236}">
              <a16:creationId xmlns:a16="http://schemas.microsoft.com/office/drawing/2014/main" id="{42FF3A03-EB87-4255-867B-F028FC2EFDC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940647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34" name="AutoShape 40" descr="Currently available antiretroviral drugs | Download Table">
          <a:extLst>
            <a:ext uri="{FF2B5EF4-FFF2-40B4-BE49-F238E27FC236}">
              <a16:creationId xmlns:a16="http://schemas.microsoft.com/office/drawing/2014/main" id="{A2FD9C57-4DB5-4579-A047-8C24EECC80C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940647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35" name="AutoShape 40" descr="Currently available antiretroviral drugs | Download Table">
          <a:extLst>
            <a:ext uri="{FF2B5EF4-FFF2-40B4-BE49-F238E27FC236}">
              <a16:creationId xmlns:a16="http://schemas.microsoft.com/office/drawing/2014/main" id="{A28FEA10-8A26-4940-96BA-4EEA18BC718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940647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36" name="AutoShape 40" descr="Currently available antiretroviral drugs | Download Table">
          <a:extLst>
            <a:ext uri="{FF2B5EF4-FFF2-40B4-BE49-F238E27FC236}">
              <a16:creationId xmlns:a16="http://schemas.microsoft.com/office/drawing/2014/main" id="{6CA24309-171F-44E1-A3A4-6E5990CDC5A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940647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37" name="AutoShape 40" descr="Currently available antiretroviral drugs | Download Table">
          <a:extLst>
            <a:ext uri="{FF2B5EF4-FFF2-40B4-BE49-F238E27FC236}">
              <a16:creationId xmlns:a16="http://schemas.microsoft.com/office/drawing/2014/main" id="{3D16C101-6D2E-4335-8CC1-2BD8EA12D93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11994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38" name="AutoShape 40" descr="Currently available antiretroviral drugs | Download Table">
          <a:extLst>
            <a:ext uri="{FF2B5EF4-FFF2-40B4-BE49-F238E27FC236}">
              <a16:creationId xmlns:a16="http://schemas.microsoft.com/office/drawing/2014/main" id="{5E980709-B097-4067-A85E-6C809186C8F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940647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39" name="AutoShape 40" descr="Currently available antiretroviral drugs | Download Table">
          <a:extLst>
            <a:ext uri="{FF2B5EF4-FFF2-40B4-BE49-F238E27FC236}">
              <a16:creationId xmlns:a16="http://schemas.microsoft.com/office/drawing/2014/main" id="{74A00C55-0B7D-4BB6-A717-923D81C8D71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1940647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40" name="AutoShape 40" descr="Currently available antiretroviral drugs | Download Table">
          <a:extLst>
            <a:ext uri="{FF2B5EF4-FFF2-40B4-BE49-F238E27FC236}">
              <a16:creationId xmlns:a16="http://schemas.microsoft.com/office/drawing/2014/main" id="{31D12192-0E74-4DF8-B3AE-89D431CB0C8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11994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41" name="AutoShape 40" descr="Currently available antiretroviral drugs | Download Table">
          <a:extLst>
            <a:ext uri="{FF2B5EF4-FFF2-40B4-BE49-F238E27FC236}">
              <a16:creationId xmlns:a16="http://schemas.microsoft.com/office/drawing/2014/main" id="{E5E2A6DD-0215-4E1A-B6D5-68ED1D2727E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11994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42" name="AutoShape 40" descr="Currently available antiretroviral drugs | Download Table">
          <a:extLst>
            <a:ext uri="{FF2B5EF4-FFF2-40B4-BE49-F238E27FC236}">
              <a16:creationId xmlns:a16="http://schemas.microsoft.com/office/drawing/2014/main" id="{E1B18A08-C39D-4DF5-8F84-CED01005126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11994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43" name="AutoShape 40" descr="Currently available antiretroviral drugs | Download Table">
          <a:extLst>
            <a:ext uri="{FF2B5EF4-FFF2-40B4-BE49-F238E27FC236}">
              <a16:creationId xmlns:a16="http://schemas.microsoft.com/office/drawing/2014/main" id="{D5C6EA21-0322-4AE2-8616-D11E92684DE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11994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44" name="AutoShape 40" descr="Currently available antiretroviral drugs | Download Table">
          <a:extLst>
            <a:ext uri="{FF2B5EF4-FFF2-40B4-BE49-F238E27FC236}">
              <a16:creationId xmlns:a16="http://schemas.microsoft.com/office/drawing/2014/main" id="{F576B257-6F8F-4281-AB5A-75A301B65BB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11994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45" name="AutoShape 40" descr="Currently available antiretroviral drugs | Download Table">
          <a:extLst>
            <a:ext uri="{FF2B5EF4-FFF2-40B4-BE49-F238E27FC236}">
              <a16:creationId xmlns:a16="http://schemas.microsoft.com/office/drawing/2014/main" id="{D96C0973-E26C-4ACD-80DE-48AF0DFEDFF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11994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46" name="AutoShape 40" descr="Currently available antiretroviral drugs | Download Table">
          <a:extLst>
            <a:ext uri="{FF2B5EF4-FFF2-40B4-BE49-F238E27FC236}">
              <a16:creationId xmlns:a16="http://schemas.microsoft.com/office/drawing/2014/main" id="{E7330CDF-521F-468E-86E9-B64B91C8316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11994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47" name="AutoShape 40" descr="Currently available antiretroviral drugs | Download Table">
          <a:extLst>
            <a:ext uri="{FF2B5EF4-FFF2-40B4-BE49-F238E27FC236}">
              <a16:creationId xmlns:a16="http://schemas.microsoft.com/office/drawing/2014/main" id="{F7BAC430-939F-4759-9D94-32BDB1F8CB7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11994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48" name="AutoShape 40" descr="Currently available antiretroviral drugs | Download Table">
          <a:extLst>
            <a:ext uri="{FF2B5EF4-FFF2-40B4-BE49-F238E27FC236}">
              <a16:creationId xmlns:a16="http://schemas.microsoft.com/office/drawing/2014/main" id="{E0F91180-B3A4-4722-8597-540F9821E54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11994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49" name="AutoShape 40" descr="Currently available antiretroviral drugs | Download Table">
          <a:extLst>
            <a:ext uri="{FF2B5EF4-FFF2-40B4-BE49-F238E27FC236}">
              <a16:creationId xmlns:a16="http://schemas.microsoft.com/office/drawing/2014/main" id="{AF053FC2-67F1-4DA9-85B4-98015416D9D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11994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50" name="AutoShape 40" descr="Currently available antiretroviral drugs | Download Table">
          <a:extLst>
            <a:ext uri="{FF2B5EF4-FFF2-40B4-BE49-F238E27FC236}">
              <a16:creationId xmlns:a16="http://schemas.microsoft.com/office/drawing/2014/main" id="{9E3F85A3-D164-46E5-9FD6-F6B6EBA84E2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11994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51" name="AutoShape 40" descr="Currently available antiretroviral drugs | Download Table">
          <a:extLst>
            <a:ext uri="{FF2B5EF4-FFF2-40B4-BE49-F238E27FC236}">
              <a16:creationId xmlns:a16="http://schemas.microsoft.com/office/drawing/2014/main" id="{616FB4A9-EDC3-4EB2-A5BE-71E3A1AD15A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11994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52" name="AutoShape 40" descr="Currently available antiretroviral drugs | Download Table">
          <a:extLst>
            <a:ext uri="{FF2B5EF4-FFF2-40B4-BE49-F238E27FC236}">
              <a16:creationId xmlns:a16="http://schemas.microsoft.com/office/drawing/2014/main" id="{BFEEC2F0-3A04-485A-8DFB-44DD02A0B72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11994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53" name="AutoShape 40" descr="Currently available antiretroviral drugs | Download Table">
          <a:extLst>
            <a:ext uri="{FF2B5EF4-FFF2-40B4-BE49-F238E27FC236}">
              <a16:creationId xmlns:a16="http://schemas.microsoft.com/office/drawing/2014/main" id="{6C724AD5-3151-4E40-8CD3-BFF4965D7E6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11994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54" name="AutoShape 40" descr="Currently available antiretroviral drugs | Download Table">
          <a:extLst>
            <a:ext uri="{FF2B5EF4-FFF2-40B4-BE49-F238E27FC236}">
              <a16:creationId xmlns:a16="http://schemas.microsoft.com/office/drawing/2014/main" id="{4B0418A3-9DC1-4C8D-8600-1597408F00F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11994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55" name="AutoShape 40" descr="Currently available antiretroviral drugs | Download Table">
          <a:extLst>
            <a:ext uri="{FF2B5EF4-FFF2-40B4-BE49-F238E27FC236}">
              <a16:creationId xmlns:a16="http://schemas.microsoft.com/office/drawing/2014/main" id="{40CC5A41-93B6-4B54-BBFB-C6AF327D299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11994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56" name="AutoShape 40" descr="Currently available antiretroviral drugs | Download Table">
          <a:extLst>
            <a:ext uri="{FF2B5EF4-FFF2-40B4-BE49-F238E27FC236}">
              <a16:creationId xmlns:a16="http://schemas.microsoft.com/office/drawing/2014/main" id="{31DF778E-F97D-409D-A8AE-D98B349B7AB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11994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57" name="AutoShape 40" descr="Currently available antiretroviral drugs | Download Table">
          <a:extLst>
            <a:ext uri="{FF2B5EF4-FFF2-40B4-BE49-F238E27FC236}">
              <a16:creationId xmlns:a16="http://schemas.microsoft.com/office/drawing/2014/main" id="{FE01A118-5704-480B-896E-6E0457A438A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11994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58" name="AutoShape 40" descr="Currently available antiretroviral drugs | Download Table">
          <a:extLst>
            <a:ext uri="{FF2B5EF4-FFF2-40B4-BE49-F238E27FC236}">
              <a16:creationId xmlns:a16="http://schemas.microsoft.com/office/drawing/2014/main" id="{0E38A475-EE5B-4752-8308-1A4BE01E0FE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11994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59" name="AutoShape 40" descr="Currently available antiretroviral drugs | Download Table">
          <a:extLst>
            <a:ext uri="{FF2B5EF4-FFF2-40B4-BE49-F238E27FC236}">
              <a16:creationId xmlns:a16="http://schemas.microsoft.com/office/drawing/2014/main" id="{C428A886-AD96-47CE-9AE9-C54DE0946EE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11994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60" name="AutoShape 40" descr="Currently available antiretroviral drugs | Download Table">
          <a:extLst>
            <a:ext uri="{FF2B5EF4-FFF2-40B4-BE49-F238E27FC236}">
              <a16:creationId xmlns:a16="http://schemas.microsoft.com/office/drawing/2014/main" id="{F5F97C29-007A-46AC-8753-DB73569146B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11994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61" name="AutoShape 40" descr="Currently available antiretroviral drugs | Download Table">
          <a:extLst>
            <a:ext uri="{FF2B5EF4-FFF2-40B4-BE49-F238E27FC236}">
              <a16:creationId xmlns:a16="http://schemas.microsoft.com/office/drawing/2014/main" id="{306F4AA5-9698-48BA-BE03-585719366B9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11994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62" name="AutoShape 40" descr="Currently available antiretroviral drugs | Download Table">
          <a:extLst>
            <a:ext uri="{FF2B5EF4-FFF2-40B4-BE49-F238E27FC236}">
              <a16:creationId xmlns:a16="http://schemas.microsoft.com/office/drawing/2014/main" id="{3C9C64C7-544D-4B04-8EB9-E0F6709885F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11994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63" name="AutoShape 40" descr="Currently available antiretroviral drugs | Download Table">
          <a:extLst>
            <a:ext uri="{FF2B5EF4-FFF2-40B4-BE49-F238E27FC236}">
              <a16:creationId xmlns:a16="http://schemas.microsoft.com/office/drawing/2014/main" id="{0F2CE706-7612-4CEA-81DC-C54F6933E47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11994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64" name="AutoShape 40" descr="Currently available antiretroviral drugs | Download Table">
          <a:extLst>
            <a:ext uri="{FF2B5EF4-FFF2-40B4-BE49-F238E27FC236}">
              <a16:creationId xmlns:a16="http://schemas.microsoft.com/office/drawing/2014/main" id="{DAD1C7F3-E66C-4557-8F41-0652E40E414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11994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65" name="AutoShape 40" descr="Currently available antiretroviral drugs | Download Table">
          <a:extLst>
            <a:ext uri="{FF2B5EF4-FFF2-40B4-BE49-F238E27FC236}">
              <a16:creationId xmlns:a16="http://schemas.microsoft.com/office/drawing/2014/main" id="{662F73E5-817B-4FDC-824E-026D31F7F2F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11994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66" name="AutoShape 40" descr="Currently available antiretroviral drugs | Download Table">
          <a:extLst>
            <a:ext uri="{FF2B5EF4-FFF2-40B4-BE49-F238E27FC236}">
              <a16:creationId xmlns:a16="http://schemas.microsoft.com/office/drawing/2014/main" id="{80E36689-7C44-4A4F-B330-750DAF09413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11994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67" name="AutoShape 40" descr="Currently available antiretroviral drugs | Download Table">
          <a:extLst>
            <a:ext uri="{FF2B5EF4-FFF2-40B4-BE49-F238E27FC236}">
              <a16:creationId xmlns:a16="http://schemas.microsoft.com/office/drawing/2014/main" id="{54F6FED5-37DA-48DC-9FCB-F8BC2B7D122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11994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68" name="AutoShape 40" descr="Currently available antiretroviral drugs | Download Table">
          <a:extLst>
            <a:ext uri="{FF2B5EF4-FFF2-40B4-BE49-F238E27FC236}">
              <a16:creationId xmlns:a16="http://schemas.microsoft.com/office/drawing/2014/main" id="{CD36C21D-40AF-4684-9BC8-035795B27B4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11994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69" name="AutoShape 40" descr="Currently available antiretroviral drugs | Download Table">
          <a:extLst>
            <a:ext uri="{FF2B5EF4-FFF2-40B4-BE49-F238E27FC236}">
              <a16:creationId xmlns:a16="http://schemas.microsoft.com/office/drawing/2014/main" id="{080A2A21-7738-445A-8E3F-3BDB1CD8FC5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11994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70" name="AutoShape 40" descr="Currently available antiretroviral drugs | Download Table">
          <a:extLst>
            <a:ext uri="{FF2B5EF4-FFF2-40B4-BE49-F238E27FC236}">
              <a16:creationId xmlns:a16="http://schemas.microsoft.com/office/drawing/2014/main" id="{818C09DC-3520-48B6-867A-8D53DA4D53B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11994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71" name="AutoShape 40" descr="Currently available antiretroviral drugs | Download Table">
          <a:extLst>
            <a:ext uri="{FF2B5EF4-FFF2-40B4-BE49-F238E27FC236}">
              <a16:creationId xmlns:a16="http://schemas.microsoft.com/office/drawing/2014/main" id="{AC0C1F60-73CF-46D9-A67E-A9F54183F5C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11994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72" name="AutoShape 40" descr="Currently available antiretroviral drugs | Download Table">
          <a:extLst>
            <a:ext uri="{FF2B5EF4-FFF2-40B4-BE49-F238E27FC236}">
              <a16:creationId xmlns:a16="http://schemas.microsoft.com/office/drawing/2014/main" id="{0959F821-7A59-481A-8D90-C4DAC787CBD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29923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73" name="AutoShape 40" descr="Currently available antiretroviral drugs | Download Table">
          <a:extLst>
            <a:ext uri="{FF2B5EF4-FFF2-40B4-BE49-F238E27FC236}">
              <a16:creationId xmlns:a16="http://schemas.microsoft.com/office/drawing/2014/main" id="{1744DBC7-134B-47D7-A343-8A60C3386A9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29923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74" name="AutoShape 40" descr="Currently available antiretroviral drugs | Download Table">
          <a:extLst>
            <a:ext uri="{FF2B5EF4-FFF2-40B4-BE49-F238E27FC236}">
              <a16:creationId xmlns:a16="http://schemas.microsoft.com/office/drawing/2014/main" id="{4084D8AC-E9A9-4C38-A181-C3A442B7822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29923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75" name="AutoShape 40" descr="Currently available antiretroviral drugs | Download Table">
          <a:extLst>
            <a:ext uri="{FF2B5EF4-FFF2-40B4-BE49-F238E27FC236}">
              <a16:creationId xmlns:a16="http://schemas.microsoft.com/office/drawing/2014/main" id="{9E62D0E5-1919-4FA6-9DD0-9EDBDCF64A0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29923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76" name="AutoShape 40" descr="Currently available antiretroviral drugs | Download Table">
          <a:extLst>
            <a:ext uri="{FF2B5EF4-FFF2-40B4-BE49-F238E27FC236}">
              <a16:creationId xmlns:a16="http://schemas.microsoft.com/office/drawing/2014/main" id="{C1BE570F-455A-4CB2-907F-A7CF1B931F5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29923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77" name="AutoShape 40" descr="Currently available antiretroviral drugs | Download Table">
          <a:extLst>
            <a:ext uri="{FF2B5EF4-FFF2-40B4-BE49-F238E27FC236}">
              <a16:creationId xmlns:a16="http://schemas.microsoft.com/office/drawing/2014/main" id="{1B7D3955-A673-4F63-9177-3EE27CCDEF9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29923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78" name="AutoShape 40" descr="Currently available antiretroviral drugs | Download Table">
          <a:extLst>
            <a:ext uri="{FF2B5EF4-FFF2-40B4-BE49-F238E27FC236}">
              <a16:creationId xmlns:a16="http://schemas.microsoft.com/office/drawing/2014/main" id="{6E6B09BF-1FC1-445F-8A0A-4AB73F472D9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29923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79" name="AutoShape 40" descr="Currently available antiretroviral drugs | Download Table">
          <a:extLst>
            <a:ext uri="{FF2B5EF4-FFF2-40B4-BE49-F238E27FC236}">
              <a16:creationId xmlns:a16="http://schemas.microsoft.com/office/drawing/2014/main" id="{520CC3B5-40D2-4593-9740-DD2C67E0343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29923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80" name="AutoShape 40" descr="Currently available antiretroviral drugs | Download Table">
          <a:extLst>
            <a:ext uri="{FF2B5EF4-FFF2-40B4-BE49-F238E27FC236}">
              <a16:creationId xmlns:a16="http://schemas.microsoft.com/office/drawing/2014/main" id="{F168E085-93FF-4055-89BE-8F6D42CEE7B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29923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81" name="AutoShape 40" descr="Currently available antiretroviral drugs | Download Table">
          <a:extLst>
            <a:ext uri="{FF2B5EF4-FFF2-40B4-BE49-F238E27FC236}">
              <a16:creationId xmlns:a16="http://schemas.microsoft.com/office/drawing/2014/main" id="{FAE63DEC-B835-4BBB-9C8A-DFAE2871CE4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29923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82" name="AutoShape 40" descr="Currently available antiretroviral drugs | Download Table">
          <a:extLst>
            <a:ext uri="{FF2B5EF4-FFF2-40B4-BE49-F238E27FC236}">
              <a16:creationId xmlns:a16="http://schemas.microsoft.com/office/drawing/2014/main" id="{90745D70-90CC-420A-8A40-BD5D89E56A8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29923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83" name="AutoShape 40" descr="Currently available antiretroviral drugs | Download Table">
          <a:extLst>
            <a:ext uri="{FF2B5EF4-FFF2-40B4-BE49-F238E27FC236}">
              <a16:creationId xmlns:a16="http://schemas.microsoft.com/office/drawing/2014/main" id="{E5FD0A19-5100-4D01-BDC4-565E2DE43DF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29923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84" name="AutoShape 40" descr="Currently available antiretroviral drugs | Download Table">
          <a:extLst>
            <a:ext uri="{FF2B5EF4-FFF2-40B4-BE49-F238E27FC236}">
              <a16:creationId xmlns:a16="http://schemas.microsoft.com/office/drawing/2014/main" id="{C175C02A-1C00-4794-BDDE-D36F31D486F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29923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85" name="AutoShape 40" descr="Currently available antiretroviral drugs | Download Table">
          <a:extLst>
            <a:ext uri="{FF2B5EF4-FFF2-40B4-BE49-F238E27FC236}">
              <a16:creationId xmlns:a16="http://schemas.microsoft.com/office/drawing/2014/main" id="{45331588-3D68-4A25-BFE6-8CE4DA28A11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11994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86" name="AutoShape 40" descr="Currently available antiretroviral drugs | Download Table">
          <a:extLst>
            <a:ext uri="{FF2B5EF4-FFF2-40B4-BE49-F238E27FC236}">
              <a16:creationId xmlns:a16="http://schemas.microsoft.com/office/drawing/2014/main" id="{F3AB4179-D95E-42ED-9A90-2927AD353D0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11994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87" name="AutoShape 40" descr="Currently available antiretroviral drugs | Download Table">
          <a:extLst>
            <a:ext uri="{FF2B5EF4-FFF2-40B4-BE49-F238E27FC236}">
              <a16:creationId xmlns:a16="http://schemas.microsoft.com/office/drawing/2014/main" id="{C010D878-39BB-47DB-9119-E011084AE1E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11994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88" name="AutoShape 40" descr="Currently available antiretroviral drugs | Download Table">
          <a:extLst>
            <a:ext uri="{FF2B5EF4-FFF2-40B4-BE49-F238E27FC236}">
              <a16:creationId xmlns:a16="http://schemas.microsoft.com/office/drawing/2014/main" id="{097C4655-0BB6-4C05-8211-D67F7782CA6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11994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89" name="AutoShape 40" descr="Currently available antiretroviral drugs | Download Table">
          <a:extLst>
            <a:ext uri="{FF2B5EF4-FFF2-40B4-BE49-F238E27FC236}">
              <a16:creationId xmlns:a16="http://schemas.microsoft.com/office/drawing/2014/main" id="{002F3B7F-3B18-43FE-BE98-68B3A675722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11994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90" name="AutoShape 40" descr="Currently available antiretroviral drugs | Download Table">
          <a:extLst>
            <a:ext uri="{FF2B5EF4-FFF2-40B4-BE49-F238E27FC236}">
              <a16:creationId xmlns:a16="http://schemas.microsoft.com/office/drawing/2014/main" id="{16069314-97BB-49F2-BDE4-6FF2F28510A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11994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91" name="AutoShape 40" descr="Currently available antiretroviral drugs | Download Table">
          <a:extLst>
            <a:ext uri="{FF2B5EF4-FFF2-40B4-BE49-F238E27FC236}">
              <a16:creationId xmlns:a16="http://schemas.microsoft.com/office/drawing/2014/main" id="{993A49D5-F307-4BF9-8367-8DC2336B678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11994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92" name="AutoShape 40" descr="Currently available antiretroviral drugs | Download Table">
          <a:extLst>
            <a:ext uri="{FF2B5EF4-FFF2-40B4-BE49-F238E27FC236}">
              <a16:creationId xmlns:a16="http://schemas.microsoft.com/office/drawing/2014/main" id="{6F21CECE-8D7A-412C-8997-6EDCC6A4D3A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11994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93" name="AutoShape 40" descr="Currently available antiretroviral drugs | Download Table">
          <a:extLst>
            <a:ext uri="{FF2B5EF4-FFF2-40B4-BE49-F238E27FC236}">
              <a16:creationId xmlns:a16="http://schemas.microsoft.com/office/drawing/2014/main" id="{06118FE8-295C-4D52-BDED-361BC65CBDF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11994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94" name="AutoShape 40" descr="Currently available antiretroviral drugs | Download Table">
          <a:extLst>
            <a:ext uri="{FF2B5EF4-FFF2-40B4-BE49-F238E27FC236}">
              <a16:creationId xmlns:a16="http://schemas.microsoft.com/office/drawing/2014/main" id="{9A986146-33E4-493A-89F4-AA5E84B0654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11994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95" name="AutoShape 40" descr="Currently available antiretroviral drugs | Download Table">
          <a:extLst>
            <a:ext uri="{FF2B5EF4-FFF2-40B4-BE49-F238E27FC236}">
              <a16:creationId xmlns:a16="http://schemas.microsoft.com/office/drawing/2014/main" id="{0895A602-BE82-4E67-AB69-8ED687ABF94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11994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96" name="AutoShape 40" descr="Currently available antiretroviral drugs | Download Table">
          <a:extLst>
            <a:ext uri="{FF2B5EF4-FFF2-40B4-BE49-F238E27FC236}">
              <a16:creationId xmlns:a16="http://schemas.microsoft.com/office/drawing/2014/main" id="{11C58E5D-6158-4030-A7ED-67AC38C52B1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29923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97" name="AutoShape 40" descr="Currently available antiretroviral drugs | Download Table">
          <a:extLst>
            <a:ext uri="{FF2B5EF4-FFF2-40B4-BE49-F238E27FC236}">
              <a16:creationId xmlns:a16="http://schemas.microsoft.com/office/drawing/2014/main" id="{336D008F-B235-4628-BC14-7101BF46AE6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11994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98" name="AutoShape 40" descr="Currently available antiretroviral drugs | Download Table">
          <a:extLst>
            <a:ext uri="{FF2B5EF4-FFF2-40B4-BE49-F238E27FC236}">
              <a16:creationId xmlns:a16="http://schemas.microsoft.com/office/drawing/2014/main" id="{CA785CC6-14B0-4702-BF77-0F8259AE5D5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11994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399" name="AutoShape 40" descr="Currently available antiretroviral drugs | Download Table">
          <a:extLst>
            <a:ext uri="{FF2B5EF4-FFF2-40B4-BE49-F238E27FC236}">
              <a16:creationId xmlns:a16="http://schemas.microsoft.com/office/drawing/2014/main" id="{6E6AF88B-A926-4076-B7CF-648D4721666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29923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00" name="AutoShape 40" descr="Currently available antiretroviral drugs | Download Table">
          <a:extLst>
            <a:ext uri="{FF2B5EF4-FFF2-40B4-BE49-F238E27FC236}">
              <a16:creationId xmlns:a16="http://schemas.microsoft.com/office/drawing/2014/main" id="{D2EFDDA6-FC86-440E-B7E0-26331237047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29923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01" name="AutoShape 40" descr="Currently available antiretroviral drugs | Download Table">
          <a:extLst>
            <a:ext uri="{FF2B5EF4-FFF2-40B4-BE49-F238E27FC236}">
              <a16:creationId xmlns:a16="http://schemas.microsoft.com/office/drawing/2014/main" id="{1CB6443B-5BD2-4FA8-8E3F-97894073622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29923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02" name="AutoShape 40" descr="Currently available antiretroviral drugs | Download Table">
          <a:extLst>
            <a:ext uri="{FF2B5EF4-FFF2-40B4-BE49-F238E27FC236}">
              <a16:creationId xmlns:a16="http://schemas.microsoft.com/office/drawing/2014/main" id="{FE346632-0722-45CE-A12D-2CE0A91C019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29923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03" name="AutoShape 40" descr="Currently available antiretroviral drugs | Download Table">
          <a:extLst>
            <a:ext uri="{FF2B5EF4-FFF2-40B4-BE49-F238E27FC236}">
              <a16:creationId xmlns:a16="http://schemas.microsoft.com/office/drawing/2014/main" id="{9A7B795A-5E4E-48E8-8243-904FC011175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29923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04" name="AutoShape 40" descr="Currently available antiretroviral drugs | Download Table">
          <a:extLst>
            <a:ext uri="{FF2B5EF4-FFF2-40B4-BE49-F238E27FC236}">
              <a16:creationId xmlns:a16="http://schemas.microsoft.com/office/drawing/2014/main" id="{3CAF6CFF-9C0A-4852-988C-6EB01FC5B87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29923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05" name="AutoShape 40" descr="Currently available antiretroviral drugs | Download Table">
          <a:extLst>
            <a:ext uri="{FF2B5EF4-FFF2-40B4-BE49-F238E27FC236}">
              <a16:creationId xmlns:a16="http://schemas.microsoft.com/office/drawing/2014/main" id="{992B5D7B-CA7A-4E50-A86F-D659BD426F6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29923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06" name="AutoShape 40" descr="Currently available antiretroviral drugs | Download Table">
          <a:extLst>
            <a:ext uri="{FF2B5EF4-FFF2-40B4-BE49-F238E27FC236}">
              <a16:creationId xmlns:a16="http://schemas.microsoft.com/office/drawing/2014/main" id="{7FFC5AF8-364F-443E-8D79-83C649F752B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29923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07" name="AutoShape 40" descr="Currently available antiretroviral drugs | Download Table">
          <a:extLst>
            <a:ext uri="{FF2B5EF4-FFF2-40B4-BE49-F238E27FC236}">
              <a16:creationId xmlns:a16="http://schemas.microsoft.com/office/drawing/2014/main" id="{BC461950-055C-451D-B6B5-5A070B4B8CC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29923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08" name="AutoShape 40" descr="Currently available antiretroviral drugs | Download Table">
          <a:extLst>
            <a:ext uri="{FF2B5EF4-FFF2-40B4-BE49-F238E27FC236}">
              <a16:creationId xmlns:a16="http://schemas.microsoft.com/office/drawing/2014/main" id="{7C110B46-53E1-4858-BB73-51D3BC39A7C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29923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09" name="AutoShape 40" descr="Currently available antiretroviral drugs | Download Table">
          <a:extLst>
            <a:ext uri="{FF2B5EF4-FFF2-40B4-BE49-F238E27FC236}">
              <a16:creationId xmlns:a16="http://schemas.microsoft.com/office/drawing/2014/main" id="{56C8EDF8-9A4B-48BC-AD32-CE5E961840F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29923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10" name="AutoShape 40" descr="Currently available antiretroviral drugs | Download Table">
          <a:extLst>
            <a:ext uri="{FF2B5EF4-FFF2-40B4-BE49-F238E27FC236}">
              <a16:creationId xmlns:a16="http://schemas.microsoft.com/office/drawing/2014/main" id="{C60A54DC-3E48-4E93-AF4E-6B4A920F75D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29923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11" name="AutoShape 40" descr="Currently available antiretroviral drugs | Download Table">
          <a:extLst>
            <a:ext uri="{FF2B5EF4-FFF2-40B4-BE49-F238E27FC236}">
              <a16:creationId xmlns:a16="http://schemas.microsoft.com/office/drawing/2014/main" id="{8C39E9F4-34D6-4846-87FB-D1759BCC547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29923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12" name="AutoShape 40" descr="Currently available antiretroviral drugs | Download Table">
          <a:extLst>
            <a:ext uri="{FF2B5EF4-FFF2-40B4-BE49-F238E27FC236}">
              <a16:creationId xmlns:a16="http://schemas.microsoft.com/office/drawing/2014/main" id="{1116F484-1869-41CA-8F4F-282F31F85B9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29923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13" name="AutoShape 40" descr="Currently available antiretroviral drugs | Download Table">
          <a:extLst>
            <a:ext uri="{FF2B5EF4-FFF2-40B4-BE49-F238E27FC236}">
              <a16:creationId xmlns:a16="http://schemas.microsoft.com/office/drawing/2014/main" id="{341FC72B-DC1B-4C27-B9BE-3CBB5775161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29923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14" name="AutoShape 40" descr="Currently available antiretroviral drugs | Download Table">
          <a:extLst>
            <a:ext uri="{FF2B5EF4-FFF2-40B4-BE49-F238E27FC236}">
              <a16:creationId xmlns:a16="http://schemas.microsoft.com/office/drawing/2014/main" id="{E37F983E-788F-45D0-86B8-CA7F006BD4C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29923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15" name="AutoShape 40" descr="Currently available antiretroviral drugs | Download Table">
          <a:extLst>
            <a:ext uri="{FF2B5EF4-FFF2-40B4-BE49-F238E27FC236}">
              <a16:creationId xmlns:a16="http://schemas.microsoft.com/office/drawing/2014/main" id="{0D26D87C-2AAC-4772-A3FF-F598EAC18E6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29923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16" name="AutoShape 40" descr="Currently available antiretroviral drugs | Download Table">
          <a:extLst>
            <a:ext uri="{FF2B5EF4-FFF2-40B4-BE49-F238E27FC236}">
              <a16:creationId xmlns:a16="http://schemas.microsoft.com/office/drawing/2014/main" id="{663A48F4-DF6B-4C70-81A8-BCD32ABA083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29923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17" name="AutoShape 40" descr="Currently available antiretroviral drugs | Download Table">
          <a:extLst>
            <a:ext uri="{FF2B5EF4-FFF2-40B4-BE49-F238E27FC236}">
              <a16:creationId xmlns:a16="http://schemas.microsoft.com/office/drawing/2014/main" id="{F5CCAFF3-6EF4-4E56-98E3-94EECC1C50C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29923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18" name="AutoShape 40" descr="Currently available antiretroviral drugs | Download Table">
          <a:extLst>
            <a:ext uri="{FF2B5EF4-FFF2-40B4-BE49-F238E27FC236}">
              <a16:creationId xmlns:a16="http://schemas.microsoft.com/office/drawing/2014/main" id="{2BC904DB-551E-4ED5-A01A-55DB2CDFD8B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29923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19" name="AutoShape 40" descr="Currently available antiretroviral drugs | Download Table">
          <a:extLst>
            <a:ext uri="{FF2B5EF4-FFF2-40B4-BE49-F238E27FC236}">
              <a16:creationId xmlns:a16="http://schemas.microsoft.com/office/drawing/2014/main" id="{748E9631-188F-4971-8BD8-1BFF59F93D9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29923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20" name="AutoShape 40" descr="Currently available antiretroviral drugs | Download Table">
          <a:extLst>
            <a:ext uri="{FF2B5EF4-FFF2-40B4-BE49-F238E27FC236}">
              <a16:creationId xmlns:a16="http://schemas.microsoft.com/office/drawing/2014/main" id="{9F528917-BCF5-47A1-9979-F1EC4756CAC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29923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21" name="AutoShape 40" descr="Currently available antiretroviral drugs | Download Table">
          <a:extLst>
            <a:ext uri="{FF2B5EF4-FFF2-40B4-BE49-F238E27FC236}">
              <a16:creationId xmlns:a16="http://schemas.microsoft.com/office/drawing/2014/main" id="{38C1540C-E1F6-46C6-A3E3-41B4397EBC3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29923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22" name="AutoShape 40" descr="Currently available antiretroviral drugs | Download Table">
          <a:extLst>
            <a:ext uri="{FF2B5EF4-FFF2-40B4-BE49-F238E27FC236}">
              <a16:creationId xmlns:a16="http://schemas.microsoft.com/office/drawing/2014/main" id="{5898A53D-91B0-48BC-A3BE-6C2BB45FD0C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29923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23" name="AutoShape 40" descr="Currently available antiretroviral drugs | Download Table">
          <a:extLst>
            <a:ext uri="{FF2B5EF4-FFF2-40B4-BE49-F238E27FC236}">
              <a16:creationId xmlns:a16="http://schemas.microsoft.com/office/drawing/2014/main" id="{9D09DA25-D292-4BAF-A766-14BC444B5FD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29923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24" name="AutoShape 40" descr="Currently available antiretroviral drugs | Download Table">
          <a:extLst>
            <a:ext uri="{FF2B5EF4-FFF2-40B4-BE49-F238E27FC236}">
              <a16:creationId xmlns:a16="http://schemas.microsoft.com/office/drawing/2014/main" id="{506F1FE8-29F2-4579-989B-FCE1D9C4032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29923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25" name="AutoShape 40" descr="Currently available antiretroviral drugs | Download Table">
          <a:extLst>
            <a:ext uri="{FF2B5EF4-FFF2-40B4-BE49-F238E27FC236}">
              <a16:creationId xmlns:a16="http://schemas.microsoft.com/office/drawing/2014/main" id="{78E5B9E2-B795-43F9-BB93-2090FCC414F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29923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26" name="AutoShape 40" descr="Currently available antiretroviral drugs | Download Table">
          <a:extLst>
            <a:ext uri="{FF2B5EF4-FFF2-40B4-BE49-F238E27FC236}">
              <a16:creationId xmlns:a16="http://schemas.microsoft.com/office/drawing/2014/main" id="{65651904-132B-41BD-9088-397D49B1246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29923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27" name="AutoShape 40" descr="Currently available antiretroviral drugs | Download Table">
          <a:extLst>
            <a:ext uri="{FF2B5EF4-FFF2-40B4-BE49-F238E27FC236}">
              <a16:creationId xmlns:a16="http://schemas.microsoft.com/office/drawing/2014/main" id="{1E3AE326-4C6B-4BB2-9EDB-4B51998B400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29923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28" name="AutoShape 40" descr="Currently available antiretroviral drugs | Download Table">
          <a:extLst>
            <a:ext uri="{FF2B5EF4-FFF2-40B4-BE49-F238E27FC236}">
              <a16:creationId xmlns:a16="http://schemas.microsoft.com/office/drawing/2014/main" id="{68F83ADA-E454-48E5-B6C4-E5FBCF7EFF0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29923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29" name="AutoShape 40" descr="Currently available antiretroviral drugs | Download Table">
          <a:extLst>
            <a:ext uri="{FF2B5EF4-FFF2-40B4-BE49-F238E27FC236}">
              <a16:creationId xmlns:a16="http://schemas.microsoft.com/office/drawing/2014/main" id="{D33DC4FE-03A9-4114-BB10-137D4B4489C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29923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30" name="AutoShape 40" descr="Currently available antiretroviral drugs | Download Table">
          <a:extLst>
            <a:ext uri="{FF2B5EF4-FFF2-40B4-BE49-F238E27FC236}">
              <a16:creationId xmlns:a16="http://schemas.microsoft.com/office/drawing/2014/main" id="{827E5F2E-9C50-4C5A-AD42-69D7293D674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29923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31" name="AutoShape 40" descr="Currently available antiretroviral drugs | Download Table">
          <a:extLst>
            <a:ext uri="{FF2B5EF4-FFF2-40B4-BE49-F238E27FC236}">
              <a16:creationId xmlns:a16="http://schemas.microsoft.com/office/drawing/2014/main" id="{E00D0848-DF95-4894-8DC8-50405E0C340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47852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32" name="AutoShape 40" descr="Currently available antiretroviral drugs | Download Table">
          <a:extLst>
            <a:ext uri="{FF2B5EF4-FFF2-40B4-BE49-F238E27FC236}">
              <a16:creationId xmlns:a16="http://schemas.microsoft.com/office/drawing/2014/main" id="{A67097FB-5734-4319-9844-0EEBA95C780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47852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33" name="AutoShape 40" descr="Currently available antiretroviral drugs | Download Table">
          <a:extLst>
            <a:ext uri="{FF2B5EF4-FFF2-40B4-BE49-F238E27FC236}">
              <a16:creationId xmlns:a16="http://schemas.microsoft.com/office/drawing/2014/main" id="{47702537-E198-4B82-8490-5085E9F54EF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47852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34" name="AutoShape 40" descr="Currently available antiretroviral drugs | Download Table">
          <a:extLst>
            <a:ext uri="{FF2B5EF4-FFF2-40B4-BE49-F238E27FC236}">
              <a16:creationId xmlns:a16="http://schemas.microsoft.com/office/drawing/2014/main" id="{48ECE8A4-8A23-4D41-A21E-87647719F7C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47852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35" name="AutoShape 40" descr="Currently available antiretroviral drugs | Download Table">
          <a:extLst>
            <a:ext uri="{FF2B5EF4-FFF2-40B4-BE49-F238E27FC236}">
              <a16:creationId xmlns:a16="http://schemas.microsoft.com/office/drawing/2014/main" id="{CAB69C29-A19C-4F8B-9D98-10EEE867BA7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47852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36" name="AutoShape 40" descr="Currently available antiretroviral drugs | Download Table">
          <a:extLst>
            <a:ext uri="{FF2B5EF4-FFF2-40B4-BE49-F238E27FC236}">
              <a16:creationId xmlns:a16="http://schemas.microsoft.com/office/drawing/2014/main" id="{C1CC3B64-5D66-4748-8ED4-8CF6E352455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47852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37" name="AutoShape 40" descr="Currently available antiretroviral drugs | Download Table">
          <a:extLst>
            <a:ext uri="{FF2B5EF4-FFF2-40B4-BE49-F238E27FC236}">
              <a16:creationId xmlns:a16="http://schemas.microsoft.com/office/drawing/2014/main" id="{A6DADC9C-0A6F-48AD-96DA-5FA924D8D46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47852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38" name="AutoShape 40" descr="Currently available antiretroviral drugs | Download Table">
          <a:extLst>
            <a:ext uri="{FF2B5EF4-FFF2-40B4-BE49-F238E27FC236}">
              <a16:creationId xmlns:a16="http://schemas.microsoft.com/office/drawing/2014/main" id="{3B9633E5-DF7A-46B3-9E3D-F487453578E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47852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39" name="AutoShape 40" descr="Currently available antiretroviral drugs | Download Table">
          <a:extLst>
            <a:ext uri="{FF2B5EF4-FFF2-40B4-BE49-F238E27FC236}">
              <a16:creationId xmlns:a16="http://schemas.microsoft.com/office/drawing/2014/main" id="{4C18EB55-3B71-484C-A6EC-2ECBB3FB67D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47852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40" name="AutoShape 40" descr="Currently available antiretroviral drugs | Download Table">
          <a:extLst>
            <a:ext uri="{FF2B5EF4-FFF2-40B4-BE49-F238E27FC236}">
              <a16:creationId xmlns:a16="http://schemas.microsoft.com/office/drawing/2014/main" id="{D0231A70-E5D8-4FFB-B1B7-167D664DE10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47852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41" name="AutoShape 40" descr="Currently available antiretroviral drugs | Download Table">
          <a:extLst>
            <a:ext uri="{FF2B5EF4-FFF2-40B4-BE49-F238E27FC236}">
              <a16:creationId xmlns:a16="http://schemas.microsoft.com/office/drawing/2014/main" id="{D2861350-9C59-40F2-BA18-6B631417328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47852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42" name="AutoShape 40" descr="Currently available antiretroviral drugs | Download Table">
          <a:extLst>
            <a:ext uri="{FF2B5EF4-FFF2-40B4-BE49-F238E27FC236}">
              <a16:creationId xmlns:a16="http://schemas.microsoft.com/office/drawing/2014/main" id="{8FB7EED1-8FDD-4465-AE11-3799064391C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47852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43" name="AutoShape 40" descr="Currently available antiretroviral drugs | Download Table">
          <a:extLst>
            <a:ext uri="{FF2B5EF4-FFF2-40B4-BE49-F238E27FC236}">
              <a16:creationId xmlns:a16="http://schemas.microsoft.com/office/drawing/2014/main" id="{3EAE71B3-9966-4D19-8CFE-FD6C96B9AE0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47852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44" name="AutoShape 40" descr="Currently available antiretroviral drugs | Download Table">
          <a:extLst>
            <a:ext uri="{FF2B5EF4-FFF2-40B4-BE49-F238E27FC236}">
              <a16:creationId xmlns:a16="http://schemas.microsoft.com/office/drawing/2014/main" id="{7430B3B3-E38C-4877-9BFA-BE0FD282FD4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29923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45" name="AutoShape 40" descr="Currently available antiretroviral drugs | Download Table">
          <a:extLst>
            <a:ext uri="{FF2B5EF4-FFF2-40B4-BE49-F238E27FC236}">
              <a16:creationId xmlns:a16="http://schemas.microsoft.com/office/drawing/2014/main" id="{0DE4EE97-69E7-49FD-A2A3-E00DD8C5D8F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29923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46" name="AutoShape 40" descr="Currently available antiretroviral drugs | Download Table">
          <a:extLst>
            <a:ext uri="{FF2B5EF4-FFF2-40B4-BE49-F238E27FC236}">
              <a16:creationId xmlns:a16="http://schemas.microsoft.com/office/drawing/2014/main" id="{470A2B82-C36C-4789-8817-C3B227E3976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29923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47" name="AutoShape 40" descr="Currently available antiretroviral drugs | Download Table">
          <a:extLst>
            <a:ext uri="{FF2B5EF4-FFF2-40B4-BE49-F238E27FC236}">
              <a16:creationId xmlns:a16="http://schemas.microsoft.com/office/drawing/2014/main" id="{DC9D4928-EAEA-4281-B553-C88A5D178FE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29923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48" name="AutoShape 40" descr="Currently available antiretroviral drugs | Download Table">
          <a:extLst>
            <a:ext uri="{FF2B5EF4-FFF2-40B4-BE49-F238E27FC236}">
              <a16:creationId xmlns:a16="http://schemas.microsoft.com/office/drawing/2014/main" id="{EBA34973-26FD-415F-A91F-9218E1A66C6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29923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49" name="AutoShape 40" descr="Currently available antiretroviral drugs | Download Table">
          <a:extLst>
            <a:ext uri="{FF2B5EF4-FFF2-40B4-BE49-F238E27FC236}">
              <a16:creationId xmlns:a16="http://schemas.microsoft.com/office/drawing/2014/main" id="{20E9F3C6-4848-49A8-A4AD-730663F75AC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29923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50" name="AutoShape 40" descr="Currently available antiretroviral drugs | Download Table">
          <a:extLst>
            <a:ext uri="{FF2B5EF4-FFF2-40B4-BE49-F238E27FC236}">
              <a16:creationId xmlns:a16="http://schemas.microsoft.com/office/drawing/2014/main" id="{A5511B50-C689-44F0-A4D9-D3B1DD68CA6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29923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51" name="AutoShape 40" descr="Currently available antiretroviral drugs | Download Table">
          <a:extLst>
            <a:ext uri="{FF2B5EF4-FFF2-40B4-BE49-F238E27FC236}">
              <a16:creationId xmlns:a16="http://schemas.microsoft.com/office/drawing/2014/main" id="{DE379BD2-FED1-4AB1-999F-D0A05E90437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29923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52" name="AutoShape 40" descr="Currently available antiretroviral drugs | Download Table">
          <a:extLst>
            <a:ext uri="{FF2B5EF4-FFF2-40B4-BE49-F238E27FC236}">
              <a16:creationId xmlns:a16="http://schemas.microsoft.com/office/drawing/2014/main" id="{1837F382-A1BC-44E9-B2B2-8C0989C8426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29923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53" name="AutoShape 40" descr="Currently available antiretroviral drugs | Download Table">
          <a:extLst>
            <a:ext uri="{FF2B5EF4-FFF2-40B4-BE49-F238E27FC236}">
              <a16:creationId xmlns:a16="http://schemas.microsoft.com/office/drawing/2014/main" id="{AE513652-7F04-4A65-8586-3D2CF9FC75E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29923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54" name="AutoShape 40" descr="Currently available antiretroviral drugs | Download Table">
          <a:extLst>
            <a:ext uri="{FF2B5EF4-FFF2-40B4-BE49-F238E27FC236}">
              <a16:creationId xmlns:a16="http://schemas.microsoft.com/office/drawing/2014/main" id="{8AFC659C-9988-4478-AA30-D1F5469411D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29923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55" name="AutoShape 40" descr="Currently available antiretroviral drugs | Download Table">
          <a:extLst>
            <a:ext uri="{FF2B5EF4-FFF2-40B4-BE49-F238E27FC236}">
              <a16:creationId xmlns:a16="http://schemas.microsoft.com/office/drawing/2014/main" id="{F73C0FC0-E5CB-4198-A477-761388D4EF6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47852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56" name="AutoShape 40" descr="Currently available antiretroviral drugs | Download Table">
          <a:extLst>
            <a:ext uri="{FF2B5EF4-FFF2-40B4-BE49-F238E27FC236}">
              <a16:creationId xmlns:a16="http://schemas.microsoft.com/office/drawing/2014/main" id="{4631E9F9-26AA-4D53-A5BE-65598BF7970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29923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57" name="AutoShape 40" descr="Currently available antiretroviral drugs | Download Table">
          <a:extLst>
            <a:ext uri="{FF2B5EF4-FFF2-40B4-BE49-F238E27FC236}">
              <a16:creationId xmlns:a16="http://schemas.microsoft.com/office/drawing/2014/main" id="{5A9113E0-8711-4708-88D0-6A8B8B3E133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29923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58" name="AutoShape 40" descr="Currently available antiretroviral drugs | Download Table">
          <a:extLst>
            <a:ext uri="{FF2B5EF4-FFF2-40B4-BE49-F238E27FC236}">
              <a16:creationId xmlns:a16="http://schemas.microsoft.com/office/drawing/2014/main" id="{419BFDBF-ADCF-42D5-8FCD-F329081C3B2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47852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59" name="AutoShape 40" descr="Currently available antiretroviral drugs | Download Table">
          <a:extLst>
            <a:ext uri="{FF2B5EF4-FFF2-40B4-BE49-F238E27FC236}">
              <a16:creationId xmlns:a16="http://schemas.microsoft.com/office/drawing/2014/main" id="{ABBBFB71-8353-47BE-A004-A91A5E65CA8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47852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60" name="AutoShape 40" descr="Currently available antiretroviral drugs | Download Table">
          <a:extLst>
            <a:ext uri="{FF2B5EF4-FFF2-40B4-BE49-F238E27FC236}">
              <a16:creationId xmlns:a16="http://schemas.microsoft.com/office/drawing/2014/main" id="{1748CB6F-2A21-4BF0-9930-F2E08300866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47852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61" name="AutoShape 40" descr="Currently available antiretroviral drugs | Download Table">
          <a:extLst>
            <a:ext uri="{FF2B5EF4-FFF2-40B4-BE49-F238E27FC236}">
              <a16:creationId xmlns:a16="http://schemas.microsoft.com/office/drawing/2014/main" id="{B0A29CF5-A916-496F-8199-53FE95FAD00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47852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62" name="AutoShape 40" descr="Currently available antiretroviral drugs | Download Table">
          <a:extLst>
            <a:ext uri="{FF2B5EF4-FFF2-40B4-BE49-F238E27FC236}">
              <a16:creationId xmlns:a16="http://schemas.microsoft.com/office/drawing/2014/main" id="{6D8AFA44-D4B7-4AEB-A2D6-2285357CD34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47852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63" name="AutoShape 40" descr="Currently available antiretroviral drugs | Download Table">
          <a:extLst>
            <a:ext uri="{FF2B5EF4-FFF2-40B4-BE49-F238E27FC236}">
              <a16:creationId xmlns:a16="http://schemas.microsoft.com/office/drawing/2014/main" id="{F16D7B53-8C6E-4FF2-9910-8D4DD35CEA5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47852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64" name="AutoShape 40" descr="Currently available antiretroviral drugs | Download Table">
          <a:extLst>
            <a:ext uri="{FF2B5EF4-FFF2-40B4-BE49-F238E27FC236}">
              <a16:creationId xmlns:a16="http://schemas.microsoft.com/office/drawing/2014/main" id="{AC4A4747-ABA2-4282-B35A-58C55E4F69A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47852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65" name="AutoShape 40" descr="Currently available antiretroviral drugs | Download Table">
          <a:extLst>
            <a:ext uri="{FF2B5EF4-FFF2-40B4-BE49-F238E27FC236}">
              <a16:creationId xmlns:a16="http://schemas.microsoft.com/office/drawing/2014/main" id="{14DBA77A-34AE-483A-8387-0950DCA9409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47852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66" name="AutoShape 40" descr="Currently available antiretroviral drugs | Download Table">
          <a:extLst>
            <a:ext uri="{FF2B5EF4-FFF2-40B4-BE49-F238E27FC236}">
              <a16:creationId xmlns:a16="http://schemas.microsoft.com/office/drawing/2014/main" id="{44286E21-8E95-4F7A-83E3-56769BACA60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47852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67" name="AutoShape 40" descr="Currently available antiretroviral drugs | Download Table">
          <a:extLst>
            <a:ext uri="{FF2B5EF4-FFF2-40B4-BE49-F238E27FC236}">
              <a16:creationId xmlns:a16="http://schemas.microsoft.com/office/drawing/2014/main" id="{83866F7E-F247-49D2-BA01-543E9626577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47852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68" name="AutoShape 40" descr="Currently available antiretroviral drugs | Download Table">
          <a:extLst>
            <a:ext uri="{FF2B5EF4-FFF2-40B4-BE49-F238E27FC236}">
              <a16:creationId xmlns:a16="http://schemas.microsoft.com/office/drawing/2014/main" id="{B089D26A-3EDA-4826-8E03-86E6EB484E9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47852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69" name="AutoShape 40" descr="Currently available antiretroviral drugs | Download Table">
          <a:extLst>
            <a:ext uri="{FF2B5EF4-FFF2-40B4-BE49-F238E27FC236}">
              <a16:creationId xmlns:a16="http://schemas.microsoft.com/office/drawing/2014/main" id="{EC39A244-7A33-4F55-A1A2-C3DA0B741EC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47852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70" name="AutoShape 40" descr="Currently available antiretroviral drugs | Download Table">
          <a:extLst>
            <a:ext uri="{FF2B5EF4-FFF2-40B4-BE49-F238E27FC236}">
              <a16:creationId xmlns:a16="http://schemas.microsoft.com/office/drawing/2014/main" id="{2BDE7F21-DE37-4D47-AD89-7AEF61765B8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47852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71" name="AutoShape 40" descr="Currently available antiretroviral drugs | Download Table">
          <a:extLst>
            <a:ext uri="{FF2B5EF4-FFF2-40B4-BE49-F238E27FC236}">
              <a16:creationId xmlns:a16="http://schemas.microsoft.com/office/drawing/2014/main" id="{EEC58BE2-5699-4769-9649-EA05FF51B95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47852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72" name="AutoShape 40" descr="Currently available antiretroviral drugs | Download Table">
          <a:extLst>
            <a:ext uri="{FF2B5EF4-FFF2-40B4-BE49-F238E27FC236}">
              <a16:creationId xmlns:a16="http://schemas.microsoft.com/office/drawing/2014/main" id="{D939D144-6F1C-4CD3-A377-6324BAF30F8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47852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73" name="AutoShape 40" descr="Currently available antiretroviral drugs | Download Table">
          <a:extLst>
            <a:ext uri="{FF2B5EF4-FFF2-40B4-BE49-F238E27FC236}">
              <a16:creationId xmlns:a16="http://schemas.microsoft.com/office/drawing/2014/main" id="{9E008339-C978-4502-8555-CC3B905DB8B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47852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74" name="AutoShape 40" descr="Currently available antiretroviral drugs | Download Table">
          <a:extLst>
            <a:ext uri="{FF2B5EF4-FFF2-40B4-BE49-F238E27FC236}">
              <a16:creationId xmlns:a16="http://schemas.microsoft.com/office/drawing/2014/main" id="{55275D7B-59CA-4ADB-B035-2A226057140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47852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75" name="AutoShape 40" descr="Currently available antiretroviral drugs | Download Table">
          <a:extLst>
            <a:ext uri="{FF2B5EF4-FFF2-40B4-BE49-F238E27FC236}">
              <a16:creationId xmlns:a16="http://schemas.microsoft.com/office/drawing/2014/main" id="{794C8E77-D67D-47C6-B8A5-42CEE678334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47852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76" name="AutoShape 40" descr="Currently available antiretroviral drugs | Download Table">
          <a:extLst>
            <a:ext uri="{FF2B5EF4-FFF2-40B4-BE49-F238E27FC236}">
              <a16:creationId xmlns:a16="http://schemas.microsoft.com/office/drawing/2014/main" id="{9AC0B817-F009-437C-BCEB-EE98EB09E39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47852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77" name="AutoShape 40" descr="Currently available antiretroviral drugs | Download Table">
          <a:extLst>
            <a:ext uri="{FF2B5EF4-FFF2-40B4-BE49-F238E27FC236}">
              <a16:creationId xmlns:a16="http://schemas.microsoft.com/office/drawing/2014/main" id="{4876BD57-B259-482C-BAF7-E3803A15D35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47852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78" name="AutoShape 40" descr="Currently available antiretroviral drugs | Download Table">
          <a:extLst>
            <a:ext uri="{FF2B5EF4-FFF2-40B4-BE49-F238E27FC236}">
              <a16:creationId xmlns:a16="http://schemas.microsoft.com/office/drawing/2014/main" id="{39B822C3-525A-47DE-815C-3AA53EDCF09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47852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79" name="AutoShape 40" descr="Currently available antiretroviral drugs | Download Table">
          <a:extLst>
            <a:ext uri="{FF2B5EF4-FFF2-40B4-BE49-F238E27FC236}">
              <a16:creationId xmlns:a16="http://schemas.microsoft.com/office/drawing/2014/main" id="{5FEDC1B8-E260-4337-94A4-440557B1064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47852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80" name="AutoShape 40" descr="Currently available antiretroviral drugs | Download Table">
          <a:extLst>
            <a:ext uri="{FF2B5EF4-FFF2-40B4-BE49-F238E27FC236}">
              <a16:creationId xmlns:a16="http://schemas.microsoft.com/office/drawing/2014/main" id="{AB550D27-92C4-4162-8D8A-FDFD87E2835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47852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81" name="AutoShape 40" descr="Currently available antiretroviral drugs | Download Table">
          <a:extLst>
            <a:ext uri="{FF2B5EF4-FFF2-40B4-BE49-F238E27FC236}">
              <a16:creationId xmlns:a16="http://schemas.microsoft.com/office/drawing/2014/main" id="{7FAE970A-69B1-42F1-BA38-9018BB452C1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47852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82" name="AutoShape 40" descr="Currently available antiretroviral drugs | Download Table">
          <a:extLst>
            <a:ext uri="{FF2B5EF4-FFF2-40B4-BE49-F238E27FC236}">
              <a16:creationId xmlns:a16="http://schemas.microsoft.com/office/drawing/2014/main" id="{6B6D847F-8CA9-4C3B-A00C-A445C61F11A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47852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83" name="AutoShape 40" descr="Currently available antiretroviral drugs | Download Table">
          <a:extLst>
            <a:ext uri="{FF2B5EF4-FFF2-40B4-BE49-F238E27FC236}">
              <a16:creationId xmlns:a16="http://schemas.microsoft.com/office/drawing/2014/main" id="{38873816-D5D8-4453-B481-65CDB19DBC6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47852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84" name="AutoShape 40" descr="Currently available antiretroviral drugs | Download Table">
          <a:extLst>
            <a:ext uri="{FF2B5EF4-FFF2-40B4-BE49-F238E27FC236}">
              <a16:creationId xmlns:a16="http://schemas.microsoft.com/office/drawing/2014/main" id="{FD0BDC82-A75D-4700-82AB-3C44E62E239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47852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85" name="AutoShape 40" descr="Currently available antiretroviral drugs | Download Table">
          <a:extLst>
            <a:ext uri="{FF2B5EF4-FFF2-40B4-BE49-F238E27FC236}">
              <a16:creationId xmlns:a16="http://schemas.microsoft.com/office/drawing/2014/main" id="{E96DF5E1-8C0A-4424-8299-7798EDCDD8F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47852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86" name="AutoShape 40" descr="Currently available antiretroviral drugs | Download Table">
          <a:extLst>
            <a:ext uri="{FF2B5EF4-FFF2-40B4-BE49-F238E27FC236}">
              <a16:creationId xmlns:a16="http://schemas.microsoft.com/office/drawing/2014/main" id="{78BF56ED-AA4F-4C49-BA36-C201C3F115B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47852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87" name="AutoShape 40" descr="Currently available antiretroviral drugs | Download Table">
          <a:extLst>
            <a:ext uri="{FF2B5EF4-FFF2-40B4-BE49-F238E27FC236}">
              <a16:creationId xmlns:a16="http://schemas.microsoft.com/office/drawing/2014/main" id="{E4DAF284-5BC2-44CF-B745-404B9B9B230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47852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88" name="AutoShape 40" descr="Currently available antiretroviral drugs | Download Table">
          <a:extLst>
            <a:ext uri="{FF2B5EF4-FFF2-40B4-BE49-F238E27FC236}">
              <a16:creationId xmlns:a16="http://schemas.microsoft.com/office/drawing/2014/main" id="{59444764-4906-46CC-9303-6C842D8B7B5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47852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89" name="AutoShape 40" descr="Currently available antiretroviral drugs | Download Table">
          <a:extLst>
            <a:ext uri="{FF2B5EF4-FFF2-40B4-BE49-F238E27FC236}">
              <a16:creationId xmlns:a16="http://schemas.microsoft.com/office/drawing/2014/main" id="{9CBA2C85-19F3-4741-A714-17A4C08111E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47852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90" name="AutoShape 40" descr="Currently available antiretroviral drugs | Download Table">
          <a:extLst>
            <a:ext uri="{FF2B5EF4-FFF2-40B4-BE49-F238E27FC236}">
              <a16:creationId xmlns:a16="http://schemas.microsoft.com/office/drawing/2014/main" id="{41299A0D-36EF-4329-BB16-230ECA47916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65782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91" name="AutoShape 40" descr="Currently available antiretroviral drugs | Download Table">
          <a:extLst>
            <a:ext uri="{FF2B5EF4-FFF2-40B4-BE49-F238E27FC236}">
              <a16:creationId xmlns:a16="http://schemas.microsoft.com/office/drawing/2014/main" id="{3F7AC1AC-E3F2-4D73-8EAD-35A97BAA9FF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65782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92" name="AutoShape 40" descr="Currently available antiretroviral drugs | Download Table">
          <a:extLst>
            <a:ext uri="{FF2B5EF4-FFF2-40B4-BE49-F238E27FC236}">
              <a16:creationId xmlns:a16="http://schemas.microsoft.com/office/drawing/2014/main" id="{198E99B3-F0B1-4FFB-A3C8-9B535BBB32E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65782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93" name="AutoShape 40" descr="Currently available antiretroviral drugs | Download Table">
          <a:extLst>
            <a:ext uri="{FF2B5EF4-FFF2-40B4-BE49-F238E27FC236}">
              <a16:creationId xmlns:a16="http://schemas.microsoft.com/office/drawing/2014/main" id="{9B632454-C3E3-41FA-A506-29C65502D10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65782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94" name="AutoShape 40" descr="Currently available antiretroviral drugs | Download Table">
          <a:extLst>
            <a:ext uri="{FF2B5EF4-FFF2-40B4-BE49-F238E27FC236}">
              <a16:creationId xmlns:a16="http://schemas.microsoft.com/office/drawing/2014/main" id="{48D86F49-06E3-4A28-9083-EC1D665601D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65782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95" name="AutoShape 40" descr="Currently available antiretroviral drugs | Download Table">
          <a:extLst>
            <a:ext uri="{FF2B5EF4-FFF2-40B4-BE49-F238E27FC236}">
              <a16:creationId xmlns:a16="http://schemas.microsoft.com/office/drawing/2014/main" id="{9EFBAB96-EE6F-4BE1-9A68-81578A44697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65782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96" name="AutoShape 40" descr="Currently available antiretroviral drugs | Download Table">
          <a:extLst>
            <a:ext uri="{FF2B5EF4-FFF2-40B4-BE49-F238E27FC236}">
              <a16:creationId xmlns:a16="http://schemas.microsoft.com/office/drawing/2014/main" id="{EEDF2F15-EEE1-4B39-BAA7-184BDF0F14A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65782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97" name="AutoShape 40" descr="Currently available antiretroviral drugs | Download Table">
          <a:extLst>
            <a:ext uri="{FF2B5EF4-FFF2-40B4-BE49-F238E27FC236}">
              <a16:creationId xmlns:a16="http://schemas.microsoft.com/office/drawing/2014/main" id="{7DDCB524-2637-4A2B-A50D-142ADD8D4CB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65782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98" name="AutoShape 40" descr="Currently available antiretroviral drugs | Download Table">
          <a:extLst>
            <a:ext uri="{FF2B5EF4-FFF2-40B4-BE49-F238E27FC236}">
              <a16:creationId xmlns:a16="http://schemas.microsoft.com/office/drawing/2014/main" id="{1C31E55A-8D68-4C1E-9F5D-773364B3FE2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65782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499" name="AutoShape 40" descr="Currently available antiretroviral drugs | Download Table">
          <a:extLst>
            <a:ext uri="{FF2B5EF4-FFF2-40B4-BE49-F238E27FC236}">
              <a16:creationId xmlns:a16="http://schemas.microsoft.com/office/drawing/2014/main" id="{132D692A-C6E9-4AC0-BE32-18968234DA5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65782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00" name="AutoShape 40" descr="Currently available antiretroviral drugs | Download Table">
          <a:extLst>
            <a:ext uri="{FF2B5EF4-FFF2-40B4-BE49-F238E27FC236}">
              <a16:creationId xmlns:a16="http://schemas.microsoft.com/office/drawing/2014/main" id="{3D494D54-909A-46A1-804F-D14A66889A4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65782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01" name="AutoShape 40" descr="Currently available antiretroviral drugs | Download Table">
          <a:extLst>
            <a:ext uri="{FF2B5EF4-FFF2-40B4-BE49-F238E27FC236}">
              <a16:creationId xmlns:a16="http://schemas.microsoft.com/office/drawing/2014/main" id="{630B6D28-5533-4AC4-B987-5A51BAEA750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65782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02" name="AutoShape 40" descr="Currently available antiretroviral drugs | Download Table">
          <a:extLst>
            <a:ext uri="{FF2B5EF4-FFF2-40B4-BE49-F238E27FC236}">
              <a16:creationId xmlns:a16="http://schemas.microsoft.com/office/drawing/2014/main" id="{469F98A6-1B88-4829-A7FA-689D9427616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65782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03" name="AutoShape 40" descr="Currently available antiretroviral drugs | Download Table">
          <a:extLst>
            <a:ext uri="{FF2B5EF4-FFF2-40B4-BE49-F238E27FC236}">
              <a16:creationId xmlns:a16="http://schemas.microsoft.com/office/drawing/2014/main" id="{75F73CCF-C334-4326-8A3E-F699BB98B26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47852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04" name="AutoShape 40" descr="Currently available antiretroviral drugs | Download Table">
          <a:extLst>
            <a:ext uri="{FF2B5EF4-FFF2-40B4-BE49-F238E27FC236}">
              <a16:creationId xmlns:a16="http://schemas.microsoft.com/office/drawing/2014/main" id="{C7C6C0A4-246E-4BEC-AE15-817404B0ABA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47852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05" name="AutoShape 40" descr="Currently available antiretroviral drugs | Download Table">
          <a:extLst>
            <a:ext uri="{FF2B5EF4-FFF2-40B4-BE49-F238E27FC236}">
              <a16:creationId xmlns:a16="http://schemas.microsoft.com/office/drawing/2014/main" id="{57CC50F9-DD2C-4057-848F-A0EC8245DA6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47852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06" name="AutoShape 40" descr="Currently available antiretroviral drugs | Download Table">
          <a:extLst>
            <a:ext uri="{FF2B5EF4-FFF2-40B4-BE49-F238E27FC236}">
              <a16:creationId xmlns:a16="http://schemas.microsoft.com/office/drawing/2014/main" id="{EDD14CA2-688F-4A75-A04E-52541642001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47852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07" name="AutoShape 40" descr="Currently available antiretroviral drugs | Download Table">
          <a:extLst>
            <a:ext uri="{FF2B5EF4-FFF2-40B4-BE49-F238E27FC236}">
              <a16:creationId xmlns:a16="http://schemas.microsoft.com/office/drawing/2014/main" id="{DCDD1DCE-1C2E-4FA4-81CD-0281F6F3234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47852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08" name="AutoShape 40" descr="Currently available antiretroviral drugs | Download Table">
          <a:extLst>
            <a:ext uri="{FF2B5EF4-FFF2-40B4-BE49-F238E27FC236}">
              <a16:creationId xmlns:a16="http://schemas.microsoft.com/office/drawing/2014/main" id="{63E82F5B-1364-48A5-8D19-4E1622473A8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47852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09" name="AutoShape 40" descr="Currently available antiretroviral drugs | Download Table">
          <a:extLst>
            <a:ext uri="{FF2B5EF4-FFF2-40B4-BE49-F238E27FC236}">
              <a16:creationId xmlns:a16="http://schemas.microsoft.com/office/drawing/2014/main" id="{08B8E00A-A6D0-4628-AC53-B5573BF6217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47852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10" name="AutoShape 40" descr="Currently available antiretroviral drugs | Download Table">
          <a:extLst>
            <a:ext uri="{FF2B5EF4-FFF2-40B4-BE49-F238E27FC236}">
              <a16:creationId xmlns:a16="http://schemas.microsoft.com/office/drawing/2014/main" id="{3C01ADE2-B1F1-4963-B191-0EBA09020CA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47852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11" name="AutoShape 40" descr="Currently available antiretroviral drugs | Download Table">
          <a:extLst>
            <a:ext uri="{FF2B5EF4-FFF2-40B4-BE49-F238E27FC236}">
              <a16:creationId xmlns:a16="http://schemas.microsoft.com/office/drawing/2014/main" id="{E62B6C41-4669-4851-8213-89D09C45077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47852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12" name="AutoShape 40" descr="Currently available antiretroviral drugs | Download Table">
          <a:extLst>
            <a:ext uri="{FF2B5EF4-FFF2-40B4-BE49-F238E27FC236}">
              <a16:creationId xmlns:a16="http://schemas.microsoft.com/office/drawing/2014/main" id="{C8DDA2A3-112F-4DD8-9F20-6F84F0FB0B3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47852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13" name="AutoShape 40" descr="Currently available antiretroviral drugs | Download Table">
          <a:extLst>
            <a:ext uri="{FF2B5EF4-FFF2-40B4-BE49-F238E27FC236}">
              <a16:creationId xmlns:a16="http://schemas.microsoft.com/office/drawing/2014/main" id="{E50CEC13-F72C-4F7A-8072-50160B7A29C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47852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14" name="AutoShape 40" descr="Currently available antiretroviral drugs | Download Table">
          <a:extLst>
            <a:ext uri="{FF2B5EF4-FFF2-40B4-BE49-F238E27FC236}">
              <a16:creationId xmlns:a16="http://schemas.microsoft.com/office/drawing/2014/main" id="{F2AFA539-DE2C-475F-96FC-D343C890027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65782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15" name="AutoShape 40" descr="Currently available antiretroviral drugs | Download Table">
          <a:extLst>
            <a:ext uri="{FF2B5EF4-FFF2-40B4-BE49-F238E27FC236}">
              <a16:creationId xmlns:a16="http://schemas.microsoft.com/office/drawing/2014/main" id="{02D399F1-BF1C-472B-B326-93DEB5E71E9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47852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16" name="AutoShape 40" descr="Currently available antiretroviral drugs | Download Table">
          <a:extLst>
            <a:ext uri="{FF2B5EF4-FFF2-40B4-BE49-F238E27FC236}">
              <a16:creationId xmlns:a16="http://schemas.microsoft.com/office/drawing/2014/main" id="{F4DFE20B-6170-467B-9975-CC4BE69A75B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478529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17" name="AutoShape 40" descr="Currently available antiretroviral drugs | Download Table">
          <a:extLst>
            <a:ext uri="{FF2B5EF4-FFF2-40B4-BE49-F238E27FC236}">
              <a16:creationId xmlns:a16="http://schemas.microsoft.com/office/drawing/2014/main" id="{77848B40-EA18-410F-A6B0-A5BD6AB0679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65782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18" name="AutoShape 40" descr="Currently available antiretroviral drugs | Download Table">
          <a:extLst>
            <a:ext uri="{FF2B5EF4-FFF2-40B4-BE49-F238E27FC236}">
              <a16:creationId xmlns:a16="http://schemas.microsoft.com/office/drawing/2014/main" id="{FC213E58-708C-4E1F-86C3-3096F826106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65782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19" name="AutoShape 40" descr="Currently available antiretroviral drugs | Download Table">
          <a:extLst>
            <a:ext uri="{FF2B5EF4-FFF2-40B4-BE49-F238E27FC236}">
              <a16:creationId xmlns:a16="http://schemas.microsoft.com/office/drawing/2014/main" id="{F4B7F487-C34C-4F3C-AF0C-CDC1102D5D1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65782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20" name="AutoShape 40" descr="Currently available antiretroviral drugs | Download Table">
          <a:extLst>
            <a:ext uri="{FF2B5EF4-FFF2-40B4-BE49-F238E27FC236}">
              <a16:creationId xmlns:a16="http://schemas.microsoft.com/office/drawing/2014/main" id="{3C39F13C-DA1C-433A-8992-ACA37B70C9B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65782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21" name="AutoShape 40" descr="Currently available antiretroviral drugs | Download Table">
          <a:extLst>
            <a:ext uri="{FF2B5EF4-FFF2-40B4-BE49-F238E27FC236}">
              <a16:creationId xmlns:a16="http://schemas.microsoft.com/office/drawing/2014/main" id="{DA79C349-85DB-44BA-B2B4-73AB26718B9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65782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22" name="AutoShape 40" descr="Currently available antiretroviral drugs | Download Table">
          <a:extLst>
            <a:ext uri="{FF2B5EF4-FFF2-40B4-BE49-F238E27FC236}">
              <a16:creationId xmlns:a16="http://schemas.microsoft.com/office/drawing/2014/main" id="{3FC4939A-2FAE-48E1-A4F0-6DEE809FD4B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65782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23" name="AutoShape 40" descr="Currently available antiretroviral drugs | Download Table">
          <a:extLst>
            <a:ext uri="{FF2B5EF4-FFF2-40B4-BE49-F238E27FC236}">
              <a16:creationId xmlns:a16="http://schemas.microsoft.com/office/drawing/2014/main" id="{398B1AAE-2C79-46EF-B672-E5B56E89E57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65782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24" name="AutoShape 40" descr="Currently available antiretroviral drugs | Download Table">
          <a:extLst>
            <a:ext uri="{FF2B5EF4-FFF2-40B4-BE49-F238E27FC236}">
              <a16:creationId xmlns:a16="http://schemas.microsoft.com/office/drawing/2014/main" id="{6FA9DCE6-D389-439C-B885-24FD5879E33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65782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25" name="AutoShape 40" descr="Currently available antiretroviral drugs | Download Table">
          <a:extLst>
            <a:ext uri="{FF2B5EF4-FFF2-40B4-BE49-F238E27FC236}">
              <a16:creationId xmlns:a16="http://schemas.microsoft.com/office/drawing/2014/main" id="{0F392EA7-DF6B-489C-890B-D0889AA9DD8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65782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26" name="AutoShape 40" descr="Currently available antiretroviral drugs | Download Table">
          <a:extLst>
            <a:ext uri="{FF2B5EF4-FFF2-40B4-BE49-F238E27FC236}">
              <a16:creationId xmlns:a16="http://schemas.microsoft.com/office/drawing/2014/main" id="{AECBCFD4-0801-4221-83CC-3197D508647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65782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27" name="AutoShape 40" descr="Currently available antiretroviral drugs | Download Table">
          <a:extLst>
            <a:ext uri="{FF2B5EF4-FFF2-40B4-BE49-F238E27FC236}">
              <a16:creationId xmlns:a16="http://schemas.microsoft.com/office/drawing/2014/main" id="{57621268-B24A-4125-AA39-53076A349A9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65782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28" name="AutoShape 40" descr="Currently available antiretroviral drugs | Download Table">
          <a:extLst>
            <a:ext uri="{FF2B5EF4-FFF2-40B4-BE49-F238E27FC236}">
              <a16:creationId xmlns:a16="http://schemas.microsoft.com/office/drawing/2014/main" id="{9D533742-F106-43CA-9FC0-F42140BB496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65782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29" name="AutoShape 40" descr="Currently available antiretroviral drugs | Download Table">
          <a:extLst>
            <a:ext uri="{FF2B5EF4-FFF2-40B4-BE49-F238E27FC236}">
              <a16:creationId xmlns:a16="http://schemas.microsoft.com/office/drawing/2014/main" id="{D306C58C-D8EF-41E8-BA0B-7D0B2FA96FA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65782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30" name="AutoShape 40" descr="Currently available antiretroviral drugs | Download Table">
          <a:extLst>
            <a:ext uri="{FF2B5EF4-FFF2-40B4-BE49-F238E27FC236}">
              <a16:creationId xmlns:a16="http://schemas.microsoft.com/office/drawing/2014/main" id="{AD9FB36A-F8FE-4BE3-91B8-0DCC842C435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65782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31" name="AutoShape 40" descr="Currently available antiretroviral drugs | Download Table">
          <a:extLst>
            <a:ext uri="{FF2B5EF4-FFF2-40B4-BE49-F238E27FC236}">
              <a16:creationId xmlns:a16="http://schemas.microsoft.com/office/drawing/2014/main" id="{2DD04718-A73A-4A47-BEB2-CB1705E2F57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65782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32" name="AutoShape 40" descr="Currently available antiretroviral drugs | Download Table">
          <a:extLst>
            <a:ext uri="{FF2B5EF4-FFF2-40B4-BE49-F238E27FC236}">
              <a16:creationId xmlns:a16="http://schemas.microsoft.com/office/drawing/2014/main" id="{4B6B5CEC-E46A-447D-BFAC-4CFA6F2DA6D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65782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33" name="AutoShape 40" descr="Currently available antiretroviral drugs | Download Table">
          <a:extLst>
            <a:ext uri="{FF2B5EF4-FFF2-40B4-BE49-F238E27FC236}">
              <a16:creationId xmlns:a16="http://schemas.microsoft.com/office/drawing/2014/main" id="{3A10C851-515E-4A33-8F29-CB3DC63197F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65782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34" name="AutoShape 40" descr="Currently available antiretroviral drugs | Download Table">
          <a:extLst>
            <a:ext uri="{FF2B5EF4-FFF2-40B4-BE49-F238E27FC236}">
              <a16:creationId xmlns:a16="http://schemas.microsoft.com/office/drawing/2014/main" id="{FADD906D-6660-4015-A9FB-855655AA95B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65782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35" name="AutoShape 40" descr="Currently available antiretroviral drugs | Download Table">
          <a:extLst>
            <a:ext uri="{FF2B5EF4-FFF2-40B4-BE49-F238E27FC236}">
              <a16:creationId xmlns:a16="http://schemas.microsoft.com/office/drawing/2014/main" id="{8209D981-F817-439F-9B1D-8CBB78126C8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65782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36" name="AutoShape 40" descr="Currently available antiretroviral drugs | Download Table">
          <a:extLst>
            <a:ext uri="{FF2B5EF4-FFF2-40B4-BE49-F238E27FC236}">
              <a16:creationId xmlns:a16="http://schemas.microsoft.com/office/drawing/2014/main" id="{8B74277B-E300-4117-AC84-87CE5DE6FFE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65782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37" name="AutoShape 40" descr="Currently available antiretroviral drugs | Download Table">
          <a:extLst>
            <a:ext uri="{FF2B5EF4-FFF2-40B4-BE49-F238E27FC236}">
              <a16:creationId xmlns:a16="http://schemas.microsoft.com/office/drawing/2014/main" id="{7D1A2B47-E497-41BA-BC6A-94CFF28E18A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65782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38" name="AutoShape 40" descr="Currently available antiretroviral drugs | Download Table">
          <a:extLst>
            <a:ext uri="{FF2B5EF4-FFF2-40B4-BE49-F238E27FC236}">
              <a16:creationId xmlns:a16="http://schemas.microsoft.com/office/drawing/2014/main" id="{429A76C6-4DAC-4930-9C51-ED8103833A5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65782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39" name="AutoShape 40" descr="Currently available antiretroviral drugs | Download Table">
          <a:extLst>
            <a:ext uri="{FF2B5EF4-FFF2-40B4-BE49-F238E27FC236}">
              <a16:creationId xmlns:a16="http://schemas.microsoft.com/office/drawing/2014/main" id="{E4416569-2681-4AF6-85B0-54C3B727848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65782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40" name="AutoShape 40" descr="Currently available antiretroviral drugs | Download Table">
          <a:extLst>
            <a:ext uri="{FF2B5EF4-FFF2-40B4-BE49-F238E27FC236}">
              <a16:creationId xmlns:a16="http://schemas.microsoft.com/office/drawing/2014/main" id="{105CF731-ED23-47F4-8D74-9C73F37946D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65782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41" name="AutoShape 40" descr="Currently available antiretroviral drugs | Download Table">
          <a:extLst>
            <a:ext uri="{FF2B5EF4-FFF2-40B4-BE49-F238E27FC236}">
              <a16:creationId xmlns:a16="http://schemas.microsoft.com/office/drawing/2014/main" id="{DCA85975-A629-46BB-9892-935EC1B8B05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65782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42" name="AutoShape 40" descr="Currently available antiretroviral drugs | Download Table">
          <a:extLst>
            <a:ext uri="{FF2B5EF4-FFF2-40B4-BE49-F238E27FC236}">
              <a16:creationId xmlns:a16="http://schemas.microsoft.com/office/drawing/2014/main" id="{8D4A9FC9-59DC-40AB-A691-2B1B4FBD81B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65782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43" name="AutoShape 40" descr="Currently available antiretroviral drugs | Download Table">
          <a:extLst>
            <a:ext uri="{FF2B5EF4-FFF2-40B4-BE49-F238E27FC236}">
              <a16:creationId xmlns:a16="http://schemas.microsoft.com/office/drawing/2014/main" id="{B2221890-DBD7-421C-8FDE-7D19715D6FE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65782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44" name="AutoShape 40" descr="Currently available antiretroviral drugs | Download Table">
          <a:extLst>
            <a:ext uri="{FF2B5EF4-FFF2-40B4-BE49-F238E27FC236}">
              <a16:creationId xmlns:a16="http://schemas.microsoft.com/office/drawing/2014/main" id="{C9766E3B-BD87-4EC4-B583-98FF4E33ABE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65782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45" name="AutoShape 40" descr="Currently available antiretroviral drugs | Download Table">
          <a:extLst>
            <a:ext uri="{FF2B5EF4-FFF2-40B4-BE49-F238E27FC236}">
              <a16:creationId xmlns:a16="http://schemas.microsoft.com/office/drawing/2014/main" id="{678ED3DC-20DF-484B-9DC8-B1AF832B29F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65782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46" name="AutoShape 40" descr="Currently available antiretroviral drugs | Download Table">
          <a:extLst>
            <a:ext uri="{FF2B5EF4-FFF2-40B4-BE49-F238E27FC236}">
              <a16:creationId xmlns:a16="http://schemas.microsoft.com/office/drawing/2014/main" id="{05B4BE1D-3D1E-4725-B071-F79E51C4EC1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65782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47" name="AutoShape 40" descr="Currently available antiretroviral drugs | Download Table">
          <a:extLst>
            <a:ext uri="{FF2B5EF4-FFF2-40B4-BE49-F238E27FC236}">
              <a16:creationId xmlns:a16="http://schemas.microsoft.com/office/drawing/2014/main" id="{BEEDA68F-AAB2-4E4A-8B44-25242DFA4BF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65782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48" name="AutoShape 40" descr="Currently available antiretroviral drugs | Download Table">
          <a:extLst>
            <a:ext uri="{FF2B5EF4-FFF2-40B4-BE49-F238E27FC236}">
              <a16:creationId xmlns:a16="http://schemas.microsoft.com/office/drawing/2014/main" id="{87182330-0A33-43FA-B00C-9ABC25C6318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65782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49" name="AutoShape 40" descr="Currently available antiretroviral drugs | Download Table">
          <a:extLst>
            <a:ext uri="{FF2B5EF4-FFF2-40B4-BE49-F238E27FC236}">
              <a16:creationId xmlns:a16="http://schemas.microsoft.com/office/drawing/2014/main" id="{F8AA57FE-2B77-4C43-A9D1-CD1376D00F7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83711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50" name="AutoShape 40" descr="Currently available antiretroviral drugs | Download Table">
          <a:extLst>
            <a:ext uri="{FF2B5EF4-FFF2-40B4-BE49-F238E27FC236}">
              <a16:creationId xmlns:a16="http://schemas.microsoft.com/office/drawing/2014/main" id="{D211B116-B4F2-40AB-AA12-D317AB0886B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83711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51" name="AutoShape 40" descr="Currently available antiretroviral drugs | Download Table">
          <a:extLst>
            <a:ext uri="{FF2B5EF4-FFF2-40B4-BE49-F238E27FC236}">
              <a16:creationId xmlns:a16="http://schemas.microsoft.com/office/drawing/2014/main" id="{89ED8082-8A6A-4E73-9C2E-AEBCF9D6EA3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83711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52" name="AutoShape 40" descr="Currently available antiretroviral drugs | Download Table">
          <a:extLst>
            <a:ext uri="{FF2B5EF4-FFF2-40B4-BE49-F238E27FC236}">
              <a16:creationId xmlns:a16="http://schemas.microsoft.com/office/drawing/2014/main" id="{D617685A-D5E9-4A66-878B-E9FF650188C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83711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53" name="AutoShape 40" descr="Currently available antiretroviral drugs | Download Table">
          <a:extLst>
            <a:ext uri="{FF2B5EF4-FFF2-40B4-BE49-F238E27FC236}">
              <a16:creationId xmlns:a16="http://schemas.microsoft.com/office/drawing/2014/main" id="{E62C57A0-12B0-4DFF-958C-9808D218C9F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83711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54" name="AutoShape 40" descr="Currently available antiretroviral drugs | Download Table">
          <a:extLst>
            <a:ext uri="{FF2B5EF4-FFF2-40B4-BE49-F238E27FC236}">
              <a16:creationId xmlns:a16="http://schemas.microsoft.com/office/drawing/2014/main" id="{C4A9415C-F54B-43AA-B0DC-D259889F9F9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83711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55" name="AutoShape 40" descr="Currently available antiretroviral drugs | Download Table">
          <a:extLst>
            <a:ext uri="{FF2B5EF4-FFF2-40B4-BE49-F238E27FC236}">
              <a16:creationId xmlns:a16="http://schemas.microsoft.com/office/drawing/2014/main" id="{E700C6AE-C063-4B69-921C-3DFB6FEA514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83711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56" name="AutoShape 40" descr="Currently available antiretroviral drugs | Download Table">
          <a:extLst>
            <a:ext uri="{FF2B5EF4-FFF2-40B4-BE49-F238E27FC236}">
              <a16:creationId xmlns:a16="http://schemas.microsoft.com/office/drawing/2014/main" id="{0C4DC6CA-33F6-4535-ABBF-229529A83E0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83711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57" name="AutoShape 40" descr="Currently available antiretroviral drugs | Download Table">
          <a:extLst>
            <a:ext uri="{FF2B5EF4-FFF2-40B4-BE49-F238E27FC236}">
              <a16:creationId xmlns:a16="http://schemas.microsoft.com/office/drawing/2014/main" id="{CA29D258-76DA-44AC-9788-21C565C1524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83711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58" name="AutoShape 40" descr="Currently available antiretroviral drugs | Download Table">
          <a:extLst>
            <a:ext uri="{FF2B5EF4-FFF2-40B4-BE49-F238E27FC236}">
              <a16:creationId xmlns:a16="http://schemas.microsoft.com/office/drawing/2014/main" id="{FF32064E-D66D-4515-928E-87B736B8878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83711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59" name="AutoShape 40" descr="Currently available antiretroviral drugs | Download Table">
          <a:extLst>
            <a:ext uri="{FF2B5EF4-FFF2-40B4-BE49-F238E27FC236}">
              <a16:creationId xmlns:a16="http://schemas.microsoft.com/office/drawing/2014/main" id="{C9785EB2-D7B4-49C5-A7D5-D0B7EAE4968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83711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60" name="AutoShape 40" descr="Currently available antiretroviral drugs | Download Table">
          <a:extLst>
            <a:ext uri="{FF2B5EF4-FFF2-40B4-BE49-F238E27FC236}">
              <a16:creationId xmlns:a16="http://schemas.microsoft.com/office/drawing/2014/main" id="{D4B5319B-43C8-472C-A08F-B39A05FAB76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83711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61" name="AutoShape 40" descr="Currently available antiretroviral drugs | Download Table">
          <a:extLst>
            <a:ext uri="{FF2B5EF4-FFF2-40B4-BE49-F238E27FC236}">
              <a16:creationId xmlns:a16="http://schemas.microsoft.com/office/drawing/2014/main" id="{7B2C71CD-B972-4E29-B61F-240BBE73F45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83711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62" name="AutoShape 40" descr="Currently available antiretroviral drugs | Download Table">
          <a:extLst>
            <a:ext uri="{FF2B5EF4-FFF2-40B4-BE49-F238E27FC236}">
              <a16:creationId xmlns:a16="http://schemas.microsoft.com/office/drawing/2014/main" id="{E035373E-BB38-4161-868A-7C21B79548B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65782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63" name="AutoShape 40" descr="Currently available antiretroviral drugs | Download Table">
          <a:extLst>
            <a:ext uri="{FF2B5EF4-FFF2-40B4-BE49-F238E27FC236}">
              <a16:creationId xmlns:a16="http://schemas.microsoft.com/office/drawing/2014/main" id="{F1C2D551-0063-4341-B87A-2A66DCC6DB7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65782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64" name="AutoShape 40" descr="Currently available antiretroviral drugs | Download Table">
          <a:extLst>
            <a:ext uri="{FF2B5EF4-FFF2-40B4-BE49-F238E27FC236}">
              <a16:creationId xmlns:a16="http://schemas.microsoft.com/office/drawing/2014/main" id="{C3C1C63D-A937-4724-B918-198D7DA1C86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65782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65" name="AutoShape 40" descr="Currently available antiretroviral drugs | Download Table">
          <a:extLst>
            <a:ext uri="{FF2B5EF4-FFF2-40B4-BE49-F238E27FC236}">
              <a16:creationId xmlns:a16="http://schemas.microsoft.com/office/drawing/2014/main" id="{97BB2A13-42F4-4733-A99D-66E389495AB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65782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66" name="AutoShape 40" descr="Currently available antiretroviral drugs | Download Table">
          <a:extLst>
            <a:ext uri="{FF2B5EF4-FFF2-40B4-BE49-F238E27FC236}">
              <a16:creationId xmlns:a16="http://schemas.microsoft.com/office/drawing/2014/main" id="{E5316A2D-B1C3-468D-9912-01D81C8E9C5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65782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67" name="AutoShape 40" descr="Currently available antiretroviral drugs | Download Table">
          <a:extLst>
            <a:ext uri="{FF2B5EF4-FFF2-40B4-BE49-F238E27FC236}">
              <a16:creationId xmlns:a16="http://schemas.microsoft.com/office/drawing/2014/main" id="{515AEE44-C2A2-420D-847B-68CF1AC177F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65782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68" name="AutoShape 40" descr="Currently available antiretroviral drugs | Download Table">
          <a:extLst>
            <a:ext uri="{FF2B5EF4-FFF2-40B4-BE49-F238E27FC236}">
              <a16:creationId xmlns:a16="http://schemas.microsoft.com/office/drawing/2014/main" id="{DAA1FDEF-847F-410C-AD18-45C777A1B31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65782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69" name="AutoShape 40" descr="Currently available antiretroviral drugs | Download Table">
          <a:extLst>
            <a:ext uri="{FF2B5EF4-FFF2-40B4-BE49-F238E27FC236}">
              <a16:creationId xmlns:a16="http://schemas.microsoft.com/office/drawing/2014/main" id="{F8FE06DC-A27A-4D04-BBF0-EA35E414B62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65782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70" name="AutoShape 40" descr="Currently available antiretroviral drugs | Download Table">
          <a:extLst>
            <a:ext uri="{FF2B5EF4-FFF2-40B4-BE49-F238E27FC236}">
              <a16:creationId xmlns:a16="http://schemas.microsoft.com/office/drawing/2014/main" id="{F3837D5F-9448-42C2-A993-D579AF6F44A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65782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71" name="AutoShape 40" descr="Currently available antiretroviral drugs | Download Table">
          <a:extLst>
            <a:ext uri="{FF2B5EF4-FFF2-40B4-BE49-F238E27FC236}">
              <a16:creationId xmlns:a16="http://schemas.microsoft.com/office/drawing/2014/main" id="{300FC770-3B05-467D-89AF-BE58E340217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65782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72" name="AutoShape 40" descr="Currently available antiretroviral drugs | Download Table">
          <a:extLst>
            <a:ext uri="{FF2B5EF4-FFF2-40B4-BE49-F238E27FC236}">
              <a16:creationId xmlns:a16="http://schemas.microsoft.com/office/drawing/2014/main" id="{FB06C21F-6479-4DE9-B0BC-1F6BEEC6B73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65782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73" name="AutoShape 40" descr="Currently available antiretroviral drugs | Download Table">
          <a:extLst>
            <a:ext uri="{FF2B5EF4-FFF2-40B4-BE49-F238E27FC236}">
              <a16:creationId xmlns:a16="http://schemas.microsoft.com/office/drawing/2014/main" id="{D0BA3D59-98B5-464F-899B-AF8AF7D2524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83711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74" name="AutoShape 40" descr="Currently available antiretroviral drugs | Download Table">
          <a:extLst>
            <a:ext uri="{FF2B5EF4-FFF2-40B4-BE49-F238E27FC236}">
              <a16:creationId xmlns:a16="http://schemas.microsoft.com/office/drawing/2014/main" id="{66D810D2-F061-4EAD-A9A2-9F1FA1E8C74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65782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75" name="AutoShape 40" descr="Currently available antiretroviral drugs | Download Table">
          <a:extLst>
            <a:ext uri="{FF2B5EF4-FFF2-40B4-BE49-F238E27FC236}">
              <a16:creationId xmlns:a16="http://schemas.microsoft.com/office/drawing/2014/main" id="{82196AFB-F3C7-4E59-89D5-675CC50055C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65782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76" name="AutoShape 40" descr="Currently available antiretroviral drugs | Download Table">
          <a:extLst>
            <a:ext uri="{FF2B5EF4-FFF2-40B4-BE49-F238E27FC236}">
              <a16:creationId xmlns:a16="http://schemas.microsoft.com/office/drawing/2014/main" id="{154F13BF-0921-432F-B9C6-CD2FAABB07A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83711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77" name="AutoShape 40" descr="Currently available antiretroviral drugs | Download Table">
          <a:extLst>
            <a:ext uri="{FF2B5EF4-FFF2-40B4-BE49-F238E27FC236}">
              <a16:creationId xmlns:a16="http://schemas.microsoft.com/office/drawing/2014/main" id="{B9B6A064-8528-4C3E-8129-688D0A48518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83711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78" name="AutoShape 40" descr="Currently available antiretroviral drugs | Download Table">
          <a:extLst>
            <a:ext uri="{FF2B5EF4-FFF2-40B4-BE49-F238E27FC236}">
              <a16:creationId xmlns:a16="http://schemas.microsoft.com/office/drawing/2014/main" id="{902F6C5C-2ACA-4322-9A54-7BA5D3FFA12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83711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79" name="AutoShape 40" descr="Currently available antiretroviral drugs | Download Table">
          <a:extLst>
            <a:ext uri="{FF2B5EF4-FFF2-40B4-BE49-F238E27FC236}">
              <a16:creationId xmlns:a16="http://schemas.microsoft.com/office/drawing/2014/main" id="{A0EF8648-F53B-4C58-A3F3-872CD458023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83711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80" name="AutoShape 40" descr="Currently available antiretroviral drugs | Download Table">
          <a:extLst>
            <a:ext uri="{FF2B5EF4-FFF2-40B4-BE49-F238E27FC236}">
              <a16:creationId xmlns:a16="http://schemas.microsoft.com/office/drawing/2014/main" id="{12BB4D41-A68E-4FCF-84AD-FBBD60E2C81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83711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81" name="AutoShape 40" descr="Currently available antiretroviral drugs | Download Table">
          <a:extLst>
            <a:ext uri="{FF2B5EF4-FFF2-40B4-BE49-F238E27FC236}">
              <a16:creationId xmlns:a16="http://schemas.microsoft.com/office/drawing/2014/main" id="{AB5ECA45-2B90-4F72-A934-5AEE9B2D6BE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83711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82" name="AutoShape 40" descr="Currently available antiretroviral drugs | Download Table">
          <a:extLst>
            <a:ext uri="{FF2B5EF4-FFF2-40B4-BE49-F238E27FC236}">
              <a16:creationId xmlns:a16="http://schemas.microsoft.com/office/drawing/2014/main" id="{164DF29F-5F87-4CF4-98BE-8AE4B854899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83711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83" name="AutoShape 40" descr="Currently available antiretroviral drugs | Download Table">
          <a:extLst>
            <a:ext uri="{FF2B5EF4-FFF2-40B4-BE49-F238E27FC236}">
              <a16:creationId xmlns:a16="http://schemas.microsoft.com/office/drawing/2014/main" id="{01C841B9-BDF8-46FA-B853-D3F01D568A4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83711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84" name="AutoShape 40" descr="Currently available antiretroviral drugs | Download Table">
          <a:extLst>
            <a:ext uri="{FF2B5EF4-FFF2-40B4-BE49-F238E27FC236}">
              <a16:creationId xmlns:a16="http://schemas.microsoft.com/office/drawing/2014/main" id="{B8945C84-278B-4D28-AF87-7A18CACB0DF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83711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85" name="AutoShape 40" descr="Currently available antiretroviral drugs | Download Table">
          <a:extLst>
            <a:ext uri="{FF2B5EF4-FFF2-40B4-BE49-F238E27FC236}">
              <a16:creationId xmlns:a16="http://schemas.microsoft.com/office/drawing/2014/main" id="{9D313A66-52F0-4D58-8076-1E119EB5204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83711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86" name="AutoShape 40" descr="Currently available antiretroviral drugs | Download Table">
          <a:extLst>
            <a:ext uri="{FF2B5EF4-FFF2-40B4-BE49-F238E27FC236}">
              <a16:creationId xmlns:a16="http://schemas.microsoft.com/office/drawing/2014/main" id="{EF5652B5-0EED-4CED-B765-9730E153D70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83711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87" name="AutoShape 40" descr="Currently available antiretroviral drugs | Download Table">
          <a:extLst>
            <a:ext uri="{FF2B5EF4-FFF2-40B4-BE49-F238E27FC236}">
              <a16:creationId xmlns:a16="http://schemas.microsoft.com/office/drawing/2014/main" id="{9A9E22F9-67BF-4592-B9D7-5A86C2872EF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83711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88" name="AutoShape 40" descr="Currently available antiretroviral drugs | Download Table">
          <a:extLst>
            <a:ext uri="{FF2B5EF4-FFF2-40B4-BE49-F238E27FC236}">
              <a16:creationId xmlns:a16="http://schemas.microsoft.com/office/drawing/2014/main" id="{115185FB-2A36-4D2C-AD5E-9EB445B238F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83711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89" name="AutoShape 40" descr="Currently available antiretroviral drugs | Download Table">
          <a:extLst>
            <a:ext uri="{FF2B5EF4-FFF2-40B4-BE49-F238E27FC236}">
              <a16:creationId xmlns:a16="http://schemas.microsoft.com/office/drawing/2014/main" id="{3CE64153-061A-46BA-9870-70FDE0C2030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83711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90" name="AutoShape 40" descr="Currently available antiretroviral drugs | Download Table">
          <a:extLst>
            <a:ext uri="{FF2B5EF4-FFF2-40B4-BE49-F238E27FC236}">
              <a16:creationId xmlns:a16="http://schemas.microsoft.com/office/drawing/2014/main" id="{8B2D4C76-2737-4C3D-955F-4FB589297A5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83711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91" name="AutoShape 40" descr="Currently available antiretroviral drugs | Download Table">
          <a:extLst>
            <a:ext uri="{FF2B5EF4-FFF2-40B4-BE49-F238E27FC236}">
              <a16:creationId xmlns:a16="http://schemas.microsoft.com/office/drawing/2014/main" id="{93306E6E-FFDC-4437-A135-A5CD79573B9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83711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92" name="AutoShape 40" descr="Currently available antiretroviral drugs | Download Table">
          <a:extLst>
            <a:ext uri="{FF2B5EF4-FFF2-40B4-BE49-F238E27FC236}">
              <a16:creationId xmlns:a16="http://schemas.microsoft.com/office/drawing/2014/main" id="{8732B773-051E-4DD9-85C7-3EA11CC8D12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83711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93" name="AutoShape 40" descr="Currently available antiretroviral drugs | Download Table">
          <a:extLst>
            <a:ext uri="{FF2B5EF4-FFF2-40B4-BE49-F238E27FC236}">
              <a16:creationId xmlns:a16="http://schemas.microsoft.com/office/drawing/2014/main" id="{6350EB99-0D3E-4CC5-B700-2A821D721BE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83711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94" name="AutoShape 40" descr="Currently available antiretroviral drugs | Download Table">
          <a:extLst>
            <a:ext uri="{FF2B5EF4-FFF2-40B4-BE49-F238E27FC236}">
              <a16:creationId xmlns:a16="http://schemas.microsoft.com/office/drawing/2014/main" id="{DE308F98-50C8-431A-A337-6C8EB685382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83711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95" name="AutoShape 40" descr="Currently available antiretroviral drugs | Download Table">
          <a:extLst>
            <a:ext uri="{FF2B5EF4-FFF2-40B4-BE49-F238E27FC236}">
              <a16:creationId xmlns:a16="http://schemas.microsoft.com/office/drawing/2014/main" id="{C44DA903-A04F-4099-9B82-C59DBA9E9EB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83711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96" name="AutoShape 40" descr="Currently available antiretroviral drugs | Download Table">
          <a:extLst>
            <a:ext uri="{FF2B5EF4-FFF2-40B4-BE49-F238E27FC236}">
              <a16:creationId xmlns:a16="http://schemas.microsoft.com/office/drawing/2014/main" id="{CFF1A54B-84B1-4793-94BE-C8829B67B5D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83711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97" name="AutoShape 40" descr="Currently available antiretroviral drugs | Download Table">
          <a:extLst>
            <a:ext uri="{FF2B5EF4-FFF2-40B4-BE49-F238E27FC236}">
              <a16:creationId xmlns:a16="http://schemas.microsoft.com/office/drawing/2014/main" id="{15084E5F-D8FE-42EE-80F0-26C467D2E18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83711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98" name="AutoShape 40" descr="Currently available antiretroviral drugs | Download Table">
          <a:extLst>
            <a:ext uri="{FF2B5EF4-FFF2-40B4-BE49-F238E27FC236}">
              <a16:creationId xmlns:a16="http://schemas.microsoft.com/office/drawing/2014/main" id="{4647167A-3575-4A76-8386-5042457CF77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83711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599" name="AutoShape 40" descr="Currently available antiretroviral drugs | Download Table">
          <a:extLst>
            <a:ext uri="{FF2B5EF4-FFF2-40B4-BE49-F238E27FC236}">
              <a16:creationId xmlns:a16="http://schemas.microsoft.com/office/drawing/2014/main" id="{ACC0E296-E741-4D01-BCE6-F353F125EBB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83711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00" name="AutoShape 40" descr="Currently available antiretroviral drugs | Download Table">
          <a:extLst>
            <a:ext uri="{FF2B5EF4-FFF2-40B4-BE49-F238E27FC236}">
              <a16:creationId xmlns:a16="http://schemas.microsoft.com/office/drawing/2014/main" id="{6B5B90E8-F5CA-4426-AAFE-E84712FA485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83711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01" name="AutoShape 40" descr="Currently available antiretroviral drugs | Download Table">
          <a:extLst>
            <a:ext uri="{FF2B5EF4-FFF2-40B4-BE49-F238E27FC236}">
              <a16:creationId xmlns:a16="http://schemas.microsoft.com/office/drawing/2014/main" id="{67D6F1FC-1792-46F1-800C-DCF0A13107F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83711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02" name="AutoShape 40" descr="Currently available antiretroviral drugs | Download Table">
          <a:extLst>
            <a:ext uri="{FF2B5EF4-FFF2-40B4-BE49-F238E27FC236}">
              <a16:creationId xmlns:a16="http://schemas.microsoft.com/office/drawing/2014/main" id="{E344AE9D-F18C-4B2C-8483-FF14938D5EC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83711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03" name="AutoShape 40" descr="Currently available antiretroviral drugs | Download Table">
          <a:extLst>
            <a:ext uri="{FF2B5EF4-FFF2-40B4-BE49-F238E27FC236}">
              <a16:creationId xmlns:a16="http://schemas.microsoft.com/office/drawing/2014/main" id="{49AC747D-1BF5-442E-A6A2-97C2DE88FA2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83711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04" name="AutoShape 40" descr="Currently available antiretroviral drugs | Download Table">
          <a:extLst>
            <a:ext uri="{FF2B5EF4-FFF2-40B4-BE49-F238E27FC236}">
              <a16:creationId xmlns:a16="http://schemas.microsoft.com/office/drawing/2014/main" id="{2750F3D4-CCEB-4AA1-A15C-B94F11A6DED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83711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05" name="AutoShape 40" descr="Currently available antiretroviral drugs | Download Table">
          <a:extLst>
            <a:ext uri="{FF2B5EF4-FFF2-40B4-BE49-F238E27FC236}">
              <a16:creationId xmlns:a16="http://schemas.microsoft.com/office/drawing/2014/main" id="{4A4E71E2-DA2C-4954-8E3F-041DEF904A8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83711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06" name="AutoShape 40" descr="Currently available antiretroviral drugs | Download Table">
          <a:extLst>
            <a:ext uri="{FF2B5EF4-FFF2-40B4-BE49-F238E27FC236}">
              <a16:creationId xmlns:a16="http://schemas.microsoft.com/office/drawing/2014/main" id="{0B33F6A6-7AF7-4487-BF6A-2A16BFF78CE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83711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07" name="AutoShape 40" descr="Currently available antiretroviral drugs | Download Table">
          <a:extLst>
            <a:ext uri="{FF2B5EF4-FFF2-40B4-BE49-F238E27FC236}">
              <a16:creationId xmlns:a16="http://schemas.microsoft.com/office/drawing/2014/main" id="{2997028D-A116-44C9-AE12-D725652BF8C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83711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08" name="AutoShape 40" descr="Currently available antiretroviral drugs | Download Table">
          <a:extLst>
            <a:ext uri="{FF2B5EF4-FFF2-40B4-BE49-F238E27FC236}">
              <a16:creationId xmlns:a16="http://schemas.microsoft.com/office/drawing/2014/main" id="{DAECEDD6-EC5A-492C-9CBB-C53754DDEEF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0164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09" name="AutoShape 40" descr="Currently available antiretroviral drugs | Download Table">
          <a:extLst>
            <a:ext uri="{FF2B5EF4-FFF2-40B4-BE49-F238E27FC236}">
              <a16:creationId xmlns:a16="http://schemas.microsoft.com/office/drawing/2014/main" id="{AD4B5575-4C93-45E8-BF44-7ACD78E86DA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0164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10" name="AutoShape 40" descr="Currently available antiretroviral drugs | Download Table">
          <a:extLst>
            <a:ext uri="{FF2B5EF4-FFF2-40B4-BE49-F238E27FC236}">
              <a16:creationId xmlns:a16="http://schemas.microsoft.com/office/drawing/2014/main" id="{F13C3940-7E07-4A89-9A25-D1BBBACEB33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0164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11" name="AutoShape 40" descr="Currently available antiretroviral drugs | Download Table">
          <a:extLst>
            <a:ext uri="{FF2B5EF4-FFF2-40B4-BE49-F238E27FC236}">
              <a16:creationId xmlns:a16="http://schemas.microsoft.com/office/drawing/2014/main" id="{D905BACC-B72F-4A05-957F-5263F4A5E8D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0164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12" name="AutoShape 40" descr="Currently available antiretroviral drugs | Download Table">
          <a:extLst>
            <a:ext uri="{FF2B5EF4-FFF2-40B4-BE49-F238E27FC236}">
              <a16:creationId xmlns:a16="http://schemas.microsoft.com/office/drawing/2014/main" id="{4BA748D8-945D-40EC-8133-8D920035718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0164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13" name="AutoShape 40" descr="Currently available antiretroviral drugs | Download Table">
          <a:extLst>
            <a:ext uri="{FF2B5EF4-FFF2-40B4-BE49-F238E27FC236}">
              <a16:creationId xmlns:a16="http://schemas.microsoft.com/office/drawing/2014/main" id="{FD5E35B6-E618-4A0D-B8EF-D391950286D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0164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14" name="AutoShape 40" descr="Currently available antiretroviral drugs | Download Table">
          <a:extLst>
            <a:ext uri="{FF2B5EF4-FFF2-40B4-BE49-F238E27FC236}">
              <a16:creationId xmlns:a16="http://schemas.microsoft.com/office/drawing/2014/main" id="{EFA33CD5-4F5F-412B-A80B-C7C571D7943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0164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15" name="AutoShape 40" descr="Currently available antiretroviral drugs | Download Table">
          <a:extLst>
            <a:ext uri="{FF2B5EF4-FFF2-40B4-BE49-F238E27FC236}">
              <a16:creationId xmlns:a16="http://schemas.microsoft.com/office/drawing/2014/main" id="{D15ACFF9-DE3F-4C3E-AB93-CEE9DA00975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0164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16" name="AutoShape 40" descr="Currently available antiretroviral drugs | Download Table">
          <a:extLst>
            <a:ext uri="{FF2B5EF4-FFF2-40B4-BE49-F238E27FC236}">
              <a16:creationId xmlns:a16="http://schemas.microsoft.com/office/drawing/2014/main" id="{4557C05A-C40B-4AD3-98D8-D6A0C5C7751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0164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17" name="AutoShape 40" descr="Currently available antiretroviral drugs | Download Table">
          <a:extLst>
            <a:ext uri="{FF2B5EF4-FFF2-40B4-BE49-F238E27FC236}">
              <a16:creationId xmlns:a16="http://schemas.microsoft.com/office/drawing/2014/main" id="{852D0BBF-D4EE-4ECC-8E3A-47AC8184B39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0164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18" name="AutoShape 40" descr="Currently available antiretroviral drugs | Download Table">
          <a:extLst>
            <a:ext uri="{FF2B5EF4-FFF2-40B4-BE49-F238E27FC236}">
              <a16:creationId xmlns:a16="http://schemas.microsoft.com/office/drawing/2014/main" id="{0AD84ACF-026E-4E0C-B281-EEA45B80D43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0164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19" name="AutoShape 40" descr="Currently available antiretroviral drugs | Download Table">
          <a:extLst>
            <a:ext uri="{FF2B5EF4-FFF2-40B4-BE49-F238E27FC236}">
              <a16:creationId xmlns:a16="http://schemas.microsoft.com/office/drawing/2014/main" id="{6CE7A844-5575-4647-9695-6E48143FF20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0164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20" name="AutoShape 40" descr="Currently available antiretroviral drugs | Download Table">
          <a:extLst>
            <a:ext uri="{FF2B5EF4-FFF2-40B4-BE49-F238E27FC236}">
              <a16:creationId xmlns:a16="http://schemas.microsoft.com/office/drawing/2014/main" id="{DE0150A3-BBBF-4AEC-BFEF-1F1317B67CC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0164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21" name="AutoShape 40" descr="Currently available antiretroviral drugs | Download Table">
          <a:extLst>
            <a:ext uri="{FF2B5EF4-FFF2-40B4-BE49-F238E27FC236}">
              <a16:creationId xmlns:a16="http://schemas.microsoft.com/office/drawing/2014/main" id="{6ABF3F0C-00DC-4F7D-A72A-77BD010F350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83711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22" name="AutoShape 40" descr="Currently available antiretroviral drugs | Download Table">
          <a:extLst>
            <a:ext uri="{FF2B5EF4-FFF2-40B4-BE49-F238E27FC236}">
              <a16:creationId xmlns:a16="http://schemas.microsoft.com/office/drawing/2014/main" id="{B76EEA73-981A-49F3-82E1-898306807A9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83711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23" name="AutoShape 40" descr="Currently available antiretroviral drugs | Download Table">
          <a:extLst>
            <a:ext uri="{FF2B5EF4-FFF2-40B4-BE49-F238E27FC236}">
              <a16:creationId xmlns:a16="http://schemas.microsoft.com/office/drawing/2014/main" id="{7B94960E-0D32-4623-AA93-DE7AB1725C7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83711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24" name="AutoShape 40" descr="Currently available antiretroviral drugs | Download Table">
          <a:extLst>
            <a:ext uri="{FF2B5EF4-FFF2-40B4-BE49-F238E27FC236}">
              <a16:creationId xmlns:a16="http://schemas.microsoft.com/office/drawing/2014/main" id="{0B64DBE6-9131-4D6C-8893-117345B9CFD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83711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25" name="AutoShape 40" descr="Currently available antiretroviral drugs | Download Table">
          <a:extLst>
            <a:ext uri="{FF2B5EF4-FFF2-40B4-BE49-F238E27FC236}">
              <a16:creationId xmlns:a16="http://schemas.microsoft.com/office/drawing/2014/main" id="{15F32043-C5F4-45FE-A40C-FA324B5A02B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83711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26" name="AutoShape 40" descr="Currently available antiretroviral drugs | Download Table">
          <a:extLst>
            <a:ext uri="{FF2B5EF4-FFF2-40B4-BE49-F238E27FC236}">
              <a16:creationId xmlns:a16="http://schemas.microsoft.com/office/drawing/2014/main" id="{38CF7243-2135-4B37-8272-36D204448DB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83711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27" name="AutoShape 40" descr="Currently available antiretroviral drugs | Download Table">
          <a:extLst>
            <a:ext uri="{FF2B5EF4-FFF2-40B4-BE49-F238E27FC236}">
              <a16:creationId xmlns:a16="http://schemas.microsoft.com/office/drawing/2014/main" id="{4FEFC16C-4AB3-4A83-8658-ACD0EDAB2B2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83711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28" name="AutoShape 40" descr="Currently available antiretroviral drugs | Download Table">
          <a:extLst>
            <a:ext uri="{FF2B5EF4-FFF2-40B4-BE49-F238E27FC236}">
              <a16:creationId xmlns:a16="http://schemas.microsoft.com/office/drawing/2014/main" id="{1E11AEC7-15AF-4CE7-8FD4-04E8AD3DCA3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83711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29" name="AutoShape 40" descr="Currently available antiretroviral drugs | Download Table">
          <a:extLst>
            <a:ext uri="{FF2B5EF4-FFF2-40B4-BE49-F238E27FC236}">
              <a16:creationId xmlns:a16="http://schemas.microsoft.com/office/drawing/2014/main" id="{C91AD452-5CDD-4E1F-A347-67F801A1057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83711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30" name="AutoShape 40" descr="Currently available antiretroviral drugs | Download Table">
          <a:extLst>
            <a:ext uri="{FF2B5EF4-FFF2-40B4-BE49-F238E27FC236}">
              <a16:creationId xmlns:a16="http://schemas.microsoft.com/office/drawing/2014/main" id="{F0CD62D6-4C28-4C35-BCCD-10096C3E523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83711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31" name="AutoShape 40" descr="Currently available antiretroviral drugs | Download Table">
          <a:extLst>
            <a:ext uri="{FF2B5EF4-FFF2-40B4-BE49-F238E27FC236}">
              <a16:creationId xmlns:a16="http://schemas.microsoft.com/office/drawing/2014/main" id="{4EA391C9-8AE1-431A-A6E1-480CECE81F8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83711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32" name="AutoShape 40" descr="Currently available antiretroviral drugs | Download Table">
          <a:extLst>
            <a:ext uri="{FF2B5EF4-FFF2-40B4-BE49-F238E27FC236}">
              <a16:creationId xmlns:a16="http://schemas.microsoft.com/office/drawing/2014/main" id="{B9CD07A2-C2AF-47EF-93CF-94C0E628AC7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0164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33" name="AutoShape 40" descr="Currently available antiretroviral drugs | Download Table">
          <a:extLst>
            <a:ext uri="{FF2B5EF4-FFF2-40B4-BE49-F238E27FC236}">
              <a16:creationId xmlns:a16="http://schemas.microsoft.com/office/drawing/2014/main" id="{6A823E30-0BD4-42D5-BFB3-3500D54C08C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83711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34" name="AutoShape 40" descr="Currently available antiretroviral drugs | Download Table">
          <a:extLst>
            <a:ext uri="{FF2B5EF4-FFF2-40B4-BE49-F238E27FC236}">
              <a16:creationId xmlns:a16="http://schemas.microsoft.com/office/drawing/2014/main" id="{0DD5D40A-7560-459D-9E92-B2F96538352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283711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35" name="AutoShape 40" descr="Currently available antiretroviral drugs | Download Table">
          <a:extLst>
            <a:ext uri="{FF2B5EF4-FFF2-40B4-BE49-F238E27FC236}">
              <a16:creationId xmlns:a16="http://schemas.microsoft.com/office/drawing/2014/main" id="{39D9C102-8953-439B-BAE3-BC39C8659CD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0164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36" name="AutoShape 40" descr="Currently available antiretroviral drugs | Download Table">
          <a:extLst>
            <a:ext uri="{FF2B5EF4-FFF2-40B4-BE49-F238E27FC236}">
              <a16:creationId xmlns:a16="http://schemas.microsoft.com/office/drawing/2014/main" id="{204438A4-EC24-4885-BB2F-405B5E6AA74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0164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37" name="AutoShape 40" descr="Currently available antiretroviral drugs | Download Table">
          <a:extLst>
            <a:ext uri="{FF2B5EF4-FFF2-40B4-BE49-F238E27FC236}">
              <a16:creationId xmlns:a16="http://schemas.microsoft.com/office/drawing/2014/main" id="{48E3C027-195F-4DBC-A664-19EE11B6511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0164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38" name="AutoShape 40" descr="Currently available antiretroviral drugs | Download Table">
          <a:extLst>
            <a:ext uri="{FF2B5EF4-FFF2-40B4-BE49-F238E27FC236}">
              <a16:creationId xmlns:a16="http://schemas.microsoft.com/office/drawing/2014/main" id="{E147B8FC-E202-4953-A43D-44F9C46DCFC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0164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39" name="AutoShape 40" descr="Currently available antiretroviral drugs | Download Table">
          <a:extLst>
            <a:ext uri="{FF2B5EF4-FFF2-40B4-BE49-F238E27FC236}">
              <a16:creationId xmlns:a16="http://schemas.microsoft.com/office/drawing/2014/main" id="{C3FDE1FF-37A2-4D9B-B306-56EA21808EE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0164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40" name="AutoShape 40" descr="Currently available antiretroviral drugs | Download Table">
          <a:extLst>
            <a:ext uri="{FF2B5EF4-FFF2-40B4-BE49-F238E27FC236}">
              <a16:creationId xmlns:a16="http://schemas.microsoft.com/office/drawing/2014/main" id="{860193E0-3783-45A5-B87E-B3D234240B5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0164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41" name="AutoShape 40" descr="Currently available antiretroviral drugs | Download Table">
          <a:extLst>
            <a:ext uri="{FF2B5EF4-FFF2-40B4-BE49-F238E27FC236}">
              <a16:creationId xmlns:a16="http://schemas.microsoft.com/office/drawing/2014/main" id="{7A799855-E0B6-4763-BA8A-FAB9DA8B3C7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0164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42" name="AutoShape 40" descr="Currently available antiretroviral drugs | Download Table">
          <a:extLst>
            <a:ext uri="{FF2B5EF4-FFF2-40B4-BE49-F238E27FC236}">
              <a16:creationId xmlns:a16="http://schemas.microsoft.com/office/drawing/2014/main" id="{DD8ABFC6-205B-49B1-AC20-04781C8706D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0164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43" name="AutoShape 40" descr="Currently available antiretroviral drugs | Download Table">
          <a:extLst>
            <a:ext uri="{FF2B5EF4-FFF2-40B4-BE49-F238E27FC236}">
              <a16:creationId xmlns:a16="http://schemas.microsoft.com/office/drawing/2014/main" id="{AB715725-AE8E-4CB3-A018-C0F0403E002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0164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44" name="AutoShape 40" descr="Currently available antiretroviral drugs | Download Table">
          <a:extLst>
            <a:ext uri="{FF2B5EF4-FFF2-40B4-BE49-F238E27FC236}">
              <a16:creationId xmlns:a16="http://schemas.microsoft.com/office/drawing/2014/main" id="{439B442B-ED0D-4880-999B-E4344FAF26F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0164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45" name="AutoShape 40" descr="Currently available antiretroviral drugs | Download Table">
          <a:extLst>
            <a:ext uri="{FF2B5EF4-FFF2-40B4-BE49-F238E27FC236}">
              <a16:creationId xmlns:a16="http://schemas.microsoft.com/office/drawing/2014/main" id="{AE6D5668-66C9-45C3-8226-438F96C3B48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0164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46" name="AutoShape 40" descr="Currently available antiretroviral drugs | Download Table">
          <a:extLst>
            <a:ext uri="{FF2B5EF4-FFF2-40B4-BE49-F238E27FC236}">
              <a16:creationId xmlns:a16="http://schemas.microsoft.com/office/drawing/2014/main" id="{9EF5A8D7-77F2-46DE-ACCC-DE9CF7F1ECD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0164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47" name="AutoShape 40" descr="Currently available antiretroviral drugs | Download Table">
          <a:extLst>
            <a:ext uri="{FF2B5EF4-FFF2-40B4-BE49-F238E27FC236}">
              <a16:creationId xmlns:a16="http://schemas.microsoft.com/office/drawing/2014/main" id="{93C56E08-D45D-4F74-B38A-6F7AA65A7D0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0164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48" name="AutoShape 40" descr="Currently available antiretroviral drugs | Download Table">
          <a:extLst>
            <a:ext uri="{FF2B5EF4-FFF2-40B4-BE49-F238E27FC236}">
              <a16:creationId xmlns:a16="http://schemas.microsoft.com/office/drawing/2014/main" id="{B0A67382-59A2-4F2B-A0EF-6B10C344CB2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0164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49" name="AutoShape 40" descr="Currently available antiretroviral drugs | Download Table">
          <a:extLst>
            <a:ext uri="{FF2B5EF4-FFF2-40B4-BE49-F238E27FC236}">
              <a16:creationId xmlns:a16="http://schemas.microsoft.com/office/drawing/2014/main" id="{C939E935-3072-4174-9CD9-99376B6C394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0164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50" name="AutoShape 40" descr="Currently available antiretroviral drugs | Download Table">
          <a:extLst>
            <a:ext uri="{FF2B5EF4-FFF2-40B4-BE49-F238E27FC236}">
              <a16:creationId xmlns:a16="http://schemas.microsoft.com/office/drawing/2014/main" id="{F32F4F9D-8E0E-4E28-9EAD-62D71EBC137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0164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51" name="AutoShape 40" descr="Currently available antiretroviral drugs | Download Table">
          <a:extLst>
            <a:ext uri="{FF2B5EF4-FFF2-40B4-BE49-F238E27FC236}">
              <a16:creationId xmlns:a16="http://schemas.microsoft.com/office/drawing/2014/main" id="{3E49CD29-2029-4E16-BF96-63EC47762ED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0164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52" name="AutoShape 40" descr="Currently available antiretroviral drugs | Download Table">
          <a:extLst>
            <a:ext uri="{FF2B5EF4-FFF2-40B4-BE49-F238E27FC236}">
              <a16:creationId xmlns:a16="http://schemas.microsoft.com/office/drawing/2014/main" id="{359A8EBD-B458-45AB-8139-DE2F8134B93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0164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53" name="AutoShape 40" descr="Currently available antiretroviral drugs | Download Table">
          <a:extLst>
            <a:ext uri="{FF2B5EF4-FFF2-40B4-BE49-F238E27FC236}">
              <a16:creationId xmlns:a16="http://schemas.microsoft.com/office/drawing/2014/main" id="{4AC4F87D-A9E3-47B9-8162-AFB6873DE27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0164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54" name="AutoShape 40" descr="Currently available antiretroviral drugs | Download Table">
          <a:extLst>
            <a:ext uri="{FF2B5EF4-FFF2-40B4-BE49-F238E27FC236}">
              <a16:creationId xmlns:a16="http://schemas.microsoft.com/office/drawing/2014/main" id="{20AD6A7E-A66C-4D6E-B080-5C406160836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0164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55" name="AutoShape 40" descr="Currently available antiretroviral drugs | Download Table">
          <a:extLst>
            <a:ext uri="{FF2B5EF4-FFF2-40B4-BE49-F238E27FC236}">
              <a16:creationId xmlns:a16="http://schemas.microsoft.com/office/drawing/2014/main" id="{15CB4F28-1051-4DDC-83D9-DE2AEE26C0F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0164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56" name="AutoShape 40" descr="Currently available antiretroviral drugs | Download Table">
          <a:extLst>
            <a:ext uri="{FF2B5EF4-FFF2-40B4-BE49-F238E27FC236}">
              <a16:creationId xmlns:a16="http://schemas.microsoft.com/office/drawing/2014/main" id="{2EAD822A-FF2E-41C1-9B55-F2C4C3DB537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0164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57" name="AutoShape 40" descr="Currently available antiretroviral drugs | Download Table">
          <a:extLst>
            <a:ext uri="{FF2B5EF4-FFF2-40B4-BE49-F238E27FC236}">
              <a16:creationId xmlns:a16="http://schemas.microsoft.com/office/drawing/2014/main" id="{5A462A61-73CC-4314-96FD-49362A11E74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0164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58" name="AutoShape 40" descr="Currently available antiretroviral drugs | Download Table">
          <a:extLst>
            <a:ext uri="{FF2B5EF4-FFF2-40B4-BE49-F238E27FC236}">
              <a16:creationId xmlns:a16="http://schemas.microsoft.com/office/drawing/2014/main" id="{E978390C-E280-4107-A574-DDB9DC7CA7A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0164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59" name="AutoShape 40" descr="Currently available antiretroviral drugs | Download Table">
          <a:extLst>
            <a:ext uri="{FF2B5EF4-FFF2-40B4-BE49-F238E27FC236}">
              <a16:creationId xmlns:a16="http://schemas.microsoft.com/office/drawing/2014/main" id="{CDB22E23-E805-4038-9C57-D4E6FD61A3B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0164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60" name="AutoShape 40" descr="Currently available antiretroviral drugs | Download Table">
          <a:extLst>
            <a:ext uri="{FF2B5EF4-FFF2-40B4-BE49-F238E27FC236}">
              <a16:creationId xmlns:a16="http://schemas.microsoft.com/office/drawing/2014/main" id="{0F6119AC-16A8-4764-B7D9-6F7BB07C183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0164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61" name="AutoShape 40" descr="Currently available antiretroviral drugs | Download Table">
          <a:extLst>
            <a:ext uri="{FF2B5EF4-FFF2-40B4-BE49-F238E27FC236}">
              <a16:creationId xmlns:a16="http://schemas.microsoft.com/office/drawing/2014/main" id="{40338619-1AF9-4351-A938-80604255DDC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0164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62" name="AutoShape 40" descr="Currently available antiretroviral drugs | Download Table">
          <a:extLst>
            <a:ext uri="{FF2B5EF4-FFF2-40B4-BE49-F238E27FC236}">
              <a16:creationId xmlns:a16="http://schemas.microsoft.com/office/drawing/2014/main" id="{B3B7E201-2541-49BE-A5BA-55486EF2D75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0164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63" name="AutoShape 40" descr="Currently available antiretroviral drugs | Download Table">
          <a:extLst>
            <a:ext uri="{FF2B5EF4-FFF2-40B4-BE49-F238E27FC236}">
              <a16:creationId xmlns:a16="http://schemas.microsoft.com/office/drawing/2014/main" id="{68DA557F-6FAC-435E-AABE-0BF63624322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0164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64" name="AutoShape 40" descr="Currently available antiretroviral drugs | Download Table">
          <a:extLst>
            <a:ext uri="{FF2B5EF4-FFF2-40B4-BE49-F238E27FC236}">
              <a16:creationId xmlns:a16="http://schemas.microsoft.com/office/drawing/2014/main" id="{37524E56-06D6-434F-AAAB-F37ED62CDA6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0164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65" name="AutoShape 40" descr="Currently available antiretroviral drugs | Download Table">
          <a:extLst>
            <a:ext uri="{FF2B5EF4-FFF2-40B4-BE49-F238E27FC236}">
              <a16:creationId xmlns:a16="http://schemas.microsoft.com/office/drawing/2014/main" id="{C65D207F-E06D-4BED-BCE4-ACD527664E9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0164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66" name="AutoShape 40" descr="Currently available antiretroviral drugs | Download Table">
          <a:extLst>
            <a:ext uri="{FF2B5EF4-FFF2-40B4-BE49-F238E27FC236}">
              <a16:creationId xmlns:a16="http://schemas.microsoft.com/office/drawing/2014/main" id="{A58CE53C-0D68-4205-B78F-832B307B15D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0164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67" name="AutoShape 40" descr="Currently available antiretroviral drugs | Download Table">
          <a:extLst>
            <a:ext uri="{FF2B5EF4-FFF2-40B4-BE49-F238E27FC236}">
              <a16:creationId xmlns:a16="http://schemas.microsoft.com/office/drawing/2014/main" id="{4E1F4193-B114-4FB9-9D5A-A2D2343C453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195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68" name="AutoShape 40" descr="Currently available antiretroviral drugs | Download Table">
          <a:extLst>
            <a:ext uri="{FF2B5EF4-FFF2-40B4-BE49-F238E27FC236}">
              <a16:creationId xmlns:a16="http://schemas.microsoft.com/office/drawing/2014/main" id="{922CDABD-7226-4C1C-B187-D9B8FB8F16C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195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69" name="AutoShape 40" descr="Currently available antiretroviral drugs | Download Table">
          <a:extLst>
            <a:ext uri="{FF2B5EF4-FFF2-40B4-BE49-F238E27FC236}">
              <a16:creationId xmlns:a16="http://schemas.microsoft.com/office/drawing/2014/main" id="{EA5F6C46-0DDC-41CD-9260-DF59F162FDC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195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70" name="AutoShape 40" descr="Currently available antiretroviral drugs | Download Table">
          <a:extLst>
            <a:ext uri="{FF2B5EF4-FFF2-40B4-BE49-F238E27FC236}">
              <a16:creationId xmlns:a16="http://schemas.microsoft.com/office/drawing/2014/main" id="{6EF30CB5-064F-4115-A89D-62D564040EE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195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71" name="AutoShape 40" descr="Currently available antiretroviral drugs | Download Table">
          <a:extLst>
            <a:ext uri="{FF2B5EF4-FFF2-40B4-BE49-F238E27FC236}">
              <a16:creationId xmlns:a16="http://schemas.microsoft.com/office/drawing/2014/main" id="{6F9EFD5D-EB1C-4502-9E5A-8567DE15FE5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195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72" name="AutoShape 40" descr="Currently available antiretroviral drugs | Download Table">
          <a:extLst>
            <a:ext uri="{FF2B5EF4-FFF2-40B4-BE49-F238E27FC236}">
              <a16:creationId xmlns:a16="http://schemas.microsoft.com/office/drawing/2014/main" id="{A268D664-3175-4FBE-B168-25F8F908CF5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195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73" name="AutoShape 40" descr="Currently available antiretroviral drugs | Download Table">
          <a:extLst>
            <a:ext uri="{FF2B5EF4-FFF2-40B4-BE49-F238E27FC236}">
              <a16:creationId xmlns:a16="http://schemas.microsoft.com/office/drawing/2014/main" id="{2B4F58D7-CC59-4511-BB23-51F694D6891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195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74" name="AutoShape 40" descr="Currently available antiretroviral drugs | Download Table">
          <a:extLst>
            <a:ext uri="{FF2B5EF4-FFF2-40B4-BE49-F238E27FC236}">
              <a16:creationId xmlns:a16="http://schemas.microsoft.com/office/drawing/2014/main" id="{313D5382-29FD-440F-A839-EBBA46D9DD6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195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75" name="AutoShape 40" descr="Currently available antiretroviral drugs | Download Table">
          <a:extLst>
            <a:ext uri="{FF2B5EF4-FFF2-40B4-BE49-F238E27FC236}">
              <a16:creationId xmlns:a16="http://schemas.microsoft.com/office/drawing/2014/main" id="{878EA6EC-500C-4B54-900F-6A46A4D9BA6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195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76" name="AutoShape 40" descr="Currently available antiretroviral drugs | Download Table">
          <a:extLst>
            <a:ext uri="{FF2B5EF4-FFF2-40B4-BE49-F238E27FC236}">
              <a16:creationId xmlns:a16="http://schemas.microsoft.com/office/drawing/2014/main" id="{CC6E400F-99A9-458E-80FA-CBD398B441E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195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77" name="AutoShape 40" descr="Currently available antiretroviral drugs | Download Table">
          <a:extLst>
            <a:ext uri="{FF2B5EF4-FFF2-40B4-BE49-F238E27FC236}">
              <a16:creationId xmlns:a16="http://schemas.microsoft.com/office/drawing/2014/main" id="{725FB8F8-372B-49D1-948C-EB2206B6AEF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195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78" name="AutoShape 40" descr="Currently available antiretroviral drugs | Download Table">
          <a:extLst>
            <a:ext uri="{FF2B5EF4-FFF2-40B4-BE49-F238E27FC236}">
              <a16:creationId xmlns:a16="http://schemas.microsoft.com/office/drawing/2014/main" id="{22F76ECA-090C-4174-9544-4B6438D4D7A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195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79" name="AutoShape 40" descr="Currently available antiretroviral drugs | Download Table">
          <a:extLst>
            <a:ext uri="{FF2B5EF4-FFF2-40B4-BE49-F238E27FC236}">
              <a16:creationId xmlns:a16="http://schemas.microsoft.com/office/drawing/2014/main" id="{B04B2914-304C-4B5B-BA0A-EB020E8CD34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195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80" name="AutoShape 40" descr="Currently available antiretroviral drugs | Download Table">
          <a:extLst>
            <a:ext uri="{FF2B5EF4-FFF2-40B4-BE49-F238E27FC236}">
              <a16:creationId xmlns:a16="http://schemas.microsoft.com/office/drawing/2014/main" id="{5034502B-F12C-4047-A393-049EF01B631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0164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81" name="AutoShape 40" descr="Currently available antiretroviral drugs | Download Table">
          <a:extLst>
            <a:ext uri="{FF2B5EF4-FFF2-40B4-BE49-F238E27FC236}">
              <a16:creationId xmlns:a16="http://schemas.microsoft.com/office/drawing/2014/main" id="{4CFE1A67-ED26-4044-BE2D-A332FA24015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0164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82" name="AutoShape 40" descr="Currently available antiretroviral drugs | Download Table">
          <a:extLst>
            <a:ext uri="{FF2B5EF4-FFF2-40B4-BE49-F238E27FC236}">
              <a16:creationId xmlns:a16="http://schemas.microsoft.com/office/drawing/2014/main" id="{9D036586-50BD-4B45-B38D-75295DA7D2C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0164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83" name="AutoShape 40" descr="Currently available antiretroviral drugs | Download Table">
          <a:extLst>
            <a:ext uri="{FF2B5EF4-FFF2-40B4-BE49-F238E27FC236}">
              <a16:creationId xmlns:a16="http://schemas.microsoft.com/office/drawing/2014/main" id="{A5A9B1AA-CFEF-4707-B0F3-F7DF2D2BE6C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0164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84" name="AutoShape 40" descr="Currently available antiretroviral drugs | Download Table">
          <a:extLst>
            <a:ext uri="{FF2B5EF4-FFF2-40B4-BE49-F238E27FC236}">
              <a16:creationId xmlns:a16="http://schemas.microsoft.com/office/drawing/2014/main" id="{145FA198-1630-4D7A-BFB5-68145C5C0F9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0164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85" name="AutoShape 40" descr="Currently available antiretroviral drugs | Download Table">
          <a:extLst>
            <a:ext uri="{FF2B5EF4-FFF2-40B4-BE49-F238E27FC236}">
              <a16:creationId xmlns:a16="http://schemas.microsoft.com/office/drawing/2014/main" id="{7A04EBFC-6036-4029-BC55-3CF0A01820D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0164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86" name="AutoShape 40" descr="Currently available antiretroviral drugs | Download Table">
          <a:extLst>
            <a:ext uri="{FF2B5EF4-FFF2-40B4-BE49-F238E27FC236}">
              <a16:creationId xmlns:a16="http://schemas.microsoft.com/office/drawing/2014/main" id="{4985A40C-3C17-45BC-971C-C3156F377A5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0164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87" name="AutoShape 40" descr="Currently available antiretroviral drugs | Download Table">
          <a:extLst>
            <a:ext uri="{FF2B5EF4-FFF2-40B4-BE49-F238E27FC236}">
              <a16:creationId xmlns:a16="http://schemas.microsoft.com/office/drawing/2014/main" id="{9674AA99-8A2B-4529-B936-BCAE713494A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0164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88" name="AutoShape 40" descr="Currently available antiretroviral drugs | Download Table">
          <a:extLst>
            <a:ext uri="{FF2B5EF4-FFF2-40B4-BE49-F238E27FC236}">
              <a16:creationId xmlns:a16="http://schemas.microsoft.com/office/drawing/2014/main" id="{F55E8160-8E16-4ED5-B716-FE6FE1886CE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0164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89" name="AutoShape 40" descr="Currently available antiretroviral drugs | Download Table">
          <a:extLst>
            <a:ext uri="{FF2B5EF4-FFF2-40B4-BE49-F238E27FC236}">
              <a16:creationId xmlns:a16="http://schemas.microsoft.com/office/drawing/2014/main" id="{EE28EE57-0CA2-4246-82F7-DADE68C8CF4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0164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90" name="AutoShape 40" descr="Currently available antiretroviral drugs | Download Table">
          <a:extLst>
            <a:ext uri="{FF2B5EF4-FFF2-40B4-BE49-F238E27FC236}">
              <a16:creationId xmlns:a16="http://schemas.microsoft.com/office/drawing/2014/main" id="{777A5317-3416-44C2-B4AE-0A72AE7FBAD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0164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91" name="AutoShape 40" descr="Currently available antiretroviral drugs | Download Table">
          <a:extLst>
            <a:ext uri="{FF2B5EF4-FFF2-40B4-BE49-F238E27FC236}">
              <a16:creationId xmlns:a16="http://schemas.microsoft.com/office/drawing/2014/main" id="{3E716AA3-B9FF-433F-AD79-A5F573B5EAB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195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92" name="AutoShape 40" descr="Currently available antiretroviral drugs | Download Table">
          <a:extLst>
            <a:ext uri="{FF2B5EF4-FFF2-40B4-BE49-F238E27FC236}">
              <a16:creationId xmlns:a16="http://schemas.microsoft.com/office/drawing/2014/main" id="{CBD2D56C-00B6-4B2E-81A3-C229D6CE337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0164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93" name="AutoShape 40" descr="Currently available antiretroviral drugs | Download Table">
          <a:extLst>
            <a:ext uri="{FF2B5EF4-FFF2-40B4-BE49-F238E27FC236}">
              <a16:creationId xmlns:a16="http://schemas.microsoft.com/office/drawing/2014/main" id="{CCD62051-05C8-46C5-9253-0DBE8AC106E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01641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94" name="AutoShape 40" descr="Currently available antiretroviral drugs | Download Table">
          <a:extLst>
            <a:ext uri="{FF2B5EF4-FFF2-40B4-BE49-F238E27FC236}">
              <a16:creationId xmlns:a16="http://schemas.microsoft.com/office/drawing/2014/main" id="{3A712F60-5619-442B-99FE-317EC4EEEFE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195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95" name="AutoShape 40" descr="Currently available antiretroviral drugs | Download Table">
          <a:extLst>
            <a:ext uri="{FF2B5EF4-FFF2-40B4-BE49-F238E27FC236}">
              <a16:creationId xmlns:a16="http://schemas.microsoft.com/office/drawing/2014/main" id="{13269E97-4D06-4E5D-8A5C-F48C53D990D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195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96" name="AutoShape 40" descr="Currently available antiretroviral drugs | Download Table">
          <a:extLst>
            <a:ext uri="{FF2B5EF4-FFF2-40B4-BE49-F238E27FC236}">
              <a16:creationId xmlns:a16="http://schemas.microsoft.com/office/drawing/2014/main" id="{608DD300-5B7B-4183-B8D4-52C27A293DD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195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97" name="AutoShape 40" descr="Currently available antiretroviral drugs | Download Table">
          <a:extLst>
            <a:ext uri="{FF2B5EF4-FFF2-40B4-BE49-F238E27FC236}">
              <a16:creationId xmlns:a16="http://schemas.microsoft.com/office/drawing/2014/main" id="{30FE06C8-F7EA-43A0-A523-2EE133905FC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195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98" name="AutoShape 40" descr="Currently available antiretroviral drugs | Download Table">
          <a:extLst>
            <a:ext uri="{FF2B5EF4-FFF2-40B4-BE49-F238E27FC236}">
              <a16:creationId xmlns:a16="http://schemas.microsoft.com/office/drawing/2014/main" id="{492696B8-1027-43FF-BAC6-2A46CA452FD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195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699" name="AutoShape 40" descr="Currently available antiretroviral drugs | Download Table">
          <a:extLst>
            <a:ext uri="{FF2B5EF4-FFF2-40B4-BE49-F238E27FC236}">
              <a16:creationId xmlns:a16="http://schemas.microsoft.com/office/drawing/2014/main" id="{DC6E3FD2-93B9-48B2-B9E1-2FE72AD08B9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195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700" name="AutoShape 40" descr="Currently available antiretroviral drugs | Download Table">
          <a:extLst>
            <a:ext uri="{FF2B5EF4-FFF2-40B4-BE49-F238E27FC236}">
              <a16:creationId xmlns:a16="http://schemas.microsoft.com/office/drawing/2014/main" id="{49897AC2-5532-40A8-9CBE-139AF232EC2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195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701" name="AutoShape 40" descr="Currently available antiretroviral drugs | Download Table">
          <a:extLst>
            <a:ext uri="{FF2B5EF4-FFF2-40B4-BE49-F238E27FC236}">
              <a16:creationId xmlns:a16="http://schemas.microsoft.com/office/drawing/2014/main" id="{72AD2A59-FAAE-4367-9E8B-CD0975D6ACE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195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702" name="AutoShape 40" descr="Currently available antiretroviral drugs | Download Table">
          <a:extLst>
            <a:ext uri="{FF2B5EF4-FFF2-40B4-BE49-F238E27FC236}">
              <a16:creationId xmlns:a16="http://schemas.microsoft.com/office/drawing/2014/main" id="{08400343-52F0-4736-94BD-9280A2066A3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195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703" name="AutoShape 40" descr="Currently available antiretroviral drugs | Download Table">
          <a:extLst>
            <a:ext uri="{FF2B5EF4-FFF2-40B4-BE49-F238E27FC236}">
              <a16:creationId xmlns:a16="http://schemas.microsoft.com/office/drawing/2014/main" id="{4E06841F-175B-429D-89A6-DFDEA9E43E0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195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704" name="AutoShape 40" descr="Currently available antiretroviral drugs | Download Table">
          <a:extLst>
            <a:ext uri="{FF2B5EF4-FFF2-40B4-BE49-F238E27FC236}">
              <a16:creationId xmlns:a16="http://schemas.microsoft.com/office/drawing/2014/main" id="{38FA3DEB-EC6F-4565-AA4B-56BDF6D7AB6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195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705" name="AutoShape 40" descr="Currently available antiretroviral drugs | Download Table">
          <a:extLst>
            <a:ext uri="{FF2B5EF4-FFF2-40B4-BE49-F238E27FC236}">
              <a16:creationId xmlns:a16="http://schemas.microsoft.com/office/drawing/2014/main" id="{55EC8C87-4D95-4E85-B78C-97BF521DE36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195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706" name="AutoShape 40" descr="Currently available antiretroviral drugs | Download Table">
          <a:extLst>
            <a:ext uri="{FF2B5EF4-FFF2-40B4-BE49-F238E27FC236}">
              <a16:creationId xmlns:a16="http://schemas.microsoft.com/office/drawing/2014/main" id="{F590BF4E-4EE7-45B4-988D-1334EB435A5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195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707" name="AutoShape 40" descr="Currently available antiretroviral drugs | Download Table">
          <a:extLst>
            <a:ext uri="{FF2B5EF4-FFF2-40B4-BE49-F238E27FC236}">
              <a16:creationId xmlns:a16="http://schemas.microsoft.com/office/drawing/2014/main" id="{54FEC567-2C78-4C50-90A4-31723CADF06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195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708" name="AutoShape 40" descr="Currently available antiretroviral drugs | Download Table">
          <a:extLst>
            <a:ext uri="{FF2B5EF4-FFF2-40B4-BE49-F238E27FC236}">
              <a16:creationId xmlns:a16="http://schemas.microsoft.com/office/drawing/2014/main" id="{F28AE14F-C8BC-4368-9557-C5EA1957F92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195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709" name="AutoShape 40" descr="Currently available antiretroviral drugs | Download Table">
          <a:extLst>
            <a:ext uri="{FF2B5EF4-FFF2-40B4-BE49-F238E27FC236}">
              <a16:creationId xmlns:a16="http://schemas.microsoft.com/office/drawing/2014/main" id="{DB4D6019-8EEF-438D-B5FF-B15529F97BB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195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710" name="AutoShape 40" descr="Currently available antiretroviral drugs | Download Table">
          <a:extLst>
            <a:ext uri="{FF2B5EF4-FFF2-40B4-BE49-F238E27FC236}">
              <a16:creationId xmlns:a16="http://schemas.microsoft.com/office/drawing/2014/main" id="{749631AA-25C7-4CBE-B976-DFFF2C08C47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195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711" name="AutoShape 40" descr="Currently available antiretroviral drugs | Download Table">
          <a:extLst>
            <a:ext uri="{FF2B5EF4-FFF2-40B4-BE49-F238E27FC236}">
              <a16:creationId xmlns:a16="http://schemas.microsoft.com/office/drawing/2014/main" id="{F024C17D-EE9D-4556-B736-B393429FDEE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195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712" name="AutoShape 40" descr="Currently available antiretroviral drugs | Download Table">
          <a:extLst>
            <a:ext uri="{FF2B5EF4-FFF2-40B4-BE49-F238E27FC236}">
              <a16:creationId xmlns:a16="http://schemas.microsoft.com/office/drawing/2014/main" id="{AB57C42B-064A-4E15-8B45-979D4F7D9A2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195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713" name="AutoShape 40" descr="Currently available antiretroviral drugs | Download Table">
          <a:extLst>
            <a:ext uri="{FF2B5EF4-FFF2-40B4-BE49-F238E27FC236}">
              <a16:creationId xmlns:a16="http://schemas.microsoft.com/office/drawing/2014/main" id="{691CE2EF-3005-4C9A-9FCB-67BFDEED9C2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195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714" name="AutoShape 40" descr="Currently available antiretroviral drugs | Download Table">
          <a:extLst>
            <a:ext uri="{FF2B5EF4-FFF2-40B4-BE49-F238E27FC236}">
              <a16:creationId xmlns:a16="http://schemas.microsoft.com/office/drawing/2014/main" id="{A14AC4B6-73DC-418F-AB75-669B9E5ADAA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195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715" name="AutoShape 40" descr="Currently available antiretroviral drugs | Download Table">
          <a:extLst>
            <a:ext uri="{FF2B5EF4-FFF2-40B4-BE49-F238E27FC236}">
              <a16:creationId xmlns:a16="http://schemas.microsoft.com/office/drawing/2014/main" id="{9B8B5375-6A3E-4E40-9C51-8282B8F825C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195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716" name="AutoShape 40" descr="Currently available antiretroviral drugs | Download Table">
          <a:extLst>
            <a:ext uri="{FF2B5EF4-FFF2-40B4-BE49-F238E27FC236}">
              <a16:creationId xmlns:a16="http://schemas.microsoft.com/office/drawing/2014/main" id="{9A213126-2C29-4420-8618-C31E7545163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195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717" name="AutoShape 40" descr="Currently available antiretroviral drugs | Download Table">
          <a:extLst>
            <a:ext uri="{FF2B5EF4-FFF2-40B4-BE49-F238E27FC236}">
              <a16:creationId xmlns:a16="http://schemas.microsoft.com/office/drawing/2014/main" id="{5BE2DB47-F222-4806-8D59-603D145C7B4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195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718" name="AutoShape 40" descr="Currently available antiretroviral drugs | Download Table">
          <a:extLst>
            <a:ext uri="{FF2B5EF4-FFF2-40B4-BE49-F238E27FC236}">
              <a16:creationId xmlns:a16="http://schemas.microsoft.com/office/drawing/2014/main" id="{38159C9D-235F-43F3-B906-7752D62FCB4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195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719" name="AutoShape 40" descr="Currently available antiretroviral drugs | Download Table">
          <a:extLst>
            <a:ext uri="{FF2B5EF4-FFF2-40B4-BE49-F238E27FC236}">
              <a16:creationId xmlns:a16="http://schemas.microsoft.com/office/drawing/2014/main" id="{ABEF3957-EFC9-4BB9-AE26-596CFB5DF45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195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720" name="AutoShape 40" descr="Currently available antiretroviral drugs | Download Table">
          <a:extLst>
            <a:ext uri="{FF2B5EF4-FFF2-40B4-BE49-F238E27FC236}">
              <a16:creationId xmlns:a16="http://schemas.microsoft.com/office/drawing/2014/main" id="{0DEA98A6-8324-43D3-95BB-DB2B11D6979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195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721" name="AutoShape 40" descr="Currently available antiretroviral drugs | Download Table">
          <a:extLst>
            <a:ext uri="{FF2B5EF4-FFF2-40B4-BE49-F238E27FC236}">
              <a16:creationId xmlns:a16="http://schemas.microsoft.com/office/drawing/2014/main" id="{DD909EFF-8731-48BB-A2B7-35D53D2A2F0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195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722" name="AutoShape 40" descr="Currently available antiretroviral drugs | Download Table">
          <a:extLst>
            <a:ext uri="{FF2B5EF4-FFF2-40B4-BE49-F238E27FC236}">
              <a16:creationId xmlns:a16="http://schemas.microsoft.com/office/drawing/2014/main" id="{028BB05D-728C-4917-8D44-3E8FEDFF8EC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195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723" name="AutoShape 40" descr="Currently available antiretroviral drugs | Download Table">
          <a:extLst>
            <a:ext uri="{FF2B5EF4-FFF2-40B4-BE49-F238E27FC236}">
              <a16:creationId xmlns:a16="http://schemas.microsoft.com/office/drawing/2014/main" id="{DACF8968-FAAD-453D-857A-46468A60ABD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195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724" name="AutoShape 40" descr="Currently available antiretroviral drugs | Download Table">
          <a:extLst>
            <a:ext uri="{FF2B5EF4-FFF2-40B4-BE49-F238E27FC236}">
              <a16:creationId xmlns:a16="http://schemas.microsoft.com/office/drawing/2014/main" id="{02EEBA50-8794-4C35-BB07-D9F81922A25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195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725" name="AutoShape 40" descr="Currently available antiretroviral drugs | Download Table">
          <a:extLst>
            <a:ext uri="{FF2B5EF4-FFF2-40B4-BE49-F238E27FC236}">
              <a16:creationId xmlns:a16="http://schemas.microsoft.com/office/drawing/2014/main" id="{D807DDA3-368C-4A52-9C24-D913884935C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195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2364</xdr:row>
      <xdr:rowOff>0</xdr:rowOff>
    </xdr:from>
    <xdr:ext cx="304800" cy="318408"/>
    <xdr:sp macro="" textlink="">
      <xdr:nvSpPr>
        <xdr:cNvPr id="3726" name="AutoShape 40" descr="Currently available antiretroviral drugs | Download Table">
          <a:extLst>
            <a:ext uri="{FF2B5EF4-FFF2-40B4-BE49-F238E27FC236}">
              <a16:creationId xmlns:a16="http://schemas.microsoft.com/office/drawing/2014/main" id="{AE01E0E7-86AD-4249-815F-A992B7F81EB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375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2364</xdr:row>
      <xdr:rowOff>0</xdr:rowOff>
    </xdr:from>
    <xdr:ext cx="304800" cy="318408"/>
    <xdr:sp macro="" textlink="">
      <xdr:nvSpPr>
        <xdr:cNvPr id="3727" name="AutoShape 40" descr="Currently available antiretroviral drugs | Download Table">
          <a:extLst>
            <a:ext uri="{FF2B5EF4-FFF2-40B4-BE49-F238E27FC236}">
              <a16:creationId xmlns:a16="http://schemas.microsoft.com/office/drawing/2014/main" id="{CBBC2CE9-A552-4A89-8ACC-C7FCBBEEC26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375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2364</xdr:row>
      <xdr:rowOff>0</xdr:rowOff>
    </xdr:from>
    <xdr:ext cx="304800" cy="318408"/>
    <xdr:sp macro="" textlink="">
      <xdr:nvSpPr>
        <xdr:cNvPr id="3728" name="AutoShape 40" descr="Currently available antiretroviral drugs | Download Table">
          <a:extLst>
            <a:ext uri="{FF2B5EF4-FFF2-40B4-BE49-F238E27FC236}">
              <a16:creationId xmlns:a16="http://schemas.microsoft.com/office/drawing/2014/main" id="{65A1BF98-94E3-4638-A057-A44556A99BB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375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2364</xdr:row>
      <xdr:rowOff>0</xdr:rowOff>
    </xdr:from>
    <xdr:ext cx="304800" cy="318408"/>
    <xdr:sp macro="" textlink="">
      <xdr:nvSpPr>
        <xdr:cNvPr id="3729" name="AutoShape 40" descr="Currently available antiretroviral drugs | Download Table">
          <a:extLst>
            <a:ext uri="{FF2B5EF4-FFF2-40B4-BE49-F238E27FC236}">
              <a16:creationId xmlns:a16="http://schemas.microsoft.com/office/drawing/2014/main" id="{17AE620E-0B3F-44F8-8EC9-B5CBD306F59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375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2364</xdr:row>
      <xdr:rowOff>0</xdr:rowOff>
    </xdr:from>
    <xdr:ext cx="304800" cy="318408"/>
    <xdr:sp macro="" textlink="">
      <xdr:nvSpPr>
        <xdr:cNvPr id="3730" name="AutoShape 40" descr="Currently available antiretroviral drugs | Download Table">
          <a:extLst>
            <a:ext uri="{FF2B5EF4-FFF2-40B4-BE49-F238E27FC236}">
              <a16:creationId xmlns:a16="http://schemas.microsoft.com/office/drawing/2014/main" id="{0B8457AB-69C0-43ED-AD72-F7E61E29083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375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2364</xdr:row>
      <xdr:rowOff>0</xdr:rowOff>
    </xdr:from>
    <xdr:ext cx="304800" cy="318408"/>
    <xdr:sp macro="" textlink="">
      <xdr:nvSpPr>
        <xdr:cNvPr id="3731" name="AutoShape 40" descr="Currently available antiretroviral drugs | Download Table">
          <a:extLst>
            <a:ext uri="{FF2B5EF4-FFF2-40B4-BE49-F238E27FC236}">
              <a16:creationId xmlns:a16="http://schemas.microsoft.com/office/drawing/2014/main" id="{41D01B04-463F-46B1-B441-BA22456969F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375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2364</xdr:row>
      <xdr:rowOff>0</xdr:rowOff>
    </xdr:from>
    <xdr:ext cx="304800" cy="318408"/>
    <xdr:sp macro="" textlink="">
      <xdr:nvSpPr>
        <xdr:cNvPr id="3732" name="AutoShape 40" descr="Currently available antiretroviral drugs | Download Table">
          <a:extLst>
            <a:ext uri="{FF2B5EF4-FFF2-40B4-BE49-F238E27FC236}">
              <a16:creationId xmlns:a16="http://schemas.microsoft.com/office/drawing/2014/main" id="{867BF8CF-AF7C-4EE6-8D5C-A17DC5F9067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375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2364</xdr:row>
      <xdr:rowOff>0</xdr:rowOff>
    </xdr:from>
    <xdr:ext cx="304800" cy="318408"/>
    <xdr:sp macro="" textlink="">
      <xdr:nvSpPr>
        <xdr:cNvPr id="3733" name="AutoShape 40" descr="Currently available antiretroviral drugs | Download Table">
          <a:extLst>
            <a:ext uri="{FF2B5EF4-FFF2-40B4-BE49-F238E27FC236}">
              <a16:creationId xmlns:a16="http://schemas.microsoft.com/office/drawing/2014/main" id="{FFBA081B-EC3B-4E5E-AC3F-58FE64B8C3A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375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2364</xdr:row>
      <xdr:rowOff>0</xdr:rowOff>
    </xdr:from>
    <xdr:ext cx="304800" cy="318408"/>
    <xdr:sp macro="" textlink="">
      <xdr:nvSpPr>
        <xdr:cNvPr id="3734" name="AutoShape 40" descr="Currently available antiretroviral drugs | Download Table">
          <a:extLst>
            <a:ext uri="{FF2B5EF4-FFF2-40B4-BE49-F238E27FC236}">
              <a16:creationId xmlns:a16="http://schemas.microsoft.com/office/drawing/2014/main" id="{5156CE78-6D50-4C0C-A789-99820405B86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375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2364</xdr:row>
      <xdr:rowOff>0</xdr:rowOff>
    </xdr:from>
    <xdr:ext cx="304800" cy="318408"/>
    <xdr:sp macro="" textlink="">
      <xdr:nvSpPr>
        <xdr:cNvPr id="3735" name="AutoShape 40" descr="Currently available antiretroviral drugs | Download Table">
          <a:extLst>
            <a:ext uri="{FF2B5EF4-FFF2-40B4-BE49-F238E27FC236}">
              <a16:creationId xmlns:a16="http://schemas.microsoft.com/office/drawing/2014/main" id="{03C7C449-E714-41CB-B3B1-1EC780FDC36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375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2364</xdr:row>
      <xdr:rowOff>0</xdr:rowOff>
    </xdr:from>
    <xdr:ext cx="304800" cy="318408"/>
    <xdr:sp macro="" textlink="">
      <xdr:nvSpPr>
        <xdr:cNvPr id="3736" name="AutoShape 40" descr="Currently available antiretroviral drugs | Download Table">
          <a:extLst>
            <a:ext uri="{FF2B5EF4-FFF2-40B4-BE49-F238E27FC236}">
              <a16:creationId xmlns:a16="http://schemas.microsoft.com/office/drawing/2014/main" id="{60261B81-0514-4478-8C7B-1C7FAB2F71A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375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2364</xdr:row>
      <xdr:rowOff>0</xdr:rowOff>
    </xdr:from>
    <xdr:ext cx="304800" cy="318408"/>
    <xdr:sp macro="" textlink="">
      <xdr:nvSpPr>
        <xdr:cNvPr id="3737" name="AutoShape 40" descr="Currently available antiretroviral drugs | Download Table">
          <a:extLst>
            <a:ext uri="{FF2B5EF4-FFF2-40B4-BE49-F238E27FC236}">
              <a16:creationId xmlns:a16="http://schemas.microsoft.com/office/drawing/2014/main" id="{28A2A352-3BFF-429B-AB8A-DCA65817544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375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2364</xdr:row>
      <xdr:rowOff>0</xdr:rowOff>
    </xdr:from>
    <xdr:ext cx="304800" cy="318408"/>
    <xdr:sp macro="" textlink="">
      <xdr:nvSpPr>
        <xdr:cNvPr id="3738" name="AutoShape 40" descr="Currently available antiretroviral drugs | Download Table">
          <a:extLst>
            <a:ext uri="{FF2B5EF4-FFF2-40B4-BE49-F238E27FC236}">
              <a16:creationId xmlns:a16="http://schemas.microsoft.com/office/drawing/2014/main" id="{0CAD3CA8-DD11-4D7E-9528-75D95C5F3E0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375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739" name="AutoShape 40" descr="Currently available antiretroviral drugs | Download Table">
          <a:extLst>
            <a:ext uri="{FF2B5EF4-FFF2-40B4-BE49-F238E27FC236}">
              <a16:creationId xmlns:a16="http://schemas.microsoft.com/office/drawing/2014/main" id="{3B9512DB-A780-466D-8C65-CD1EE9FF281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195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740" name="AutoShape 40" descr="Currently available antiretroviral drugs | Download Table">
          <a:extLst>
            <a:ext uri="{FF2B5EF4-FFF2-40B4-BE49-F238E27FC236}">
              <a16:creationId xmlns:a16="http://schemas.microsoft.com/office/drawing/2014/main" id="{BF7CF3F9-30B5-4C40-A209-1B8A2F2B1CA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195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741" name="AutoShape 40" descr="Currently available antiretroviral drugs | Download Table">
          <a:extLst>
            <a:ext uri="{FF2B5EF4-FFF2-40B4-BE49-F238E27FC236}">
              <a16:creationId xmlns:a16="http://schemas.microsoft.com/office/drawing/2014/main" id="{EC81FB00-D56D-457C-8C35-B32952AE592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195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742" name="AutoShape 40" descr="Currently available antiretroviral drugs | Download Table">
          <a:extLst>
            <a:ext uri="{FF2B5EF4-FFF2-40B4-BE49-F238E27FC236}">
              <a16:creationId xmlns:a16="http://schemas.microsoft.com/office/drawing/2014/main" id="{06FB5F75-3986-4C21-BA83-838815F5307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195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743" name="AutoShape 40" descr="Currently available antiretroviral drugs | Download Table">
          <a:extLst>
            <a:ext uri="{FF2B5EF4-FFF2-40B4-BE49-F238E27FC236}">
              <a16:creationId xmlns:a16="http://schemas.microsoft.com/office/drawing/2014/main" id="{F9A8EF5E-1C28-41F2-BFB8-3BD4D94D3D3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195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744" name="AutoShape 40" descr="Currently available antiretroviral drugs | Download Table">
          <a:extLst>
            <a:ext uri="{FF2B5EF4-FFF2-40B4-BE49-F238E27FC236}">
              <a16:creationId xmlns:a16="http://schemas.microsoft.com/office/drawing/2014/main" id="{F6184B70-EDD4-40F1-B170-FA7C9340100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195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745" name="AutoShape 40" descr="Currently available antiretroviral drugs | Download Table">
          <a:extLst>
            <a:ext uri="{FF2B5EF4-FFF2-40B4-BE49-F238E27FC236}">
              <a16:creationId xmlns:a16="http://schemas.microsoft.com/office/drawing/2014/main" id="{F61D3B91-6296-4C50-B23B-B1E417B7208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195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746" name="AutoShape 40" descr="Currently available antiretroviral drugs | Download Table">
          <a:extLst>
            <a:ext uri="{FF2B5EF4-FFF2-40B4-BE49-F238E27FC236}">
              <a16:creationId xmlns:a16="http://schemas.microsoft.com/office/drawing/2014/main" id="{6987788A-CAA4-489B-9630-572688658F6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195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747" name="AutoShape 40" descr="Currently available antiretroviral drugs | Download Table">
          <a:extLst>
            <a:ext uri="{FF2B5EF4-FFF2-40B4-BE49-F238E27FC236}">
              <a16:creationId xmlns:a16="http://schemas.microsoft.com/office/drawing/2014/main" id="{9A40B454-DFA6-4922-94CB-DD587736C13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195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748" name="AutoShape 40" descr="Currently available antiretroviral drugs | Download Table">
          <a:extLst>
            <a:ext uri="{FF2B5EF4-FFF2-40B4-BE49-F238E27FC236}">
              <a16:creationId xmlns:a16="http://schemas.microsoft.com/office/drawing/2014/main" id="{CA9ABDA1-740C-4254-BA33-407425B485E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195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749" name="AutoShape 40" descr="Currently available antiretroviral drugs | Download Table">
          <a:extLst>
            <a:ext uri="{FF2B5EF4-FFF2-40B4-BE49-F238E27FC236}">
              <a16:creationId xmlns:a16="http://schemas.microsoft.com/office/drawing/2014/main" id="{8F2CE27C-1370-4554-856A-C6D52369261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195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2364</xdr:row>
      <xdr:rowOff>0</xdr:rowOff>
    </xdr:from>
    <xdr:ext cx="304800" cy="318408"/>
    <xdr:sp macro="" textlink="">
      <xdr:nvSpPr>
        <xdr:cNvPr id="3750" name="AutoShape 40" descr="Currently available antiretroviral drugs | Download Table">
          <a:extLst>
            <a:ext uri="{FF2B5EF4-FFF2-40B4-BE49-F238E27FC236}">
              <a16:creationId xmlns:a16="http://schemas.microsoft.com/office/drawing/2014/main" id="{B7912D1B-0BE7-44DE-931E-D708BE26DA5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375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751" name="AutoShape 40" descr="Currently available antiretroviral drugs | Download Table">
          <a:extLst>
            <a:ext uri="{FF2B5EF4-FFF2-40B4-BE49-F238E27FC236}">
              <a16:creationId xmlns:a16="http://schemas.microsoft.com/office/drawing/2014/main" id="{D4ABC488-1DA2-4E0B-AA74-EDB8868B21F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195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2363</xdr:row>
      <xdr:rowOff>0</xdr:rowOff>
    </xdr:from>
    <xdr:ext cx="304800" cy="318408"/>
    <xdr:sp macro="" textlink="">
      <xdr:nvSpPr>
        <xdr:cNvPr id="3752" name="AutoShape 40" descr="Currently available antiretroviral drugs | Download Table">
          <a:extLst>
            <a:ext uri="{FF2B5EF4-FFF2-40B4-BE49-F238E27FC236}">
              <a16:creationId xmlns:a16="http://schemas.microsoft.com/office/drawing/2014/main" id="{46488C97-2024-4D10-9165-B73DDD51E1E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19570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2364</xdr:row>
      <xdr:rowOff>0</xdr:rowOff>
    </xdr:from>
    <xdr:ext cx="304800" cy="318408"/>
    <xdr:sp macro="" textlink="">
      <xdr:nvSpPr>
        <xdr:cNvPr id="3753" name="AutoShape 40" descr="Currently available antiretroviral drugs | Download Table">
          <a:extLst>
            <a:ext uri="{FF2B5EF4-FFF2-40B4-BE49-F238E27FC236}">
              <a16:creationId xmlns:a16="http://schemas.microsoft.com/office/drawing/2014/main" id="{0213B22C-ACC2-4574-8F55-627257C5C1D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375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2364</xdr:row>
      <xdr:rowOff>0</xdr:rowOff>
    </xdr:from>
    <xdr:ext cx="304800" cy="318408"/>
    <xdr:sp macro="" textlink="">
      <xdr:nvSpPr>
        <xdr:cNvPr id="3754" name="AutoShape 40" descr="Currently available antiretroviral drugs | Download Table">
          <a:extLst>
            <a:ext uri="{FF2B5EF4-FFF2-40B4-BE49-F238E27FC236}">
              <a16:creationId xmlns:a16="http://schemas.microsoft.com/office/drawing/2014/main" id="{70B88736-7532-4545-8E69-78FDCC76552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375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2364</xdr:row>
      <xdr:rowOff>0</xdr:rowOff>
    </xdr:from>
    <xdr:ext cx="304800" cy="318408"/>
    <xdr:sp macro="" textlink="">
      <xdr:nvSpPr>
        <xdr:cNvPr id="3755" name="AutoShape 40" descr="Currently available antiretroviral drugs | Download Table">
          <a:extLst>
            <a:ext uri="{FF2B5EF4-FFF2-40B4-BE49-F238E27FC236}">
              <a16:creationId xmlns:a16="http://schemas.microsoft.com/office/drawing/2014/main" id="{FE2B5FEE-F0C5-4278-A93E-C44DDEAD152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375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2364</xdr:row>
      <xdr:rowOff>0</xdr:rowOff>
    </xdr:from>
    <xdr:ext cx="304800" cy="318408"/>
    <xdr:sp macro="" textlink="">
      <xdr:nvSpPr>
        <xdr:cNvPr id="3756" name="AutoShape 40" descr="Currently available antiretroviral drugs | Download Table">
          <a:extLst>
            <a:ext uri="{FF2B5EF4-FFF2-40B4-BE49-F238E27FC236}">
              <a16:creationId xmlns:a16="http://schemas.microsoft.com/office/drawing/2014/main" id="{1CE3EE16-0C75-486B-9F1F-766C856B3E8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375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2364</xdr:row>
      <xdr:rowOff>0</xdr:rowOff>
    </xdr:from>
    <xdr:ext cx="304800" cy="318408"/>
    <xdr:sp macro="" textlink="">
      <xdr:nvSpPr>
        <xdr:cNvPr id="3757" name="AutoShape 40" descr="Currently available antiretroviral drugs | Download Table">
          <a:extLst>
            <a:ext uri="{FF2B5EF4-FFF2-40B4-BE49-F238E27FC236}">
              <a16:creationId xmlns:a16="http://schemas.microsoft.com/office/drawing/2014/main" id="{D707F6E6-A948-4A92-B21D-E20F5F73DE1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375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2364</xdr:row>
      <xdr:rowOff>0</xdr:rowOff>
    </xdr:from>
    <xdr:ext cx="304800" cy="318408"/>
    <xdr:sp macro="" textlink="">
      <xdr:nvSpPr>
        <xdr:cNvPr id="3758" name="AutoShape 40" descr="Currently available antiretroviral drugs | Download Table">
          <a:extLst>
            <a:ext uri="{FF2B5EF4-FFF2-40B4-BE49-F238E27FC236}">
              <a16:creationId xmlns:a16="http://schemas.microsoft.com/office/drawing/2014/main" id="{7CDE8144-6E3C-4E3B-A566-772F76DB85A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375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2364</xdr:row>
      <xdr:rowOff>0</xdr:rowOff>
    </xdr:from>
    <xdr:ext cx="304800" cy="318408"/>
    <xdr:sp macro="" textlink="">
      <xdr:nvSpPr>
        <xdr:cNvPr id="3759" name="AutoShape 40" descr="Currently available antiretroviral drugs | Download Table">
          <a:extLst>
            <a:ext uri="{FF2B5EF4-FFF2-40B4-BE49-F238E27FC236}">
              <a16:creationId xmlns:a16="http://schemas.microsoft.com/office/drawing/2014/main" id="{EC147F2E-9540-45CB-855E-B06CD8585E2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375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2364</xdr:row>
      <xdr:rowOff>0</xdr:rowOff>
    </xdr:from>
    <xdr:ext cx="304800" cy="318408"/>
    <xdr:sp macro="" textlink="">
      <xdr:nvSpPr>
        <xdr:cNvPr id="3760" name="AutoShape 40" descr="Currently available antiretroviral drugs | Download Table">
          <a:extLst>
            <a:ext uri="{FF2B5EF4-FFF2-40B4-BE49-F238E27FC236}">
              <a16:creationId xmlns:a16="http://schemas.microsoft.com/office/drawing/2014/main" id="{6CC661AF-8D3A-44AA-9045-544B8BB4A62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375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2364</xdr:row>
      <xdr:rowOff>0</xdr:rowOff>
    </xdr:from>
    <xdr:ext cx="304800" cy="318408"/>
    <xdr:sp macro="" textlink="">
      <xdr:nvSpPr>
        <xdr:cNvPr id="3761" name="AutoShape 40" descr="Currently available antiretroviral drugs | Download Table">
          <a:extLst>
            <a:ext uri="{FF2B5EF4-FFF2-40B4-BE49-F238E27FC236}">
              <a16:creationId xmlns:a16="http://schemas.microsoft.com/office/drawing/2014/main" id="{23BACCA1-4723-45A6-BE0A-C88995BB55A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375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2364</xdr:row>
      <xdr:rowOff>0</xdr:rowOff>
    </xdr:from>
    <xdr:ext cx="304800" cy="318408"/>
    <xdr:sp macro="" textlink="">
      <xdr:nvSpPr>
        <xdr:cNvPr id="3762" name="AutoShape 40" descr="Currently available antiretroviral drugs | Download Table">
          <a:extLst>
            <a:ext uri="{FF2B5EF4-FFF2-40B4-BE49-F238E27FC236}">
              <a16:creationId xmlns:a16="http://schemas.microsoft.com/office/drawing/2014/main" id="{28CBDCB0-4089-4C05-BF64-C87FC013121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375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2364</xdr:row>
      <xdr:rowOff>0</xdr:rowOff>
    </xdr:from>
    <xdr:ext cx="304800" cy="318408"/>
    <xdr:sp macro="" textlink="">
      <xdr:nvSpPr>
        <xdr:cNvPr id="3763" name="AutoShape 40" descr="Currently available antiretroviral drugs | Download Table">
          <a:extLst>
            <a:ext uri="{FF2B5EF4-FFF2-40B4-BE49-F238E27FC236}">
              <a16:creationId xmlns:a16="http://schemas.microsoft.com/office/drawing/2014/main" id="{38545763-8A3B-4483-9FE7-B202A447C1D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375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2364</xdr:row>
      <xdr:rowOff>0</xdr:rowOff>
    </xdr:from>
    <xdr:ext cx="304800" cy="318408"/>
    <xdr:sp macro="" textlink="">
      <xdr:nvSpPr>
        <xdr:cNvPr id="3764" name="AutoShape 40" descr="Currently available antiretroviral drugs | Download Table">
          <a:extLst>
            <a:ext uri="{FF2B5EF4-FFF2-40B4-BE49-F238E27FC236}">
              <a16:creationId xmlns:a16="http://schemas.microsoft.com/office/drawing/2014/main" id="{95141ADA-4176-44EC-957D-0F493DF540D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375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2364</xdr:row>
      <xdr:rowOff>0</xdr:rowOff>
    </xdr:from>
    <xdr:ext cx="304800" cy="318408"/>
    <xdr:sp macro="" textlink="">
      <xdr:nvSpPr>
        <xdr:cNvPr id="3765" name="AutoShape 40" descr="Currently available antiretroviral drugs | Download Table">
          <a:extLst>
            <a:ext uri="{FF2B5EF4-FFF2-40B4-BE49-F238E27FC236}">
              <a16:creationId xmlns:a16="http://schemas.microsoft.com/office/drawing/2014/main" id="{E890986E-40B3-42FC-BBC4-088D5C98BC2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375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2364</xdr:row>
      <xdr:rowOff>0</xdr:rowOff>
    </xdr:from>
    <xdr:ext cx="304800" cy="318408"/>
    <xdr:sp macro="" textlink="">
      <xdr:nvSpPr>
        <xdr:cNvPr id="3766" name="AutoShape 40" descr="Currently available antiretroviral drugs | Download Table">
          <a:extLst>
            <a:ext uri="{FF2B5EF4-FFF2-40B4-BE49-F238E27FC236}">
              <a16:creationId xmlns:a16="http://schemas.microsoft.com/office/drawing/2014/main" id="{72766BDE-716A-44AD-A465-912180972C3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375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2364</xdr:row>
      <xdr:rowOff>0</xdr:rowOff>
    </xdr:from>
    <xdr:ext cx="304800" cy="318408"/>
    <xdr:sp macro="" textlink="">
      <xdr:nvSpPr>
        <xdr:cNvPr id="3767" name="AutoShape 40" descr="Currently available antiretroviral drugs | Download Table">
          <a:extLst>
            <a:ext uri="{FF2B5EF4-FFF2-40B4-BE49-F238E27FC236}">
              <a16:creationId xmlns:a16="http://schemas.microsoft.com/office/drawing/2014/main" id="{A100AA8E-A0B7-4275-8DA0-B0A13918738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375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2364</xdr:row>
      <xdr:rowOff>0</xdr:rowOff>
    </xdr:from>
    <xdr:ext cx="304800" cy="318408"/>
    <xdr:sp macro="" textlink="">
      <xdr:nvSpPr>
        <xdr:cNvPr id="3768" name="AutoShape 40" descr="Currently available antiretroviral drugs | Download Table">
          <a:extLst>
            <a:ext uri="{FF2B5EF4-FFF2-40B4-BE49-F238E27FC236}">
              <a16:creationId xmlns:a16="http://schemas.microsoft.com/office/drawing/2014/main" id="{8B391D51-17F0-47B2-B6E9-BAF23609B1C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375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2364</xdr:row>
      <xdr:rowOff>0</xdr:rowOff>
    </xdr:from>
    <xdr:ext cx="304800" cy="318408"/>
    <xdr:sp macro="" textlink="">
      <xdr:nvSpPr>
        <xdr:cNvPr id="3769" name="AutoShape 40" descr="Currently available antiretroviral drugs | Download Table">
          <a:extLst>
            <a:ext uri="{FF2B5EF4-FFF2-40B4-BE49-F238E27FC236}">
              <a16:creationId xmlns:a16="http://schemas.microsoft.com/office/drawing/2014/main" id="{3C2DE34F-CC5D-4D30-8770-5035BEFACE5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375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2364</xdr:row>
      <xdr:rowOff>0</xdr:rowOff>
    </xdr:from>
    <xdr:ext cx="304800" cy="318408"/>
    <xdr:sp macro="" textlink="">
      <xdr:nvSpPr>
        <xdr:cNvPr id="3770" name="AutoShape 40" descr="Currently available antiretroviral drugs | Download Table">
          <a:extLst>
            <a:ext uri="{FF2B5EF4-FFF2-40B4-BE49-F238E27FC236}">
              <a16:creationId xmlns:a16="http://schemas.microsoft.com/office/drawing/2014/main" id="{1C25DACA-C864-4301-B4AF-33CFCE2AB14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375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2364</xdr:row>
      <xdr:rowOff>0</xdr:rowOff>
    </xdr:from>
    <xdr:ext cx="304800" cy="318408"/>
    <xdr:sp macro="" textlink="">
      <xdr:nvSpPr>
        <xdr:cNvPr id="3771" name="AutoShape 40" descr="Currently available antiretroviral drugs | Download Table">
          <a:extLst>
            <a:ext uri="{FF2B5EF4-FFF2-40B4-BE49-F238E27FC236}">
              <a16:creationId xmlns:a16="http://schemas.microsoft.com/office/drawing/2014/main" id="{6EE79258-032D-48C7-98D8-DE87717E0F9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375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2364</xdr:row>
      <xdr:rowOff>0</xdr:rowOff>
    </xdr:from>
    <xdr:ext cx="304800" cy="318408"/>
    <xdr:sp macro="" textlink="">
      <xdr:nvSpPr>
        <xdr:cNvPr id="3772" name="AutoShape 40" descr="Currently available antiretroviral drugs | Download Table">
          <a:extLst>
            <a:ext uri="{FF2B5EF4-FFF2-40B4-BE49-F238E27FC236}">
              <a16:creationId xmlns:a16="http://schemas.microsoft.com/office/drawing/2014/main" id="{0BEA6A74-0E66-4FA0-B471-7028155A46F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375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2364</xdr:row>
      <xdr:rowOff>0</xdr:rowOff>
    </xdr:from>
    <xdr:ext cx="304800" cy="318408"/>
    <xdr:sp macro="" textlink="">
      <xdr:nvSpPr>
        <xdr:cNvPr id="3773" name="AutoShape 40" descr="Currently available antiretroviral drugs | Download Table">
          <a:extLst>
            <a:ext uri="{FF2B5EF4-FFF2-40B4-BE49-F238E27FC236}">
              <a16:creationId xmlns:a16="http://schemas.microsoft.com/office/drawing/2014/main" id="{6890500A-A8C1-4F4C-8915-D29C7DCFE96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375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2364</xdr:row>
      <xdr:rowOff>0</xdr:rowOff>
    </xdr:from>
    <xdr:ext cx="304800" cy="318408"/>
    <xdr:sp macro="" textlink="">
      <xdr:nvSpPr>
        <xdr:cNvPr id="3774" name="AutoShape 40" descr="Currently available antiretroviral drugs | Download Table">
          <a:extLst>
            <a:ext uri="{FF2B5EF4-FFF2-40B4-BE49-F238E27FC236}">
              <a16:creationId xmlns:a16="http://schemas.microsoft.com/office/drawing/2014/main" id="{24BC4F3B-4FFD-40D3-9EB1-FEE224813D1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375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2364</xdr:row>
      <xdr:rowOff>0</xdr:rowOff>
    </xdr:from>
    <xdr:ext cx="304800" cy="318408"/>
    <xdr:sp macro="" textlink="">
      <xdr:nvSpPr>
        <xdr:cNvPr id="3775" name="AutoShape 40" descr="Currently available antiretroviral drugs | Download Table">
          <a:extLst>
            <a:ext uri="{FF2B5EF4-FFF2-40B4-BE49-F238E27FC236}">
              <a16:creationId xmlns:a16="http://schemas.microsoft.com/office/drawing/2014/main" id="{20F0AC64-63FC-4D0B-80A0-191F995C8A4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375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2364</xdr:row>
      <xdr:rowOff>0</xdr:rowOff>
    </xdr:from>
    <xdr:ext cx="304800" cy="318408"/>
    <xdr:sp macro="" textlink="">
      <xdr:nvSpPr>
        <xdr:cNvPr id="3776" name="AutoShape 40" descr="Currently available antiretroviral drugs | Download Table">
          <a:extLst>
            <a:ext uri="{FF2B5EF4-FFF2-40B4-BE49-F238E27FC236}">
              <a16:creationId xmlns:a16="http://schemas.microsoft.com/office/drawing/2014/main" id="{A8275414-37DB-4F5D-8B70-9E0E7DC9709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375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2364</xdr:row>
      <xdr:rowOff>0</xdr:rowOff>
    </xdr:from>
    <xdr:ext cx="304800" cy="318408"/>
    <xdr:sp macro="" textlink="">
      <xdr:nvSpPr>
        <xdr:cNvPr id="3777" name="AutoShape 40" descr="Currently available antiretroviral drugs | Download Table">
          <a:extLst>
            <a:ext uri="{FF2B5EF4-FFF2-40B4-BE49-F238E27FC236}">
              <a16:creationId xmlns:a16="http://schemas.microsoft.com/office/drawing/2014/main" id="{7B6C8758-13A8-46A9-AEF9-2B93962C09F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375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2364</xdr:row>
      <xdr:rowOff>0</xdr:rowOff>
    </xdr:from>
    <xdr:ext cx="304800" cy="318408"/>
    <xdr:sp macro="" textlink="">
      <xdr:nvSpPr>
        <xdr:cNvPr id="3778" name="AutoShape 40" descr="Currently available antiretroviral drugs | Download Table">
          <a:extLst>
            <a:ext uri="{FF2B5EF4-FFF2-40B4-BE49-F238E27FC236}">
              <a16:creationId xmlns:a16="http://schemas.microsoft.com/office/drawing/2014/main" id="{DE37749E-2C64-4448-B1C4-F7F0C45AA61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375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2364</xdr:row>
      <xdr:rowOff>0</xdr:rowOff>
    </xdr:from>
    <xdr:ext cx="304800" cy="318408"/>
    <xdr:sp macro="" textlink="">
      <xdr:nvSpPr>
        <xdr:cNvPr id="3779" name="AutoShape 40" descr="Currently available antiretroviral drugs | Download Table">
          <a:extLst>
            <a:ext uri="{FF2B5EF4-FFF2-40B4-BE49-F238E27FC236}">
              <a16:creationId xmlns:a16="http://schemas.microsoft.com/office/drawing/2014/main" id="{091F00A3-393F-40CC-96AD-BBF57CE869D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375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2364</xdr:row>
      <xdr:rowOff>0</xdr:rowOff>
    </xdr:from>
    <xdr:ext cx="304800" cy="318408"/>
    <xdr:sp macro="" textlink="">
      <xdr:nvSpPr>
        <xdr:cNvPr id="3780" name="AutoShape 40" descr="Currently available antiretroviral drugs | Download Table">
          <a:extLst>
            <a:ext uri="{FF2B5EF4-FFF2-40B4-BE49-F238E27FC236}">
              <a16:creationId xmlns:a16="http://schemas.microsoft.com/office/drawing/2014/main" id="{13E2A0B0-FEB0-4D31-8F77-61DB1BA2678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375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2364</xdr:row>
      <xdr:rowOff>0</xdr:rowOff>
    </xdr:from>
    <xdr:ext cx="304800" cy="318408"/>
    <xdr:sp macro="" textlink="">
      <xdr:nvSpPr>
        <xdr:cNvPr id="3781" name="AutoShape 40" descr="Currently available antiretroviral drugs | Download Table">
          <a:extLst>
            <a:ext uri="{FF2B5EF4-FFF2-40B4-BE49-F238E27FC236}">
              <a16:creationId xmlns:a16="http://schemas.microsoft.com/office/drawing/2014/main" id="{3EFDCFD9-CCA4-46FF-B04C-211BB3EC538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375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2364</xdr:row>
      <xdr:rowOff>0</xdr:rowOff>
    </xdr:from>
    <xdr:ext cx="304800" cy="318408"/>
    <xdr:sp macro="" textlink="">
      <xdr:nvSpPr>
        <xdr:cNvPr id="3782" name="AutoShape 40" descr="Currently available antiretroviral drugs | Download Table">
          <a:extLst>
            <a:ext uri="{FF2B5EF4-FFF2-40B4-BE49-F238E27FC236}">
              <a16:creationId xmlns:a16="http://schemas.microsoft.com/office/drawing/2014/main" id="{DD3ACE7A-908B-4F5A-9FA9-7C387F880F2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375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2364</xdr:row>
      <xdr:rowOff>0</xdr:rowOff>
    </xdr:from>
    <xdr:ext cx="304800" cy="318408"/>
    <xdr:sp macro="" textlink="">
      <xdr:nvSpPr>
        <xdr:cNvPr id="3783" name="AutoShape 40" descr="Currently available antiretroviral drugs | Download Table">
          <a:extLst>
            <a:ext uri="{FF2B5EF4-FFF2-40B4-BE49-F238E27FC236}">
              <a16:creationId xmlns:a16="http://schemas.microsoft.com/office/drawing/2014/main" id="{1EEE659E-CD04-44A0-B2C1-C13C4961EAA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375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2364</xdr:row>
      <xdr:rowOff>0</xdr:rowOff>
    </xdr:from>
    <xdr:ext cx="304800" cy="318408"/>
    <xdr:sp macro="" textlink="">
      <xdr:nvSpPr>
        <xdr:cNvPr id="3784" name="AutoShape 40" descr="Currently available antiretroviral drugs | Download Table">
          <a:extLst>
            <a:ext uri="{FF2B5EF4-FFF2-40B4-BE49-F238E27FC236}">
              <a16:creationId xmlns:a16="http://schemas.microsoft.com/office/drawing/2014/main" id="{694A9E1F-51D6-4348-BFC4-A6364FA5057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375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2365</xdr:row>
      <xdr:rowOff>0</xdr:rowOff>
    </xdr:from>
    <xdr:ext cx="304800" cy="318408"/>
    <xdr:sp macro="" textlink="">
      <xdr:nvSpPr>
        <xdr:cNvPr id="3785" name="AutoShape 40" descr="Currently available antiretroviral drugs | Download Table">
          <a:extLst>
            <a:ext uri="{FF2B5EF4-FFF2-40B4-BE49-F238E27FC236}">
              <a16:creationId xmlns:a16="http://schemas.microsoft.com/office/drawing/2014/main" id="{5285C927-DCC7-4E28-BE55-046A3540BA6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554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2365</xdr:row>
      <xdr:rowOff>0</xdr:rowOff>
    </xdr:from>
    <xdr:ext cx="304800" cy="318408"/>
    <xdr:sp macro="" textlink="">
      <xdr:nvSpPr>
        <xdr:cNvPr id="3786" name="AutoShape 40" descr="Currently available antiretroviral drugs | Download Table">
          <a:extLst>
            <a:ext uri="{FF2B5EF4-FFF2-40B4-BE49-F238E27FC236}">
              <a16:creationId xmlns:a16="http://schemas.microsoft.com/office/drawing/2014/main" id="{F00C62B8-845A-4057-95CE-98F9D3057F1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554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2365</xdr:row>
      <xdr:rowOff>0</xdr:rowOff>
    </xdr:from>
    <xdr:ext cx="304800" cy="318408"/>
    <xdr:sp macro="" textlink="">
      <xdr:nvSpPr>
        <xdr:cNvPr id="3787" name="AutoShape 40" descr="Currently available antiretroviral drugs | Download Table">
          <a:extLst>
            <a:ext uri="{FF2B5EF4-FFF2-40B4-BE49-F238E27FC236}">
              <a16:creationId xmlns:a16="http://schemas.microsoft.com/office/drawing/2014/main" id="{1AA4F30F-D59B-4E87-BD34-9BFE46B04DE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554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2365</xdr:row>
      <xdr:rowOff>0</xdr:rowOff>
    </xdr:from>
    <xdr:ext cx="304800" cy="318408"/>
    <xdr:sp macro="" textlink="">
      <xdr:nvSpPr>
        <xdr:cNvPr id="3788" name="AutoShape 40" descr="Currently available antiretroviral drugs | Download Table">
          <a:extLst>
            <a:ext uri="{FF2B5EF4-FFF2-40B4-BE49-F238E27FC236}">
              <a16:creationId xmlns:a16="http://schemas.microsoft.com/office/drawing/2014/main" id="{5DC4CF55-9957-42F2-AB91-CA71DCF79DA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554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2365</xdr:row>
      <xdr:rowOff>0</xdr:rowOff>
    </xdr:from>
    <xdr:ext cx="304800" cy="318408"/>
    <xdr:sp macro="" textlink="">
      <xdr:nvSpPr>
        <xdr:cNvPr id="3789" name="AutoShape 40" descr="Currently available antiretroviral drugs | Download Table">
          <a:extLst>
            <a:ext uri="{FF2B5EF4-FFF2-40B4-BE49-F238E27FC236}">
              <a16:creationId xmlns:a16="http://schemas.microsoft.com/office/drawing/2014/main" id="{E2F77F1C-61B6-42DB-B0B9-54BEB31B6AD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554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2365</xdr:row>
      <xdr:rowOff>0</xdr:rowOff>
    </xdr:from>
    <xdr:ext cx="304800" cy="318408"/>
    <xdr:sp macro="" textlink="">
      <xdr:nvSpPr>
        <xdr:cNvPr id="3790" name="AutoShape 40" descr="Currently available antiretroviral drugs | Download Table">
          <a:extLst>
            <a:ext uri="{FF2B5EF4-FFF2-40B4-BE49-F238E27FC236}">
              <a16:creationId xmlns:a16="http://schemas.microsoft.com/office/drawing/2014/main" id="{5D99B2C8-06E3-4078-9782-DE36E920931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554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2365</xdr:row>
      <xdr:rowOff>0</xdr:rowOff>
    </xdr:from>
    <xdr:ext cx="304800" cy="318408"/>
    <xdr:sp macro="" textlink="">
      <xdr:nvSpPr>
        <xdr:cNvPr id="3791" name="AutoShape 40" descr="Currently available antiretroviral drugs | Download Table">
          <a:extLst>
            <a:ext uri="{FF2B5EF4-FFF2-40B4-BE49-F238E27FC236}">
              <a16:creationId xmlns:a16="http://schemas.microsoft.com/office/drawing/2014/main" id="{A3D84DF0-2A57-4EC3-ABE0-D10E8922214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554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2365</xdr:row>
      <xdr:rowOff>0</xdr:rowOff>
    </xdr:from>
    <xdr:ext cx="304800" cy="318408"/>
    <xdr:sp macro="" textlink="">
      <xdr:nvSpPr>
        <xdr:cNvPr id="3792" name="AutoShape 40" descr="Currently available antiretroviral drugs | Download Table">
          <a:extLst>
            <a:ext uri="{FF2B5EF4-FFF2-40B4-BE49-F238E27FC236}">
              <a16:creationId xmlns:a16="http://schemas.microsoft.com/office/drawing/2014/main" id="{7307D294-24FF-4CDF-861F-C8AF14EA679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554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2365</xdr:row>
      <xdr:rowOff>0</xdr:rowOff>
    </xdr:from>
    <xdr:ext cx="304800" cy="318408"/>
    <xdr:sp macro="" textlink="">
      <xdr:nvSpPr>
        <xdr:cNvPr id="3793" name="AutoShape 40" descr="Currently available antiretroviral drugs | Download Table">
          <a:extLst>
            <a:ext uri="{FF2B5EF4-FFF2-40B4-BE49-F238E27FC236}">
              <a16:creationId xmlns:a16="http://schemas.microsoft.com/office/drawing/2014/main" id="{01C35441-E1E2-4337-9FFF-D5E94185B59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554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2365</xdr:row>
      <xdr:rowOff>0</xdr:rowOff>
    </xdr:from>
    <xdr:ext cx="304800" cy="318408"/>
    <xdr:sp macro="" textlink="">
      <xdr:nvSpPr>
        <xdr:cNvPr id="3794" name="AutoShape 40" descr="Currently available antiretroviral drugs | Download Table">
          <a:extLst>
            <a:ext uri="{FF2B5EF4-FFF2-40B4-BE49-F238E27FC236}">
              <a16:creationId xmlns:a16="http://schemas.microsoft.com/office/drawing/2014/main" id="{FF483A70-9960-4618-9A32-0EA1889F170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554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2365</xdr:row>
      <xdr:rowOff>0</xdr:rowOff>
    </xdr:from>
    <xdr:ext cx="304800" cy="318408"/>
    <xdr:sp macro="" textlink="">
      <xdr:nvSpPr>
        <xdr:cNvPr id="3795" name="AutoShape 40" descr="Currently available antiretroviral drugs | Download Table">
          <a:extLst>
            <a:ext uri="{FF2B5EF4-FFF2-40B4-BE49-F238E27FC236}">
              <a16:creationId xmlns:a16="http://schemas.microsoft.com/office/drawing/2014/main" id="{5E3A805C-9FF3-47F1-9FC9-F5A9C8BA1BC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554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2365</xdr:row>
      <xdr:rowOff>0</xdr:rowOff>
    </xdr:from>
    <xdr:ext cx="304800" cy="318408"/>
    <xdr:sp macro="" textlink="">
      <xdr:nvSpPr>
        <xdr:cNvPr id="3796" name="AutoShape 40" descr="Currently available antiretroviral drugs | Download Table">
          <a:extLst>
            <a:ext uri="{FF2B5EF4-FFF2-40B4-BE49-F238E27FC236}">
              <a16:creationId xmlns:a16="http://schemas.microsoft.com/office/drawing/2014/main" id="{D9D74EDB-A6B6-4C85-A121-919FFEBBDD7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554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2365</xdr:row>
      <xdr:rowOff>0</xdr:rowOff>
    </xdr:from>
    <xdr:ext cx="304800" cy="318408"/>
    <xdr:sp macro="" textlink="">
      <xdr:nvSpPr>
        <xdr:cNvPr id="3797" name="AutoShape 40" descr="Currently available antiretroviral drugs | Download Table">
          <a:extLst>
            <a:ext uri="{FF2B5EF4-FFF2-40B4-BE49-F238E27FC236}">
              <a16:creationId xmlns:a16="http://schemas.microsoft.com/office/drawing/2014/main" id="{F25ED6DD-14E9-45EB-A591-DA4D48C9091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554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2364</xdr:row>
      <xdr:rowOff>0</xdr:rowOff>
    </xdr:from>
    <xdr:ext cx="304800" cy="318408"/>
    <xdr:sp macro="" textlink="">
      <xdr:nvSpPr>
        <xdr:cNvPr id="3798" name="AutoShape 40" descr="Currently available antiretroviral drugs | Download Table">
          <a:extLst>
            <a:ext uri="{FF2B5EF4-FFF2-40B4-BE49-F238E27FC236}">
              <a16:creationId xmlns:a16="http://schemas.microsoft.com/office/drawing/2014/main" id="{DDE10F34-2889-4B91-9660-25A8BD884BD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375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2364</xdr:row>
      <xdr:rowOff>0</xdr:rowOff>
    </xdr:from>
    <xdr:ext cx="304800" cy="318408"/>
    <xdr:sp macro="" textlink="">
      <xdr:nvSpPr>
        <xdr:cNvPr id="3799" name="AutoShape 40" descr="Currently available antiretroviral drugs | Download Table">
          <a:extLst>
            <a:ext uri="{FF2B5EF4-FFF2-40B4-BE49-F238E27FC236}">
              <a16:creationId xmlns:a16="http://schemas.microsoft.com/office/drawing/2014/main" id="{041E30ED-C675-41B3-9CFA-7AAE4FAB02A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375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2364</xdr:row>
      <xdr:rowOff>0</xdr:rowOff>
    </xdr:from>
    <xdr:ext cx="304800" cy="318408"/>
    <xdr:sp macro="" textlink="">
      <xdr:nvSpPr>
        <xdr:cNvPr id="3800" name="AutoShape 40" descr="Currently available antiretroviral drugs | Download Table">
          <a:extLst>
            <a:ext uri="{FF2B5EF4-FFF2-40B4-BE49-F238E27FC236}">
              <a16:creationId xmlns:a16="http://schemas.microsoft.com/office/drawing/2014/main" id="{04270092-24AB-4B7E-BB6E-51B283D27E7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375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2364</xdr:row>
      <xdr:rowOff>0</xdr:rowOff>
    </xdr:from>
    <xdr:ext cx="304800" cy="318408"/>
    <xdr:sp macro="" textlink="">
      <xdr:nvSpPr>
        <xdr:cNvPr id="3801" name="AutoShape 40" descr="Currently available antiretroviral drugs | Download Table">
          <a:extLst>
            <a:ext uri="{FF2B5EF4-FFF2-40B4-BE49-F238E27FC236}">
              <a16:creationId xmlns:a16="http://schemas.microsoft.com/office/drawing/2014/main" id="{A65538D2-8BF0-425C-9BAA-1F8391B7083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375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2364</xdr:row>
      <xdr:rowOff>0</xdr:rowOff>
    </xdr:from>
    <xdr:ext cx="304800" cy="318408"/>
    <xdr:sp macro="" textlink="">
      <xdr:nvSpPr>
        <xdr:cNvPr id="3802" name="AutoShape 40" descr="Currently available antiretroviral drugs | Download Table">
          <a:extLst>
            <a:ext uri="{FF2B5EF4-FFF2-40B4-BE49-F238E27FC236}">
              <a16:creationId xmlns:a16="http://schemas.microsoft.com/office/drawing/2014/main" id="{F42A6841-19CA-4961-9017-25EA8307C40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375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2364</xdr:row>
      <xdr:rowOff>0</xdr:rowOff>
    </xdr:from>
    <xdr:ext cx="304800" cy="318408"/>
    <xdr:sp macro="" textlink="">
      <xdr:nvSpPr>
        <xdr:cNvPr id="3803" name="AutoShape 40" descr="Currently available antiretroviral drugs | Download Table">
          <a:extLst>
            <a:ext uri="{FF2B5EF4-FFF2-40B4-BE49-F238E27FC236}">
              <a16:creationId xmlns:a16="http://schemas.microsoft.com/office/drawing/2014/main" id="{E895A180-7352-4E77-8185-F9E5D08C694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375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2364</xdr:row>
      <xdr:rowOff>0</xdr:rowOff>
    </xdr:from>
    <xdr:ext cx="304800" cy="318408"/>
    <xdr:sp macro="" textlink="">
      <xdr:nvSpPr>
        <xdr:cNvPr id="3804" name="AutoShape 40" descr="Currently available antiretroviral drugs | Download Table">
          <a:extLst>
            <a:ext uri="{FF2B5EF4-FFF2-40B4-BE49-F238E27FC236}">
              <a16:creationId xmlns:a16="http://schemas.microsoft.com/office/drawing/2014/main" id="{EEDEBD60-A989-4B03-8C4B-CF6069141EE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375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2364</xdr:row>
      <xdr:rowOff>0</xdr:rowOff>
    </xdr:from>
    <xdr:ext cx="304800" cy="318408"/>
    <xdr:sp macro="" textlink="">
      <xdr:nvSpPr>
        <xdr:cNvPr id="3805" name="AutoShape 40" descr="Currently available antiretroviral drugs | Download Table">
          <a:extLst>
            <a:ext uri="{FF2B5EF4-FFF2-40B4-BE49-F238E27FC236}">
              <a16:creationId xmlns:a16="http://schemas.microsoft.com/office/drawing/2014/main" id="{C1422083-7190-4078-84BE-DB08B39CB0F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375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2364</xdr:row>
      <xdr:rowOff>0</xdr:rowOff>
    </xdr:from>
    <xdr:ext cx="304800" cy="318408"/>
    <xdr:sp macro="" textlink="">
      <xdr:nvSpPr>
        <xdr:cNvPr id="3806" name="AutoShape 40" descr="Currently available antiretroviral drugs | Download Table">
          <a:extLst>
            <a:ext uri="{FF2B5EF4-FFF2-40B4-BE49-F238E27FC236}">
              <a16:creationId xmlns:a16="http://schemas.microsoft.com/office/drawing/2014/main" id="{A9E7EA9C-067B-4EBD-B441-A726855CD04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375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2364</xdr:row>
      <xdr:rowOff>0</xdr:rowOff>
    </xdr:from>
    <xdr:ext cx="304800" cy="318408"/>
    <xdr:sp macro="" textlink="">
      <xdr:nvSpPr>
        <xdr:cNvPr id="3807" name="AutoShape 40" descr="Currently available antiretroviral drugs | Download Table">
          <a:extLst>
            <a:ext uri="{FF2B5EF4-FFF2-40B4-BE49-F238E27FC236}">
              <a16:creationId xmlns:a16="http://schemas.microsoft.com/office/drawing/2014/main" id="{BB0E63C7-82C3-41CE-8F59-C2DEED49937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375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2364</xdr:row>
      <xdr:rowOff>0</xdr:rowOff>
    </xdr:from>
    <xdr:ext cx="304800" cy="318408"/>
    <xdr:sp macro="" textlink="">
      <xdr:nvSpPr>
        <xdr:cNvPr id="3808" name="AutoShape 40" descr="Currently available antiretroviral drugs | Download Table">
          <a:extLst>
            <a:ext uri="{FF2B5EF4-FFF2-40B4-BE49-F238E27FC236}">
              <a16:creationId xmlns:a16="http://schemas.microsoft.com/office/drawing/2014/main" id="{CB0B2271-BDF4-4CCA-96C8-A535789E61B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375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2365</xdr:row>
      <xdr:rowOff>0</xdr:rowOff>
    </xdr:from>
    <xdr:ext cx="304800" cy="318408"/>
    <xdr:sp macro="" textlink="">
      <xdr:nvSpPr>
        <xdr:cNvPr id="3809" name="AutoShape 40" descr="Currently available antiretroviral drugs | Download Table">
          <a:extLst>
            <a:ext uri="{FF2B5EF4-FFF2-40B4-BE49-F238E27FC236}">
              <a16:creationId xmlns:a16="http://schemas.microsoft.com/office/drawing/2014/main" id="{1D43536D-DC7E-42F7-9EA9-1BDC85D0291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554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2364</xdr:row>
      <xdr:rowOff>0</xdr:rowOff>
    </xdr:from>
    <xdr:ext cx="304800" cy="318408"/>
    <xdr:sp macro="" textlink="">
      <xdr:nvSpPr>
        <xdr:cNvPr id="3810" name="AutoShape 40" descr="Currently available antiretroviral drugs | Download Table">
          <a:extLst>
            <a:ext uri="{FF2B5EF4-FFF2-40B4-BE49-F238E27FC236}">
              <a16:creationId xmlns:a16="http://schemas.microsoft.com/office/drawing/2014/main" id="{35B928FB-EC7F-4E40-946B-B1A55839BE4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375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2364</xdr:row>
      <xdr:rowOff>0</xdr:rowOff>
    </xdr:from>
    <xdr:ext cx="304800" cy="318408"/>
    <xdr:sp macro="" textlink="">
      <xdr:nvSpPr>
        <xdr:cNvPr id="3811" name="AutoShape 40" descr="Currently available antiretroviral drugs | Download Table">
          <a:extLst>
            <a:ext uri="{FF2B5EF4-FFF2-40B4-BE49-F238E27FC236}">
              <a16:creationId xmlns:a16="http://schemas.microsoft.com/office/drawing/2014/main" id="{22526B14-AB98-417F-9EF3-E4F5D2A657D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375000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2365</xdr:row>
      <xdr:rowOff>0</xdr:rowOff>
    </xdr:from>
    <xdr:ext cx="304800" cy="318408"/>
    <xdr:sp macro="" textlink="">
      <xdr:nvSpPr>
        <xdr:cNvPr id="3812" name="AutoShape 40" descr="Currently available antiretroviral drugs | Download Table">
          <a:extLst>
            <a:ext uri="{FF2B5EF4-FFF2-40B4-BE49-F238E27FC236}">
              <a16:creationId xmlns:a16="http://schemas.microsoft.com/office/drawing/2014/main" id="{DC3A65D7-3F7E-4809-B0DD-0508ED11C4F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554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2365</xdr:row>
      <xdr:rowOff>0</xdr:rowOff>
    </xdr:from>
    <xdr:ext cx="304800" cy="318408"/>
    <xdr:sp macro="" textlink="">
      <xdr:nvSpPr>
        <xdr:cNvPr id="3813" name="AutoShape 40" descr="Currently available antiretroviral drugs | Download Table">
          <a:extLst>
            <a:ext uri="{FF2B5EF4-FFF2-40B4-BE49-F238E27FC236}">
              <a16:creationId xmlns:a16="http://schemas.microsoft.com/office/drawing/2014/main" id="{B2830F5E-2E9E-46E6-81DD-0CC139149AB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554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2365</xdr:row>
      <xdr:rowOff>0</xdr:rowOff>
    </xdr:from>
    <xdr:ext cx="304800" cy="318408"/>
    <xdr:sp macro="" textlink="">
      <xdr:nvSpPr>
        <xdr:cNvPr id="3814" name="AutoShape 40" descr="Currently available antiretroviral drugs | Download Table">
          <a:extLst>
            <a:ext uri="{FF2B5EF4-FFF2-40B4-BE49-F238E27FC236}">
              <a16:creationId xmlns:a16="http://schemas.microsoft.com/office/drawing/2014/main" id="{E6D71167-B35E-4D7A-94C1-8239884AB4D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554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2365</xdr:row>
      <xdr:rowOff>0</xdr:rowOff>
    </xdr:from>
    <xdr:ext cx="304800" cy="318408"/>
    <xdr:sp macro="" textlink="">
      <xdr:nvSpPr>
        <xdr:cNvPr id="3815" name="AutoShape 40" descr="Currently available antiretroviral drugs | Download Table">
          <a:extLst>
            <a:ext uri="{FF2B5EF4-FFF2-40B4-BE49-F238E27FC236}">
              <a16:creationId xmlns:a16="http://schemas.microsoft.com/office/drawing/2014/main" id="{F28C96AB-A766-4FF2-A5C4-F73951BEDEF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554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2365</xdr:row>
      <xdr:rowOff>0</xdr:rowOff>
    </xdr:from>
    <xdr:ext cx="304800" cy="318408"/>
    <xdr:sp macro="" textlink="">
      <xdr:nvSpPr>
        <xdr:cNvPr id="3816" name="AutoShape 40" descr="Currently available antiretroviral drugs | Download Table">
          <a:extLst>
            <a:ext uri="{FF2B5EF4-FFF2-40B4-BE49-F238E27FC236}">
              <a16:creationId xmlns:a16="http://schemas.microsoft.com/office/drawing/2014/main" id="{04059424-AF5C-458B-92FA-4B04EFE5B0F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554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2365</xdr:row>
      <xdr:rowOff>0</xdr:rowOff>
    </xdr:from>
    <xdr:ext cx="304800" cy="318408"/>
    <xdr:sp macro="" textlink="">
      <xdr:nvSpPr>
        <xdr:cNvPr id="3817" name="AutoShape 40" descr="Currently available antiretroviral drugs | Download Table">
          <a:extLst>
            <a:ext uri="{FF2B5EF4-FFF2-40B4-BE49-F238E27FC236}">
              <a16:creationId xmlns:a16="http://schemas.microsoft.com/office/drawing/2014/main" id="{60AC5674-8348-4D4D-B421-100027F23BD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554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2365</xdr:row>
      <xdr:rowOff>0</xdr:rowOff>
    </xdr:from>
    <xdr:ext cx="304800" cy="318408"/>
    <xdr:sp macro="" textlink="">
      <xdr:nvSpPr>
        <xdr:cNvPr id="3818" name="AutoShape 40" descr="Currently available antiretroviral drugs | Download Table">
          <a:extLst>
            <a:ext uri="{FF2B5EF4-FFF2-40B4-BE49-F238E27FC236}">
              <a16:creationId xmlns:a16="http://schemas.microsoft.com/office/drawing/2014/main" id="{FE823EC1-CA78-46D7-9F52-11CD5A79192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554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2365</xdr:row>
      <xdr:rowOff>0</xdr:rowOff>
    </xdr:from>
    <xdr:ext cx="304800" cy="318408"/>
    <xdr:sp macro="" textlink="">
      <xdr:nvSpPr>
        <xdr:cNvPr id="3819" name="AutoShape 40" descr="Currently available antiretroviral drugs | Download Table">
          <a:extLst>
            <a:ext uri="{FF2B5EF4-FFF2-40B4-BE49-F238E27FC236}">
              <a16:creationId xmlns:a16="http://schemas.microsoft.com/office/drawing/2014/main" id="{B84177D9-2807-4BE0-BC58-4A3D89FEAF0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554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2365</xdr:row>
      <xdr:rowOff>0</xdr:rowOff>
    </xdr:from>
    <xdr:ext cx="304800" cy="318408"/>
    <xdr:sp macro="" textlink="">
      <xdr:nvSpPr>
        <xdr:cNvPr id="3820" name="AutoShape 40" descr="Currently available antiretroviral drugs | Download Table">
          <a:extLst>
            <a:ext uri="{FF2B5EF4-FFF2-40B4-BE49-F238E27FC236}">
              <a16:creationId xmlns:a16="http://schemas.microsoft.com/office/drawing/2014/main" id="{5DC290F2-51B8-4DA1-B6DC-72E8C424940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554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2365</xdr:row>
      <xdr:rowOff>0</xdr:rowOff>
    </xdr:from>
    <xdr:ext cx="304800" cy="318408"/>
    <xdr:sp macro="" textlink="">
      <xdr:nvSpPr>
        <xdr:cNvPr id="3821" name="AutoShape 40" descr="Currently available antiretroviral drugs | Download Table">
          <a:extLst>
            <a:ext uri="{FF2B5EF4-FFF2-40B4-BE49-F238E27FC236}">
              <a16:creationId xmlns:a16="http://schemas.microsoft.com/office/drawing/2014/main" id="{FB34528E-B68B-4C2C-9AEC-1B67ADE5B7C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554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2365</xdr:row>
      <xdr:rowOff>0</xdr:rowOff>
    </xdr:from>
    <xdr:ext cx="304800" cy="318408"/>
    <xdr:sp macro="" textlink="">
      <xdr:nvSpPr>
        <xdr:cNvPr id="3822" name="AutoShape 40" descr="Currently available antiretroviral drugs | Download Table">
          <a:extLst>
            <a:ext uri="{FF2B5EF4-FFF2-40B4-BE49-F238E27FC236}">
              <a16:creationId xmlns:a16="http://schemas.microsoft.com/office/drawing/2014/main" id="{C05913B6-52B1-4639-8A8E-56205C65DD0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554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2365</xdr:row>
      <xdr:rowOff>0</xdr:rowOff>
    </xdr:from>
    <xdr:ext cx="304800" cy="318408"/>
    <xdr:sp macro="" textlink="">
      <xdr:nvSpPr>
        <xdr:cNvPr id="3823" name="AutoShape 40" descr="Currently available antiretroviral drugs | Download Table">
          <a:extLst>
            <a:ext uri="{FF2B5EF4-FFF2-40B4-BE49-F238E27FC236}">
              <a16:creationId xmlns:a16="http://schemas.microsoft.com/office/drawing/2014/main" id="{B567F6D5-3643-4FEF-8946-A085307B5FD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554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2365</xdr:row>
      <xdr:rowOff>0</xdr:rowOff>
    </xdr:from>
    <xdr:ext cx="304800" cy="318408"/>
    <xdr:sp macro="" textlink="">
      <xdr:nvSpPr>
        <xdr:cNvPr id="3824" name="AutoShape 40" descr="Currently available antiretroviral drugs | Download Table">
          <a:extLst>
            <a:ext uri="{FF2B5EF4-FFF2-40B4-BE49-F238E27FC236}">
              <a16:creationId xmlns:a16="http://schemas.microsoft.com/office/drawing/2014/main" id="{3C2DBB0E-484D-4DBD-B64C-91264B74BC0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554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2365</xdr:row>
      <xdr:rowOff>0</xdr:rowOff>
    </xdr:from>
    <xdr:ext cx="304800" cy="318408"/>
    <xdr:sp macro="" textlink="">
      <xdr:nvSpPr>
        <xdr:cNvPr id="3825" name="AutoShape 40" descr="Currently available antiretroviral drugs | Download Table">
          <a:extLst>
            <a:ext uri="{FF2B5EF4-FFF2-40B4-BE49-F238E27FC236}">
              <a16:creationId xmlns:a16="http://schemas.microsoft.com/office/drawing/2014/main" id="{0D5682E8-CA80-4FB9-92C4-00B80E60E25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554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2365</xdr:row>
      <xdr:rowOff>0</xdr:rowOff>
    </xdr:from>
    <xdr:ext cx="304800" cy="318408"/>
    <xdr:sp macro="" textlink="">
      <xdr:nvSpPr>
        <xdr:cNvPr id="3826" name="AutoShape 40" descr="Currently available antiretroviral drugs | Download Table">
          <a:extLst>
            <a:ext uri="{FF2B5EF4-FFF2-40B4-BE49-F238E27FC236}">
              <a16:creationId xmlns:a16="http://schemas.microsoft.com/office/drawing/2014/main" id="{6FE84D20-F164-44E1-9B19-5E478AC710F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554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2365</xdr:row>
      <xdr:rowOff>0</xdr:rowOff>
    </xdr:from>
    <xdr:ext cx="304800" cy="318408"/>
    <xdr:sp macro="" textlink="">
      <xdr:nvSpPr>
        <xdr:cNvPr id="3827" name="AutoShape 40" descr="Currently available antiretroviral drugs | Download Table">
          <a:extLst>
            <a:ext uri="{FF2B5EF4-FFF2-40B4-BE49-F238E27FC236}">
              <a16:creationId xmlns:a16="http://schemas.microsoft.com/office/drawing/2014/main" id="{E9527EB8-3C01-4C17-9901-BC254D6B477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554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2365</xdr:row>
      <xdr:rowOff>0</xdr:rowOff>
    </xdr:from>
    <xdr:ext cx="304800" cy="318408"/>
    <xdr:sp macro="" textlink="">
      <xdr:nvSpPr>
        <xdr:cNvPr id="3828" name="AutoShape 40" descr="Currently available antiretroviral drugs | Download Table">
          <a:extLst>
            <a:ext uri="{FF2B5EF4-FFF2-40B4-BE49-F238E27FC236}">
              <a16:creationId xmlns:a16="http://schemas.microsoft.com/office/drawing/2014/main" id="{B8D909E7-8C0F-40A8-A707-1933C6A6AA4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554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2365</xdr:row>
      <xdr:rowOff>0</xdr:rowOff>
    </xdr:from>
    <xdr:ext cx="304800" cy="318408"/>
    <xdr:sp macro="" textlink="">
      <xdr:nvSpPr>
        <xdr:cNvPr id="3829" name="AutoShape 40" descr="Currently available antiretroviral drugs | Download Table">
          <a:extLst>
            <a:ext uri="{FF2B5EF4-FFF2-40B4-BE49-F238E27FC236}">
              <a16:creationId xmlns:a16="http://schemas.microsoft.com/office/drawing/2014/main" id="{8CC5334F-0044-4136-B5D0-A91791A3612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554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2365</xdr:row>
      <xdr:rowOff>0</xdr:rowOff>
    </xdr:from>
    <xdr:ext cx="304800" cy="318408"/>
    <xdr:sp macro="" textlink="">
      <xdr:nvSpPr>
        <xdr:cNvPr id="3830" name="AutoShape 40" descr="Currently available antiretroviral drugs | Download Table">
          <a:extLst>
            <a:ext uri="{FF2B5EF4-FFF2-40B4-BE49-F238E27FC236}">
              <a16:creationId xmlns:a16="http://schemas.microsoft.com/office/drawing/2014/main" id="{E0C0A0A1-942D-4BFD-AF5B-A00928CB2A8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554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2365</xdr:row>
      <xdr:rowOff>0</xdr:rowOff>
    </xdr:from>
    <xdr:ext cx="304800" cy="318408"/>
    <xdr:sp macro="" textlink="">
      <xdr:nvSpPr>
        <xdr:cNvPr id="3831" name="AutoShape 40" descr="Currently available antiretroviral drugs | Download Table">
          <a:extLst>
            <a:ext uri="{FF2B5EF4-FFF2-40B4-BE49-F238E27FC236}">
              <a16:creationId xmlns:a16="http://schemas.microsoft.com/office/drawing/2014/main" id="{DD86FDE6-480F-4891-B665-8E8540C033C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554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2365</xdr:row>
      <xdr:rowOff>0</xdr:rowOff>
    </xdr:from>
    <xdr:ext cx="304800" cy="318408"/>
    <xdr:sp macro="" textlink="">
      <xdr:nvSpPr>
        <xdr:cNvPr id="3832" name="AutoShape 40" descr="Currently available antiretroviral drugs | Download Table">
          <a:extLst>
            <a:ext uri="{FF2B5EF4-FFF2-40B4-BE49-F238E27FC236}">
              <a16:creationId xmlns:a16="http://schemas.microsoft.com/office/drawing/2014/main" id="{EAE6A7B7-022F-421C-BD78-704BD438C6A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554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2365</xdr:row>
      <xdr:rowOff>0</xdr:rowOff>
    </xdr:from>
    <xdr:ext cx="304800" cy="318408"/>
    <xdr:sp macro="" textlink="">
      <xdr:nvSpPr>
        <xdr:cNvPr id="3833" name="AutoShape 40" descr="Currently available antiretroviral drugs | Download Table">
          <a:extLst>
            <a:ext uri="{FF2B5EF4-FFF2-40B4-BE49-F238E27FC236}">
              <a16:creationId xmlns:a16="http://schemas.microsoft.com/office/drawing/2014/main" id="{07BE6A5D-1D9D-4375-B562-E42475D6A92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554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2365</xdr:row>
      <xdr:rowOff>0</xdr:rowOff>
    </xdr:from>
    <xdr:ext cx="304800" cy="318408"/>
    <xdr:sp macro="" textlink="">
      <xdr:nvSpPr>
        <xdr:cNvPr id="3834" name="AutoShape 40" descr="Currently available antiretroviral drugs | Download Table">
          <a:extLst>
            <a:ext uri="{FF2B5EF4-FFF2-40B4-BE49-F238E27FC236}">
              <a16:creationId xmlns:a16="http://schemas.microsoft.com/office/drawing/2014/main" id="{99DB24E3-7E12-4015-93CA-929A4A552FB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554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2365</xdr:row>
      <xdr:rowOff>0</xdr:rowOff>
    </xdr:from>
    <xdr:ext cx="304800" cy="318408"/>
    <xdr:sp macro="" textlink="">
      <xdr:nvSpPr>
        <xdr:cNvPr id="3835" name="AutoShape 40" descr="Currently available antiretroviral drugs | Download Table">
          <a:extLst>
            <a:ext uri="{FF2B5EF4-FFF2-40B4-BE49-F238E27FC236}">
              <a16:creationId xmlns:a16="http://schemas.microsoft.com/office/drawing/2014/main" id="{49467961-AA48-487F-AE60-0B52A50AE1B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554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2365</xdr:row>
      <xdr:rowOff>0</xdr:rowOff>
    </xdr:from>
    <xdr:ext cx="304800" cy="318408"/>
    <xdr:sp macro="" textlink="">
      <xdr:nvSpPr>
        <xdr:cNvPr id="3836" name="AutoShape 40" descr="Currently available antiretroviral drugs | Download Table">
          <a:extLst>
            <a:ext uri="{FF2B5EF4-FFF2-40B4-BE49-F238E27FC236}">
              <a16:creationId xmlns:a16="http://schemas.microsoft.com/office/drawing/2014/main" id="{93418B18-6402-4DE4-BC80-45A42F2C2B2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554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2365</xdr:row>
      <xdr:rowOff>0</xdr:rowOff>
    </xdr:from>
    <xdr:ext cx="304800" cy="318408"/>
    <xdr:sp macro="" textlink="">
      <xdr:nvSpPr>
        <xdr:cNvPr id="3837" name="AutoShape 40" descr="Currently available antiretroviral drugs | Download Table">
          <a:extLst>
            <a:ext uri="{FF2B5EF4-FFF2-40B4-BE49-F238E27FC236}">
              <a16:creationId xmlns:a16="http://schemas.microsoft.com/office/drawing/2014/main" id="{F9B9B6C5-57B2-41D1-8546-D9BB2B5A7EB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554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2365</xdr:row>
      <xdr:rowOff>0</xdr:rowOff>
    </xdr:from>
    <xdr:ext cx="304800" cy="318408"/>
    <xdr:sp macro="" textlink="">
      <xdr:nvSpPr>
        <xdr:cNvPr id="3838" name="AutoShape 40" descr="Currently available antiretroviral drugs | Download Table">
          <a:extLst>
            <a:ext uri="{FF2B5EF4-FFF2-40B4-BE49-F238E27FC236}">
              <a16:creationId xmlns:a16="http://schemas.microsoft.com/office/drawing/2014/main" id="{23291920-DA8B-41E3-9D96-44671608F15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554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2365</xdr:row>
      <xdr:rowOff>0</xdr:rowOff>
    </xdr:from>
    <xdr:ext cx="304800" cy="318408"/>
    <xdr:sp macro="" textlink="">
      <xdr:nvSpPr>
        <xdr:cNvPr id="3839" name="AutoShape 40" descr="Currently available antiretroviral drugs | Download Table">
          <a:extLst>
            <a:ext uri="{FF2B5EF4-FFF2-40B4-BE49-F238E27FC236}">
              <a16:creationId xmlns:a16="http://schemas.microsoft.com/office/drawing/2014/main" id="{697FA94E-EFCD-48D6-AB34-270D985B9F6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554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2365</xdr:row>
      <xdr:rowOff>0</xdr:rowOff>
    </xdr:from>
    <xdr:ext cx="304800" cy="318408"/>
    <xdr:sp macro="" textlink="">
      <xdr:nvSpPr>
        <xdr:cNvPr id="3840" name="AutoShape 40" descr="Currently available antiretroviral drugs | Download Table">
          <a:extLst>
            <a:ext uri="{FF2B5EF4-FFF2-40B4-BE49-F238E27FC236}">
              <a16:creationId xmlns:a16="http://schemas.microsoft.com/office/drawing/2014/main" id="{32851728-6179-4561-81D6-7FE839A7BEF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554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2365</xdr:row>
      <xdr:rowOff>0</xdr:rowOff>
    </xdr:from>
    <xdr:ext cx="304800" cy="318408"/>
    <xdr:sp macro="" textlink="">
      <xdr:nvSpPr>
        <xdr:cNvPr id="3841" name="AutoShape 40" descr="Currently available antiretroviral drugs | Download Table">
          <a:extLst>
            <a:ext uri="{FF2B5EF4-FFF2-40B4-BE49-F238E27FC236}">
              <a16:creationId xmlns:a16="http://schemas.microsoft.com/office/drawing/2014/main" id="{DF4105D7-BEA4-4CBA-A492-932061C52CE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554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2365</xdr:row>
      <xdr:rowOff>0</xdr:rowOff>
    </xdr:from>
    <xdr:ext cx="304800" cy="318408"/>
    <xdr:sp macro="" textlink="">
      <xdr:nvSpPr>
        <xdr:cNvPr id="3842" name="AutoShape 40" descr="Currently available antiretroviral drugs | Download Table">
          <a:extLst>
            <a:ext uri="{FF2B5EF4-FFF2-40B4-BE49-F238E27FC236}">
              <a16:creationId xmlns:a16="http://schemas.microsoft.com/office/drawing/2014/main" id="{803C2D13-F656-4C7A-AE02-6D56AAC363D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554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2365</xdr:row>
      <xdr:rowOff>0</xdr:rowOff>
    </xdr:from>
    <xdr:ext cx="304800" cy="318408"/>
    <xdr:sp macro="" textlink="">
      <xdr:nvSpPr>
        <xdr:cNvPr id="3843" name="AutoShape 40" descr="Currently available antiretroviral drugs | Download Table">
          <a:extLst>
            <a:ext uri="{FF2B5EF4-FFF2-40B4-BE49-F238E27FC236}">
              <a16:creationId xmlns:a16="http://schemas.microsoft.com/office/drawing/2014/main" id="{C6F99F71-76E6-4AC3-A668-4BD2B968C39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554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2366</xdr:row>
      <xdr:rowOff>0</xdr:rowOff>
    </xdr:from>
    <xdr:ext cx="304800" cy="318408"/>
    <xdr:sp macro="" textlink="">
      <xdr:nvSpPr>
        <xdr:cNvPr id="3844" name="AutoShape 40" descr="Currently available antiretroviral drugs | Download Table">
          <a:extLst>
            <a:ext uri="{FF2B5EF4-FFF2-40B4-BE49-F238E27FC236}">
              <a16:creationId xmlns:a16="http://schemas.microsoft.com/office/drawing/2014/main" id="{4A1F57B8-5E9E-43D5-9CF8-8E929DDEB31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733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2366</xdr:row>
      <xdr:rowOff>0</xdr:rowOff>
    </xdr:from>
    <xdr:ext cx="304800" cy="318408"/>
    <xdr:sp macro="" textlink="">
      <xdr:nvSpPr>
        <xdr:cNvPr id="3845" name="AutoShape 40" descr="Currently available antiretroviral drugs | Download Table">
          <a:extLst>
            <a:ext uri="{FF2B5EF4-FFF2-40B4-BE49-F238E27FC236}">
              <a16:creationId xmlns:a16="http://schemas.microsoft.com/office/drawing/2014/main" id="{5B865053-8BE8-4CDB-8889-65935D2D940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733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2366</xdr:row>
      <xdr:rowOff>0</xdr:rowOff>
    </xdr:from>
    <xdr:ext cx="304800" cy="318408"/>
    <xdr:sp macro="" textlink="">
      <xdr:nvSpPr>
        <xdr:cNvPr id="3846" name="AutoShape 40" descr="Currently available antiretroviral drugs | Download Table">
          <a:extLst>
            <a:ext uri="{FF2B5EF4-FFF2-40B4-BE49-F238E27FC236}">
              <a16:creationId xmlns:a16="http://schemas.microsoft.com/office/drawing/2014/main" id="{DDA17229-A9FD-47D8-B766-0C15CDEC200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733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2366</xdr:row>
      <xdr:rowOff>0</xdr:rowOff>
    </xdr:from>
    <xdr:ext cx="304800" cy="318408"/>
    <xdr:sp macro="" textlink="">
      <xdr:nvSpPr>
        <xdr:cNvPr id="3847" name="AutoShape 40" descr="Currently available antiretroviral drugs | Download Table">
          <a:extLst>
            <a:ext uri="{FF2B5EF4-FFF2-40B4-BE49-F238E27FC236}">
              <a16:creationId xmlns:a16="http://schemas.microsoft.com/office/drawing/2014/main" id="{E196BA77-B52C-4CB8-A2B3-DAF8303861D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733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2366</xdr:row>
      <xdr:rowOff>0</xdr:rowOff>
    </xdr:from>
    <xdr:ext cx="304800" cy="318408"/>
    <xdr:sp macro="" textlink="">
      <xdr:nvSpPr>
        <xdr:cNvPr id="3848" name="AutoShape 40" descr="Currently available antiretroviral drugs | Download Table">
          <a:extLst>
            <a:ext uri="{FF2B5EF4-FFF2-40B4-BE49-F238E27FC236}">
              <a16:creationId xmlns:a16="http://schemas.microsoft.com/office/drawing/2014/main" id="{91B69CD5-6917-4E1B-BBE0-E69C6FCCEA3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733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2366</xdr:row>
      <xdr:rowOff>0</xdr:rowOff>
    </xdr:from>
    <xdr:ext cx="304800" cy="318408"/>
    <xdr:sp macro="" textlink="">
      <xdr:nvSpPr>
        <xdr:cNvPr id="3849" name="AutoShape 40" descr="Currently available antiretroviral drugs | Download Table">
          <a:extLst>
            <a:ext uri="{FF2B5EF4-FFF2-40B4-BE49-F238E27FC236}">
              <a16:creationId xmlns:a16="http://schemas.microsoft.com/office/drawing/2014/main" id="{58BF5425-CF3A-4BCA-81D7-2A64A769231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733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2366</xdr:row>
      <xdr:rowOff>0</xdr:rowOff>
    </xdr:from>
    <xdr:ext cx="304800" cy="318408"/>
    <xdr:sp macro="" textlink="">
      <xdr:nvSpPr>
        <xdr:cNvPr id="3850" name="AutoShape 40" descr="Currently available antiretroviral drugs | Download Table">
          <a:extLst>
            <a:ext uri="{FF2B5EF4-FFF2-40B4-BE49-F238E27FC236}">
              <a16:creationId xmlns:a16="http://schemas.microsoft.com/office/drawing/2014/main" id="{67171120-0016-4B70-A1B5-E3773624ED9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733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2366</xdr:row>
      <xdr:rowOff>0</xdr:rowOff>
    </xdr:from>
    <xdr:ext cx="304800" cy="318408"/>
    <xdr:sp macro="" textlink="">
      <xdr:nvSpPr>
        <xdr:cNvPr id="3851" name="AutoShape 40" descr="Currently available antiretroviral drugs | Download Table">
          <a:extLst>
            <a:ext uri="{FF2B5EF4-FFF2-40B4-BE49-F238E27FC236}">
              <a16:creationId xmlns:a16="http://schemas.microsoft.com/office/drawing/2014/main" id="{C4791F91-058D-40A7-A0EC-1D77A54296A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733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2366</xdr:row>
      <xdr:rowOff>0</xdr:rowOff>
    </xdr:from>
    <xdr:ext cx="304800" cy="318408"/>
    <xdr:sp macro="" textlink="">
      <xdr:nvSpPr>
        <xdr:cNvPr id="3852" name="AutoShape 40" descr="Currently available antiretroviral drugs | Download Table">
          <a:extLst>
            <a:ext uri="{FF2B5EF4-FFF2-40B4-BE49-F238E27FC236}">
              <a16:creationId xmlns:a16="http://schemas.microsoft.com/office/drawing/2014/main" id="{7DEC2CF3-C1F4-4E7E-9640-21D940AA683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733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2366</xdr:row>
      <xdr:rowOff>0</xdr:rowOff>
    </xdr:from>
    <xdr:ext cx="304800" cy="318408"/>
    <xdr:sp macro="" textlink="">
      <xdr:nvSpPr>
        <xdr:cNvPr id="3853" name="AutoShape 40" descr="Currently available antiretroviral drugs | Download Table">
          <a:extLst>
            <a:ext uri="{FF2B5EF4-FFF2-40B4-BE49-F238E27FC236}">
              <a16:creationId xmlns:a16="http://schemas.microsoft.com/office/drawing/2014/main" id="{964D4BB6-7AEA-4A96-BB5F-73378975F91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733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2366</xdr:row>
      <xdr:rowOff>0</xdr:rowOff>
    </xdr:from>
    <xdr:ext cx="304800" cy="318408"/>
    <xdr:sp macro="" textlink="">
      <xdr:nvSpPr>
        <xdr:cNvPr id="3854" name="AutoShape 40" descr="Currently available antiretroviral drugs | Download Table">
          <a:extLst>
            <a:ext uri="{FF2B5EF4-FFF2-40B4-BE49-F238E27FC236}">
              <a16:creationId xmlns:a16="http://schemas.microsoft.com/office/drawing/2014/main" id="{ED82A483-50DA-4416-B355-80C8DDEFAA5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733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2366</xdr:row>
      <xdr:rowOff>0</xdr:rowOff>
    </xdr:from>
    <xdr:ext cx="304800" cy="318408"/>
    <xdr:sp macro="" textlink="">
      <xdr:nvSpPr>
        <xdr:cNvPr id="3855" name="AutoShape 40" descr="Currently available antiretroviral drugs | Download Table">
          <a:extLst>
            <a:ext uri="{FF2B5EF4-FFF2-40B4-BE49-F238E27FC236}">
              <a16:creationId xmlns:a16="http://schemas.microsoft.com/office/drawing/2014/main" id="{5F580A12-107E-404F-BA69-30D7D932138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733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2366</xdr:row>
      <xdr:rowOff>0</xdr:rowOff>
    </xdr:from>
    <xdr:ext cx="304800" cy="318408"/>
    <xdr:sp macro="" textlink="">
      <xdr:nvSpPr>
        <xdr:cNvPr id="3856" name="AutoShape 40" descr="Currently available antiretroviral drugs | Download Table">
          <a:extLst>
            <a:ext uri="{FF2B5EF4-FFF2-40B4-BE49-F238E27FC236}">
              <a16:creationId xmlns:a16="http://schemas.microsoft.com/office/drawing/2014/main" id="{46326604-29E8-4FA9-AF5E-3F39DA407E4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733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2365</xdr:row>
      <xdr:rowOff>0</xdr:rowOff>
    </xdr:from>
    <xdr:ext cx="304800" cy="318408"/>
    <xdr:sp macro="" textlink="">
      <xdr:nvSpPr>
        <xdr:cNvPr id="3857" name="AutoShape 40" descr="Currently available antiretroviral drugs | Download Table">
          <a:extLst>
            <a:ext uri="{FF2B5EF4-FFF2-40B4-BE49-F238E27FC236}">
              <a16:creationId xmlns:a16="http://schemas.microsoft.com/office/drawing/2014/main" id="{2604DA72-5C96-4440-9A60-ECAC5EC234E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554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2365</xdr:row>
      <xdr:rowOff>0</xdr:rowOff>
    </xdr:from>
    <xdr:ext cx="304800" cy="318408"/>
    <xdr:sp macro="" textlink="">
      <xdr:nvSpPr>
        <xdr:cNvPr id="3858" name="AutoShape 40" descr="Currently available antiretroviral drugs | Download Table">
          <a:extLst>
            <a:ext uri="{FF2B5EF4-FFF2-40B4-BE49-F238E27FC236}">
              <a16:creationId xmlns:a16="http://schemas.microsoft.com/office/drawing/2014/main" id="{BC3EB280-66A6-46D2-A57B-56F1132DECA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554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2365</xdr:row>
      <xdr:rowOff>0</xdr:rowOff>
    </xdr:from>
    <xdr:ext cx="304800" cy="318408"/>
    <xdr:sp macro="" textlink="">
      <xdr:nvSpPr>
        <xdr:cNvPr id="3859" name="AutoShape 40" descr="Currently available antiretroviral drugs | Download Table">
          <a:extLst>
            <a:ext uri="{FF2B5EF4-FFF2-40B4-BE49-F238E27FC236}">
              <a16:creationId xmlns:a16="http://schemas.microsoft.com/office/drawing/2014/main" id="{277ECC0A-3710-44DE-834A-D63A44C1537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554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2365</xdr:row>
      <xdr:rowOff>0</xdr:rowOff>
    </xdr:from>
    <xdr:ext cx="304800" cy="318408"/>
    <xdr:sp macro="" textlink="">
      <xdr:nvSpPr>
        <xdr:cNvPr id="3860" name="AutoShape 40" descr="Currently available antiretroviral drugs | Download Table">
          <a:extLst>
            <a:ext uri="{FF2B5EF4-FFF2-40B4-BE49-F238E27FC236}">
              <a16:creationId xmlns:a16="http://schemas.microsoft.com/office/drawing/2014/main" id="{38C07DB1-81E9-4E01-931A-1D0E3C21709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554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2365</xdr:row>
      <xdr:rowOff>0</xdr:rowOff>
    </xdr:from>
    <xdr:ext cx="304800" cy="318408"/>
    <xdr:sp macro="" textlink="">
      <xdr:nvSpPr>
        <xdr:cNvPr id="3861" name="AutoShape 40" descr="Currently available antiretroviral drugs | Download Table">
          <a:extLst>
            <a:ext uri="{FF2B5EF4-FFF2-40B4-BE49-F238E27FC236}">
              <a16:creationId xmlns:a16="http://schemas.microsoft.com/office/drawing/2014/main" id="{759CABB4-CA03-405E-939A-F57FD7C8C09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554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2365</xdr:row>
      <xdr:rowOff>0</xdr:rowOff>
    </xdr:from>
    <xdr:ext cx="304800" cy="318408"/>
    <xdr:sp macro="" textlink="">
      <xdr:nvSpPr>
        <xdr:cNvPr id="3862" name="AutoShape 40" descr="Currently available antiretroviral drugs | Download Table">
          <a:extLst>
            <a:ext uri="{FF2B5EF4-FFF2-40B4-BE49-F238E27FC236}">
              <a16:creationId xmlns:a16="http://schemas.microsoft.com/office/drawing/2014/main" id="{1249B67A-3F0D-492B-8A14-B447DF0DFC2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554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2365</xdr:row>
      <xdr:rowOff>0</xdr:rowOff>
    </xdr:from>
    <xdr:ext cx="304800" cy="318408"/>
    <xdr:sp macro="" textlink="">
      <xdr:nvSpPr>
        <xdr:cNvPr id="3863" name="AutoShape 40" descr="Currently available antiretroviral drugs | Download Table">
          <a:extLst>
            <a:ext uri="{FF2B5EF4-FFF2-40B4-BE49-F238E27FC236}">
              <a16:creationId xmlns:a16="http://schemas.microsoft.com/office/drawing/2014/main" id="{5907829A-6786-489F-8572-B6BE3B404FC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554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2365</xdr:row>
      <xdr:rowOff>0</xdr:rowOff>
    </xdr:from>
    <xdr:ext cx="304800" cy="318408"/>
    <xdr:sp macro="" textlink="">
      <xdr:nvSpPr>
        <xdr:cNvPr id="3864" name="AutoShape 40" descr="Currently available antiretroviral drugs | Download Table">
          <a:extLst>
            <a:ext uri="{FF2B5EF4-FFF2-40B4-BE49-F238E27FC236}">
              <a16:creationId xmlns:a16="http://schemas.microsoft.com/office/drawing/2014/main" id="{66DA31E9-C5AB-4FF4-8AB5-62CD2C3BB49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554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2365</xdr:row>
      <xdr:rowOff>0</xdr:rowOff>
    </xdr:from>
    <xdr:ext cx="304800" cy="318408"/>
    <xdr:sp macro="" textlink="">
      <xdr:nvSpPr>
        <xdr:cNvPr id="3865" name="AutoShape 40" descr="Currently available antiretroviral drugs | Download Table">
          <a:extLst>
            <a:ext uri="{FF2B5EF4-FFF2-40B4-BE49-F238E27FC236}">
              <a16:creationId xmlns:a16="http://schemas.microsoft.com/office/drawing/2014/main" id="{C846D6A4-842A-4B3C-9F4F-48ED1C5BE84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554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2365</xdr:row>
      <xdr:rowOff>0</xdr:rowOff>
    </xdr:from>
    <xdr:ext cx="304800" cy="318408"/>
    <xdr:sp macro="" textlink="">
      <xdr:nvSpPr>
        <xdr:cNvPr id="3866" name="AutoShape 40" descr="Currently available antiretroviral drugs | Download Table">
          <a:extLst>
            <a:ext uri="{FF2B5EF4-FFF2-40B4-BE49-F238E27FC236}">
              <a16:creationId xmlns:a16="http://schemas.microsoft.com/office/drawing/2014/main" id="{8E256058-E248-4C3A-8CF0-7D3D3676445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554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2365</xdr:row>
      <xdr:rowOff>0</xdr:rowOff>
    </xdr:from>
    <xdr:ext cx="304800" cy="318408"/>
    <xdr:sp macro="" textlink="">
      <xdr:nvSpPr>
        <xdr:cNvPr id="3867" name="AutoShape 40" descr="Currently available antiretroviral drugs | Download Table">
          <a:extLst>
            <a:ext uri="{FF2B5EF4-FFF2-40B4-BE49-F238E27FC236}">
              <a16:creationId xmlns:a16="http://schemas.microsoft.com/office/drawing/2014/main" id="{DD1FDDF2-03F6-4F88-BB25-EB9728150E7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554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2366</xdr:row>
      <xdr:rowOff>0</xdr:rowOff>
    </xdr:from>
    <xdr:ext cx="304800" cy="318408"/>
    <xdr:sp macro="" textlink="">
      <xdr:nvSpPr>
        <xdr:cNvPr id="3868" name="AutoShape 40" descr="Currently available antiretroviral drugs | Download Table">
          <a:extLst>
            <a:ext uri="{FF2B5EF4-FFF2-40B4-BE49-F238E27FC236}">
              <a16:creationId xmlns:a16="http://schemas.microsoft.com/office/drawing/2014/main" id="{C40B030F-60C9-4807-ADCA-A1B49C9A3E0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733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2365</xdr:row>
      <xdr:rowOff>0</xdr:rowOff>
    </xdr:from>
    <xdr:ext cx="304800" cy="318408"/>
    <xdr:sp macro="" textlink="">
      <xdr:nvSpPr>
        <xdr:cNvPr id="3869" name="AutoShape 40" descr="Currently available antiretroviral drugs | Download Table">
          <a:extLst>
            <a:ext uri="{FF2B5EF4-FFF2-40B4-BE49-F238E27FC236}">
              <a16:creationId xmlns:a16="http://schemas.microsoft.com/office/drawing/2014/main" id="{72B6D628-07BF-43C8-B39A-F6BC82A49A4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554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2365</xdr:row>
      <xdr:rowOff>0</xdr:rowOff>
    </xdr:from>
    <xdr:ext cx="304800" cy="318408"/>
    <xdr:sp macro="" textlink="">
      <xdr:nvSpPr>
        <xdr:cNvPr id="3870" name="AutoShape 40" descr="Currently available antiretroviral drugs | Download Table">
          <a:extLst>
            <a:ext uri="{FF2B5EF4-FFF2-40B4-BE49-F238E27FC236}">
              <a16:creationId xmlns:a16="http://schemas.microsoft.com/office/drawing/2014/main" id="{8D7A783C-BAF0-4A5C-8DC4-28AB22A8B92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554294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2366</xdr:row>
      <xdr:rowOff>0</xdr:rowOff>
    </xdr:from>
    <xdr:ext cx="304800" cy="318408"/>
    <xdr:sp macro="" textlink="">
      <xdr:nvSpPr>
        <xdr:cNvPr id="3871" name="AutoShape 40" descr="Currently available antiretroviral drugs | Download Table">
          <a:extLst>
            <a:ext uri="{FF2B5EF4-FFF2-40B4-BE49-F238E27FC236}">
              <a16:creationId xmlns:a16="http://schemas.microsoft.com/office/drawing/2014/main" id="{FBFE07A6-A255-42FD-AF54-A9AD66C4EBC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733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2366</xdr:row>
      <xdr:rowOff>0</xdr:rowOff>
    </xdr:from>
    <xdr:ext cx="304800" cy="318408"/>
    <xdr:sp macro="" textlink="">
      <xdr:nvSpPr>
        <xdr:cNvPr id="3872" name="AutoShape 40" descr="Currently available antiretroviral drugs | Download Table">
          <a:extLst>
            <a:ext uri="{FF2B5EF4-FFF2-40B4-BE49-F238E27FC236}">
              <a16:creationId xmlns:a16="http://schemas.microsoft.com/office/drawing/2014/main" id="{D86E97C1-CC1C-4D99-ADBA-5776EF3A122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733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2366</xdr:row>
      <xdr:rowOff>0</xdr:rowOff>
    </xdr:from>
    <xdr:ext cx="304800" cy="318408"/>
    <xdr:sp macro="" textlink="">
      <xdr:nvSpPr>
        <xdr:cNvPr id="3873" name="AutoShape 40" descr="Currently available antiretroviral drugs | Download Table">
          <a:extLst>
            <a:ext uri="{FF2B5EF4-FFF2-40B4-BE49-F238E27FC236}">
              <a16:creationId xmlns:a16="http://schemas.microsoft.com/office/drawing/2014/main" id="{FAF4175F-E408-4117-BB0A-135D4429A67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733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2366</xdr:row>
      <xdr:rowOff>0</xdr:rowOff>
    </xdr:from>
    <xdr:ext cx="304800" cy="318408"/>
    <xdr:sp macro="" textlink="">
      <xdr:nvSpPr>
        <xdr:cNvPr id="3874" name="AutoShape 40" descr="Currently available antiretroviral drugs | Download Table">
          <a:extLst>
            <a:ext uri="{FF2B5EF4-FFF2-40B4-BE49-F238E27FC236}">
              <a16:creationId xmlns:a16="http://schemas.microsoft.com/office/drawing/2014/main" id="{A8225504-2983-40D1-A323-535590CA7E9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733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2366</xdr:row>
      <xdr:rowOff>0</xdr:rowOff>
    </xdr:from>
    <xdr:ext cx="304800" cy="318408"/>
    <xdr:sp macro="" textlink="">
      <xdr:nvSpPr>
        <xdr:cNvPr id="3875" name="AutoShape 40" descr="Currently available antiretroviral drugs | Download Table">
          <a:extLst>
            <a:ext uri="{FF2B5EF4-FFF2-40B4-BE49-F238E27FC236}">
              <a16:creationId xmlns:a16="http://schemas.microsoft.com/office/drawing/2014/main" id="{F9BDDA43-55E0-4DDC-A1BF-B380BEDAE9D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733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2366</xdr:row>
      <xdr:rowOff>0</xdr:rowOff>
    </xdr:from>
    <xdr:ext cx="304800" cy="318408"/>
    <xdr:sp macro="" textlink="">
      <xdr:nvSpPr>
        <xdr:cNvPr id="3876" name="AutoShape 40" descr="Currently available antiretroviral drugs | Download Table">
          <a:extLst>
            <a:ext uri="{FF2B5EF4-FFF2-40B4-BE49-F238E27FC236}">
              <a16:creationId xmlns:a16="http://schemas.microsoft.com/office/drawing/2014/main" id="{FC35EB28-3C14-47BD-982B-B8F4675B5AB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733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2366</xdr:row>
      <xdr:rowOff>0</xdr:rowOff>
    </xdr:from>
    <xdr:ext cx="304800" cy="318408"/>
    <xdr:sp macro="" textlink="">
      <xdr:nvSpPr>
        <xdr:cNvPr id="3877" name="AutoShape 40" descr="Currently available antiretroviral drugs | Download Table">
          <a:extLst>
            <a:ext uri="{FF2B5EF4-FFF2-40B4-BE49-F238E27FC236}">
              <a16:creationId xmlns:a16="http://schemas.microsoft.com/office/drawing/2014/main" id="{038CCDF8-A29F-4B3F-8DAF-8486AB14AAE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733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2366</xdr:row>
      <xdr:rowOff>0</xdr:rowOff>
    </xdr:from>
    <xdr:ext cx="304800" cy="318408"/>
    <xdr:sp macro="" textlink="">
      <xdr:nvSpPr>
        <xdr:cNvPr id="3878" name="AutoShape 40" descr="Currently available antiretroviral drugs | Download Table">
          <a:extLst>
            <a:ext uri="{FF2B5EF4-FFF2-40B4-BE49-F238E27FC236}">
              <a16:creationId xmlns:a16="http://schemas.microsoft.com/office/drawing/2014/main" id="{A10A0CF1-A7EE-48FA-8728-106BA8809B2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733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2366</xdr:row>
      <xdr:rowOff>0</xdr:rowOff>
    </xdr:from>
    <xdr:ext cx="304800" cy="318408"/>
    <xdr:sp macro="" textlink="">
      <xdr:nvSpPr>
        <xdr:cNvPr id="3879" name="AutoShape 40" descr="Currently available antiretroviral drugs | Download Table">
          <a:extLst>
            <a:ext uri="{FF2B5EF4-FFF2-40B4-BE49-F238E27FC236}">
              <a16:creationId xmlns:a16="http://schemas.microsoft.com/office/drawing/2014/main" id="{EEC22FC4-9C60-4823-ACCE-F95B3BE89E1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733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2366</xdr:row>
      <xdr:rowOff>0</xdr:rowOff>
    </xdr:from>
    <xdr:ext cx="304800" cy="318408"/>
    <xdr:sp macro="" textlink="">
      <xdr:nvSpPr>
        <xdr:cNvPr id="3880" name="AutoShape 40" descr="Currently available antiretroviral drugs | Download Table">
          <a:extLst>
            <a:ext uri="{FF2B5EF4-FFF2-40B4-BE49-F238E27FC236}">
              <a16:creationId xmlns:a16="http://schemas.microsoft.com/office/drawing/2014/main" id="{2868D91A-92C0-4349-9BD8-5E8D9A421C6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733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2366</xdr:row>
      <xdr:rowOff>0</xdr:rowOff>
    </xdr:from>
    <xdr:ext cx="304800" cy="318408"/>
    <xdr:sp macro="" textlink="">
      <xdr:nvSpPr>
        <xdr:cNvPr id="3881" name="AutoShape 40" descr="Currently available antiretroviral drugs | Download Table">
          <a:extLst>
            <a:ext uri="{FF2B5EF4-FFF2-40B4-BE49-F238E27FC236}">
              <a16:creationId xmlns:a16="http://schemas.microsoft.com/office/drawing/2014/main" id="{068DA79C-560B-480F-8506-93643E9FFE0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733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2366</xdr:row>
      <xdr:rowOff>0</xdr:rowOff>
    </xdr:from>
    <xdr:ext cx="304800" cy="318408"/>
    <xdr:sp macro="" textlink="">
      <xdr:nvSpPr>
        <xdr:cNvPr id="3882" name="AutoShape 40" descr="Currently available antiretroviral drugs | Download Table">
          <a:extLst>
            <a:ext uri="{FF2B5EF4-FFF2-40B4-BE49-F238E27FC236}">
              <a16:creationId xmlns:a16="http://schemas.microsoft.com/office/drawing/2014/main" id="{F79A6258-9277-4493-A070-2519605AE30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733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2366</xdr:row>
      <xdr:rowOff>0</xdr:rowOff>
    </xdr:from>
    <xdr:ext cx="304800" cy="318408"/>
    <xdr:sp macro="" textlink="">
      <xdr:nvSpPr>
        <xdr:cNvPr id="3883" name="AutoShape 40" descr="Currently available antiretroviral drugs | Download Table">
          <a:extLst>
            <a:ext uri="{FF2B5EF4-FFF2-40B4-BE49-F238E27FC236}">
              <a16:creationId xmlns:a16="http://schemas.microsoft.com/office/drawing/2014/main" id="{7C722E9A-122F-4D22-9F8E-99076D1218F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733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2366</xdr:row>
      <xdr:rowOff>0</xdr:rowOff>
    </xdr:from>
    <xdr:ext cx="304800" cy="318408"/>
    <xdr:sp macro="" textlink="">
      <xdr:nvSpPr>
        <xdr:cNvPr id="3884" name="AutoShape 40" descr="Currently available antiretroviral drugs | Download Table">
          <a:extLst>
            <a:ext uri="{FF2B5EF4-FFF2-40B4-BE49-F238E27FC236}">
              <a16:creationId xmlns:a16="http://schemas.microsoft.com/office/drawing/2014/main" id="{D18983DF-6FD0-477D-8D3A-CF4B434042B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733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2366</xdr:row>
      <xdr:rowOff>0</xdr:rowOff>
    </xdr:from>
    <xdr:ext cx="304800" cy="318408"/>
    <xdr:sp macro="" textlink="">
      <xdr:nvSpPr>
        <xdr:cNvPr id="3885" name="AutoShape 40" descr="Currently available antiretroviral drugs | Download Table">
          <a:extLst>
            <a:ext uri="{FF2B5EF4-FFF2-40B4-BE49-F238E27FC236}">
              <a16:creationId xmlns:a16="http://schemas.microsoft.com/office/drawing/2014/main" id="{BD638EEE-8005-4C59-A14D-EA6280E6C30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733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2366</xdr:row>
      <xdr:rowOff>0</xdr:rowOff>
    </xdr:from>
    <xdr:ext cx="304800" cy="318408"/>
    <xdr:sp macro="" textlink="">
      <xdr:nvSpPr>
        <xdr:cNvPr id="3886" name="AutoShape 40" descr="Currently available antiretroviral drugs | Download Table">
          <a:extLst>
            <a:ext uri="{FF2B5EF4-FFF2-40B4-BE49-F238E27FC236}">
              <a16:creationId xmlns:a16="http://schemas.microsoft.com/office/drawing/2014/main" id="{0EB718AD-128B-455D-8F4B-D812AC28F5B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733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2366</xdr:row>
      <xdr:rowOff>0</xdr:rowOff>
    </xdr:from>
    <xdr:ext cx="304800" cy="318408"/>
    <xdr:sp macro="" textlink="">
      <xdr:nvSpPr>
        <xdr:cNvPr id="3887" name="AutoShape 40" descr="Currently available antiretroviral drugs | Download Table">
          <a:extLst>
            <a:ext uri="{FF2B5EF4-FFF2-40B4-BE49-F238E27FC236}">
              <a16:creationId xmlns:a16="http://schemas.microsoft.com/office/drawing/2014/main" id="{108FA951-FD0D-4FA0-9E94-59542155E0E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733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2366</xdr:row>
      <xdr:rowOff>0</xdr:rowOff>
    </xdr:from>
    <xdr:ext cx="304800" cy="318408"/>
    <xdr:sp macro="" textlink="">
      <xdr:nvSpPr>
        <xdr:cNvPr id="3888" name="AutoShape 40" descr="Currently available antiretroviral drugs | Download Table">
          <a:extLst>
            <a:ext uri="{FF2B5EF4-FFF2-40B4-BE49-F238E27FC236}">
              <a16:creationId xmlns:a16="http://schemas.microsoft.com/office/drawing/2014/main" id="{FD65CF65-B54B-4715-8ACE-2BCBEF8D0F2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733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2366</xdr:row>
      <xdr:rowOff>0</xdr:rowOff>
    </xdr:from>
    <xdr:ext cx="304800" cy="318408"/>
    <xdr:sp macro="" textlink="">
      <xdr:nvSpPr>
        <xdr:cNvPr id="3889" name="AutoShape 40" descr="Currently available antiretroviral drugs | Download Table">
          <a:extLst>
            <a:ext uri="{FF2B5EF4-FFF2-40B4-BE49-F238E27FC236}">
              <a16:creationId xmlns:a16="http://schemas.microsoft.com/office/drawing/2014/main" id="{6D483D24-CDDE-4717-AEB9-1D198E097B4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733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2366</xdr:row>
      <xdr:rowOff>0</xdr:rowOff>
    </xdr:from>
    <xdr:ext cx="304800" cy="318408"/>
    <xdr:sp macro="" textlink="">
      <xdr:nvSpPr>
        <xdr:cNvPr id="3890" name="AutoShape 40" descr="Currently available antiretroviral drugs | Download Table">
          <a:extLst>
            <a:ext uri="{FF2B5EF4-FFF2-40B4-BE49-F238E27FC236}">
              <a16:creationId xmlns:a16="http://schemas.microsoft.com/office/drawing/2014/main" id="{9262282C-D83E-41AB-A114-A15F1B82ED3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733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2366</xdr:row>
      <xdr:rowOff>0</xdr:rowOff>
    </xdr:from>
    <xdr:ext cx="304800" cy="318408"/>
    <xdr:sp macro="" textlink="">
      <xdr:nvSpPr>
        <xdr:cNvPr id="3891" name="AutoShape 40" descr="Currently available antiretroviral drugs | Download Table">
          <a:extLst>
            <a:ext uri="{FF2B5EF4-FFF2-40B4-BE49-F238E27FC236}">
              <a16:creationId xmlns:a16="http://schemas.microsoft.com/office/drawing/2014/main" id="{E5999ED2-AAFE-47BA-83F0-4C3F886A956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733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2366</xdr:row>
      <xdr:rowOff>0</xdr:rowOff>
    </xdr:from>
    <xdr:ext cx="304800" cy="318408"/>
    <xdr:sp macro="" textlink="">
      <xdr:nvSpPr>
        <xdr:cNvPr id="3892" name="AutoShape 40" descr="Currently available antiretroviral drugs | Download Table">
          <a:extLst>
            <a:ext uri="{FF2B5EF4-FFF2-40B4-BE49-F238E27FC236}">
              <a16:creationId xmlns:a16="http://schemas.microsoft.com/office/drawing/2014/main" id="{282B2BAC-38C5-40B1-A51F-CF92C0E66B6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733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2366</xdr:row>
      <xdr:rowOff>0</xdr:rowOff>
    </xdr:from>
    <xdr:ext cx="304800" cy="318408"/>
    <xdr:sp macro="" textlink="">
      <xdr:nvSpPr>
        <xdr:cNvPr id="3893" name="AutoShape 40" descr="Currently available antiretroviral drugs | Download Table">
          <a:extLst>
            <a:ext uri="{FF2B5EF4-FFF2-40B4-BE49-F238E27FC236}">
              <a16:creationId xmlns:a16="http://schemas.microsoft.com/office/drawing/2014/main" id="{EB7499BC-6FA7-4EFA-AD1A-64CC267111F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733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2366</xdr:row>
      <xdr:rowOff>0</xdr:rowOff>
    </xdr:from>
    <xdr:ext cx="304800" cy="318408"/>
    <xdr:sp macro="" textlink="">
      <xdr:nvSpPr>
        <xdr:cNvPr id="3894" name="AutoShape 40" descr="Currently available antiretroviral drugs | Download Table">
          <a:extLst>
            <a:ext uri="{FF2B5EF4-FFF2-40B4-BE49-F238E27FC236}">
              <a16:creationId xmlns:a16="http://schemas.microsoft.com/office/drawing/2014/main" id="{EB13461B-B7B4-4C42-B37A-C01764A42D8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733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2366</xdr:row>
      <xdr:rowOff>0</xdr:rowOff>
    </xdr:from>
    <xdr:ext cx="304800" cy="318408"/>
    <xdr:sp macro="" textlink="">
      <xdr:nvSpPr>
        <xdr:cNvPr id="3895" name="AutoShape 40" descr="Currently available antiretroviral drugs | Download Table">
          <a:extLst>
            <a:ext uri="{FF2B5EF4-FFF2-40B4-BE49-F238E27FC236}">
              <a16:creationId xmlns:a16="http://schemas.microsoft.com/office/drawing/2014/main" id="{BDB0379E-1AE7-43E4-92F3-89702CC9175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733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2366</xdr:row>
      <xdr:rowOff>0</xdr:rowOff>
    </xdr:from>
    <xdr:ext cx="304800" cy="318408"/>
    <xdr:sp macro="" textlink="">
      <xdr:nvSpPr>
        <xdr:cNvPr id="3896" name="AutoShape 40" descr="Currently available antiretroviral drugs | Download Table">
          <a:extLst>
            <a:ext uri="{FF2B5EF4-FFF2-40B4-BE49-F238E27FC236}">
              <a16:creationId xmlns:a16="http://schemas.microsoft.com/office/drawing/2014/main" id="{F752410D-BA06-4E3E-B3E5-7797A46A8D6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733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2366</xdr:row>
      <xdr:rowOff>0</xdr:rowOff>
    </xdr:from>
    <xdr:ext cx="304800" cy="318408"/>
    <xdr:sp macro="" textlink="">
      <xdr:nvSpPr>
        <xdr:cNvPr id="3897" name="AutoShape 40" descr="Currently available antiretroviral drugs | Download Table">
          <a:extLst>
            <a:ext uri="{FF2B5EF4-FFF2-40B4-BE49-F238E27FC236}">
              <a16:creationId xmlns:a16="http://schemas.microsoft.com/office/drawing/2014/main" id="{13D689F1-9349-41F0-913C-8461B48B911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733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2366</xdr:row>
      <xdr:rowOff>0</xdr:rowOff>
    </xdr:from>
    <xdr:ext cx="304800" cy="318408"/>
    <xdr:sp macro="" textlink="">
      <xdr:nvSpPr>
        <xdr:cNvPr id="3898" name="AutoShape 40" descr="Currently available antiretroviral drugs | Download Table">
          <a:extLst>
            <a:ext uri="{FF2B5EF4-FFF2-40B4-BE49-F238E27FC236}">
              <a16:creationId xmlns:a16="http://schemas.microsoft.com/office/drawing/2014/main" id="{C242BB72-4867-4326-9A9C-E25D3F7629C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733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2366</xdr:row>
      <xdr:rowOff>0</xdr:rowOff>
    </xdr:from>
    <xdr:ext cx="304800" cy="318408"/>
    <xdr:sp macro="" textlink="">
      <xdr:nvSpPr>
        <xdr:cNvPr id="3899" name="AutoShape 40" descr="Currently available antiretroviral drugs | Download Table">
          <a:extLst>
            <a:ext uri="{FF2B5EF4-FFF2-40B4-BE49-F238E27FC236}">
              <a16:creationId xmlns:a16="http://schemas.microsoft.com/office/drawing/2014/main" id="{7D912381-1C1D-411C-AB47-C5AC65B0FA4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733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2366</xdr:row>
      <xdr:rowOff>0</xdr:rowOff>
    </xdr:from>
    <xdr:ext cx="304800" cy="318408"/>
    <xdr:sp macro="" textlink="">
      <xdr:nvSpPr>
        <xdr:cNvPr id="3900" name="AutoShape 40" descr="Currently available antiretroviral drugs | Download Table">
          <a:extLst>
            <a:ext uri="{FF2B5EF4-FFF2-40B4-BE49-F238E27FC236}">
              <a16:creationId xmlns:a16="http://schemas.microsoft.com/office/drawing/2014/main" id="{D40F210B-D17D-4485-8F31-56E3A8E28C2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733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2366</xdr:row>
      <xdr:rowOff>0</xdr:rowOff>
    </xdr:from>
    <xdr:ext cx="304800" cy="318408"/>
    <xdr:sp macro="" textlink="">
      <xdr:nvSpPr>
        <xdr:cNvPr id="3901" name="AutoShape 40" descr="Currently available antiretroviral drugs | Download Table">
          <a:extLst>
            <a:ext uri="{FF2B5EF4-FFF2-40B4-BE49-F238E27FC236}">
              <a16:creationId xmlns:a16="http://schemas.microsoft.com/office/drawing/2014/main" id="{93B39576-9E10-4875-B509-5762A3DFE24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733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2366</xdr:row>
      <xdr:rowOff>0</xdr:rowOff>
    </xdr:from>
    <xdr:ext cx="304800" cy="318408"/>
    <xdr:sp macro="" textlink="">
      <xdr:nvSpPr>
        <xdr:cNvPr id="3902" name="AutoShape 40" descr="Currently available antiretroviral drugs | Download Table">
          <a:extLst>
            <a:ext uri="{FF2B5EF4-FFF2-40B4-BE49-F238E27FC236}">
              <a16:creationId xmlns:a16="http://schemas.microsoft.com/office/drawing/2014/main" id="{8398F33B-42BB-4E9C-AB27-E73D3BDFAB1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733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2367</xdr:row>
      <xdr:rowOff>0</xdr:rowOff>
    </xdr:from>
    <xdr:ext cx="304800" cy="318408"/>
    <xdr:sp macro="" textlink="">
      <xdr:nvSpPr>
        <xdr:cNvPr id="3903" name="AutoShape 40" descr="Currently available antiretroviral drugs | Download Table">
          <a:extLst>
            <a:ext uri="{FF2B5EF4-FFF2-40B4-BE49-F238E27FC236}">
              <a16:creationId xmlns:a16="http://schemas.microsoft.com/office/drawing/2014/main" id="{781B4E55-8CBB-452C-AEBF-AFE3DB0FA51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912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2367</xdr:row>
      <xdr:rowOff>0</xdr:rowOff>
    </xdr:from>
    <xdr:ext cx="304800" cy="318408"/>
    <xdr:sp macro="" textlink="">
      <xdr:nvSpPr>
        <xdr:cNvPr id="3904" name="AutoShape 40" descr="Currently available antiretroviral drugs | Download Table">
          <a:extLst>
            <a:ext uri="{FF2B5EF4-FFF2-40B4-BE49-F238E27FC236}">
              <a16:creationId xmlns:a16="http://schemas.microsoft.com/office/drawing/2014/main" id="{CB2DE73A-92DB-4286-8677-35C15DC7D81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912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2367</xdr:row>
      <xdr:rowOff>0</xdr:rowOff>
    </xdr:from>
    <xdr:ext cx="304800" cy="318408"/>
    <xdr:sp macro="" textlink="">
      <xdr:nvSpPr>
        <xdr:cNvPr id="3905" name="AutoShape 40" descr="Currently available antiretroviral drugs | Download Table">
          <a:extLst>
            <a:ext uri="{FF2B5EF4-FFF2-40B4-BE49-F238E27FC236}">
              <a16:creationId xmlns:a16="http://schemas.microsoft.com/office/drawing/2014/main" id="{7E5EA603-C9AA-46F6-8821-C61C8683838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912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2367</xdr:row>
      <xdr:rowOff>0</xdr:rowOff>
    </xdr:from>
    <xdr:ext cx="304800" cy="318408"/>
    <xdr:sp macro="" textlink="">
      <xdr:nvSpPr>
        <xdr:cNvPr id="3906" name="AutoShape 40" descr="Currently available antiretroviral drugs | Download Table">
          <a:extLst>
            <a:ext uri="{FF2B5EF4-FFF2-40B4-BE49-F238E27FC236}">
              <a16:creationId xmlns:a16="http://schemas.microsoft.com/office/drawing/2014/main" id="{D1D567C0-4249-4818-A34F-66BAA0557D7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912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2367</xdr:row>
      <xdr:rowOff>0</xdr:rowOff>
    </xdr:from>
    <xdr:ext cx="304800" cy="318408"/>
    <xdr:sp macro="" textlink="">
      <xdr:nvSpPr>
        <xdr:cNvPr id="3907" name="AutoShape 40" descr="Currently available antiretroviral drugs | Download Table">
          <a:extLst>
            <a:ext uri="{FF2B5EF4-FFF2-40B4-BE49-F238E27FC236}">
              <a16:creationId xmlns:a16="http://schemas.microsoft.com/office/drawing/2014/main" id="{DA2A67CF-F0CC-44F0-909B-4BE61771DD3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912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2367</xdr:row>
      <xdr:rowOff>0</xdr:rowOff>
    </xdr:from>
    <xdr:ext cx="304800" cy="318408"/>
    <xdr:sp macro="" textlink="">
      <xdr:nvSpPr>
        <xdr:cNvPr id="3908" name="AutoShape 40" descr="Currently available antiretroviral drugs | Download Table">
          <a:extLst>
            <a:ext uri="{FF2B5EF4-FFF2-40B4-BE49-F238E27FC236}">
              <a16:creationId xmlns:a16="http://schemas.microsoft.com/office/drawing/2014/main" id="{896D898F-1FCC-46C5-87A5-AA1A3ED002C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912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2367</xdr:row>
      <xdr:rowOff>0</xdr:rowOff>
    </xdr:from>
    <xdr:ext cx="304800" cy="318408"/>
    <xdr:sp macro="" textlink="">
      <xdr:nvSpPr>
        <xdr:cNvPr id="3909" name="AutoShape 40" descr="Currently available antiretroviral drugs | Download Table">
          <a:extLst>
            <a:ext uri="{FF2B5EF4-FFF2-40B4-BE49-F238E27FC236}">
              <a16:creationId xmlns:a16="http://schemas.microsoft.com/office/drawing/2014/main" id="{AF6C4A4E-5EF7-4946-97BB-89429AFD781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912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2367</xdr:row>
      <xdr:rowOff>0</xdr:rowOff>
    </xdr:from>
    <xdr:ext cx="304800" cy="318408"/>
    <xdr:sp macro="" textlink="">
      <xdr:nvSpPr>
        <xdr:cNvPr id="3910" name="AutoShape 40" descr="Currently available antiretroviral drugs | Download Table">
          <a:extLst>
            <a:ext uri="{FF2B5EF4-FFF2-40B4-BE49-F238E27FC236}">
              <a16:creationId xmlns:a16="http://schemas.microsoft.com/office/drawing/2014/main" id="{145BC2C4-6826-413C-94EC-72EEEE4AA55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912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2367</xdr:row>
      <xdr:rowOff>0</xdr:rowOff>
    </xdr:from>
    <xdr:ext cx="304800" cy="318408"/>
    <xdr:sp macro="" textlink="">
      <xdr:nvSpPr>
        <xdr:cNvPr id="3911" name="AutoShape 40" descr="Currently available antiretroviral drugs | Download Table">
          <a:extLst>
            <a:ext uri="{FF2B5EF4-FFF2-40B4-BE49-F238E27FC236}">
              <a16:creationId xmlns:a16="http://schemas.microsoft.com/office/drawing/2014/main" id="{CF16B5DD-8548-4E0E-9448-B3E9686290B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912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2367</xdr:row>
      <xdr:rowOff>0</xdr:rowOff>
    </xdr:from>
    <xdr:ext cx="304800" cy="318408"/>
    <xdr:sp macro="" textlink="">
      <xdr:nvSpPr>
        <xdr:cNvPr id="3912" name="AutoShape 40" descr="Currently available antiretroviral drugs | Download Table">
          <a:extLst>
            <a:ext uri="{FF2B5EF4-FFF2-40B4-BE49-F238E27FC236}">
              <a16:creationId xmlns:a16="http://schemas.microsoft.com/office/drawing/2014/main" id="{AA020E73-DCA8-4EB8-8966-874D0B60A0B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912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2367</xdr:row>
      <xdr:rowOff>0</xdr:rowOff>
    </xdr:from>
    <xdr:ext cx="304800" cy="318408"/>
    <xdr:sp macro="" textlink="">
      <xdr:nvSpPr>
        <xdr:cNvPr id="3913" name="AutoShape 40" descr="Currently available antiretroviral drugs | Download Table">
          <a:extLst>
            <a:ext uri="{FF2B5EF4-FFF2-40B4-BE49-F238E27FC236}">
              <a16:creationId xmlns:a16="http://schemas.microsoft.com/office/drawing/2014/main" id="{C1BE27B0-25B0-4850-ACC2-02EE991FC3B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912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2367</xdr:row>
      <xdr:rowOff>0</xdr:rowOff>
    </xdr:from>
    <xdr:ext cx="304800" cy="318408"/>
    <xdr:sp macro="" textlink="">
      <xdr:nvSpPr>
        <xdr:cNvPr id="3914" name="AutoShape 40" descr="Currently available antiretroviral drugs | Download Table">
          <a:extLst>
            <a:ext uri="{FF2B5EF4-FFF2-40B4-BE49-F238E27FC236}">
              <a16:creationId xmlns:a16="http://schemas.microsoft.com/office/drawing/2014/main" id="{93016CDF-AEED-4ECD-B39F-0D351B075F5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912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2367</xdr:row>
      <xdr:rowOff>0</xdr:rowOff>
    </xdr:from>
    <xdr:ext cx="304800" cy="318408"/>
    <xdr:sp macro="" textlink="">
      <xdr:nvSpPr>
        <xdr:cNvPr id="3915" name="AutoShape 40" descr="Currently available antiretroviral drugs | Download Table">
          <a:extLst>
            <a:ext uri="{FF2B5EF4-FFF2-40B4-BE49-F238E27FC236}">
              <a16:creationId xmlns:a16="http://schemas.microsoft.com/office/drawing/2014/main" id="{FD089E49-02EB-4E39-B8A8-53737C03342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912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2366</xdr:row>
      <xdr:rowOff>0</xdr:rowOff>
    </xdr:from>
    <xdr:ext cx="304800" cy="318408"/>
    <xdr:sp macro="" textlink="">
      <xdr:nvSpPr>
        <xdr:cNvPr id="3916" name="AutoShape 40" descr="Currently available antiretroviral drugs | Download Table">
          <a:extLst>
            <a:ext uri="{FF2B5EF4-FFF2-40B4-BE49-F238E27FC236}">
              <a16:creationId xmlns:a16="http://schemas.microsoft.com/office/drawing/2014/main" id="{4F745766-5C09-4B1D-8756-47BF0F02D56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733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2366</xdr:row>
      <xdr:rowOff>0</xdr:rowOff>
    </xdr:from>
    <xdr:ext cx="304800" cy="318408"/>
    <xdr:sp macro="" textlink="">
      <xdr:nvSpPr>
        <xdr:cNvPr id="3917" name="AutoShape 40" descr="Currently available antiretroviral drugs | Download Table">
          <a:extLst>
            <a:ext uri="{FF2B5EF4-FFF2-40B4-BE49-F238E27FC236}">
              <a16:creationId xmlns:a16="http://schemas.microsoft.com/office/drawing/2014/main" id="{65DBC646-B5BD-4C72-943F-C6A2D10F89F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733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2366</xdr:row>
      <xdr:rowOff>0</xdr:rowOff>
    </xdr:from>
    <xdr:ext cx="304800" cy="318408"/>
    <xdr:sp macro="" textlink="">
      <xdr:nvSpPr>
        <xdr:cNvPr id="3918" name="AutoShape 40" descr="Currently available antiretroviral drugs | Download Table">
          <a:extLst>
            <a:ext uri="{FF2B5EF4-FFF2-40B4-BE49-F238E27FC236}">
              <a16:creationId xmlns:a16="http://schemas.microsoft.com/office/drawing/2014/main" id="{4C34CE46-627D-4784-B3D3-6E08791BFFB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733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2366</xdr:row>
      <xdr:rowOff>0</xdr:rowOff>
    </xdr:from>
    <xdr:ext cx="304800" cy="318408"/>
    <xdr:sp macro="" textlink="">
      <xdr:nvSpPr>
        <xdr:cNvPr id="3919" name="AutoShape 40" descr="Currently available antiretroviral drugs | Download Table">
          <a:extLst>
            <a:ext uri="{FF2B5EF4-FFF2-40B4-BE49-F238E27FC236}">
              <a16:creationId xmlns:a16="http://schemas.microsoft.com/office/drawing/2014/main" id="{9A0540F7-6323-44FD-A066-023EADB1511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733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2366</xdr:row>
      <xdr:rowOff>0</xdr:rowOff>
    </xdr:from>
    <xdr:ext cx="304800" cy="318408"/>
    <xdr:sp macro="" textlink="">
      <xdr:nvSpPr>
        <xdr:cNvPr id="3920" name="AutoShape 40" descr="Currently available antiretroviral drugs | Download Table">
          <a:extLst>
            <a:ext uri="{FF2B5EF4-FFF2-40B4-BE49-F238E27FC236}">
              <a16:creationId xmlns:a16="http://schemas.microsoft.com/office/drawing/2014/main" id="{4D6D4545-F7AF-4A4F-BC90-2D692DA672E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733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2366</xdr:row>
      <xdr:rowOff>0</xdr:rowOff>
    </xdr:from>
    <xdr:ext cx="304800" cy="318408"/>
    <xdr:sp macro="" textlink="">
      <xdr:nvSpPr>
        <xdr:cNvPr id="3921" name="AutoShape 40" descr="Currently available antiretroviral drugs | Download Table">
          <a:extLst>
            <a:ext uri="{FF2B5EF4-FFF2-40B4-BE49-F238E27FC236}">
              <a16:creationId xmlns:a16="http://schemas.microsoft.com/office/drawing/2014/main" id="{0A78A6CD-C002-4341-A0DE-320D7B6CAFF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733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2366</xdr:row>
      <xdr:rowOff>0</xdr:rowOff>
    </xdr:from>
    <xdr:ext cx="304800" cy="318408"/>
    <xdr:sp macro="" textlink="">
      <xdr:nvSpPr>
        <xdr:cNvPr id="3922" name="AutoShape 40" descr="Currently available antiretroviral drugs | Download Table">
          <a:extLst>
            <a:ext uri="{FF2B5EF4-FFF2-40B4-BE49-F238E27FC236}">
              <a16:creationId xmlns:a16="http://schemas.microsoft.com/office/drawing/2014/main" id="{73F5997F-418A-4367-B91F-3AAD4E37F7F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733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2366</xdr:row>
      <xdr:rowOff>0</xdr:rowOff>
    </xdr:from>
    <xdr:ext cx="304800" cy="318408"/>
    <xdr:sp macro="" textlink="">
      <xdr:nvSpPr>
        <xdr:cNvPr id="3923" name="AutoShape 40" descr="Currently available antiretroviral drugs | Download Table">
          <a:extLst>
            <a:ext uri="{FF2B5EF4-FFF2-40B4-BE49-F238E27FC236}">
              <a16:creationId xmlns:a16="http://schemas.microsoft.com/office/drawing/2014/main" id="{EAEADFB3-FA14-4EAF-A2DD-0D39A2F8902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733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2366</xdr:row>
      <xdr:rowOff>0</xdr:rowOff>
    </xdr:from>
    <xdr:ext cx="304800" cy="318408"/>
    <xdr:sp macro="" textlink="">
      <xdr:nvSpPr>
        <xdr:cNvPr id="3924" name="AutoShape 40" descr="Currently available antiretroviral drugs | Download Table">
          <a:extLst>
            <a:ext uri="{FF2B5EF4-FFF2-40B4-BE49-F238E27FC236}">
              <a16:creationId xmlns:a16="http://schemas.microsoft.com/office/drawing/2014/main" id="{74CB7D23-7F59-4D38-A3A3-61F8A995720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733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2366</xdr:row>
      <xdr:rowOff>0</xdr:rowOff>
    </xdr:from>
    <xdr:ext cx="304800" cy="318408"/>
    <xdr:sp macro="" textlink="">
      <xdr:nvSpPr>
        <xdr:cNvPr id="3925" name="AutoShape 40" descr="Currently available antiretroviral drugs | Download Table">
          <a:extLst>
            <a:ext uri="{FF2B5EF4-FFF2-40B4-BE49-F238E27FC236}">
              <a16:creationId xmlns:a16="http://schemas.microsoft.com/office/drawing/2014/main" id="{1C7AD4D3-6CC1-4C38-AB1E-520D3D5E859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733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2366</xdr:row>
      <xdr:rowOff>0</xdr:rowOff>
    </xdr:from>
    <xdr:ext cx="304800" cy="318408"/>
    <xdr:sp macro="" textlink="">
      <xdr:nvSpPr>
        <xdr:cNvPr id="3926" name="AutoShape 40" descr="Currently available antiretroviral drugs | Download Table">
          <a:extLst>
            <a:ext uri="{FF2B5EF4-FFF2-40B4-BE49-F238E27FC236}">
              <a16:creationId xmlns:a16="http://schemas.microsoft.com/office/drawing/2014/main" id="{ECECFBBC-CA10-48BB-A3EB-7BE7FD0BCD0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733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2367</xdr:row>
      <xdr:rowOff>0</xdr:rowOff>
    </xdr:from>
    <xdr:ext cx="304800" cy="318408"/>
    <xdr:sp macro="" textlink="">
      <xdr:nvSpPr>
        <xdr:cNvPr id="3927" name="AutoShape 40" descr="Currently available antiretroviral drugs | Download Table">
          <a:extLst>
            <a:ext uri="{FF2B5EF4-FFF2-40B4-BE49-F238E27FC236}">
              <a16:creationId xmlns:a16="http://schemas.microsoft.com/office/drawing/2014/main" id="{E9D70A58-1B58-44A9-B456-5FF81E676DA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912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2366</xdr:row>
      <xdr:rowOff>0</xdr:rowOff>
    </xdr:from>
    <xdr:ext cx="304800" cy="318408"/>
    <xdr:sp macro="" textlink="">
      <xdr:nvSpPr>
        <xdr:cNvPr id="3928" name="AutoShape 40" descr="Currently available antiretroviral drugs | Download Table">
          <a:extLst>
            <a:ext uri="{FF2B5EF4-FFF2-40B4-BE49-F238E27FC236}">
              <a16:creationId xmlns:a16="http://schemas.microsoft.com/office/drawing/2014/main" id="{16F968E9-1891-44C6-AB3B-B5E18F3836D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733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2366</xdr:row>
      <xdr:rowOff>0</xdr:rowOff>
    </xdr:from>
    <xdr:ext cx="304800" cy="318408"/>
    <xdr:sp macro="" textlink="">
      <xdr:nvSpPr>
        <xdr:cNvPr id="3929" name="AutoShape 40" descr="Currently available antiretroviral drugs | Download Table">
          <a:extLst>
            <a:ext uri="{FF2B5EF4-FFF2-40B4-BE49-F238E27FC236}">
              <a16:creationId xmlns:a16="http://schemas.microsoft.com/office/drawing/2014/main" id="{F50C5C88-12AC-4C89-85C6-DCD3D6A611F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733588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2367</xdr:row>
      <xdr:rowOff>0</xdr:rowOff>
    </xdr:from>
    <xdr:ext cx="304800" cy="318408"/>
    <xdr:sp macro="" textlink="">
      <xdr:nvSpPr>
        <xdr:cNvPr id="3930" name="AutoShape 40" descr="Currently available antiretroviral drugs | Download Table">
          <a:extLst>
            <a:ext uri="{FF2B5EF4-FFF2-40B4-BE49-F238E27FC236}">
              <a16:creationId xmlns:a16="http://schemas.microsoft.com/office/drawing/2014/main" id="{328BEA49-1886-42D7-B766-8C7169222C7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912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2367</xdr:row>
      <xdr:rowOff>0</xdr:rowOff>
    </xdr:from>
    <xdr:ext cx="304800" cy="318408"/>
    <xdr:sp macro="" textlink="">
      <xdr:nvSpPr>
        <xdr:cNvPr id="3931" name="AutoShape 40" descr="Currently available antiretroviral drugs | Download Table">
          <a:extLst>
            <a:ext uri="{FF2B5EF4-FFF2-40B4-BE49-F238E27FC236}">
              <a16:creationId xmlns:a16="http://schemas.microsoft.com/office/drawing/2014/main" id="{E12A90F9-184B-427E-BE26-AAEC7C0AB5F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912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2367</xdr:row>
      <xdr:rowOff>0</xdr:rowOff>
    </xdr:from>
    <xdr:ext cx="304800" cy="318408"/>
    <xdr:sp macro="" textlink="">
      <xdr:nvSpPr>
        <xdr:cNvPr id="3932" name="AutoShape 40" descr="Currently available antiretroviral drugs | Download Table">
          <a:extLst>
            <a:ext uri="{FF2B5EF4-FFF2-40B4-BE49-F238E27FC236}">
              <a16:creationId xmlns:a16="http://schemas.microsoft.com/office/drawing/2014/main" id="{4A3A20DC-92AC-4058-AAB1-99F1960971C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912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2367</xdr:row>
      <xdr:rowOff>0</xdr:rowOff>
    </xdr:from>
    <xdr:ext cx="304800" cy="318408"/>
    <xdr:sp macro="" textlink="">
      <xdr:nvSpPr>
        <xdr:cNvPr id="3933" name="AutoShape 40" descr="Currently available antiretroviral drugs | Download Table">
          <a:extLst>
            <a:ext uri="{FF2B5EF4-FFF2-40B4-BE49-F238E27FC236}">
              <a16:creationId xmlns:a16="http://schemas.microsoft.com/office/drawing/2014/main" id="{D6456F1F-911F-41EE-A4A9-0198EB888AB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912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2367</xdr:row>
      <xdr:rowOff>0</xdr:rowOff>
    </xdr:from>
    <xdr:ext cx="304800" cy="318408"/>
    <xdr:sp macro="" textlink="">
      <xdr:nvSpPr>
        <xdr:cNvPr id="3934" name="AutoShape 40" descr="Currently available antiretroviral drugs | Download Table">
          <a:extLst>
            <a:ext uri="{FF2B5EF4-FFF2-40B4-BE49-F238E27FC236}">
              <a16:creationId xmlns:a16="http://schemas.microsoft.com/office/drawing/2014/main" id="{557F56F3-763F-4722-A49C-5DD029A8447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912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2367</xdr:row>
      <xdr:rowOff>0</xdr:rowOff>
    </xdr:from>
    <xdr:ext cx="304800" cy="318408"/>
    <xdr:sp macro="" textlink="">
      <xdr:nvSpPr>
        <xdr:cNvPr id="3935" name="AutoShape 40" descr="Currently available antiretroviral drugs | Download Table">
          <a:extLst>
            <a:ext uri="{FF2B5EF4-FFF2-40B4-BE49-F238E27FC236}">
              <a16:creationId xmlns:a16="http://schemas.microsoft.com/office/drawing/2014/main" id="{8DC8C30E-4DB7-4E99-992E-5C2C8F36149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912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2367</xdr:row>
      <xdr:rowOff>0</xdr:rowOff>
    </xdr:from>
    <xdr:ext cx="304800" cy="318408"/>
    <xdr:sp macro="" textlink="">
      <xdr:nvSpPr>
        <xdr:cNvPr id="3936" name="AutoShape 40" descr="Currently available antiretroviral drugs | Download Table">
          <a:extLst>
            <a:ext uri="{FF2B5EF4-FFF2-40B4-BE49-F238E27FC236}">
              <a16:creationId xmlns:a16="http://schemas.microsoft.com/office/drawing/2014/main" id="{17B5417D-2155-4261-BD1A-C18BA342EE5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912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2367</xdr:row>
      <xdr:rowOff>0</xdr:rowOff>
    </xdr:from>
    <xdr:ext cx="304800" cy="318408"/>
    <xdr:sp macro="" textlink="">
      <xdr:nvSpPr>
        <xdr:cNvPr id="3937" name="AutoShape 40" descr="Currently available antiretroviral drugs | Download Table">
          <a:extLst>
            <a:ext uri="{FF2B5EF4-FFF2-40B4-BE49-F238E27FC236}">
              <a16:creationId xmlns:a16="http://schemas.microsoft.com/office/drawing/2014/main" id="{BE5B3A8A-FF5F-48CC-B235-804FE39A633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912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2367</xdr:row>
      <xdr:rowOff>0</xdr:rowOff>
    </xdr:from>
    <xdr:ext cx="304800" cy="318408"/>
    <xdr:sp macro="" textlink="">
      <xdr:nvSpPr>
        <xdr:cNvPr id="3938" name="AutoShape 40" descr="Currently available antiretroviral drugs | Download Table">
          <a:extLst>
            <a:ext uri="{FF2B5EF4-FFF2-40B4-BE49-F238E27FC236}">
              <a16:creationId xmlns:a16="http://schemas.microsoft.com/office/drawing/2014/main" id="{1D0BA948-B0F3-4F45-9EC7-300F35F3032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912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2367</xdr:row>
      <xdr:rowOff>0</xdr:rowOff>
    </xdr:from>
    <xdr:ext cx="304800" cy="318408"/>
    <xdr:sp macro="" textlink="">
      <xdr:nvSpPr>
        <xdr:cNvPr id="3939" name="AutoShape 40" descr="Currently available antiretroviral drugs | Download Table">
          <a:extLst>
            <a:ext uri="{FF2B5EF4-FFF2-40B4-BE49-F238E27FC236}">
              <a16:creationId xmlns:a16="http://schemas.microsoft.com/office/drawing/2014/main" id="{88F154E6-1777-40DA-BBED-CE6B6F25C61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912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2367</xdr:row>
      <xdr:rowOff>0</xdr:rowOff>
    </xdr:from>
    <xdr:ext cx="304800" cy="318408"/>
    <xdr:sp macro="" textlink="">
      <xdr:nvSpPr>
        <xdr:cNvPr id="3940" name="AutoShape 40" descr="Currently available antiretroviral drugs | Download Table">
          <a:extLst>
            <a:ext uri="{FF2B5EF4-FFF2-40B4-BE49-F238E27FC236}">
              <a16:creationId xmlns:a16="http://schemas.microsoft.com/office/drawing/2014/main" id="{ED13EF93-6A85-43DF-8733-68433A71018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912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2367</xdr:row>
      <xdr:rowOff>0</xdr:rowOff>
    </xdr:from>
    <xdr:ext cx="304800" cy="318408"/>
    <xdr:sp macro="" textlink="">
      <xdr:nvSpPr>
        <xdr:cNvPr id="3941" name="AutoShape 40" descr="Currently available antiretroviral drugs | Download Table">
          <a:extLst>
            <a:ext uri="{FF2B5EF4-FFF2-40B4-BE49-F238E27FC236}">
              <a16:creationId xmlns:a16="http://schemas.microsoft.com/office/drawing/2014/main" id="{3FBA5F3E-55F9-42F1-91B4-CAE9AFF460D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912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2367</xdr:row>
      <xdr:rowOff>0</xdr:rowOff>
    </xdr:from>
    <xdr:ext cx="304800" cy="318408"/>
    <xdr:sp macro="" textlink="">
      <xdr:nvSpPr>
        <xdr:cNvPr id="3942" name="AutoShape 40" descr="Currently available antiretroviral drugs | Download Table">
          <a:extLst>
            <a:ext uri="{FF2B5EF4-FFF2-40B4-BE49-F238E27FC236}">
              <a16:creationId xmlns:a16="http://schemas.microsoft.com/office/drawing/2014/main" id="{46A910AC-3E76-4D38-AA8A-295B050AAD5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912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2367</xdr:row>
      <xdr:rowOff>0</xdr:rowOff>
    </xdr:from>
    <xdr:ext cx="304800" cy="318408"/>
    <xdr:sp macro="" textlink="">
      <xdr:nvSpPr>
        <xdr:cNvPr id="3943" name="AutoShape 40" descr="Currently available antiretroviral drugs | Download Table">
          <a:extLst>
            <a:ext uri="{FF2B5EF4-FFF2-40B4-BE49-F238E27FC236}">
              <a16:creationId xmlns:a16="http://schemas.microsoft.com/office/drawing/2014/main" id="{0B449D90-353D-488E-8CE3-721847D6C5A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912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2367</xdr:row>
      <xdr:rowOff>0</xdr:rowOff>
    </xdr:from>
    <xdr:ext cx="304800" cy="318408"/>
    <xdr:sp macro="" textlink="">
      <xdr:nvSpPr>
        <xdr:cNvPr id="3944" name="AutoShape 40" descr="Currently available antiretroviral drugs | Download Table">
          <a:extLst>
            <a:ext uri="{FF2B5EF4-FFF2-40B4-BE49-F238E27FC236}">
              <a16:creationId xmlns:a16="http://schemas.microsoft.com/office/drawing/2014/main" id="{A5CB9734-1186-4C7D-A379-6AE174E3511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912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2367</xdr:row>
      <xdr:rowOff>0</xdr:rowOff>
    </xdr:from>
    <xdr:ext cx="304800" cy="318408"/>
    <xdr:sp macro="" textlink="">
      <xdr:nvSpPr>
        <xdr:cNvPr id="3945" name="AutoShape 40" descr="Currently available antiretroviral drugs | Download Table">
          <a:extLst>
            <a:ext uri="{FF2B5EF4-FFF2-40B4-BE49-F238E27FC236}">
              <a16:creationId xmlns:a16="http://schemas.microsoft.com/office/drawing/2014/main" id="{FB227083-F661-461B-9792-D05B6AA069A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912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2367</xdr:row>
      <xdr:rowOff>0</xdr:rowOff>
    </xdr:from>
    <xdr:ext cx="304800" cy="318408"/>
    <xdr:sp macro="" textlink="">
      <xdr:nvSpPr>
        <xdr:cNvPr id="3946" name="AutoShape 40" descr="Currently available antiretroviral drugs | Download Table">
          <a:extLst>
            <a:ext uri="{FF2B5EF4-FFF2-40B4-BE49-F238E27FC236}">
              <a16:creationId xmlns:a16="http://schemas.microsoft.com/office/drawing/2014/main" id="{DE28132F-8776-4188-A224-AA0405E8A96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912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2367</xdr:row>
      <xdr:rowOff>0</xdr:rowOff>
    </xdr:from>
    <xdr:ext cx="304800" cy="318408"/>
    <xdr:sp macro="" textlink="">
      <xdr:nvSpPr>
        <xdr:cNvPr id="3947" name="AutoShape 40" descr="Currently available antiretroviral drugs | Download Table">
          <a:extLst>
            <a:ext uri="{FF2B5EF4-FFF2-40B4-BE49-F238E27FC236}">
              <a16:creationId xmlns:a16="http://schemas.microsoft.com/office/drawing/2014/main" id="{BE731F68-5336-42AD-80E5-F1FD6BA3048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912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2367</xdr:row>
      <xdr:rowOff>0</xdr:rowOff>
    </xdr:from>
    <xdr:ext cx="304800" cy="318408"/>
    <xdr:sp macro="" textlink="">
      <xdr:nvSpPr>
        <xdr:cNvPr id="3948" name="AutoShape 40" descr="Currently available antiretroviral drugs | Download Table">
          <a:extLst>
            <a:ext uri="{FF2B5EF4-FFF2-40B4-BE49-F238E27FC236}">
              <a16:creationId xmlns:a16="http://schemas.microsoft.com/office/drawing/2014/main" id="{09CF5533-6CF9-4902-AFBF-8246E92B425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912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2367</xdr:row>
      <xdr:rowOff>0</xdr:rowOff>
    </xdr:from>
    <xdr:ext cx="304800" cy="318408"/>
    <xdr:sp macro="" textlink="">
      <xdr:nvSpPr>
        <xdr:cNvPr id="3949" name="AutoShape 40" descr="Currently available antiretroviral drugs | Download Table">
          <a:extLst>
            <a:ext uri="{FF2B5EF4-FFF2-40B4-BE49-F238E27FC236}">
              <a16:creationId xmlns:a16="http://schemas.microsoft.com/office/drawing/2014/main" id="{81EA34DD-7E8B-46B6-A6D6-A60BFF7CF84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912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2367</xdr:row>
      <xdr:rowOff>0</xdr:rowOff>
    </xdr:from>
    <xdr:ext cx="304800" cy="318408"/>
    <xdr:sp macro="" textlink="">
      <xdr:nvSpPr>
        <xdr:cNvPr id="3950" name="AutoShape 40" descr="Currently available antiretroviral drugs | Download Table">
          <a:extLst>
            <a:ext uri="{FF2B5EF4-FFF2-40B4-BE49-F238E27FC236}">
              <a16:creationId xmlns:a16="http://schemas.microsoft.com/office/drawing/2014/main" id="{0061D3B5-155B-437A-ADC4-84086596BD9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912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2367</xdr:row>
      <xdr:rowOff>0</xdr:rowOff>
    </xdr:from>
    <xdr:ext cx="304800" cy="318408"/>
    <xdr:sp macro="" textlink="">
      <xdr:nvSpPr>
        <xdr:cNvPr id="3951" name="AutoShape 40" descr="Currently available antiretroviral drugs | Download Table">
          <a:extLst>
            <a:ext uri="{FF2B5EF4-FFF2-40B4-BE49-F238E27FC236}">
              <a16:creationId xmlns:a16="http://schemas.microsoft.com/office/drawing/2014/main" id="{9D087B9B-144E-47F2-A793-0BC2AA7DD41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912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2367</xdr:row>
      <xdr:rowOff>0</xdr:rowOff>
    </xdr:from>
    <xdr:ext cx="304800" cy="318408"/>
    <xdr:sp macro="" textlink="">
      <xdr:nvSpPr>
        <xdr:cNvPr id="3952" name="AutoShape 40" descr="Currently available antiretroviral drugs | Download Table">
          <a:extLst>
            <a:ext uri="{FF2B5EF4-FFF2-40B4-BE49-F238E27FC236}">
              <a16:creationId xmlns:a16="http://schemas.microsoft.com/office/drawing/2014/main" id="{272E2CDB-B4DA-4916-B1C8-CE2EFE95613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912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2367</xdr:row>
      <xdr:rowOff>0</xdr:rowOff>
    </xdr:from>
    <xdr:ext cx="304800" cy="318408"/>
    <xdr:sp macro="" textlink="">
      <xdr:nvSpPr>
        <xdr:cNvPr id="3953" name="AutoShape 40" descr="Currently available antiretroviral drugs | Download Table">
          <a:extLst>
            <a:ext uri="{FF2B5EF4-FFF2-40B4-BE49-F238E27FC236}">
              <a16:creationId xmlns:a16="http://schemas.microsoft.com/office/drawing/2014/main" id="{C89C34A7-7538-4CDE-AAC6-0625E2475E1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912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2367</xdr:row>
      <xdr:rowOff>0</xdr:rowOff>
    </xdr:from>
    <xdr:ext cx="304800" cy="318408"/>
    <xdr:sp macro="" textlink="">
      <xdr:nvSpPr>
        <xdr:cNvPr id="3954" name="AutoShape 40" descr="Currently available antiretroviral drugs | Download Table">
          <a:extLst>
            <a:ext uri="{FF2B5EF4-FFF2-40B4-BE49-F238E27FC236}">
              <a16:creationId xmlns:a16="http://schemas.microsoft.com/office/drawing/2014/main" id="{3A9FD88D-B5D1-48BD-9313-1D680A33986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912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2367</xdr:row>
      <xdr:rowOff>0</xdr:rowOff>
    </xdr:from>
    <xdr:ext cx="304800" cy="318408"/>
    <xdr:sp macro="" textlink="">
      <xdr:nvSpPr>
        <xdr:cNvPr id="3955" name="AutoShape 40" descr="Currently available antiretroviral drugs | Download Table">
          <a:extLst>
            <a:ext uri="{FF2B5EF4-FFF2-40B4-BE49-F238E27FC236}">
              <a16:creationId xmlns:a16="http://schemas.microsoft.com/office/drawing/2014/main" id="{5F0BEF0A-4D84-4AFC-AA5A-862017DEEBE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912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2367</xdr:row>
      <xdr:rowOff>0</xdr:rowOff>
    </xdr:from>
    <xdr:ext cx="304800" cy="318408"/>
    <xdr:sp macro="" textlink="">
      <xdr:nvSpPr>
        <xdr:cNvPr id="3956" name="AutoShape 40" descr="Currently available antiretroviral drugs | Download Table">
          <a:extLst>
            <a:ext uri="{FF2B5EF4-FFF2-40B4-BE49-F238E27FC236}">
              <a16:creationId xmlns:a16="http://schemas.microsoft.com/office/drawing/2014/main" id="{EBEC2ECB-BAC1-455B-96D3-DD81AA282D4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912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2367</xdr:row>
      <xdr:rowOff>0</xdr:rowOff>
    </xdr:from>
    <xdr:ext cx="304800" cy="318408"/>
    <xdr:sp macro="" textlink="">
      <xdr:nvSpPr>
        <xdr:cNvPr id="3957" name="AutoShape 40" descr="Currently available antiretroviral drugs | Download Table">
          <a:extLst>
            <a:ext uri="{FF2B5EF4-FFF2-40B4-BE49-F238E27FC236}">
              <a16:creationId xmlns:a16="http://schemas.microsoft.com/office/drawing/2014/main" id="{4A1E1B11-D68D-4784-BFA2-DCC28510688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912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2367</xdr:row>
      <xdr:rowOff>0</xdr:rowOff>
    </xdr:from>
    <xdr:ext cx="304800" cy="318408"/>
    <xdr:sp macro="" textlink="">
      <xdr:nvSpPr>
        <xdr:cNvPr id="3958" name="AutoShape 40" descr="Currently available antiretroviral drugs | Download Table">
          <a:extLst>
            <a:ext uri="{FF2B5EF4-FFF2-40B4-BE49-F238E27FC236}">
              <a16:creationId xmlns:a16="http://schemas.microsoft.com/office/drawing/2014/main" id="{394230E9-9B9B-488F-8460-A2C720D8585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912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2367</xdr:row>
      <xdr:rowOff>0</xdr:rowOff>
    </xdr:from>
    <xdr:ext cx="304800" cy="318408"/>
    <xdr:sp macro="" textlink="">
      <xdr:nvSpPr>
        <xdr:cNvPr id="3959" name="AutoShape 40" descr="Currently available antiretroviral drugs | Download Table">
          <a:extLst>
            <a:ext uri="{FF2B5EF4-FFF2-40B4-BE49-F238E27FC236}">
              <a16:creationId xmlns:a16="http://schemas.microsoft.com/office/drawing/2014/main" id="{CB4DB270-A1D3-4951-8B30-AEA8233E662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912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2367</xdr:row>
      <xdr:rowOff>0</xdr:rowOff>
    </xdr:from>
    <xdr:ext cx="304800" cy="318408"/>
    <xdr:sp macro="" textlink="">
      <xdr:nvSpPr>
        <xdr:cNvPr id="3960" name="AutoShape 40" descr="Currently available antiretroviral drugs | Download Table">
          <a:extLst>
            <a:ext uri="{FF2B5EF4-FFF2-40B4-BE49-F238E27FC236}">
              <a16:creationId xmlns:a16="http://schemas.microsoft.com/office/drawing/2014/main" id="{2A0B4DA7-A67F-45F0-9454-1CFED23AEFF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912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2367</xdr:row>
      <xdr:rowOff>0</xdr:rowOff>
    </xdr:from>
    <xdr:ext cx="304800" cy="318408"/>
    <xdr:sp macro="" textlink="">
      <xdr:nvSpPr>
        <xdr:cNvPr id="3961" name="AutoShape 40" descr="Currently available antiretroviral drugs | Download Table">
          <a:extLst>
            <a:ext uri="{FF2B5EF4-FFF2-40B4-BE49-F238E27FC236}">
              <a16:creationId xmlns:a16="http://schemas.microsoft.com/office/drawing/2014/main" id="{BDA406E1-8154-4706-B66B-51FC9F43437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912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2368</xdr:row>
      <xdr:rowOff>0</xdr:rowOff>
    </xdr:from>
    <xdr:ext cx="304800" cy="318408"/>
    <xdr:sp macro="" textlink="">
      <xdr:nvSpPr>
        <xdr:cNvPr id="3962" name="AutoShape 40" descr="Currently available antiretroviral drugs | Download Table">
          <a:extLst>
            <a:ext uri="{FF2B5EF4-FFF2-40B4-BE49-F238E27FC236}">
              <a16:creationId xmlns:a16="http://schemas.microsoft.com/office/drawing/2014/main" id="{97B9BA49-9706-4CDB-99A2-A3F85CC988F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092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2368</xdr:row>
      <xdr:rowOff>0</xdr:rowOff>
    </xdr:from>
    <xdr:ext cx="304800" cy="318408"/>
    <xdr:sp macro="" textlink="">
      <xdr:nvSpPr>
        <xdr:cNvPr id="3963" name="AutoShape 40" descr="Currently available antiretroviral drugs | Download Table">
          <a:extLst>
            <a:ext uri="{FF2B5EF4-FFF2-40B4-BE49-F238E27FC236}">
              <a16:creationId xmlns:a16="http://schemas.microsoft.com/office/drawing/2014/main" id="{A4E4C49B-410A-4C83-B220-008A639025B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092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2368</xdr:row>
      <xdr:rowOff>0</xdr:rowOff>
    </xdr:from>
    <xdr:ext cx="304800" cy="318408"/>
    <xdr:sp macro="" textlink="">
      <xdr:nvSpPr>
        <xdr:cNvPr id="3964" name="AutoShape 40" descr="Currently available antiretroviral drugs | Download Table">
          <a:extLst>
            <a:ext uri="{FF2B5EF4-FFF2-40B4-BE49-F238E27FC236}">
              <a16:creationId xmlns:a16="http://schemas.microsoft.com/office/drawing/2014/main" id="{17F17E95-BC16-4507-ACE6-9FECFC88255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092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2368</xdr:row>
      <xdr:rowOff>0</xdr:rowOff>
    </xdr:from>
    <xdr:ext cx="304800" cy="318408"/>
    <xdr:sp macro="" textlink="">
      <xdr:nvSpPr>
        <xdr:cNvPr id="3965" name="AutoShape 40" descr="Currently available antiretroviral drugs | Download Table">
          <a:extLst>
            <a:ext uri="{FF2B5EF4-FFF2-40B4-BE49-F238E27FC236}">
              <a16:creationId xmlns:a16="http://schemas.microsoft.com/office/drawing/2014/main" id="{CC65C600-3B76-4E1E-B66B-E88595F9337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092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2368</xdr:row>
      <xdr:rowOff>0</xdr:rowOff>
    </xdr:from>
    <xdr:ext cx="304800" cy="318408"/>
    <xdr:sp macro="" textlink="">
      <xdr:nvSpPr>
        <xdr:cNvPr id="3966" name="AutoShape 40" descr="Currently available antiretroviral drugs | Download Table">
          <a:extLst>
            <a:ext uri="{FF2B5EF4-FFF2-40B4-BE49-F238E27FC236}">
              <a16:creationId xmlns:a16="http://schemas.microsoft.com/office/drawing/2014/main" id="{8AF4C109-E4F0-433B-8425-FB4EDD63B76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092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2368</xdr:row>
      <xdr:rowOff>0</xdr:rowOff>
    </xdr:from>
    <xdr:ext cx="304800" cy="318408"/>
    <xdr:sp macro="" textlink="">
      <xdr:nvSpPr>
        <xdr:cNvPr id="3967" name="AutoShape 40" descr="Currently available antiretroviral drugs | Download Table">
          <a:extLst>
            <a:ext uri="{FF2B5EF4-FFF2-40B4-BE49-F238E27FC236}">
              <a16:creationId xmlns:a16="http://schemas.microsoft.com/office/drawing/2014/main" id="{B0E60EB1-16D5-4E1F-B063-CCC68B044C1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092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2368</xdr:row>
      <xdr:rowOff>0</xdr:rowOff>
    </xdr:from>
    <xdr:ext cx="304800" cy="318408"/>
    <xdr:sp macro="" textlink="">
      <xdr:nvSpPr>
        <xdr:cNvPr id="3968" name="AutoShape 40" descr="Currently available antiretroviral drugs | Download Table">
          <a:extLst>
            <a:ext uri="{FF2B5EF4-FFF2-40B4-BE49-F238E27FC236}">
              <a16:creationId xmlns:a16="http://schemas.microsoft.com/office/drawing/2014/main" id="{F669846D-075F-4BC9-8CC6-9AABF590706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092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2368</xdr:row>
      <xdr:rowOff>0</xdr:rowOff>
    </xdr:from>
    <xdr:ext cx="304800" cy="318408"/>
    <xdr:sp macro="" textlink="">
      <xdr:nvSpPr>
        <xdr:cNvPr id="3969" name="AutoShape 40" descr="Currently available antiretroviral drugs | Download Table">
          <a:extLst>
            <a:ext uri="{FF2B5EF4-FFF2-40B4-BE49-F238E27FC236}">
              <a16:creationId xmlns:a16="http://schemas.microsoft.com/office/drawing/2014/main" id="{DD6BA372-0527-4689-9A1A-2F1B0E28E3B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092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2368</xdr:row>
      <xdr:rowOff>0</xdr:rowOff>
    </xdr:from>
    <xdr:ext cx="304800" cy="318408"/>
    <xdr:sp macro="" textlink="">
      <xdr:nvSpPr>
        <xdr:cNvPr id="3970" name="AutoShape 40" descr="Currently available antiretroviral drugs | Download Table">
          <a:extLst>
            <a:ext uri="{FF2B5EF4-FFF2-40B4-BE49-F238E27FC236}">
              <a16:creationId xmlns:a16="http://schemas.microsoft.com/office/drawing/2014/main" id="{2028406E-BACC-4AB2-B47B-008EF68617F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092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2368</xdr:row>
      <xdr:rowOff>0</xdr:rowOff>
    </xdr:from>
    <xdr:ext cx="304800" cy="318408"/>
    <xdr:sp macro="" textlink="">
      <xdr:nvSpPr>
        <xdr:cNvPr id="3971" name="AutoShape 40" descr="Currently available antiretroviral drugs | Download Table">
          <a:extLst>
            <a:ext uri="{FF2B5EF4-FFF2-40B4-BE49-F238E27FC236}">
              <a16:creationId xmlns:a16="http://schemas.microsoft.com/office/drawing/2014/main" id="{D1C520A2-114B-462C-9FB0-192C6EE5D67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092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2368</xdr:row>
      <xdr:rowOff>0</xdr:rowOff>
    </xdr:from>
    <xdr:ext cx="304800" cy="318408"/>
    <xdr:sp macro="" textlink="">
      <xdr:nvSpPr>
        <xdr:cNvPr id="3972" name="AutoShape 40" descr="Currently available antiretroviral drugs | Download Table">
          <a:extLst>
            <a:ext uri="{FF2B5EF4-FFF2-40B4-BE49-F238E27FC236}">
              <a16:creationId xmlns:a16="http://schemas.microsoft.com/office/drawing/2014/main" id="{715E84AA-C146-47B7-8244-B59450BF1D0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092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2368</xdr:row>
      <xdr:rowOff>0</xdr:rowOff>
    </xdr:from>
    <xdr:ext cx="304800" cy="318408"/>
    <xdr:sp macro="" textlink="">
      <xdr:nvSpPr>
        <xdr:cNvPr id="3973" name="AutoShape 40" descr="Currently available antiretroviral drugs | Download Table">
          <a:extLst>
            <a:ext uri="{FF2B5EF4-FFF2-40B4-BE49-F238E27FC236}">
              <a16:creationId xmlns:a16="http://schemas.microsoft.com/office/drawing/2014/main" id="{3081318A-9C59-4CEF-A8D2-C7A05798F89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092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2368</xdr:row>
      <xdr:rowOff>0</xdr:rowOff>
    </xdr:from>
    <xdr:ext cx="304800" cy="318408"/>
    <xdr:sp macro="" textlink="">
      <xdr:nvSpPr>
        <xdr:cNvPr id="3974" name="AutoShape 40" descr="Currently available antiretroviral drugs | Download Table">
          <a:extLst>
            <a:ext uri="{FF2B5EF4-FFF2-40B4-BE49-F238E27FC236}">
              <a16:creationId xmlns:a16="http://schemas.microsoft.com/office/drawing/2014/main" id="{6772D20D-68AE-48C9-80AF-279AAFA898D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092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2367</xdr:row>
      <xdr:rowOff>0</xdr:rowOff>
    </xdr:from>
    <xdr:ext cx="304800" cy="318408"/>
    <xdr:sp macro="" textlink="">
      <xdr:nvSpPr>
        <xdr:cNvPr id="3975" name="AutoShape 40" descr="Currently available antiretroviral drugs | Download Table">
          <a:extLst>
            <a:ext uri="{FF2B5EF4-FFF2-40B4-BE49-F238E27FC236}">
              <a16:creationId xmlns:a16="http://schemas.microsoft.com/office/drawing/2014/main" id="{7387B8CA-4E0E-4720-A27C-BB597E5D301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912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2367</xdr:row>
      <xdr:rowOff>0</xdr:rowOff>
    </xdr:from>
    <xdr:ext cx="304800" cy="318408"/>
    <xdr:sp macro="" textlink="">
      <xdr:nvSpPr>
        <xdr:cNvPr id="3976" name="AutoShape 40" descr="Currently available antiretroviral drugs | Download Table">
          <a:extLst>
            <a:ext uri="{FF2B5EF4-FFF2-40B4-BE49-F238E27FC236}">
              <a16:creationId xmlns:a16="http://schemas.microsoft.com/office/drawing/2014/main" id="{0B1CA9C1-04FB-47B9-81F2-1F510A16ECC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912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2367</xdr:row>
      <xdr:rowOff>0</xdr:rowOff>
    </xdr:from>
    <xdr:ext cx="304800" cy="318408"/>
    <xdr:sp macro="" textlink="">
      <xdr:nvSpPr>
        <xdr:cNvPr id="3977" name="AutoShape 40" descr="Currently available antiretroviral drugs | Download Table">
          <a:extLst>
            <a:ext uri="{FF2B5EF4-FFF2-40B4-BE49-F238E27FC236}">
              <a16:creationId xmlns:a16="http://schemas.microsoft.com/office/drawing/2014/main" id="{C714EFB3-AB8F-4CCD-A715-7BCF5EB7A1C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912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2367</xdr:row>
      <xdr:rowOff>0</xdr:rowOff>
    </xdr:from>
    <xdr:ext cx="304800" cy="318408"/>
    <xdr:sp macro="" textlink="">
      <xdr:nvSpPr>
        <xdr:cNvPr id="3978" name="AutoShape 40" descr="Currently available antiretroviral drugs | Download Table">
          <a:extLst>
            <a:ext uri="{FF2B5EF4-FFF2-40B4-BE49-F238E27FC236}">
              <a16:creationId xmlns:a16="http://schemas.microsoft.com/office/drawing/2014/main" id="{A7887936-AA34-4875-83C0-D65DDD857DC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912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2367</xdr:row>
      <xdr:rowOff>0</xdr:rowOff>
    </xdr:from>
    <xdr:ext cx="304800" cy="318408"/>
    <xdr:sp macro="" textlink="">
      <xdr:nvSpPr>
        <xdr:cNvPr id="3979" name="AutoShape 40" descr="Currently available antiretroviral drugs | Download Table">
          <a:extLst>
            <a:ext uri="{FF2B5EF4-FFF2-40B4-BE49-F238E27FC236}">
              <a16:creationId xmlns:a16="http://schemas.microsoft.com/office/drawing/2014/main" id="{F6775B32-0C91-49A5-A6C7-C17072FD8EC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912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2367</xdr:row>
      <xdr:rowOff>0</xdr:rowOff>
    </xdr:from>
    <xdr:ext cx="304800" cy="318408"/>
    <xdr:sp macro="" textlink="">
      <xdr:nvSpPr>
        <xdr:cNvPr id="3980" name="AutoShape 40" descr="Currently available antiretroviral drugs | Download Table">
          <a:extLst>
            <a:ext uri="{FF2B5EF4-FFF2-40B4-BE49-F238E27FC236}">
              <a16:creationId xmlns:a16="http://schemas.microsoft.com/office/drawing/2014/main" id="{7CD7BE9C-AAF1-40F4-AF0D-5CCB8482D49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912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2367</xdr:row>
      <xdr:rowOff>0</xdr:rowOff>
    </xdr:from>
    <xdr:ext cx="304800" cy="318408"/>
    <xdr:sp macro="" textlink="">
      <xdr:nvSpPr>
        <xdr:cNvPr id="3981" name="AutoShape 40" descr="Currently available antiretroviral drugs | Download Table">
          <a:extLst>
            <a:ext uri="{FF2B5EF4-FFF2-40B4-BE49-F238E27FC236}">
              <a16:creationId xmlns:a16="http://schemas.microsoft.com/office/drawing/2014/main" id="{2B94D218-62FB-46B7-BD3F-395C46843A2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912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2367</xdr:row>
      <xdr:rowOff>0</xdr:rowOff>
    </xdr:from>
    <xdr:ext cx="304800" cy="318408"/>
    <xdr:sp macro="" textlink="">
      <xdr:nvSpPr>
        <xdr:cNvPr id="3982" name="AutoShape 40" descr="Currently available antiretroviral drugs | Download Table">
          <a:extLst>
            <a:ext uri="{FF2B5EF4-FFF2-40B4-BE49-F238E27FC236}">
              <a16:creationId xmlns:a16="http://schemas.microsoft.com/office/drawing/2014/main" id="{D1748197-DEB7-4AEA-ADB3-6D911D8AB56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912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2367</xdr:row>
      <xdr:rowOff>0</xdr:rowOff>
    </xdr:from>
    <xdr:ext cx="304800" cy="318408"/>
    <xdr:sp macro="" textlink="">
      <xdr:nvSpPr>
        <xdr:cNvPr id="3983" name="AutoShape 40" descr="Currently available antiretroviral drugs | Download Table">
          <a:extLst>
            <a:ext uri="{FF2B5EF4-FFF2-40B4-BE49-F238E27FC236}">
              <a16:creationId xmlns:a16="http://schemas.microsoft.com/office/drawing/2014/main" id="{D1900AC1-90C9-4B0C-8362-558D08ECB33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912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2367</xdr:row>
      <xdr:rowOff>0</xdr:rowOff>
    </xdr:from>
    <xdr:ext cx="304800" cy="318408"/>
    <xdr:sp macro="" textlink="">
      <xdr:nvSpPr>
        <xdr:cNvPr id="3984" name="AutoShape 40" descr="Currently available antiretroviral drugs | Download Table">
          <a:extLst>
            <a:ext uri="{FF2B5EF4-FFF2-40B4-BE49-F238E27FC236}">
              <a16:creationId xmlns:a16="http://schemas.microsoft.com/office/drawing/2014/main" id="{E5177A11-EC39-439F-9001-C99BB198839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912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2367</xdr:row>
      <xdr:rowOff>0</xdr:rowOff>
    </xdr:from>
    <xdr:ext cx="304800" cy="318408"/>
    <xdr:sp macro="" textlink="">
      <xdr:nvSpPr>
        <xdr:cNvPr id="3985" name="AutoShape 40" descr="Currently available antiretroviral drugs | Download Table">
          <a:extLst>
            <a:ext uri="{FF2B5EF4-FFF2-40B4-BE49-F238E27FC236}">
              <a16:creationId xmlns:a16="http://schemas.microsoft.com/office/drawing/2014/main" id="{E3A733D9-BA20-46E9-B280-537D8860E01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912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2368</xdr:row>
      <xdr:rowOff>0</xdr:rowOff>
    </xdr:from>
    <xdr:ext cx="304800" cy="318408"/>
    <xdr:sp macro="" textlink="">
      <xdr:nvSpPr>
        <xdr:cNvPr id="3986" name="AutoShape 40" descr="Currently available antiretroviral drugs | Download Table">
          <a:extLst>
            <a:ext uri="{FF2B5EF4-FFF2-40B4-BE49-F238E27FC236}">
              <a16:creationId xmlns:a16="http://schemas.microsoft.com/office/drawing/2014/main" id="{88CA2006-6653-4C19-BCFD-307D98F59D3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092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2367</xdr:row>
      <xdr:rowOff>0</xdr:rowOff>
    </xdr:from>
    <xdr:ext cx="304800" cy="318408"/>
    <xdr:sp macro="" textlink="">
      <xdr:nvSpPr>
        <xdr:cNvPr id="3987" name="AutoShape 40" descr="Currently available antiretroviral drugs | Download Table">
          <a:extLst>
            <a:ext uri="{FF2B5EF4-FFF2-40B4-BE49-F238E27FC236}">
              <a16:creationId xmlns:a16="http://schemas.microsoft.com/office/drawing/2014/main" id="{B8BB0C1D-0B55-4596-AEC3-8FD920FD3BF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912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2367</xdr:row>
      <xdr:rowOff>0</xdr:rowOff>
    </xdr:from>
    <xdr:ext cx="304800" cy="318408"/>
    <xdr:sp macro="" textlink="">
      <xdr:nvSpPr>
        <xdr:cNvPr id="3988" name="AutoShape 40" descr="Currently available antiretroviral drugs | Download Table">
          <a:extLst>
            <a:ext uri="{FF2B5EF4-FFF2-40B4-BE49-F238E27FC236}">
              <a16:creationId xmlns:a16="http://schemas.microsoft.com/office/drawing/2014/main" id="{C4C4B8CA-5AE8-4170-B67D-BFC881FE48B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3912882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2368</xdr:row>
      <xdr:rowOff>0</xdr:rowOff>
    </xdr:from>
    <xdr:ext cx="304800" cy="318408"/>
    <xdr:sp macro="" textlink="">
      <xdr:nvSpPr>
        <xdr:cNvPr id="3989" name="AutoShape 40" descr="Currently available antiretroviral drugs | Download Table">
          <a:extLst>
            <a:ext uri="{FF2B5EF4-FFF2-40B4-BE49-F238E27FC236}">
              <a16:creationId xmlns:a16="http://schemas.microsoft.com/office/drawing/2014/main" id="{E3BFEBBA-9ACD-409C-BAEF-0B2B992D5AA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092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2368</xdr:row>
      <xdr:rowOff>0</xdr:rowOff>
    </xdr:from>
    <xdr:ext cx="304800" cy="318408"/>
    <xdr:sp macro="" textlink="">
      <xdr:nvSpPr>
        <xdr:cNvPr id="3990" name="AutoShape 40" descr="Currently available antiretroviral drugs | Download Table">
          <a:extLst>
            <a:ext uri="{FF2B5EF4-FFF2-40B4-BE49-F238E27FC236}">
              <a16:creationId xmlns:a16="http://schemas.microsoft.com/office/drawing/2014/main" id="{43B12720-4139-4363-8AF0-5643811875E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092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2368</xdr:row>
      <xdr:rowOff>0</xdr:rowOff>
    </xdr:from>
    <xdr:ext cx="304800" cy="318408"/>
    <xdr:sp macro="" textlink="">
      <xdr:nvSpPr>
        <xdr:cNvPr id="3991" name="AutoShape 40" descr="Currently available antiretroviral drugs | Download Table">
          <a:extLst>
            <a:ext uri="{FF2B5EF4-FFF2-40B4-BE49-F238E27FC236}">
              <a16:creationId xmlns:a16="http://schemas.microsoft.com/office/drawing/2014/main" id="{0B624EB4-038A-450D-A92E-2FFAFB7A99E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092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2368</xdr:row>
      <xdr:rowOff>0</xdr:rowOff>
    </xdr:from>
    <xdr:ext cx="304800" cy="318408"/>
    <xdr:sp macro="" textlink="">
      <xdr:nvSpPr>
        <xdr:cNvPr id="3992" name="AutoShape 40" descr="Currently available antiretroviral drugs | Download Table">
          <a:extLst>
            <a:ext uri="{FF2B5EF4-FFF2-40B4-BE49-F238E27FC236}">
              <a16:creationId xmlns:a16="http://schemas.microsoft.com/office/drawing/2014/main" id="{93B35532-35D7-4E67-A967-536A0975920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092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2368</xdr:row>
      <xdr:rowOff>0</xdr:rowOff>
    </xdr:from>
    <xdr:ext cx="304800" cy="318408"/>
    <xdr:sp macro="" textlink="">
      <xdr:nvSpPr>
        <xdr:cNvPr id="3993" name="AutoShape 40" descr="Currently available antiretroviral drugs | Download Table">
          <a:extLst>
            <a:ext uri="{FF2B5EF4-FFF2-40B4-BE49-F238E27FC236}">
              <a16:creationId xmlns:a16="http://schemas.microsoft.com/office/drawing/2014/main" id="{FD0E3539-7258-4880-89BE-6E175B37173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092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2368</xdr:row>
      <xdr:rowOff>0</xdr:rowOff>
    </xdr:from>
    <xdr:ext cx="304800" cy="318408"/>
    <xdr:sp macro="" textlink="">
      <xdr:nvSpPr>
        <xdr:cNvPr id="3994" name="AutoShape 40" descr="Currently available antiretroviral drugs | Download Table">
          <a:extLst>
            <a:ext uri="{FF2B5EF4-FFF2-40B4-BE49-F238E27FC236}">
              <a16:creationId xmlns:a16="http://schemas.microsoft.com/office/drawing/2014/main" id="{C5E9EEB3-9E15-4A58-AF8C-6A6866491FE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092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2368</xdr:row>
      <xdr:rowOff>0</xdr:rowOff>
    </xdr:from>
    <xdr:ext cx="304800" cy="318408"/>
    <xdr:sp macro="" textlink="">
      <xdr:nvSpPr>
        <xdr:cNvPr id="3995" name="AutoShape 40" descr="Currently available antiretroviral drugs | Download Table">
          <a:extLst>
            <a:ext uri="{FF2B5EF4-FFF2-40B4-BE49-F238E27FC236}">
              <a16:creationId xmlns:a16="http://schemas.microsoft.com/office/drawing/2014/main" id="{99BC423C-B72A-4F29-9637-E3F61BC2C43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092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2368</xdr:row>
      <xdr:rowOff>0</xdr:rowOff>
    </xdr:from>
    <xdr:ext cx="304800" cy="318408"/>
    <xdr:sp macro="" textlink="">
      <xdr:nvSpPr>
        <xdr:cNvPr id="3996" name="AutoShape 40" descr="Currently available antiretroviral drugs | Download Table">
          <a:extLst>
            <a:ext uri="{FF2B5EF4-FFF2-40B4-BE49-F238E27FC236}">
              <a16:creationId xmlns:a16="http://schemas.microsoft.com/office/drawing/2014/main" id="{1E9C4013-7266-4845-928D-37A6A6D1DCC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092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2368</xdr:row>
      <xdr:rowOff>0</xdr:rowOff>
    </xdr:from>
    <xdr:ext cx="304800" cy="318408"/>
    <xdr:sp macro="" textlink="">
      <xdr:nvSpPr>
        <xdr:cNvPr id="3997" name="AutoShape 40" descr="Currently available antiretroviral drugs | Download Table">
          <a:extLst>
            <a:ext uri="{FF2B5EF4-FFF2-40B4-BE49-F238E27FC236}">
              <a16:creationId xmlns:a16="http://schemas.microsoft.com/office/drawing/2014/main" id="{00698E47-E059-4E69-BC58-31C93CF0E40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092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2368</xdr:row>
      <xdr:rowOff>0</xdr:rowOff>
    </xdr:from>
    <xdr:ext cx="304800" cy="318408"/>
    <xdr:sp macro="" textlink="">
      <xdr:nvSpPr>
        <xdr:cNvPr id="3998" name="AutoShape 40" descr="Currently available antiretroviral drugs | Download Table">
          <a:extLst>
            <a:ext uri="{FF2B5EF4-FFF2-40B4-BE49-F238E27FC236}">
              <a16:creationId xmlns:a16="http://schemas.microsoft.com/office/drawing/2014/main" id="{8DEAAD44-0B58-41ED-B688-ED99CAAFF17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092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2368</xdr:row>
      <xdr:rowOff>0</xdr:rowOff>
    </xdr:from>
    <xdr:ext cx="304800" cy="318408"/>
    <xdr:sp macro="" textlink="">
      <xdr:nvSpPr>
        <xdr:cNvPr id="3999" name="AutoShape 40" descr="Currently available antiretroviral drugs | Download Table">
          <a:extLst>
            <a:ext uri="{FF2B5EF4-FFF2-40B4-BE49-F238E27FC236}">
              <a16:creationId xmlns:a16="http://schemas.microsoft.com/office/drawing/2014/main" id="{390B5AE6-87C8-41C3-904F-697591B68A7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092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2368</xdr:row>
      <xdr:rowOff>0</xdr:rowOff>
    </xdr:from>
    <xdr:ext cx="304800" cy="318408"/>
    <xdr:sp macro="" textlink="">
      <xdr:nvSpPr>
        <xdr:cNvPr id="4000" name="AutoShape 40" descr="Currently available antiretroviral drugs | Download Table">
          <a:extLst>
            <a:ext uri="{FF2B5EF4-FFF2-40B4-BE49-F238E27FC236}">
              <a16:creationId xmlns:a16="http://schemas.microsoft.com/office/drawing/2014/main" id="{2F897A0A-8B1E-489E-9F4E-1948C5A6F1B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092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2368</xdr:row>
      <xdr:rowOff>0</xdr:rowOff>
    </xdr:from>
    <xdr:ext cx="304800" cy="318408"/>
    <xdr:sp macro="" textlink="">
      <xdr:nvSpPr>
        <xdr:cNvPr id="4001" name="AutoShape 40" descr="Currently available antiretroviral drugs | Download Table">
          <a:extLst>
            <a:ext uri="{FF2B5EF4-FFF2-40B4-BE49-F238E27FC236}">
              <a16:creationId xmlns:a16="http://schemas.microsoft.com/office/drawing/2014/main" id="{C82F8059-4788-4561-8220-4636C3DFCF1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092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2368</xdr:row>
      <xdr:rowOff>0</xdr:rowOff>
    </xdr:from>
    <xdr:ext cx="304800" cy="318408"/>
    <xdr:sp macro="" textlink="">
      <xdr:nvSpPr>
        <xdr:cNvPr id="4002" name="AutoShape 40" descr="Currently available antiretroviral drugs | Download Table">
          <a:extLst>
            <a:ext uri="{FF2B5EF4-FFF2-40B4-BE49-F238E27FC236}">
              <a16:creationId xmlns:a16="http://schemas.microsoft.com/office/drawing/2014/main" id="{9797D930-F715-4FFC-8CA7-1E1E14FA106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092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2368</xdr:row>
      <xdr:rowOff>0</xdr:rowOff>
    </xdr:from>
    <xdr:ext cx="304800" cy="318408"/>
    <xdr:sp macro="" textlink="">
      <xdr:nvSpPr>
        <xdr:cNvPr id="4003" name="AutoShape 40" descr="Currently available antiretroviral drugs | Download Table">
          <a:extLst>
            <a:ext uri="{FF2B5EF4-FFF2-40B4-BE49-F238E27FC236}">
              <a16:creationId xmlns:a16="http://schemas.microsoft.com/office/drawing/2014/main" id="{BE8F350F-9E09-41EC-8F67-77A3229F4B6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092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2368</xdr:row>
      <xdr:rowOff>0</xdr:rowOff>
    </xdr:from>
    <xdr:ext cx="304800" cy="318408"/>
    <xdr:sp macro="" textlink="">
      <xdr:nvSpPr>
        <xdr:cNvPr id="4004" name="AutoShape 40" descr="Currently available antiretroviral drugs | Download Table">
          <a:extLst>
            <a:ext uri="{FF2B5EF4-FFF2-40B4-BE49-F238E27FC236}">
              <a16:creationId xmlns:a16="http://schemas.microsoft.com/office/drawing/2014/main" id="{512BA413-F928-4F29-8E98-118AC2A3501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092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2368</xdr:row>
      <xdr:rowOff>0</xdr:rowOff>
    </xdr:from>
    <xdr:ext cx="304800" cy="318408"/>
    <xdr:sp macro="" textlink="">
      <xdr:nvSpPr>
        <xdr:cNvPr id="4005" name="AutoShape 40" descr="Currently available antiretroviral drugs | Download Table">
          <a:extLst>
            <a:ext uri="{FF2B5EF4-FFF2-40B4-BE49-F238E27FC236}">
              <a16:creationId xmlns:a16="http://schemas.microsoft.com/office/drawing/2014/main" id="{600283D7-BDF4-4747-B44E-90BC396942E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092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2368</xdr:row>
      <xdr:rowOff>0</xdr:rowOff>
    </xdr:from>
    <xdr:ext cx="304800" cy="318408"/>
    <xdr:sp macro="" textlink="">
      <xdr:nvSpPr>
        <xdr:cNvPr id="4006" name="AutoShape 40" descr="Currently available antiretroviral drugs | Download Table">
          <a:extLst>
            <a:ext uri="{FF2B5EF4-FFF2-40B4-BE49-F238E27FC236}">
              <a16:creationId xmlns:a16="http://schemas.microsoft.com/office/drawing/2014/main" id="{A8154468-6B5D-4AB6-B202-87140EFB6DF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092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2368</xdr:row>
      <xdr:rowOff>0</xdr:rowOff>
    </xdr:from>
    <xdr:ext cx="304800" cy="318408"/>
    <xdr:sp macro="" textlink="">
      <xdr:nvSpPr>
        <xdr:cNvPr id="4007" name="AutoShape 40" descr="Currently available antiretroviral drugs | Download Table">
          <a:extLst>
            <a:ext uri="{FF2B5EF4-FFF2-40B4-BE49-F238E27FC236}">
              <a16:creationId xmlns:a16="http://schemas.microsoft.com/office/drawing/2014/main" id="{31B9A208-0E04-40EF-845B-DAFC193A969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092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2368</xdr:row>
      <xdr:rowOff>0</xdr:rowOff>
    </xdr:from>
    <xdr:ext cx="304800" cy="318408"/>
    <xdr:sp macro="" textlink="">
      <xdr:nvSpPr>
        <xdr:cNvPr id="4008" name="AutoShape 40" descr="Currently available antiretroviral drugs | Download Table">
          <a:extLst>
            <a:ext uri="{FF2B5EF4-FFF2-40B4-BE49-F238E27FC236}">
              <a16:creationId xmlns:a16="http://schemas.microsoft.com/office/drawing/2014/main" id="{C6203E0E-C8A0-43C2-88CC-BFAC5E044CD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092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2368</xdr:row>
      <xdr:rowOff>0</xdr:rowOff>
    </xdr:from>
    <xdr:ext cx="304800" cy="318408"/>
    <xdr:sp macro="" textlink="">
      <xdr:nvSpPr>
        <xdr:cNvPr id="4009" name="AutoShape 40" descr="Currently available antiretroviral drugs | Download Table">
          <a:extLst>
            <a:ext uri="{FF2B5EF4-FFF2-40B4-BE49-F238E27FC236}">
              <a16:creationId xmlns:a16="http://schemas.microsoft.com/office/drawing/2014/main" id="{91CDF64C-BA29-41C9-B69A-1993E794F28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092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2368</xdr:row>
      <xdr:rowOff>0</xdr:rowOff>
    </xdr:from>
    <xdr:ext cx="304800" cy="318408"/>
    <xdr:sp macro="" textlink="">
      <xdr:nvSpPr>
        <xdr:cNvPr id="4010" name="AutoShape 40" descr="Currently available antiretroviral drugs | Download Table">
          <a:extLst>
            <a:ext uri="{FF2B5EF4-FFF2-40B4-BE49-F238E27FC236}">
              <a16:creationId xmlns:a16="http://schemas.microsoft.com/office/drawing/2014/main" id="{5E6D0C62-A6EA-4AFD-A821-16A96BF69CC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092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2368</xdr:row>
      <xdr:rowOff>0</xdr:rowOff>
    </xdr:from>
    <xdr:ext cx="304800" cy="318408"/>
    <xdr:sp macro="" textlink="">
      <xdr:nvSpPr>
        <xdr:cNvPr id="4011" name="AutoShape 40" descr="Currently available antiretroviral drugs | Download Table">
          <a:extLst>
            <a:ext uri="{FF2B5EF4-FFF2-40B4-BE49-F238E27FC236}">
              <a16:creationId xmlns:a16="http://schemas.microsoft.com/office/drawing/2014/main" id="{5CA34A84-7BD4-412C-A262-0BF84EEF496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092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2368</xdr:row>
      <xdr:rowOff>0</xdr:rowOff>
    </xdr:from>
    <xdr:ext cx="304800" cy="318408"/>
    <xdr:sp macro="" textlink="">
      <xdr:nvSpPr>
        <xdr:cNvPr id="4012" name="AutoShape 40" descr="Currently available antiretroviral drugs | Download Table">
          <a:extLst>
            <a:ext uri="{FF2B5EF4-FFF2-40B4-BE49-F238E27FC236}">
              <a16:creationId xmlns:a16="http://schemas.microsoft.com/office/drawing/2014/main" id="{1453B0AE-32FF-4329-9936-1EB0EB66739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092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2368</xdr:row>
      <xdr:rowOff>0</xdr:rowOff>
    </xdr:from>
    <xdr:ext cx="304800" cy="318408"/>
    <xdr:sp macro="" textlink="">
      <xdr:nvSpPr>
        <xdr:cNvPr id="4013" name="AutoShape 40" descr="Currently available antiretroviral drugs | Download Table">
          <a:extLst>
            <a:ext uri="{FF2B5EF4-FFF2-40B4-BE49-F238E27FC236}">
              <a16:creationId xmlns:a16="http://schemas.microsoft.com/office/drawing/2014/main" id="{77D4BF47-FB63-41E1-8232-22AB493AEB6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092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2368</xdr:row>
      <xdr:rowOff>0</xdr:rowOff>
    </xdr:from>
    <xdr:ext cx="304800" cy="318408"/>
    <xdr:sp macro="" textlink="">
      <xdr:nvSpPr>
        <xdr:cNvPr id="4014" name="AutoShape 40" descr="Currently available antiretroviral drugs | Download Table">
          <a:extLst>
            <a:ext uri="{FF2B5EF4-FFF2-40B4-BE49-F238E27FC236}">
              <a16:creationId xmlns:a16="http://schemas.microsoft.com/office/drawing/2014/main" id="{FF41E33D-FDB6-4D5B-AEEC-547E3F27027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092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2368</xdr:row>
      <xdr:rowOff>0</xdr:rowOff>
    </xdr:from>
    <xdr:ext cx="304800" cy="318408"/>
    <xdr:sp macro="" textlink="">
      <xdr:nvSpPr>
        <xdr:cNvPr id="4015" name="AutoShape 40" descr="Currently available antiretroviral drugs | Download Table">
          <a:extLst>
            <a:ext uri="{FF2B5EF4-FFF2-40B4-BE49-F238E27FC236}">
              <a16:creationId xmlns:a16="http://schemas.microsoft.com/office/drawing/2014/main" id="{33597259-D346-454C-B8B9-5341F357480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092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2368</xdr:row>
      <xdr:rowOff>0</xdr:rowOff>
    </xdr:from>
    <xdr:ext cx="304800" cy="318408"/>
    <xdr:sp macro="" textlink="">
      <xdr:nvSpPr>
        <xdr:cNvPr id="4016" name="AutoShape 40" descr="Currently available antiretroviral drugs | Download Table">
          <a:extLst>
            <a:ext uri="{FF2B5EF4-FFF2-40B4-BE49-F238E27FC236}">
              <a16:creationId xmlns:a16="http://schemas.microsoft.com/office/drawing/2014/main" id="{289FB2D0-CA25-4E84-BCA0-09A1EE642FC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092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2368</xdr:row>
      <xdr:rowOff>0</xdr:rowOff>
    </xdr:from>
    <xdr:ext cx="304800" cy="318408"/>
    <xdr:sp macro="" textlink="">
      <xdr:nvSpPr>
        <xdr:cNvPr id="4017" name="AutoShape 40" descr="Currently available antiretroviral drugs | Download Table">
          <a:extLst>
            <a:ext uri="{FF2B5EF4-FFF2-40B4-BE49-F238E27FC236}">
              <a16:creationId xmlns:a16="http://schemas.microsoft.com/office/drawing/2014/main" id="{631EFE04-69E4-4B3B-BF7C-A25C464BD6B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092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2368</xdr:row>
      <xdr:rowOff>0</xdr:rowOff>
    </xdr:from>
    <xdr:ext cx="304800" cy="318408"/>
    <xdr:sp macro="" textlink="">
      <xdr:nvSpPr>
        <xdr:cNvPr id="4018" name="AutoShape 40" descr="Currently available antiretroviral drugs | Download Table">
          <a:extLst>
            <a:ext uri="{FF2B5EF4-FFF2-40B4-BE49-F238E27FC236}">
              <a16:creationId xmlns:a16="http://schemas.microsoft.com/office/drawing/2014/main" id="{816D9BEA-80E8-46AE-907F-5EB0BF6F9E0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092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2368</xdr:row>
      <xdr:rowOff>0</xdr:rowOff>
    </xdr:from>
    <xdr:ext cx="304800" cy="318408"/>
    <xdr:sp macro="" textlink="">
      <xdr:nvSpPr>
        <xdr:cNvPr id="4019" name="AutoShape 40" descr="Currently available antiretroviral drugs | Download Table">
          <a:extLst>
            <a:ext uri="{FF2B5EF4-FFF2-40B4-BE49-F238E27FC236}">
              <a16:creationId xmlns:a16="http://schemas.microsoft.com/office/drawing/2014/main" id="{821ABC68-3E11-4CA3-85E3-F214932F094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092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2368</xdr:row>
      <xdr:rowOff>0</xdr:rowOff>
    </xdr:from>
    <xdr:ext cx="304800" cy="318408"/>
    <xdr:sp macro="" textlink="">
      <xdr:nvSpPr>
        <xdr:cNvPr id="4020" name="AutoShape 40" descr="Currently available antiretroviral drugs | Download Table">
          <a:extLst>
            <a:ext uri="{FF2B5EF4-FFF2-40B4-BE49-F238E27FC236}">
              <a16:creationId xmlns:a16="http://schemas.microsoft.com/office/drawing/2014/main" id="{DD2505A5-E552-43F9-9F19-192FB48EC09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092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2369</xdr:row>
      <xdr:rowOff>0</xdr:rowOff>
    </xdr:from>
    <xdr:ext cx="304800" cy="318408"/>
    <xdr:sp macro="" textlink="">
      <xdr:nvSpPr>
        <xdr:cNvPr id="4021" name="AutoShape 40" descr="Currently available antiretroviral drugs | Download Table">
          <a:extLst>
            <a:ext uri="{FF2B5EF4-FFF2-40B4-BE49-F238E27FC236}">
              <a16:creationId xmlns:a16="http://schemas.microsoft.com/office/drawing/2014/main" id="{60CBB9FD-6E98-40CF-AE2E-398A053EE62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271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2369</xdr:row>
      <xdr:rowOff>0</xdr:rowOff>
    </xdr:from>
    <xdr:ext cx="304800" cy="318408"/>
    <xdr:sp macro="" textlink="">
      <xdr:nvSpPr>
        <xdr:cNvPr id="4022" name="AutoShape 40" descr="Currently available antiretroviral drugs | Download Table">
          <a:extLst>
            <a:ext uri="{FF2B5EF4-FFF2-40B4-BE49-F238E27FC236}">
              <a16:creationId xmlns:a16="http://schemas.microsoft.com/office/drawing/2014/main" id="{8C349643-96A6-410D-B1D1-F08677F0AD6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271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2369</xdr:row>
      <xdr:rowOff>0</xdr:rowOff>
    </xdr:from>
    <xdr:ext cx="304800" cy="318408"/>
    <xdr:sp macro="" textlink="">
      <xdr:nvSpPr>
        <xdr:cNvPr id="4023" name="AutoShape 40" descr="Currently available antiretroviral drugs | Download Table">
          <a:extLst>
            <a:ext uri="{FF2B5EF4-FFF2-40B4-BE49-F238E27FC236}">
              <a16:creationId xmlns:a16="http://schemas.microsoft.com/office/drawing/2014/main" id="{203BB301-5A7F-4865-B5BA-9F1976B71F3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271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2369</xdr:row>
      <xdr:rowOff>0</xdr:rowOff>
    </xdr:from>
    <xdr:ext cx="304800" cy="318408"/>
    <xdr:sp macro="" textlink="">
      <xdr:nvSpPr>
        <xdr:cNvPr id="4024" name="AutoShape 40" descr="Currently available antiretroviral drugs | Download Table">
          <a:extLst>
            <a:ext uri="{FF2B5EF4-FFF2-40B4-BE49-F238E27FC236}">
              <a16:creationId xmlns:a16="http://schemas.microsoft.com/office/drawing/2014/main" id="{44BDD80B-AFD5-4E22-B295-A06C75DDCD0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271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2369</xdr:row>
      <xdr:rowOff>0</xdr:rowOff>
    </xdr:from>
    <xdr:ext cx="304800" cy="318408"/>
    <xdr:sp macro="" textlink="">
      <xdr:nvSpPr>
        <xdr:cNvPr id="4025" name="AutoShape 40" descr="Currently available antiretroviral drugs | Download Table">
          <a:extLst>
            <a:ext uri="{FF2B5EF4-FFF2-40B4-BE49-F238E27FC236}">
              <a16:creationId xmlns:a16="http://schemas.microsoft.com/office/drawing/2014/main" id="{CE7EBF2C-96D2-41AA-BC76-B58B59CB43E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271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2369</xdr:row>
      <xdr:rowOff>0</xdr:rowOff>
    </xdr:from>
    <xdr:ext cx="304800" cy="318408"/>
    <xdr:sp macro="" textlink="">
      <xdr:nvSpPr>
        <xdr:cNvPr id="4026" name="AutoShape 40" descr="Currently available antiretroviral drugs | Download Table">
          <a:extLst>
            <a:ext uri="{FF2B5EF4-FFF2-40B4-BE49-F238E27FC236}">
              <a16:creationId xmlns:a16="http://schemas.microsoft.com/office/drawing/2014/main" id="{2B9D35A0-8F13-4745-8054-A8E15DD511E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271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2369</xdr:row>
      <xdr:rowOff>0</xdr:rowOff>
    </xdr:from>
    <xdr:ext cx="304800" cy="318408"/>
    <xdr:sp macro="" textlink="">
      <xdr:nvSpPr>
        <xdr:cNvPr id="4027" name="AutoShape 40" descr="Currently available antiretroviral drugs | Download Table">
          <a:extLst>
            <a:ext uri="{FF2B5EF4-FFF2-40B4-BE49-F238E27FC236}">
              <a16:creationId xmlns:a16="http://schemas.microsoft.com/office/drawing/2014/main" id="{7EC0712F-8517-4A36-956B-6FC0BF59DB6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271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2369</xdr:row>
      <xdr:rowOff>0</xdr:rowOff>
    </xdr:from>
    <xdr:ext cx="304800" cy="318408"/>
    <xdr:sp macro="" textlink="">
      <xdr:nvSpPr>
        <xdr:cNvPr id="4028" name="AutoShape 40" descr="Currently available antiretroviral drugs | Download Table">
          <a:extLst>
            <a:ext uri="{FF2B5EF4-FFF2-40B4-BE49-F238E27FC236}">
              <a16:creationId xmlns:a16="http://schemas.microsoft.com/office/drawing/2014/main" id="{63FF3C4E-C73B-4925-9C86-D8C8FED42FC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271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2369</xdr:row>
      <xdr:rowOff>0</xdr:rowOff>
    </xdr:from>
    <xdr:ext cx="304800" cy="318408"/>
    <xdr:sp macro="" textlink="">
      <xdr:nvSpPr>
        <xdr:cNvPr id="4029" name="AutoShape 40" descr="Currently available antiretroviral drugs | Download Table">
          <a:extLst>
            <a:ext uri="{FF2B5EF4-FFF2-40B4-BE49-F238E27FC236}">
              <a16:creationId xmlns:a16="http://schemas.microsoft.com/office/drawing/2014/main" id="{FE4A204F-6AE5-4900-A7A8-B88E83154AB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271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2369</xdr:row>
      <xdr:rowOff>0</xdr:rowOff>
    </xdr:from>
    <xdr:ext cx="304800" cy="318408"/>
    <xdr:sp macro="" textlink="">
      <xdr:nvSpPr>
        <xdr:cNvPr id="4030" name="AutoShape 40" descr="Currently available antiretroviral drugs | Download Table">
          <a:extLst>
            <a:ext uri="{FF2B5EF4-FFF2-40B4-BE49-F238E27FC236}">
              <a16:creationId xmlns:a16="http://schemas.microsoft.com/office/drawing/2014/main" id="{A12BC8ED-8978-4BE2-B84E-27628259F51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271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2369</xdr:row>
      <xdr:rowOff>0</xdr:rowOff>
    </xdr:from>
    <xdr:ext cx="304800" cy="318408"/>
    <xdr:sp macro="" textlink="">
      <xdr:nvSpPr>
        <xdr:cNvPr id="4031" name="AutoShape 40" descr="Currently available antiretroviral drugs | Download Table">
          <a:extLst>
            <a:ext uri="{FF2B5EF4-FFF2-40B4-BE49-F238E27FC236}">
              <a16:creationId xmlns:a16="http://schemas.microsoft.com/office/drawing/2014/main" id="{EC064B1B-72B7-42C2-ABBD-B6091D0D227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271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2369</xdr:row>
      <xdr:rowOff>0</xdr:rowOff>
    </xdr:from>
    <xdr:ext cx="304800" cy="318408"/>
    <xdr:sp macro="" textlink="">
      <xdr:nvSpPr>
        <xdr:cNvPr id="4032" name="AutoShape 40" descr="Currently available antiretroviral drugs | Download Table">
          <a:extLst>
            <a:ext uri="{FF2B5EF4-FFF2-40B4-BE49-F238E27FC236}">
              <a16:creationId xmlns:a16="http://schemas.microsoft.com/office/drawing/2014/main" id="{0AE5E118-9DF6-49F3-BB7D-A94A75B6298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271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2369</xdr:row>
      <xdr:rowOff>0</xdr:rowOff>
    </xdr:from>
    <xdr:ext cx="304800" cy="318408"/>
    <xdr:sp macro="" textlink="">
      <xdr:nvSpPr>
        <xdr:cNvPr id="4033" name="AutoShape 40" descr="Currently available antiretroviral drugs | Download Table">
          <a:extLst>
            <a:ext uri="{FF2B5EF4-FFF2-40B4-BE49-F238E27FC236}">
              <a16:creationId xmlns:a16="http://schemas.microsoft.com/office/drawing/2014/main" id="{C73DE900-A060-4896-9B66-1C56D3F9509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271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2368</xdr:row>
      <xdr:rowOff>0</xdr:rowOff>
    </xdr:from>
    <xdr:ext cx="304800" cy="318408"/>
    <xdr:sp macro="" textlink="">
      <xdr:nvSpPr>
        <xdr:cNvPr id="4034" name="AutoShape 40" descr="Currently available antiretroviral drugs | Download Table">
          <a:extLst>
            <a:ext uri="{FF2B5EF4-FFF2-40B4-BE49-F238E27FC236}">
              <a16:creationId xmlns:a16="http://schemas.microsoft.com/office/drawing/2014/main" id="{B6A1EEAE-75E0-4083-8B20-CDAF12E6E9E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092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2368</xdr:row>
      <xdr:rowOff>0</xdr:rowOff>
    </xdr:from>
    <xdr:ext cx="304800" cy="318408"/>
    <xdr:sp macro="" textlink="">
      <xdr:nvSpPr>
        <xdr:cNvPr id="4035" name="AutoShape 40" descr="Currently available antiretroviral drugs | Download Table">
          <a:extLst>
            <a:ext uri="{FF2B5EF4-FFF2-40B4-BE49-F238E27FC236}">
              <a16:creationId xmlns:a16="http://schemas.microsoft.com/office/drawing/2014/main" id="{11E93D31-4829-4626-B5C2-ACCFB87336D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092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2368</xdr:row>
      <xdr:rowOff>0</xdr:rowOff>
    </xdr:from>
    <xdr:ext cx="304800" cy="318408"/>
    <xdr:sp macro="" textlink="">
      <xdr:nvSpPr>
        <xdr:cNvPr id="4036" name="AutoShape 40" descr="Currently available antiretroviral drugs | Download Table">
          <a:extLst>
            <a:ext uri="{FF2B5EF4-FFF2-40B4-BE49-F238E27FC236}">
              <a16:creationId xmlns:a16="http://schemas.microsoft.com/office/drawing/2014/main" id="{4DA6FB9D-956F-434D-8EC0-1771AA8C6F2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092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2368</xdr:row>
      <xdr:rowOff>0</xdr:rowOff>
    </xdr:from>
    <xdr:ext cx="304800" cy="318408"/>
    <xdr:sp macro="" textlink="">
      <xdr:nvSpPr>
        <xdr:cNvPr id="4037" name="AutoShape 40" descr="Currently available antiretroviral drugs | Download Table">
          <a:extLst>
            <a:ext uri="{FF2B5EF4-FFF2-40B4-BE49-F238E27FC236}">
              <a16:creationId xmlns:a16="http://schemas.microsoft.com/office/drawing/2014/main" id="{26CA4C36-D185-40B1-9C0B-F8506E83A93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092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2368</xdr:row>
      <xdr:rowOff>0</xdr:rowOff>
    </xdr:from>
    <xdr:ext cx="304800" cy="318408"/>
    <xdr:sp macro="" textlink="">
      <xdr:nvSpPr>
        <xdr:cNvPr id="4038" name="AutoShape 40" descr="Currently available antiretroviral drugs | Download Table">
          <a:extLst>
            <a:ext uri="{FF2B5EF4-FFF2-40B4-BE49-F238E27FC236}">
              <a16:creationId xmlns:a16="http://schemas.microsoft.com/office/drawing/2014/main" id="{BCB88DFD-AAB6-4F48-B376-A4FAF2F906D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092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2368</xdr:row>
      <xdr:rowOff>0</xdr:rowOff>
    </xdr:from>
    <xdr:ext cx="304800" cy="318408"/>
    <xdr:sp macro="" textlink="">
      <xdr:nvSpPr>
        <xdr:cNvPr id="4039" name="AutoShape 40" descr="Currently available antiretroviral drugs | Download Table">
          <a:extLst>
            <a:ext uri="{FF2B5EF4-FFF2-40B4-BE49-F238E27FC236}">
              <a16:creationId xmlns:a16="http://schemas.microsoft.com/office/drawing/2014/main" id="{391709DD-0FDB-428A-AF7E-4B76CCD2B25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092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2368</xdr:row>
      <xdr:rowOff>0</xdr:rowOff>
    </xdr:from>
    <xdr:ext cx="304800" cy="318408"/>
    <xdr:sp macro="" textlink="">
      <xdr:nvSpPr>
        <xdr:cNvPr id="4040" name="AutoShape 40" descr="Currently available antiretroviral drugs | Download Table">
          <a:extLst>
            <a:ext uri="{FF2B5EF4-FFF2-40B4-BE49-F238E27FC236}">
              <a16:creationId xmlns:a16="http://schemas.microsoft.com/office/drawing/2014/main" id="{922B9AC5-B97C-44F6-AD03-F556C978DF0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092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2368</xdr:row>
      <xdr:rowOff>0</xdr:rowOff>
    </xdr:from>
    <xdr:ext cx="304800" cy="318408"/>
    <xdr:sp macro="" textlink="">
      <xdr:nvSpPr>
        <xdr:cNvPr id="4041" name="AutoShape 40" descr="Currently available antiretroviral drugs | Download Table">
          <a:extLst>
            <a:ext uri="{FF2B5EF4-FFF2-40B4-BE49-F238E27FC236}">
              <a16:creationId xmlns:a16="http://schemas.microsoft.com/office/drawing/2014/main" id="{07C7B9CF-04C2-4113-A319-A258308C46A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092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2368</xdr:row>
      <xdr:rowOff>0</xdr:rowOff>
    </xdr:from>
    <xdr:ext cx="304800" cy="318408"/>
    <xdr:sp macro="" textlink="">
      <xdr:nvSpPr>
        <xdr:cNvPr id="4042" name="AutoShape 40" descr="Currently available antiretroviral drugs | Download Table">
          <a:extLst>
            <a:ext uri="{FF2B5EF4-FFF2-40B4-BE49-F238E27FC236}">
              <a16:creationId xmlns:a16="http://schemas.microsoft.com/office/drawing/2014/main" id="{92921CDE-061E-48F1-A5E8-76A9E000AEC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092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2368</xdr:row>
      <xdr:rowOff>0</xdr:rowOff>
    </xdr:from>
    <xdr:ext cx="304800" cy="318408"/>
    <xdr:sp macro="" textlink="">
      <xdr:nvSpPr>
        <xdr:cNvPr id="4043" name="AutoShape 40" descr="Currently available antiretroviral drugs | Download Table">
          <a:extLst>
            <a:ext uri="{FF2B5EF4-FFF2-40B4-BE49-F238E27FC236}">
              <a16:creationId xmlns:a16="http://schemas.microsoft.com/office/drawing/2014/main" id="{59E2EC70-4D2B-4F27-8317-DF19CF80CC2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092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2368</xdr:row>
      <xdr:rowOff>0</xdr:rowOff>
    </xdr:from>
    <xdr:ext cx="304800" cy="318408"/>
    <xdr:sp macro="" textlink="">
      <xdr:nvSpPr>
        <xdr:cNvPr id="4044" name="AutoShape 40" descr="Currently available antiretroviral drugs | Download Table">
          <a:extLst>
            <a:ext uri="{FF2B5EF4-FFF2-40B4-BE49-F238E27FC236}">
              <a16:creationId xmlns:a16="http://schemas.microsoft.com/office/drawing/2014/main" id="{516CF4EA-AE69-48FE-A405-A202D891E45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092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2369</xdr:row>
      <xdr:rowOff>0</xdr:rowOff>
    </xdr:from>
    <xdr:ext cx="304800" cy="318408"/>
    <xdr:sp macro="" textlink="">
      <xdr:nvSpPr>
        <xdr:cNvPr id="4045" name="AutoShape 40" descr="Currently available antiretroviral drugs | Download Table">
          <a:extLst>
            <a:ext uri="{FF2B5EF4-FFF2-40B4-BE49-F238E27FC236}">
              <a16:creationId xmlns:a16="http://schemas.microsoft.com/office/drawing/2014/main" id="{5D746723-8F77-4F62-B74F-B5C298D1B83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271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2368</xdr:row>
      <xdr:rowOff>0</xdr:rowOff>
    </xdr:from>
    <xdr:ext cx="304800" cy="318408"/>
    <xdr:sp macro="" textlink="">
      <xdr:nvSpPr>
        <xdr:cNvPr id="4046" name="AutoShape 40" descr="Currently available antiretroviral drugs | Download Table">
          <a:extLst>
            <a:ext uri="{FF2B5EF4-FFF2-40B4-BE49-F238E27FC236}">
              <a16:creationId xmlns:a16="http://schemas.microsoft.com/office/drawing/2014/main" id="{0D0B3535-5B1E-4E9C-9D11-44231041FDD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092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2368</xdr:row>
      <xdr:rowOff>0</xdr:rowOff>
    </xdr:from>
    <xdr:ext cx="304800" cy="318408"/>
    <xdr:sp macro="" textlink="">
      <xdr:nvSpPr>
        <xdr:cNvPr id="4047" name="AutoShape 40" descr="Currently available antiretroviral drugs | Download Table">
          <a:extLst>
            <a:ext uri="{FF2B5EF4-FFF2-40B4-BE49-F238E27FC236}">
              <a16:creationId xmlns:a16="http://schemas.microsoft.com/office/drawing/2014/main" id="{0D34B692-6CEC-4CD6-8174-0473C1BC4DF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092176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2369</xdr:row>
      <xdr:rowOff>0</xdr:rowOff>
    </xdr:from>
    <xdr:ext cx="304800" cy="318408"/>
    <xdr:sp macro="" textlink="">
      <xdr:nvSpPr>
        <xdr:cNvPr id="4048" name="AutoShape 40" descr="Currently available antiretroviral drugs | Download Table">
          <a:extLst>
            <a:ext uri="{FF2B5EF4-FFF2-40B4-BE49-F238E27FC236}">
              <a16:creationId xmlns:a16="http://schemas.microsoft.com/office/drawing/2014/main" id="{0141DDF3-C31E-4941-B3D7-D768395324A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271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2369</xdr:row>
      <xdr:rowOff>0</xdr:rowOff>
    </xdr:from>
    <xdr:ext cx="304800" cy="318408"/>
    <xdr:sp macro="" textlink="">
      <xdr:nvSpPr>
        <xdr:cNvPr id="4049" name="AutoShape 40" descr="Currently available antiretroviral drugs | Download Table">
          <a:extLst>
            <a:ext uri="{FF2B5EF4-FFF2-40B4-BE49-F238E27FC236}">
              <a16:creationId xmlns:a16="http://schemas.microsoft.com/office/drawing/2014/main" id="{3ECC216A-1113-4E7F-9CA5-60F72FD84662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271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2369</xdr:row>
      <xdr:rowOff>0</xdr:rowOff>
    </xdr:from>
    <xdr:ext cx="304800" cy="318408"/>
    <xdr:sp macro="" textlink="">
      <xdr:nvSpPr>
        <xdr:cNvPr id="4050" name="AutoShape 40" descr="Currently available antiretroviral drugs | Download Table">
          <a:extLst>
            <a:ext uri="{FF2B5EF4-FFF2-40B4-BE49-F238E27FC236}">
              <a16:creationId xmlns:a16="http://schemas.microsoft.com/office/drawing/2014/main" id="{64C6D59E-2B32-4708-96A6-DB35B81B592B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271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2369</xdr:row>
      <xdr:rowOff>0</xdr:rowOff>
    </xdr:from>
    <xdr:ext cx="304800" cy="318408"/>
    <xdr:sp macro="" textlink="">
      <xdr:nvSpPr>
        <xdr:cNvPr id="4051" name="AutoShape 40" descr="Currently available antiretroviral drugs | Download Table">
          <a:extLst>
            <a:ext uri="{FF2B5EF4-FFF2-40B4-BE49-F238E27FC236}">
              <a16:creationId xmlns:a16="http://schemas.microsoft.com/office/drawing/2014/main" id="{DBB9B24B-99A5-4A17-98FE-EB9FEC22888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271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2369</xdr:row>
      <xdr:rowOff>0</xdr:rowOff>
    </xdr:from>
    <xdr:ext cx="304800" cy="318408"/>
    <xdr:sp macro="" textlink="">
      <xdr:nvSpPr>
        <xdr:cNvPr id="4052" name="AutoShape 40" descr="Currently available antiretroviral drugs | Download Table">
          <a:extLst>
            <a:ext uri="{FF2B5EF4-FFF2-40B4-BE49-F238E27FC236}">
              <a16:creationId xmlns:a16="http://schemas.microsoft.com/office/drawing/2014/main" id="{D46FDB15-3775-45C6-9EA9-B08DCE65FE2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271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2369</xdr:row>
      <xdr:rowOff>0</xdr:rowOff>
    </xdr:from>
    <xdr:ext cx="304800" cy="318408"/>
    <xdr:sp macro="" textlink="">
      <xdr:nvSpPr>
        <xdr:cNvPr id="4053" name="AutoShape 40" descr="Currently available antiretroviral drugs | Download Table">
          <a:extLst>
            <a:ext uri="{FF2B5EF4-FFF2-40B4-BE49-F238E27FC236}">
              <a16:creationId xmlns:a16="http://schemas.microsoft.com/office/drawing/2014/main" id="{29C034C2-E8F9-491C-A169-C337225E9CA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271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2369</xdr:row>
      <xdr:rowOff>0</xdr:rowOff>
    </xdr:from>
    <xdr:ext cx="304800" cy="318408"/>
    <xdr:sp macro="" textlink="">
      <xdr:nvSpPr>
        <xdr:cNvPr id="4054" name="AutoShape 40" descr="Currently available antiretroviral drugs | Download Table">
          <a:extLst>
            <a:ext uri="{FF2B5EF4-FFF2-40B4-BE49-F238E27FC236}">
              <a16:creationId xmlns:a16="http://schemas.microsoft.com/office/drawing/2014/main" id="{2FFD0D18-1F6A-4643-BE47-B6481444A73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271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2369</xdr:row>
      <xdr:rowOff>0</xdr:rowOff>
    </xdr:from>
    <xdr:ext cx="304800" cy="318408"/>
    <xdr:sp macro="" textlink="">
      <xdr:nvSpPr>
        <xdr:cNvPr id="4055" name="AutoShape 40" descr="Currently available antiretroviral drugs | Download Table">
          <a:extLst>
            <a:ext uri="{FF2B5EF4-FFF2-40B4-BE49-F238E27FC236}">
              <a16:creationId xmlns:a16="http://schemas.microsoft.com/office/drawing/2014/main" id="{6F3367C3-1761-44EE-8CC3-FBAFAAB7540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271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2369</xdr:row>
      <xdr:rowOff>0</xdr:rowOff>
    </xdr:from>
    <xdr:ext cx="304800" cy="318408"/>
    <xdr:sp macro="" textlink="">
      <xdr:nvSpPr>
        <xdr:cNvPr id="4056" name="AutoShape 40" descr="Currently available antiretroviral drugs | Download Table">
          <a:extLst>
            <a:ext uri="{FF2B5EF4-FFF2-40B4-BE49-F238E27FC236}">
              <a16:creationId xmlns:a16="http://schemas.microsoft.com/office/drawing/2014/main" id="{93F9F054-DC28-4D1A-B727-E15B44E19EF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271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2369</xdr:row>
      <xdr:rowOff>0</xdr:rowOff>
    </xdr:from>
    <xdr:ext cx="304800" cy="318408"/>
    <xdr:sp macro="" textlink="">
      <xdr:nvSpPr>
        <xdr:cNvPr id="4057" name="AutoShape 40" descr="Currently available antiretroviral drugs | Download Table">
          <a:extLst>
            <a:ext uri="{FF2B5EF4-FFF2-40B4-BE49-F238E27FC236}">
              <a16:creationId xmlns:a16="http://schemas.microsoft.com/office/drawing/2014/main" id="{A620058B-B168-4EB1-A0F2-03237923665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271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2369</xdr:row>
      <xdr:rowOff>0</xdr:rowOff>
    </xdr:from>
    <xdr:ext cx="304800" cy="318408"/>
    <xdr:sp macro="" textlink="">
      <xdr:nvSpPr>
        <xdr:cNvPr id="4058" name="AutoShape 40" descr="Currently available antiretroviral drugs | Download Table">
          <a:extLst>
            <a:ext uri="{FF2B5EF4-FFF2-40B4-BE49-F238E27FC236}">
              <a16:creationId xmlns:a16="http://schemas.microsoft.com/office/drawing/2014/main" id="{955324DC-9C0E-471B-B9C0-F1026A385A6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271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2369</xdr:row>
      <xdr:rowOff>0</xdr:rowOff>
    </xdr:from>
    <xdr:ext cx="304800" cy="318408"/>
    <xdr:sp macro="" textlink="">
      <xdr:nvSpPr>
        <xdr:cNvPr id="4059" name="AutoShape 40" descr="Currently available antiretroviral drugs | Download Table">
          <a:extLst>
            <a:ext uri="{FF2B5EF4-FFF2-40B4-BE49-F238E27FC236}">
              <a16:creationId xmlns:a16="http://schemas.microsoft.com/office/drawing/2014/main" id="{250DD5A5-FBBD-483B-ADA9-E0E2CBA20B07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271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2369</xdr:row>
      <xdr:rowOff>0</xdr:rowOff>
    </xdr:from>
    <xdr:ext cx="304800" cy="318408"/>
    <xdr:sp macro="" textlink="">
      <xdr:nvSpPr>
        <xdr:cNvPr id="4060" name="AutoShape 40" descr="Currently available antiretroviral drugs | Download Table">
          <a:extLst>
            <a:ext uri="{FF2B5EF4-FFF2-40B4-BE49-F238E27FC236}">
              <a16:creationId xmlns:a16="http://schemas.microsoft.com/office/drawing/2014/main" id="{196AE5D5-6140-4F39-B098-1E32F17B312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271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2369</xdr:row>
      <xdr:rowOff>0</xdr:rowOff>
    </xdr:from>
    <xdr:ext cx="304800" cy="318408"/>
    <xdr:sp macro="" textlink="">
      <xdr:nvSpPr>
        <xdr:cNvPr id="4061" name="AutoShape 40" descr="Currently available antiretroviral drugs | Download Table">
          <a:extLst>
            <a:ext uri="{FF2B5EF4-FFF2-40B4-BE49-F238E27FC236}">
              <a16:creationId xmlns:a16="http://schemas.microsoft.com/office/drawing/2014/main" id="{6F0C52DE-3EB6-4A11-99C9-11D0EF0F307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271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2369</xdr:row>
      <xdr:rowOff>0</xdr:rowOff>
    </xdr:from>
    <xdr:ext cx="304800" cy="318408"/>
    <xdr:sp macro="" textlink="">
      <xdr:nvSpPr>
        <xdr:cNvPr id="4062" name="AutoShape 40" descr="Currently available antiretroviral drugs | Download Table">
          <a:extLst>
            <a:ext uri="{FF2B5EF4-FFF2-40B4-BE49-F238E27FC236}">
              <a16:creationId xmlns:a16="http://schemas.microsoft.com/office/drawing/2014/main" id="{12057BB2-6E58-4357-828A-C5D67D5D81A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271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2369</xdr:row>
      <xdr:rowOff>0</xdr:rowOff>
    </xdr:from>
    <xdr:ext cx="304800" cy="318408"/>
    <xdr:sp macro="" textlink="">
      <xdr:nvSpPr>
        <xdr:cNvPr id="4063" name="AutoShape 40" descr="Currently available antiretroviral drugs | Download Table">
          <a:extLst>
            <a:ext uri="{FF2B5EF4-FFF2-40B4-BE49-F238E27FC236}">
              <a16:creationId xmlns:a16="http://schemas.microsoft.com/office/drawing/2014/main" id="{64723DD1-EC33-4A67-85E3-3BD36622226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271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2369</xdr:row>
      <xdr:rowOff>0</xdr:rowOff>
    </xdr:from>
    <xdr:ext cx="304800" cy="318408"/>
    <xdr:sp macro="" textlink="">
      <xdr:nvSpPr>
        <xdr:cNvPr id="4064" name="AutoShape 40" descr="Currently available antiretroviral drugs | Download Table">
          <a:extLst>
            <a:ext uri="{FF2B5EF4-FFF2-40B4-BE49-F238E27FC236}">
              <a16:creationId xmlns:a16="http://schemas.microsoft.com/office/drawing/2014/main" id="{F5DBB713-F605-477A-B137-D192ABC7951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271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2369</xdr:row>
      <xdr:rowOff>0</xdr:rowOff>
    </xdr:from>
    <xdr:ext cx="304800" cy="318408"/>
    <xdr:sp macro="" textlink="">
      <xdr:nvSpPr>
        <xdr:cNvPr id="4065" name="AutoShape 40" descr="Currently available antiretroviral drugs | Download Table">
          <a:extLst>
            <a:ext uri="{FF2B5EF4-FFF2-40B4-BE49-F238E27FC236}">
              <a16:creationId xmlns:a16="http://schemas.microsoft.com/office/drawing/2014/main" id="{F2C5056F-1718-49F3-806D-4357DA2B5B9A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271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2369</xdr:row>
      <xdr:rowOff>0</xdr:rowOff>
    </xdr:from>
    <xdr:ext cx="304800" cy="318408"/>
    <xdr:sp macro="" textlink="">
      <xdr:nvSpPr>
        <xdr:cNvPr id="4066" name="AutoShape 40" descr="Currently available antiretroviral drugs | Download Table">
          <a:extLst>
            <a:ext uri="{FF2B5EF4-FFF2-40B4-BE49-F238E27FC236}">
              <a16:creationId xmlns:a16="http://schemas.microsoft.com/office/drawing/2014/main" id="{AD4F663D-4224-4307-A890-1B5A952D983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271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2369</xdr:row>
      <xdr:rowOff>0</xdr:rowOff>
    </xdr:from>
    <xdr:ext cx="304800" cy="318408"/>
    <xdr:sp macro="" textlink="">
      <xdr:nvSpPr>
        <xdr:cNvPr id="4067" name="AutoShape 40" descr="Currently available antiretroviral drugs | Download Table">
          <a:extLst>
            <a:ext uri="{FF2B5EF4-FFF2-40B4-BE49-F238E27FC236}">
              <a16:creationId xmlns:a16="http://schemas.microsoft.com/office/drawing/2014/main" id="{BA0829A4-1F8B-4C51-8BF6-F5629AEFB95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271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2369</xdr:row>
      <xdr:rowOff>0</xdr:rowOff>
    </xdr:from>
    <xdr:ext cx="304800" cy="318408"/>
    <xdr:sp macro="" textlink="">
      <xdr:nvSpPr>
        <xdr:cNvPr id="4068" name="AutoShape 40" descr="Currently available antiretroviral drugs | Download Table">
          <a:extLst>
            <a:ext uri="{FF2B5EF4-FFF2-40B4-BE49-F238E27FC236}">
              <a16:creationId xmlns:a16="http://schemas.microsoft.com/office/drawing/2014/main" id="{C3878105-E618-49DA-B7DA-B95FC5C56581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271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2369</xdr:row>
      <xdr:rowOff>0</xdr:rowOff>
    </xdr:from>
    <xdr:ext cx="304800" cy="318408"/>
    <xdr:sp macro="" textlink="">
      <xdr:nvSpPr>
        <xdr:cNvPr id="4069" name="AutoShape 40" descr="Currently available antiretroviral drugs | Download Table">
          <a:extLst>
            <a:ext uri="{FF2B5EF4-FFF2-40B4-BE49-F238E27FC236}">
              <a16:creationId xmlns:a16="http://schemas.microsoft.com/office/drawing/2014/main" id="{5D611BC3-2F45-4F56-90CD-E3304C4756C5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271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2369</xdr:row>
      <xdr:rowOff>0</xdr:rowOff>
    </xdr:from>
    <xdr:ext cx="304800" cy="318408"/>
    <xdr:sp macro="" textlink="">
      <xdr:nvSpPr>
        <xdr:cNvPr id="4070" name="AutoShape 40" descr="Currently available antiretroviral drugs | Download Table">
          <a:extLst>
            <a:ext uri="{FF2B5EF4-FFF2-40B4-BE49-F238E27FC236}">
              <a16:creationId xmlns:a16="http://schemas.microsoft.com/office/drawing/2014/main" id="{41063916-3446-4FDC-93A3-E122AF2F44C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271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2369</xdr:row>
      <xdr:rowOff>0</xdr:rowOff>
    </xdr:from>
    <xdr:ext cx="304800" cy="318408"/>
    <xdr:sp macro="" textlink="">
      <xdr:nvSpPr>
        <xdr:cNvPr id="4071" name="AutoShape 40" descr="Currently available antiretroviral drugs | Download Table">
          <a:extLst>
            <a:ext uri="{FF2B5EF4-FFF2-40B4-BE49-F238E27FC236}">
              <a16:creationId xmlns:a16="http://schemas.microsoft.com/office/drawing/2014/main" id="{2AA67761-3835-4374-BCA9-5C799CCFEDD6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271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2369</xdr:row>
      <xdr:rowOff>0</xdr:rowOff>
    </xdr:from>
    <xdr:ext cx="304800" cy="318408"/>
    <xdr:sp macro="" textlink="">
      <xdr:nvSpPr>
        <xdr:cNvPr id="4072" name="AutoShape 40" descr="Currently available antiretroviral drugs | Download Table">
          <a:extLst>
            <a:ext uri="{FF2B5EF4-FFF2-40B4-BE49-F238E27FC236}">
              <a16:creationId xmlns:a16="http://schemas.microsoft.com/office/drawing/2014/main" id="{91A29621-FC73-495E-8B14-1BAAAF44B593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271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2369</xdr:row>
      <xdr:rowOff>0</xdr:rowOff>
    </xdr:from>
    <xdr:ext cx="304800" cy="318408"/>
    <xdr:sp macro="" textlink="">
      <xdr:nvSpPr>
        <xdr:cNvPr id="4073" name="AutoShape 40" descr="Currently available antiretroviral drugs | Download Table">
          <a:extLst>
            <a:ext uri="{FF2B5EF4-FFF2-40B4-BE49-F238E27FC236}">
              <a16:creationId xmlns:a16="http://schemas.microsoft.com/office/drawing/2014/main" id="{9B6076F1-3E45-4A40-8220-587429E6E8FC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271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2369</xdr:row>
      <xdr:rowOff>0</xdr:rowOff>
    </xdr:from>
    <xdr:ext cx="304800" cy="318408"/>
    <xdr:sp macro="" textlink="">
      <xdr:nvSpPr>
        <xdr:cNvPr id="4074" name="AutoShape 40" descr="Currently available antiretroviral drugs | Download Table">
          <a:extLst>
            <a:ext uri="{FF2B5EF4-FFF2-40B4-BE49-F238E27FC236}">
              <a16:creationId xmlns:a16="http://schemas.microsoft.com/office/drawing/2014/main" id="{A1024419-8E23-4C78-A10B-EB3D77E364F0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271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2369</xdr:row>
      <xdr:rowOff>0</xdr:rowOff>
    </xdr:from>
    <xdr:ext cx="304800" cy="318408"/>
    <xdr:sp macro="" textlink="">
      <xdr:nvSpPr>
        <xdr:cNvPr id="4075" name="AutoShape 40" descr="Currently available antiretroviral drugs | Download Table">
          <a:extLst>
            <a:ext uri="{FF2B5EF4-FFF2-40B4-BE49-F238E27FC236}">
              <a16:creationId xmlns:a16="http://schemas.microsoft.com/office/drawing/2014/main" id="{792BBBC3-0BED-4DD9-8361-68328ECD1B59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271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2369</xdr:row>
      <xdr:rowOff>0</xdr:rowOff>
    </xdr:from>
    <xdr:ext cx="304800" cy="318408"/>
    <xdr:sp macro="" textlink="">
      <xdr:nvSpPr>
        <xdr:cNvPr id="4076" name="AutoShape 40" descr="Currently available antiretroviral drugs | Download Table">
          <a:extLst>
            <a:ext uri="{FF2B5EF4-FFF2-40B4-BE49-F238E27FC236}">
              <a16:creationId xmlns:a16="http://schemas.microsoft.com/office/drawing/2014/main" id="{4C81D54E-E89D-4B65-A4F1-933F98EB8FDF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271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2369</xdr:row>
      <xdr:rowOff>0</xdr:rowOff>
    </xdr:from>
    <xdr:ext cx="304800" cy="318408"/>
    <xdr:sp macro="" textlink="">
      <xdr:nvSpPr>
        <xdr:cNvPr id="4077" name="AutoShape 40" descr="Currently available antiretroviral drugs | Download Table">
          <a:extLst>
            <a:ext uri="{FF2B5EF4-FFF2-40B4-BE49-F238E27FC236}">
              <a16:creationId xmlns:a16="http://schemas.microsoft.com/office/drawing/2014/main" id="{9C4C32ED-D3CA-4D35-8F3B-B3E5184E0F4E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271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2369</xdr:row>
      <xdr:rowOff>0</xdr:rowOff>
    </xdr:from>
    <xdr:ext cx="304800" cy="318408"/>
    <xdr:sp macro="" textlink="">
      <xdr:nvSpPr>
        <xdr:cNvPr id="4078" name="AutoShape 40" descr="Currently available antiretroviral drugs | Download Table">
          <a:extLst>
            <a:ext uri="{FF2B5EF4-FFF2-40B4-BE49-F238E27FC236}">
              <a16:creationId xmlns:a16="http://schemas.microsoft.com/office/drawing/2014/main" id="{9716452C-1A1D-4AC4-B369-71ABB74F5468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271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2369</xdr:row>
      <xdr:rowOff>0</xdr:rowOff>
    </xdr:from>
    <xdr:ext cx="304800" cy="318408"/>
    <xdr:sp macro="" textlink="">
      <xdr:nvSpPr>
        <xdr:cNvPr id="4079" name="AutoShape 40" descr="Currently available antiretroviral drugs | Download Table">
          <a:extLst>
            <a:ext uri="{FF2B5EF4-FFF2-40B4-BE49-F238E27FC236}">
              <a16:creationId xmlns:a16="http://schemas.microsoft.com/office/drawing/2014/main" id="{F159811F-DCA3-44D5-95C4-B0E5A20ABB8D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271471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2370</xdr:row>
      <xdr:rowOff>0</xdr:rowOff>
    </xdr:from>
    <xdr:ext cx="304800" cy="318408"/>
    <xdr:sp macro="" textlink="">
      <xdr:nvSpPr>
        <xdr:cNvPr id="4080" name="AutoShape 40" descr="Currently available antiretroviral drugs | Download Table">
          <a:extLst>
            <a:ext uri="{FF2B5EF4-FFF2-40B4-BE49-F238E27FC236}">
              <a16:creationId xmlns:a16="http://schemas.microsoft.com/office/drawing/2014/main" id="{3112A971-9281-4982-BDA9-B02DB551EC74}"/>
            </a:ext>
          </a:extLst>
        </xdr:cNvPr>
        <xdr:cNvSpPr>
          <a:spLocks noChangeAspect="1" noChangeArrowheads="1"/>
        </xdr:cNvSpPr>
      </xdr:nvSpPr>
      <xdr:spPr bwMode="auto">
        <a:xfrm>
          <a:off x="11105029" y="334450765"/>
          <a:ext cx="304800" cy="318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cmcdonoughthayer/Box/COVID-19%20Response/COVID%20IPC%20model/COVID-19%20IPC%20items%20country%20calculator_v20200318%2017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covid-19/cost/NCCM%20model%20versions/National%20Covid-19%20Cost%20Model%20add'l%20waves%201309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gesinem/AppData/Local/Temp/Genesis%20Covid%20quarantine%20cost%20estimates%20(2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kerensag/AppData/Local/Microsoft/Windows/INetCache/Content.Outlook/IYS18LES/COVID-19%20PPE%20Forecast_01.04.2020_WHO%20%20SASA%20Recs%20(00000002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gesinem/Downloads/Copy%20of%20For%20HIV%20unit%20cost%20model%20-%20Aisha%20to%20Update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kerensag/AppData/Local/Microsoft/Windows/INetCache/Content.Outlook/IYS18LES/TPCM%20Unit%20Cost%20Decentralized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lisej/Desktop/National%20ART%20Cost%20Model%20v3%20NSP%2026082019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lisej/Downloads/THEMBISA_4.3%20with%20HIV%20prog%20cost%20Baseline%20(some%20PrEP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/Contracts/SOLLY/Estimates%20Workbook/HP01-2017TB%20ESTIMATES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C:/Users/bevans/Downloads/Readme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sauer/data/JRF/2017/Blank_forms_2016/HQ/WHO_UNICEF_JRF_EN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sarahg/Google%20Drive/Private%20PHC%20Costing/Cost%20data%20collection/FF%20Ribeiro/Sithabiso%20Craig/MDR%20TB%20costing%20v5.7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Linganisa/TB/TB%20cost%20model/model%20versions/National%20TB%20cost%20model%20v4.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sauer/data/JRF/2015/Blank_forms_2015/HQ/JRF_data_for_2014_english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tbbosa/Desktop/CHAI/SHF/SHF_2019/Covid-19/covid-efst-v1-2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/Contracts/SOLLY/Estimates%20Workbook/HP02-2017AI%20ESTIMATES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Investment%20Case/ART%20Costing/ART%20cost%20public%20sector%2007.12.22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s/brookenichols/Library/CloudStorage/Dropbox/IAAL/Project/Palladium/C:/Users/calvinc/Downloads/UnitCostModelV1%206%20steve%202%20Nov%205pm%20(1).xlsx" TargetMode="External"/><Relationship Id="rId1" Type="http://schemas.openxmlformats.org/officeDocument/2006/relationships/externalLinkPath" Target="/Users/brookenichols/Library/CloudStorage/Dropbox/IAAL/Project/Palladium/C:\Users\calvinc\Downloads\UnitCostModelV1%206%20steve%202%20Nov%205pm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161 countries"/>
      <sheetName val="Header"/>
      <sheetName val="INSTRUCTIONS"/>
      <sheetName val="OUTPUT &gt;&gt;&gt;"/>
      <sheetName val="Total forecast by item"/>
      <sheetName val="Equipment needed by setting"/>
      <sheetName val="CALCS &gt;&gt;&gt;"/>
      <sheetName val="Summary people"/>
      <sheetName val="Diagnostic test usage"/>
      <sheetName val="HCWs over time"/>
      <sheetName val="Patients over time"/>
      <sheetName val="ASSUMPTIONS &gt;&gt;&gt;"/>
      <sheetName val="Equipment per person per day"/>
      <sheetName val="Patient &amp; case assumptions"/>
      <sheetName val="Staff&amp;infrastructure assumption"/>
      <sheetName val="EPI MODELLING &gt;&gt;&gt;"/>
      <sheetName val="Epi outputs"/>
      <sheetName val="Epi curve calcs"/>
      <sheetName val="Epi curve assumptions"/>
      <sheetName val="REFERENCE &gt;&gt;&gt;"/>
      <sheetName val="Days to weeks"/>
      <sheetName val="Total equipment list"/>
      <sheetName val="Tabular age population data"/>
      <sheetName val="Population data by age"/>
      <sheetName val="COVID19-Activity Package"/>
      <sheetName val="DCP, items specs"/>
      <sheetName val="First response list"/>
      <sheetName val="Cases to people per week"/>
      <sheetName val="EPI ESTIMATES UNUSED&gt;&gt;&gt;"/>
      <sheetName val="OUTPUT"/>
      <sheetName val="Summary"/>
      <sheetName val="--&gt;Ref"/>
      <sheetName val="% Trend"/>
      <sheetName val="Select countries"/>
      <sheetName val="total_cases"/>
      <sheetName val="DELETE &gt;&gt;&gt;"/>
      <sheetName val="Need forecast by product"/>
      <sheetName val="Need forecast"/>
      <sheetName val="Global Need Foreca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3">
          <cell r="E13" t="str">
            <v>Essential only</v>
          </cell>
        </row>
        <row r="14">
          <cell r="E14">
            <v>0</v>
          </cell>
        </row>
        <row r="16">
          <cell r="E16">
            <v>6</v>
          </cell>
        </row>
      </sheetData>
      <sheetData sheetId="6" refreshError="1"/>
      <sheetData sheetId="7" refreshError="1"/>
      <sheetData sheetId="8" refreshError="1">
        <row r="12">
          <cell r="Q12">
            <v>142.79999999999998</v>
          </cell>
          <cell r="S12">
            <v>93.1</v>
          </cell>
        </row>
        <row r="13">
          <cell r="Q13">
            <v>285.60000000000002</v>
          </cell>
          <cell r="S13">
            <v>186.2</v>
          </cell>
        </row>
        <row r="14">
          <cell r="Q14">
            <v>171.35999999999999</v>
          </cell>
          <cell r="S14">
            <v>111.71999999999998</v>
          </cell>
        </row>
        <row r="15">
          <cell r="Q15">
            <v>142.80000000000001</v>
          </cell>
          <cell r="S15">
            <v>93.1</v>
          </cell>
        </row>
        <row r="16">
          <cell r="Q16">
            <v>2.8559999999999999</v>
          </cell>
          <cell r="S16">
            <v>1.8619999999999999</v>
          </cell>
        </row>
        <row r="20">
          <cell r="Q20">
            <v>392</v>
          </cell>
          <cell r="S20">
            <v>280</v>
          </cell>
        </row>
        <row r="21">
          <cell r="Q21">
            <v>392</v>
          </cell>
        </row>
        <row r="22">
          <cell r="Q22">
            <v>61</v>
          </cell>
          <cell r="S22">
            <v>38</v>
          </cell>
        </row>
        <row r="26">
          <cell r="Q26">
            <v>3318</v>
          </cell>
        </row>
        <row r="27">
          <cell r="Q27">
            <v>8</v>
          </cell>
          <cell r="S27">
            <v>3</v>
          </cell>
        </row>
        <row r="28">
          <cell r="Q28">
            <v>6</v>
          </cell>
          <cell r="S28">
            <v>1</v>
          </cell>
        </row>
      </sheetData>
      <sheetData sheetId="9" refreshError="1"/>
      <sheetData sheetId="10" refreshError="1"/>
      <sheetData sheetId="11" refreshError="1">
        <row r="17">
          <cell r="AE17">
            <v>490</v>
          </cell>
        </row>
        <row r="18">
          <cell r="AE18">
            <v>392</v>
          </cell>
        </row>
        <row r="19">
          <cell r="AE19">
            <v>73.5</v>
          </cell>
        </row>
        <row r="20">
          <cell r="AE20">
            <v>24.5</v>
          </cell>
        </row>
        <row r="30">
          <cell r="AE30">
            <v>69.299999999999983</v>
          </cell>
        </row>
        <row r="31">
          <cell r="AE31">
            <v>23.800000000000004</v>
          </cell>
        </row>
        <row r="42">
          <cell r="AE42">
            <v>2254</v>
          </cell>
        </row>
        <row r="47">
          <cell r="AE47">
            <v>3318</v>
          </cell>
        </row>
      </sheetData>
      <sheetData sheetId="12" refreshError="1"/>
      <sheetData sheetId="13" refreshError="1">
        <row r="11">
          <cell r="D11" t="str">
            <v>HCW</v>
          </cell>
          <cell r="E11" t="str">
            <v>Hygienist</v>
          </cell>
          <cell r="F11" t="str">
            <v>Caretaker</v>
          </cell>
          <cell r="G11" t="str">
            <v>Ambulancier</v>
          </cell>
          <cell r="H11" t="str">
            <v>Patient</v>
          </cell>
          <cell r="I11" t="str">
            <v>Bed</v>
          </cell>
        </row>
        <row r="14">
          <cell r="C14" t="str">
            <v>In-patient careGloves, heavy duty</v>
          </cell>
          <cell r="D14">
            <v>0</v>
          </cell>
          <cell r="E14">
            <v>0.1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</row>
        <row r="15">
          <cell r="C15" t="str">
            <v>In-patient careGloves, examination</v>
          </cell>
          <cell r="D15">
            <v>6</v>
          </cell>
          <cell r="E15">
            <v>0</v>
          </cell>
          <cell r="F15">
            <v>4</v>
          </cell>
          <cell r="G15">
            <v>4</v>
          </cell>
          <cell r="H15">
            <v>0</v>
          </cell>
          <cell r="I15">
            <v>0</v>
          </cell>
        </row>
        <row r="16">
          <cell r="C16" t="str">
            <v>In-patient careGloves, surgical</v>
          </cell>
          <cell r="D16">
            <v>1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</row>
        <row r="17">
          <cell r="C17" t="str">
            <v>In-patient careFace shield</v>
          </cell>
          <cell r="D17">
            <v>1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</row>
        <row r="18">
          <cell r="C18" t="str">
            <v>In-patient careMask, particulate respirator</v>
          </cell>
          <cell r="D18">
            <v>1</v>
          </cell>
          <cell r="E18">
            <v>2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</row>
        <row r="19">
          <cell r="C19" t="str">
            <v>In-patient careMask, medical</v>
          </cell>
          <cell r="D19">
            <v>4</v>
          </cell>
          <cell r="E19">
            <v>0</v>
          </cell>
          <cell r="F19">
            <v>2</v>
          </cell>
          <cell r="G19">
            <v>2</v>
          </cell>
          <cell r="H19">
            <v>0</v>
          </cell>
          <cell r="I19">
            <v>0</v>
          </cell>
        </row>
        <row r="20">
          <cell r="C20" t="str">
            <v>In-patient careMask, medical patient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2</v>
          </cell>
          <cell r="I20">
            <v>0</v>
          </cell>
        </row>
        <row r="21">
          <cell r="C21" t="str">
            <v>In-patient careScrubs, tops</v>
          </cell>
          <cell r="D21">
            <v>3.3333333333333333E-2</v>
          </cell>
          <cell r="E21">
            <v>3.3333333333333333E-2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</row>
        <row r="22">
          <cell r="C22" t="str">
            <v>In-patient careScrubs, pants</v>
          </cell>
          <cell r="D22">
            <v>3.3333333333333333E-2</v>
          </cell>
          <cell r="E22">
            <v>3.3333333333333333E-2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</row>
        <row r="23">
          <cell r="C23" t="str">
            <v>In-patient careGown, protective</v>
          </cell>
          <cell r="D23">
            <v>1</v>
          </cell>
          <cell r="E23">
            <v>1</v>
          </cell>
          <cell r="F23">
            <v>0</v>
          </cell>
          <cell r="G23">
            <v>2</v>
          </cell>
          <cell r="H23">
            <v>0</v>
          </cell>
          <cell r="I23">
            <v>0</v>
          </cell>
        </row>
        <row r="24">
          <cell r="C24" t="str">
            <v>In-patient careApron, disposable</v>
          </cell>
          <cell r="D24">
            <v>1</v>
          </cell>
          <cell r="E24">
            <v>0</v>
          </cell>
          <cell r="F24">
            <v>0</v>
          </cell>
          <cell r="G24">
            <v>2</v>
          </cell>
          <cell r="H24">
            <v>0</v>
          </cell>
          <cell r="I24">
            <v>0</v>
          </cell>
        </row>
        <row r="25">
          <cell r="C25" t="str">
            <v>In-patient careApron, heavy duty, reusable</v>
          </cell>
          <cell r="D25">
            <v>0</v>
          </cell>
          <cell r="E25">
            <v>0.05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C26" t="str">
            <v>In-patient careGoggles, protective</v>
          </cell>
          <cell r="D26">
            <v>0.1</v>
          </cell>
          <cell r="E26">
            <v>0</v>
          </cell>
          <cell r="F26">
            <v>0</v>
          </cell>
          <cell r="G26">
            <v>0.1</v>
          </cell>
          <cell r="H26">
            <v>0</v>
          </cell>
          <cell r="I26">
            <v>0</v>
          </cell>
        </row>
        <row r="27">
          <cell r="C27" t="str">
            <v>In-patient careGum boots</v>
          </cell>
          <cell r="D27">
            <v>0</v>
          </cell>
          <cell r="E27">
            <v>0.01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</row>
        <row r="29">
          <cell r="C29" t="str">
            <v>In-patient careSafety box</v>
          </cell>
          <cell r="D29">
            <v>0.1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</row>
        <row r="31">
          <cell r="C31" t="str">
            <v>In-patient careBio-hazardous bag</v>
          </cell>
          <cell r="D31">
            <v>0.5</v>
          </cell>
          <cell r="E31">
            <v>0.5</v>
          </cell>
          <cell r="F31">
            <v>0</v>
          </cell>
          <cell r="G31">
            <v>0.5</v>
          </cell>
          <cell r="H31">
            <v>0</v>
          </cell>
          <cell r="I31">
            <v>0</v>
          </cell>
        </row>
        <row r="32">
          <cell r="C32" t="str">
            <v>In-patient careLiquid soap</v>
          </cell>
          <cell r="D32">
            <v>1.6666666666666666E-2</v>
          </cell>
          <cell r="E32">
            <v>1.6666666666666666E-2</v>
          </cell>
          <cell r="F32">
            <v>0</v>
          </cell>
          <cell r="G32">
            <v>1.6666666666666666E-2</v>
          </cell>
          <cell r="H32">
            <v>0</v>
          </cell>
          <cell r="I32">
            <v>0</v>
          </cell>
        </row>
        <row r="33">
          <cell r="C33" t="str">
            <v>In-patient careAlcohol-based hand rub</v>
          </cell>
          <cell r="D33">
            <v>3.3333333333333333E-2</v>
          </cell>
          <cell r="E33">
            <v>3.3333333333333333E-2</v>
          </cell>
          <cell r="F33">
            <v>0</v>
          </cell>
          <cell r="G33">
            <v>3.3333333333333333E-2</v>
          </cell>
          <cell r="H33">
            <v>0</v>
          </cell>
          <cell r="I33">
            <v>0</v>
          </cell>
        </row>
        <row r="34">
          <cell r="C34" t="str">
            <v>In-patient careChlorine, HTH 70%</v>
          </cell>
          <cell r="D34">
            <v>0</v>
          </cell>
          <cell r="E34">
            <v>0.03</v>
          </cell>
          <cell r="F34">
            <v>0</v>
          </cell>
          <cell r="G34">
            <v>0.03</v>
          </cell>
          <cell r="H34">
            <v>0</v>
          </cell>
          <cell r="I34">
            <v>0</v>
          </cell>
        </row>
        <row r="36">
          <cell r="C36" t="str">
            <v>In-patient careMONITOR PATIENT, NIBP, w/o ECG, battery, trolley, +acc.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1</v>
          </cell>
        </row>
        <row r="37">
          <cell r="C37" t="str">
            <v>In-patient carePULSE OXYMETER - FINGERTIP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0.8</v>
          </cell>
        </row>
        <row r="38">
          <cell r="C38" t="str">
            <v>In-patient careCONCENTRATOR O2, 10L, 230V, 50 Hz + acc.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1</v>
          </cell>
        </row>
        <row r="39">
          <cell r="C39" t="str">
            <v>In-patient careFlowmeter, Thorpe tube, for oxygen 0-15L/min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2</v>
          </cell>
        </row>
        <row r="40">
          <cell r="C40" t="str">
            <v xml:space="preserve">In-patient careCPAP 10 machine, w/twin flowmeters 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0.01</v>
          </cell>
        </row>
        <row r="41">
          <cell r="C41" t="str">
            <v>In-patient careCPAP unit w/nasal tubing and mask for adult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0.08</v>
          </cell>
        </row>
        <row r="42">
          <cell r="C42" t="str">
            <v>In-patient careSUCTION PUMP, MECHANICAL (Twin Pump) + collection bottles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2.5000000000000001E-2</v>
          </cell>
        </row>
        <row r="43">
          <cell r="C43" t="str">
            <v>In-patient careELECTRONIC DROP COUNTER, IV fluids infu. gravity monitor, alarm, batt.AA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1</v>
          </cell>
        </row>
        <row r="44">
          <cell r="C44" t="str">
            <v>In-patient careCLINICAL CHEMISTRY ANALYSER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2.5000000000000001E-2</v>
          </cell>
        </row>
        <row r="45">
          <cell r="C45" t="str">
            <v>In-patient careMONITOR PATIENT, multiparamet.ECG/CAPNO/SpO2/NIBP/Temp,230V,+acc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1</v>
          </cell>
        </row>
        <row r="46">
          <cell r="C46" t="str">
            <v>In-patient careFlowmeter, Thorpe tube, for oxygen 0-15L/min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2</v>
          </cell>
        </row>
        <row r="47">
          <cell r="C47" t="str">
            <v>In-patient careCRICOTHYROTOMY, SET, emergency, 6 mm, ster., s.u., w/acc.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2.5000000000000001E-2</v>
          </cell>
        </row>
        <row r="48">
          <cell r="C48" t="str">
            <v>In-patient careLARYNGOSCOPE,fib.opt, ad/ch, diam.28mm, blades, sp.bulbs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2.5000000000000001E-2</v>
          </cell>
        </row>
        <row r="49">
          <cell r="C49" t="str">
            <v>In-patient careLARYNGOSCOPE,fib.opt, neonate, diam.19mm, blades, sp.bulbs,batt.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2.5000000000000001E-2</v>
          </cell>
        </row>
        <row r="50">
          <cell r="C50" t="str">
            <v xml:space="preserve">In-patient careSELF-INFLATING BAG, ad./child + masks RH5 / RH2 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2.5000000000000001E-2</v>
          </cell>
        </row>
        <row r="51">
          <cell r="C51" t="str">
            <v>In-patient careSELF-INFLATING BAG, child/neonate + masks RH2/S1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2.5000000000000001E-2</v>
          </cell>
        </row>
        <row r="52">
          <cell r="C52" t="str">
            <v>In-patient careSuction bulb, for newborn, reusable, autoclavable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2.5000000000000001E-2</v>
          </cell>
        </row>
        <row r="53">
          <cell r="C53" t="str">
            <v>In-patient careSUCTION PUMP, MECHANICAL (Twin Pump) + collection bottles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2.5000000000000001E-2</v>
          </cell>
        </row>
        <row r="54">
          <cell r="C54" t="str">
            <v>In-patient careVENTILATOR PATIENT, for adult, paediatric and neonate w/acc.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1</v>
          </cell>
        </row>
        <row r="55">
          <cell r="C55" t="str">
            <v xml:space="preserve">In-patient careHigh Flow Nasal Cannula 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1</v>
          </cell>
        </row>
        <row r="56">
          <cell r="C56" t="str">
            <v>In-patient careSUCTION PUMP, ELECTRICAL, 100-230V,50-60Hz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1</v>
          </cell>
        </row>
        <row r="57">
          <cell r="C57" t="str">
            <v xml:space="preserve">In-patient careINFUSION PUMP 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1</v>
          </cell>
        </row>
        <row r="58">
          <cell r="C58" t="str">
            <v>In-patient careDRILL, FOR VASCULAR ACCESS, with transport bag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2.5000000000000001E-2</v>
          </cell>
        </row>
        <row r="59">
          <cell r="C59" t="str">
            <v>In-patient careDEFIBRILLATOR, mobile, semi-auto,multi-paramet,AC/DC, w/acc+trolley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2.5000000000000001E-2</v>
          </cell>
        </row>
        <row r="60">
          <cell r="C60" t="str">
            <v>In-patient careELECTROCARDIOGRAPH, portable, 3 ch+ACC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2.5000000000000001E-2</v>
          </cell>
        </row>
        <row r="61">
          <cell r="C61" t="str">
            <v>In-patient careULTRASOUND, SYSTEM, MOBILE, transducer, trolley, 220V, w/ acc.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2.5000000000000001E-2</v>
          </cell>
        </row>
        <row r="62">
          <cell r="C62" t="str">
            <v>In-patient careULTRASOUND, SYSTEM, MOBILE, transducer, trolley, 220V, w/ acc.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2.5000000000000001E-2</v>
          </cell>
        </row>
        <row r="63">
          <cell r="C63" t="str">
            <v xml:space="preserve">In-patient careCLINICAL CHEMISTRY ANALYSER 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2.5000000000000001E-2</v>
          </cell>
        </row>
        <row r="64">
          <cell r="C64" t="str">
            <v>In-patient careTable, resuscitation, neonate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2.5000000000000001E-2</v>
          </cell>
        </row>
        <row r="65">
          <cell r="C65" t="str">
            <v xml:space="preserve">In-patient careINFANT SCALE, electronic, 0-20 kg 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2.5000000000000001E-2</v>
          </cell>
        </row>
        <row r="66">
          <cell r="C66" t="str">
            <v>In-patient careSCALE, electronic, 50g/0-200kg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2.5000000000000001E-2</v>
          </cell>
        </row>
        <row r="67">
          <cell r="C67" t="str">
            <v>In-patient careAUTOCLAVE, 39 L, with single burner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2.5000000000000001E-2</v>
          </cell>
        </row>
        <row r="68">
          <cell r="C68" t="str">
            <v>In-patient careMODULES CENTRAL STERILIZATION, TBM 90L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2.5000000000000001E-2</v>
          </cell>
        </row>
        <row r="71">
          <cell r="C71" t="str">
            <v>Out-patient careMask, medical</v>
          </cell>
          <cell r="D71">
            <v>0</v>
          </cell>
          <cell r="E71">
            <v>0</v>
          </cell>
          <cell r="F71">
            <v>2</v>
          </cell>
          <cell r="G71">
            <v>0</v>
          </cell>
          <cell r="H71">
            <v>0</v>
          </cell>
          <cell r="I71">
            <v>0</v>
          </cell>
        </row>
        <row r="72">
          <cell r="C72" t="str">
            <v>Out-patient careMask, medical patient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</row>
        <row r="73">
          <cell r="C73" t="str">
            <v>Out-patient careGloves, examination</v>
          </cell>
          <cell r="D73">
            <v>0</v>
          </cell>
          <cell r="E73">
            <v>0</v>
          </cell>
          <cell r="F73">
            <v>4</v>
          </cell>
          <cell r="G73">
            <v>0</v>
          </cell>
          <cell r="H73">
            <v>0</v>
          </cell>
          <cell r="I73">
            <v>0</v>
          </cell>
        </row>
        <row r="74">
          <cell r="C74" t="str">
            <v>Out-patient careGown, protective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</row>
        <row r="75">
          <cell r="C75" t="str">
            <v>Out-patient careGoggles, protective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</row>
        <row r="77">
          <cell r="C77" t="str">
            <v>Out-patient careAlcohol-based hand rub</v>
          </cell>
          <cell r="D77">
            <v>0</v>
          </cell>
          <cell r="E77">
            <v>0</v>
          </cell>
          <cell r="F77">
            <v>3.3333333333333333E-2</v>
          </cell>
          <cell r="G77">
            <v>0</v>
          </cell>
          <cell r="H77">
            <v>0</v>
          </cell>
          <cell r="I77">
            <v>0</v>
          </cell>
        </row>
        <row r="80">
          <cell r="C80" t="str">
            <v>ConsultationGloves, examination</v>
          </cell>
          <cell r="D80">
            <v>8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</row>
        <row r="81">
          <cell r="C81" t="str">
            <v>ConsultationMask, medical</v>
          </cell>
          <cell r="D81">
            <v>8</v>
          </cell>
          <cell r="E81">
            <v>0</v>
          </cell>
          <cell r="F81">
            <v>0</v>
          </cell>
          <cell r="G81">
            <v>0</v>
          </cell>
          <cell r="H81">
            <v>1</v>
          </cell>
          <cell r="I81">
            <v>0</v>
          </cell>
        </row>
        <row r="82">
          <cell r="C82" t="str">
            <v>ConsultationGown, protective</v>
          </cell>
          <cell r="D82">
            <v>2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</row>
        <row r="83">
          <cell r="C83" t="str">
            <v>ConsultationGoggles, protective</v>
          </cell>
          <cell r="D83">
            <v>0.1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</row>
        <row r="84">
          <cell r="C84" t="str">
            <v>ConsultationScrubs, tops</v>
          </cell>
          <cell r="D84">
            <v>0.03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</row>
        <row r="85">
          <cell r="C85" t="str">
            <v>ConsultationScrubs, pants</v>
          </cell>
          <cell r="D85">
            <v>0.03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</row>
        <row r="86">
          <cell r="C86" t="str">
            <v>ConsultationHygiene</v>
          </cell>
        </row>
        <row r="87">
          <cell r="C87" t="str">
            <v>ConsultationAlcohol-based hand rub</v>
          </cell>
          <cell r="D87">
            <v>0.03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</row>
        <row r="88">
          <cell r="C88" t="str">
            <v>ConsultationBio-hazardous bag</v>
          </cell>
          <cell r="D88">
            <v>0.5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</row>
        <row r="89">
          <cell r="C89" t="str">
            <v>ConsultationLiquid soap</v>
          </cell>
          <cell r="D89">
            <v>0.02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</row>
        <row r="92">
          <cell r="C92" t="str">
            <v>LaboratoriesGoggles, protective</v>
          </cell>
          <cell r="D92">
            <v>6.6666666666666666E-2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</row>
        <row r="93">
          <cell r="C93" t="str">
            <v>LaboratoriesMask, medical</v>
          </cell>
          <cell r="D93">
            <v>4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</row>
        <row r="94">
          <cell r="C94" t="str">
            <v>LaboratoriesFace shield</v>
          </cell>
          <cell r="D94">
            <v>2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</row>
        <row r="95">
          <cell r="C95" t="str">
            <v>LaboratoriesGloves, examination</v>
          </cell>
          <cell r="D95">
            <v>8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</row>
        <row r="96">
          <cell r="C96" t="str">
            <v>LaboratoriesGown, protective</v>
          </cell>
          <cell r="D96">
            <v>2</v>
          </cell>
          <cell r="E96">
            <v>1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</row>
        <row r="98">
          <cell r="C98" t="str">
            <v>LaboratoriesTriple packaging boxes</v>
          </cell>
          <cell r="D98">
            <v>0.5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</row>
        <row r="99">
          <cell r="C99" t="str">
            <v>LaboratoriesViral Transport Medium</v>
          </cell>
          <cell r="D99">
            <v>0.5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</row>
        <row r="100">
          <cell r="C100" t="str">
            <v>LaboratoriesSafety box</v>
          </cell>
          <cell r="D100">
            <v>0.2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</row>
        <row r="102">
          <cell r="C102" t="str">
            <v>LaboratoriesLiquid soap</v>
          </cell>
          <cell r="D102">
            <v>0.02</v>
          </cell>
          <cell r="E102">
            <v>1.6666666666666666E-2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</row>
        <row r="103">
          <cell r="C103" t="str">
            <v>LaboratoriesBio-hazardous bag</v>
          </cell>
          <cell r="D103">
            <v>0.4</v>
          </cell>
          <cell r="E103">
            <v>0.5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</row>
        <row r="104">
          <cell r="C104" t="str">
            <v>LaboratoriesChlorine, HTH 70%</v>
          </cell>
          <cell r="D104">
            <v>0.1</v>
          </cell>
          <cell r="E104">
            <v>0.03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</row>
        <row r="105">
          <cell r="C105" t="str">
            <v>LaboratoriesAlcohol-based hand rub</v>
          </cell>
          <cell r="D105">
            <v>0.03</v>
          </cell>
          <cell r="E105">
            <v>3.3333333333333333E-2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</row>
        <row r="108">
          <cell r="C108">
            <v>0.5</v>
          </cell>
        </row>
        <row r="109">
          <cell r="C109">
            <v>5</v>
          </cell>
        </row>
      </sheetData>
      <sheetData sheetId="14" refreshError="1">
        <row r="11">
          <cell r="C11">
            <v>0.8</v>
          </cell>
        </row>
        <row r="12">
          <cell r="C12">
            <v>0.15</v>
          </cell>
        </row>
        <row r="13">
          <cell r="C13">
            <v>0.05</v>
          </cell>
        </row>
        <row r="16">
          <cell r="C16">
            <v>3</v>
          </cell>
        </row>
        <row r="17">
          <cell r="C17">
            <v>4</v>
          </cell>
        </row>
        <row r="22">
          <cell r="C22">
            <v>2</v>
          </cell>
        </row>
        <row r="24">
          <cell r="C24">
            <v>1</v>
          </cell>
        </row>
        <row r="27">
          <cell r="C27">
            <v>3</v>
          </cell>
        </row>
        <row r="29">
          <cell r="C29">
            <v>4000</v>
          </cell>
        </row>
        <row r="31">
          <cell r="C31">
            <v>1000000</v>
          </cell>
        </row>
        <row r="33">
          <cell r="C33">
            <v>0.1</v>
          </cell>
        </row>
        <row r="35">
          <cell r="C35">
            <v>3</v>
          </cell>
        </row>
        <row r="37">
          <cell r="C37">
            <v>1</v>
          </cell>
        </row>
      </sheetData>
      <sheetData sheetId="15" refreshError="1">
        <row r="11">
          <cell r="C11">
            <v>2</v>
          </cell>
        </row>
        <row r="12">
          <cell r="C12">
            <v>1.2</v>
          </cell>
        </row>
        <row r="13">
          <cell r="C13">
            <v>1</v>
          </cell>
        </row>
        <row r="14">
          <cell r="C14">
            <v>0.02</v>
          </cell>
        </row>
        <row r="17">
          <cell r="C17">
            <v>40</v>
          </cell>
        </row>
        <row r="21">
          <cell r="C21">
            <v>7.5</v>
          </cell>
        </row>
        <row r="27">
          <cell r="C27">
            <v>400</v>
          </cell>
        </row>
        <row r="28">
          <cell r="C28">
            <v>3</v>
          </cell>
        </row>
        <row r="29">
          <cell r="C29">
            <v>1</v>
          </cell>
        </row>
      </sheetData>
      <sheetData sheetId="16" refreshError="1"/>
      <sheetData sheetId="17" refreshError="1"/>
      <sheetData sheetId="18" refreshError="1">
        <row r="13">
          <cell r="C13">
            <v>3.2</v>
          </cell>
          <cell r="J13">
            <v>4</v>
          </cell>
          <cell r="Q13">
            <v>5</v>
          </cell>
        </row>
      </sheetData>
      <sheetData sheetId="19" refreshError="1">
        <row r="16">
          <cell r="C16">
            <v>3.2</v>
          </cell>
        </row>
        <row r="17">
          <cell r="C17">
            <v>4</v>
          </cell>
        </row>
        <row r="18">
          <cell r="C18">
            <v>5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Selection"/>
      <sheetName val="Summary"/>
      <sheetName val="Epi inputs"/>
      <sheetName val="Populations"/>
      <sheetName val="Cost inputs"/>
      <sheetName val="Total cost"/>
      <sheetName val="Allocations"/>
      <sheetName val="App. A Oxygen"/>
      <sheetName val="App. B Port Health"/>
      <sheetName val="App. C Hospit staff + linen"/>
      <sheetName val="App. D ICU beds vent tender"/>
      <sheetName val="App. E PPE - Per month"/>
      <sheetName val="App. F - Avail beds, ventil"/>
      <sheetName val="App. G - Mortuary spaces"/>
      <sheetName val="App. H - Hosp bed tender"/>
      <sheetName val="App. J - Tests required"/>
      <sheetName val="App. K - Isolation"/>
      <sheetName val="Appendix M - NICD budget"/>
      <sheetName val="App. N - Drugs"/>
      <sheetName val="App. O - PHC staff"/>
      <sheetName val="App. P - Uninsured"/>
      <sheetName val="App. Q - HRH"/>
      <sheetName val="App. R - Fever hospita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Tables"/>
      <sheetName val="Main assumptions"/>
      <sheetName val="Input costs"/>
      <sheetName val="Unit cost notes"/>
      <sheetName val="Pivot"/>
      <sheetName val="Setting 1 Costs"/>
      <sheetName val="Sheet1"/>
      <sheetName val="Human Resources"/>
      <sheetName val="Setting 2"/>
      <sheetName val="Setting 3"/>
      <sheetName val="Copy of Readiness Checklist"/>
      <sheetName val="Copy of B - Nurses"/>
      <sheetName val="Copy of F - Medical &amp; related"/>
      <sheetName val="Copy of H1 - Med Off, Pharmacis"/>
      <sheetName val="Copy of A - PSAP (Non-OSD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8">
          <cell r="B8">
            <v>160</v>
          </cell>
        </row>
        <row r="9">
          <cell r="B9">
            <v>30.5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ded asumption"/>
      <sheetName val="Q2 2020 PPE Needs Snapshot V2"/>
      <sheetName val="Model Assumption"/>
      <sheetName val="Summary View--&gt; "/>
      <sheetName val="April May Needs Snapshot"/>
      <sheetName val="Need per province (pivot)"/>
      <sheetName val="High level_Sumary"/>
      <sheetName val="SOH 03.29.2020"/>
      <sheetName val="PPE Prices "/>
      <sheetName val="Hospital Summary"/>
      <sheetName val="Hospital SOH Summary"/>
      <sheetName val="Ref"/>
      <sheetName val="Q1 district split (HCW only)"/>
      <sheetName val="Free Pivot Table"/>
      <sheetName val="Quantification--&gt;"/>
      <sheetName val="Need per entry points"/>
      <sheetName val="2 Quant. HCW patient transfer"/>
      <sheetName val="3. Quant HCW_Outpatients"/>
      <sheetName val="5.Port Health PPE needs"/>
      <sheetName val="4. Quantification Patients"/>
      <sheetName val="5. Other entry points"/>
      <sheetName val="6.Consolidated Database"/>
      <sheetName val="Input--&gt;"/>
      <sheetName val="1.Quantification HCW _Inpatient"/>
      <sheetName val="Epi Model- 04.01.20 "/>
      <sheetName val="Community Screening rq"/>
      <sheetName val="Sanitzers"/>
      <sheetName val="Health Facility Count"/>
      <sheetName val="COVID19-Activity Package"/>
      <sheetName val="HCW headcount per province"/>
      <sheetName val="Annex--&gt;"/>
      <sheetName val="Hospital SOH"/>
      <sheetName val=" Hospitals SOH"/>
      <sheetName val="Population split per district"/>
      <sheetName val="Project Management"/>
      <sheetName val="Des Hospital Summary"/>
      <sheetName val="Designated Hospitals"/>
      <sheetName val="Other Departments"/>
    </sheetNames>
    <sheetDataSet>
      <sheetData sheetId="0"/>
      <sheetData sheetId="1"/>
      <sheetData sheetId="2">
        <row r="104">
          <cell r="E104">
            <v>26.083333333333332</v>
          </cell>
          <cell r="K104">
            <v>21</v>
          </cell>
          <cell r="L104">
            <v>1</v>
          </cell>
        </row>
        <row r="105">
          <cell r="K105">
            <v>10</v>
          </cell>
        </row>
        <row r="127">
          <cell r="E127">
            <v>0.1</v>
          </cell>
        </row>
        <row r="128">
          <cell r="E128">
            <v>0.05</v>
          </cell>
        </row>
        <row r="129">
          <cell r="E129">
            <v>1000000</v>
          </cell>
        </row>
        <row r="132">
          <cell r="E132">
            <v>-0.3</v>
          </cell>
        </row>
        <row r="133">
          <cell r="E133">
            <v>-0.1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gredients"/>
      <sheetName val="Inflation"/>
      <sheetName val="ZARtoUSD"/>
      <sheetName val="LiteratureCost"/>
      <sheetName val="Staff_costs"/>
      <sheetName val="MMC"/>
      <sheetName val="ART PPP"/>
      <sheetName val="ART kids distribution"/>
      <sheetName val="ART"/>
    </sheetNames>
    <sheetDataSet>
      <sheetData sheetId="0" refreshError="1"/>
      <sheetData sheetId="1">
        <row r="1">
          <cell r="B1">
            <v>2024</v>
          </cell>
        </row>
      </sheetData>
      <sheetData sheetId="2">
        <row r="5">
          <cell r="F5">
            <v>18.879388095238095</v>
          </cell>
        </row>
      </sheetData>
      <sheetData sheetId="3" refreshError="1"/>
      <sheetData sheetId="4">
        <row r="14">
          <cell r="C14">
            <v>8</v>
          </cell>
        </row>
        <row r="15">
          <cell r="C15">
            <v>223</v>
          </cell>
        </row>
        <row r="18">
          <cell r="C18">
            <v>107040</v>
          </cell>
        </row>
      </sheetData>
      <sheetData sheetId="5" refreshError="1"/>
      <sheetData sheetId="6">
        <row r="18">
          <cell r="C18">
            <v>5102.416666666667</v>
          </cell>
        </row>
      </sheetData>
      <sheetData sheetId="7" refreshError="1"/>
      <sheetData sheetId="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Page"/>
      <sheetName val="Copyright"/>
      <sheetName val="Instructions"/>
      <sheetName val="Start"/>
      <sheetName val="Staff costs - Salaries"/>
      <sheetName val="Materials data"/>
      <sheetName val="Activity data (1)"/>
      <sheetName val="Activity data_actual (2)"/>
      <sheetName val="Activity data_estimate (3)"/>
      <sheetName val="Test data (1)"/>
      <sheetName val="Test Data - Actual (2)"/>
      <sheetName val="QC data"/>
      <sheetName val="Equipment data"/>
      <sheetName val="Other data"/>
      <sheetName val="Overhead data"/>
      <sheetName val="Shared data"/>
      <sheetName val="Calculations ---&gt;"/>
      <sheetName val="Staff"/>
      <sheetName val="Materials"/>
      <sheetName val="Activity"/>
      <sheetName val="Tests"/>
      <sheetName val="QC"/>
      <sheetName val="Equipment"/>
      <sheetName val="Other"/>
      <sheetName val="Overhead"/>
      <sheetName val="Shared"/>
      <sheetName val="Summary"/>
      <sheetName val="Xrate data"/>
      <sheetName val="Inflation rate"/>
      <sheetName val="Lists"/>
    </sheetNames>
    <sheetDataSet>
      <sheetData sheetId="0"/>
      <sheetData sheetId="1"/>
      <sheetData sheetId="2"/>
      <sheetData sheetId="3">
        <row r="22">
          <cell r="C22" t="str">
            <v>R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Structure"/>
      <sheetName val="Assumptions"/>
      <sheetName val="Coverage"/>
      <sheetName val="Transitions"/>
      <sheetName val="Survival"/>
      <sheetName val="Target pop"/>
      <sheetName val="All adults"/>
      <sheetName val="All kids"/>
      <sheetName val="Distr. adults"/>
      <sheetName val="Distr. kids"/>
      <sheetName val="Cost input"/>
      <sheetName val="Regimen cost"/>
      <sheetName val="Total cost"/>
      <sheetName val="Results"/>
      <sheetName val="IC results"/>
      <sheetName val="Figures"/>
    </sheetNames>
    <sheetDataSet>
      <sheetData sheetId="0"/>
      <sheetData sheetId="1"/>
      <sheetData sheetId="2">
        <row r="9">
          <cell r="O9">
            <v>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ion"/>
      <sheetName val="Adult assumptions"/>
      <sheetName val="Paed assumptions"/>
      <sheetName val="Rollout"/>
      <sheetName val="Cost and Impact"/>
      <sheetName val="Results"/>
      <sheetName val="Monthly"/>
      <sheetName val="Calibration"/>
      <sheetName val="Population"/>
      <sheetName val="Sex activity"/>
      <sheetName val="Mixing"/>
      <sheetName val="Condoms"/>
      <sheetName val="Circumcision"/>
      <sheetName val="PrEP + VM"/>
      <sheetName val="Transmission"/>
      <sheetName val="Progression"/>
      <sheetName val="Testing"/>
      <sheetName val="ART start"/>
      <sheetName val="ART"/>
      <sheetName val="Non-HIV mort"/>
      <sheetName val="Fertility"/>
      <sheetName val="Migration"/>
      <sheetName val="MHU virgin"/>
      <sheetName val="MHC virgin"/>
      <sheetName val="MHU ST"/>
      <sheetName val="MHC ST"/>
      <sheetName val="MHU STM"/>
      <sheetName val="MHC STM"/>
      <sheetName val="MHU LTH"/>
      <sheetName val="MHC LTH"/>
      <sheetName val="MHU LTL"/>
      <sheetName val="MHC LTL"/>
      <sheetName val="MLU virgin"/>
      <sheetName val="MLC virgin"/>
      <sheetName val="MLU ST"/>
      <sheetName val="MLC ST"/>
      <sheetName val="MLU STM"/>
      <sheetName val="MLC STM"/>
      <sheetName val="MLU LTH"/>
      <sheetName val="MLC LTH"/>
      <sheetName val="MLU LTL"/>
      <sheetName val="MLC LTL"/>
      <sheetName val="FH virgin"/>
      <sheetName val="FH ST"/>
      <sheetName val="FH SW"/>
      <sheetName val="FH LTH"/>
      <sheetName val="FH LTL"/>
      <sheetName val="FL virgin"/>
      <sheetName val="FL ST"/>
      <sheetName val="FL LTH"/>
      <sheetName val="FL LTL"/>
      <sheetName val="Births"/>
      <sheetName val="Child rates"/>
      <sheetName val="Child M"/>
      <sheetName val="Child F"/>
      <sheetName val="CD4 calibration"/>
      <sheetName val="ANC calibration"/>
      <sheetName val="HCT calibration"/>
      <sheetName val="HSRC calibration"/>
      <sheetName val="Death calibration"/>
    </sheetNames>
    <sheetDataSet>
      <sheetData sheetId="0">
        <row r="6">
          <cell r="E6">
            <v>2039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  <sheetName val="Estimates"/>
    </sheetNames>
    <sheetDataSet>
      <sheetData sheetId="0"/>
      <sheetData sheetId="1"/>
      <sheetData sheetId="2"/>
      <sheetData sheetId="3">
        <row r="1">
          <cell r="A1" t="str">
            <v>Code</v>
          </cell>
          <cell r="B1" t="str">
            <v>Ref</v>
          </cell>
          <cell r="C1" t="str">
            <v>Item No2015</v>
          </cell>
          <cell r="D1" t="str">
            <v>Amended Description 2017</v>
          </cell>
          <cell r="E1" t="str">
            <v>NSN</v>
          </cell>
          <cell r="F1" t="str">
            <v>Current MPC PriceJanuary 2017</v>
          </cell>
          <cell r="G1" t="str">
            <v>EML/non-EML</v>
          </cell>
          <cell r="H1" t="str">
            <v>LP Estimate 2015</v>
          </cell>
          <cell r="I1" t="str">
            <v>Estimate 2017</v>
          </cell>
          <cell r="J1" t="str">
            <v>Est 2017</v>
          </cell>
          <cell r="K1" t="str">
            <v>Cost Implications</v>
          </cell>
        </row>
        <row r="2">
          <cell r="A2">
            <v>0</v>
          </cell>
          <cell r="B2">
            <v>0</v>
          </cell>
          <cell r="C2" t="str">
            <v>new item 1</v>
          </cell>
          <cell r="D2" t="str">
            <v>Bedaquiline 100mg tablets, 24 tablets</v>
          </cell>
          <cell r="E2" t="str">
            <v>n/a</v>
          </cell>
          <cell r="F2">
            <v>0</v>
          </cell>
          <cell r="G2" t="str">
            <v>NON-EML</v>
          </cell>
          <cell r="H2" t="e">
            <v>#N/A</v>
          </cell>
          <cell r="I2">
            <v>0</v>
          </cell>
          <cell r="J2">
            <v>0</v>
          </cell>
          <cell r="K2">
            <v>0</v>
          </cell>
        </row>
        <row r="3">
          <cell r="A3">
            <v>0</v>
          </cell>
          <cell r="B3">
            <v>0</v>
          </cell>
          <cell r="C3" t="str">
            <v>new item 2</v>
          </cell>
          <cell r="D3" t="str">
            <v>Bedaquiline 100mg Tablets,56 tablets</v>
          </cell>
          <cell r="E3" t="str">
            <v>n/a</v>
          </cell>
          <cell r="F3">
            <v>0</v>
          </cell>
          <cell r="G3" t="str">
            <v>NON-EML</v>
          </cell>
          <cell r="H3" t="e">
            <v>#N/A</v>
          </cell>
          <cell r="I3">
            <v>0</v>
          </cell>
          <cell r="J3">
            <v>0</v>
          </cell>
          <cell r="K3">
            <v>0</v>
          </cell>
        </row>
        <row r="4">
          <cell r="A4">
            <v>3017</v>
          </cell>
          <cell r="B4">
            <v>0</v>
          </cell>
          <cell r="C4" t="str">
            <v>new item 3</v>
          </cell>
          <cell r="D4" t="str">
            <v>Bedaquiline 100mg tablets, 188 tablets</v>
          </cell>
          <cell r="E4">
            <v>181923856</v>
          </cell>
          <cell r="F4">
            <v>0</v>
          </cell>
          <cell r="G4" t="str">
            <v>NON-EML</v>
          </cell>
          <cell r="H4" t="e">
            <v>#N/A</v>
          </cell>
          <cell r="I4">
            <v>0</v>
          </cell>
          <cell r="J4">
            <v>0</v>
          </cell>
          <cell r="K4">
            <v>0</v>
          </cell>
        </row>
        <row r="5">
          <cell r="A5">
            <v>3943</v>
          </cell>
          <cell r="B5" t="str">
            <v>HP01-2015TB-2</v>
          </cell>
          <cell r="C5">
            <v>2</v>
          </cell>
          <cell r="D5" t="str">
            <v>Capreomycin 1g injection,10ml</v>
          </cell>
          <cell r="E5">
            <v>189702735</v>
          </cell>
          <cell r="F5">
            <v>106.18</v>
          </cell>
          <cell r="G5" t="str">
            <v>EML</v>
          </cell>
          <cell r="H5">
            <v>2400</v>
          </cell>
          <cell r="I5">
            <v>0</v>
          </cell>
          <cell r="J5">
            <v>0</v>
          </cell>
          <cell r="K5">
            <v>0</v>
          </cell>
        </row>
        <row r="6">
          <cell r="A6">
            <v>2910</v>
          </cell>
          <cell r="B6" t="str">
            <v>HP01-2015TB-3</v>
          </cell>
          <cell r="C6">
            <v>3</v>
          </cell>
          <cell r="D6" t="str">
            <v>Ethambutol 400mg tablet, 56 tablets</v>
          </cell>
          <cell r="E6">
            <v>181817413</v>
          </cell>
          <cell r="F6">
            <v>35.630000000000003</v>
          </cell>
          <cell r="G6" t="str">
            <v>EML</v>
          </cell>
          <cell r="H6">
            <v>7200</v>
          </cell>
          <cell r="I6">
            <v>120</v>
          </cell>
          <cell r="J6">
            <v>240</v>
          </cell>
          <cell r="K6">
            <v>4275.6000000000004</v>
          </cell>
        </row>
        <row r="7">
          <cell r="A7" t="e">
            <v>#N/A</v>
          </cell>
          <cell r="B7">
            <v>0</v>
          </cell>
          <cell r="C7" t="str">
            <v>new item 4</v>
          </cell>
          <cell r="D7" t="str">
            <v>Ethambutol 100mg scored tablet, 28 tablets</v>
          </cell>
          <cell r="E7" t="str">
            <v>n/a</v>
          </cell>
          <cell r="F7">
            <v>0</v>
          </cell>
          <cell r="G7">
            <v>0</v>
          </cell>
          <cell r="H7" t="e">
            <v>#N/A</v>
          </cell>
          <cell r="I7">
            <v>0</v>
          </cell>
          <cell r="J7">
            <v>0</v>
          </cell>
          <cell r="K7">
            <v>0</v>
          </cell>
        </row>
        <row r="8">
          <cell r="A8">
            <v>3169</v>
          </cell>
          <cell r="B8" t="str">
            <v>HP01-2015TB-4</v>
          </cell>
          <cell r="C8">
            <v>4</v>
          </cell>
          <cell r="D8" t="str">
            <v>Ethambutol 400mg tablet, 84 tablets</v>
          </cell>
          <cell r="E8">
            <v>181817416</v>
          </cell>
          <cell r="F8">
            <v>51.03</v>
          </cell>
          <cell r="G8" t="str">
            <v>EML</v>
          </cell>
          <cell r="H8">
            <v>3500</v>
          </cell>
          <cell r="I8">
            <v>0</v>
          </cell>
          <cell r="J8">
            <v>0</v>
          </cell>
          <cell r="K8">
            <v>0</v>
          </cell>
        </row>
        <row r="9">
          <cell r="A9">
            <v>590</v>
          </cell>
          <cell r="B9" t="str">
            <v>HP01-2015TB-5</v>
          </cell>
          <cell r="C9">
            <v>5</v>
          </cell>
          <cell r="D9" t="str">
            <v>Ethambutol 400mg tablet, 100 tablets</v>
          </cell>
          <cell r="E9">
            <v>189715339</v>
          </cell>
          <cell r="F9">
            <v>57.77</v>
          </cell>
          <cell r="G9" t="str">
            <v>EML</v>
          </cell>
          <cell r="H9">
            <v>4800</v>
          </cell>
          <cell r="I9">
            <v>0</v>
          </cell>
          <cell r="J9">
            <v>0</v>
          </cell>
          <cell r="K9">
            <v>0</v>
          </cell>
        </row>
        <row r="10">
          <cell r="A10">
            <v>3156</v>
          </cell>
          <cell r="B10" t="str">
            <v>HP01-2015TB-6</v>
          </cell>
          <cell r="C10">
            <v>6</v>
          </cell>
          <cell r="D10" t="str">
            <v>Ethionamide 250mg tablet, 28 tablets</v>
          </cell>
          <cell r="E10">
            <v>181817488</v>
          </cell>
          <cell r="F10">
            <v>37.31</v>
          </cell>
          <cell r="G10" t="str">
            <v>EML</v>
          </cell>
          <cell r="H10">
            <v>20000</v>
          </cell>
          <cell r="I10">
            <v>120</v>
          </cell>
          <cell r="J10">
            <v>240</v>
          </cell>
          <cell r="K10">
            <v>4477.2000000000007</v>
          </cell>
        </row>
        <row r="11">
          <cell r="A11">
            <v>4045</v>
          </cell>
          <cell r="B11" t="str">
            <v>HP01-2015TB-7</v>
          </cell>
          <cell r="C11">
            <v>7</v>
          </cell>
          <cell r="D11" t="str">
            <v>Ethionamide 250mg tablet, 56 tablets</v>
          </cell>
          <cell r="E11">
            <v>181817490</v>
          </cell>
          <cell r="F11">
            <v>71.540000000000006</v>
          </cell>
          <cell r="G11" t="str">
            <v>EML</v>
          </cell>
          <cell r="H11">
            <v>8000</v>
          </cell>
          <cell r="I11">
            <v>0</v>
          </cell>
          <cell r="J11">
            <v>0</v>
          </cell>
          <cell r="K11">
            <v>0</v>
          </cell>
        </row>
        <row r="12">
          <cell r="A12">
            <v>4046</v>
          </cell>
          <cell r="B12" t="str">
            <v>HP01-2015TB-8</v>
          </cell>
          <cell r="C12">
            <v>8</v>
          </cell>
          <cell r="D12" t="str">
            <v>Ethionamide 250mg tablet, 84 tablets</v>
          </cell>
          <cell r="E12">
            <v>181817491</v>
          </cell>
          <cell r="F12">
            <v>102.9</v>
          </cell>
          <cell r="G12" t="str">
            <v>EML</v>
          </cell>
          <cell r="H12">
            <v>1200</v>
          </cell>
          <cell r="I12">
            <v>0</v>
          </cell>
          <cell r="J12">
            <v>0</v>
          </cell>
          <cell r="K12">
            <v>0</v>
          </cell>
        </row>
        <row r="13">
          <cell r="A13">
            <v>4047</v>
          </cell>
          <cell r="B13" t="str">
            <v>HP01-2015TB-9</v>
          </cell>
          <cell r="C13">
            <v>9</v>
          </cell>
          <cell r="D13" t="str">
            <v>Ethionamide 250mg tablet, 250 tablets</v>
          </cell>
          <cell r="E13">
            <v>189710249</v>
          </cell>
          <cell r="F13">
            <v>303.01</v>
          </cell>
          <cell r="G13" t="str">
            <v>EML</v>
          </cell>
          <cell r="H13">
            <v>200</v>
          </cell>
          <cell r="I13">
            <v>0</v>
          </cell>
          <cell r="J13">
            <v>0</v>
          </cell>
          <cell r="K13">
            <v>0</v>
          </cell>
        </row>
        <row r="14">
          <cell r="A14">
            <v>3879</v>
          </cell>
          <cell r="B14" t="str">
            <v>HP01-2015TB-10</v>
          </cell>
          <cell r="C14">
            <v>10</v>
          </cell>
          <cell r="D14" t="str">
            <v>Isoniazid 100mg tablet, 28 tablets</v>
          </cell>
          <cell r="E14">
            <v>181879044</v>
          </cell>
          <cell r="F14">
            <v>9.1999999999999993</v>
          </cell>
          <cell r="G14" t="str">
            <v>EML</v>
          </cell>
          <cell r="H14">
            <v>60000</v>
          </cell>
          <cell r="I14">
            <v>240</v>
          </cell>
          <cell r="J14">
            <v>480</v>
          </cell>
          <cell r="K14">
            <v>2208</v>
          </cell>
        </row>
        <row r="15">
          <cell r="A15">
            <v>619</v>
          </cell>
          <cell r="B15" t="str">
            <v>HP01-2015TB-12</v>
          </cell>
          <cell r="C15">
            <v>12</v>
          </cell>
          <cell r="D15" t="str">
            <v>Isoniazid 300mg tablet, 28 tablets</v>
          </cell>
          <cell r="E15">
            <v>181879045</v>
          </cell>
          <cell r="F15">
            <v>15.41</v>
          </cell>
          <cell r="G15" t="str">
            <v>EML</v>
          </cell>
          <cell r="H15">
            <v>460000</v>
          </cell>
          <cell r="I15">
            <v>720</v>
          </cell>
          <cell r="J15">
            <v>1440</v>
          </cell>
          <cell r="K15">
            <v>11095.2</v>
          </cell>
        </row>
        <row r="16">
          <cell r="A16">
            <v>51</v>
          </cell>
          <cell r="B16" t="str">
            <v>HP01-2015TB-13</v>
          </cell>
          <cell r="C16">
            <v>13</v>
          </cell>
          <cell r="D16" t="str">
            <v>Kanamycin 1g injection, 3ml</v>
          </cell>
          <cell r="E16">
            <v>181900107</v>
          </cell>
          <cell r="F16">
            <v>12.49</v>
          </cell>
          <cell r="G16" t="str">
            <v>EML</v>
          </cell>
          <cell r="H16">
            <v>45600</v>
          </cell>
          <cell r="I16">
            <v>0</v>
          </cell>
          <cell r="J16">
            <v>0</v>
          </cell>
          <cell r="K16">
            <v>0</v>
          </cell>
        </row>
        <row r="17">
          <cell r="A17" t="e">
            <v>#N/A</v>
          </cell>
          <cell r="B17" t="str">
            <v>HP01-2015TB-15</v>
          </cell>
          <cell r="C17">
            <v>14</v>
          </cell>
          <cell r="D17" t="str">
            <v>Levofloxacin 250mg breakline tablet, 5 tablets</v>
          </cell>
          <cell r="E17">
            <v>181914508</v>
          </cell>
          <cell r="F17">
            <v>51.24</v>
          </cell>
          <cell r="G17" t="str">
            <v>EML</v>
          </cell>
          <cell r="H17">
            <v>5000</v>
          </cell>
          <cell r="I17">
            <v>0</v>
          </cell>
          <cell r="J17">
            <v>0</v>
          </cell>
          <cell r="K17">
            <v>0</v>
          </cell>
        </row>
        <row r="18">
          <cell r="A18">
            <v>4048</v>
          </cell>
          <cell r="B18" t="str">
            <v>HP01-2015TB-14</v>
          </cell>
          <cell r="C18">
            <v>15</v>
          </cell>
          <cell r="D18" t="str">
            <v>Levofloxacin 250mg breakline tablet, 28 tablets</v>
          </cell>
          <cell r="E18">
            <v>181901440</v>
          </cell>
          <cell r="F18">
            <v>10.25</v>
          </cell>
          <cell r="G18" t="str">
            <v>EML</v>
          </cell>
          <cell r="H18">
            <v>6000</v>
          </cell>
          <cell r="I18">
            <v>0</v>
          </cell>
          <cell r="J18">
            <v>0</v>
          </cell>
          <cell r="K18">
            <v>0</v>
          </cell>
        </row>
        <row r="19">
          <cell r="A19" t="e">
            <v>#N/A</v>
          </cell>
          <cell r="B19" t="str">
            <v>HP01-2015TB-16</v>
          </cell>
          <cell r="C19">
            <v>16</v>
          </cell>
          <cell r="D19" t="str">
            <v>Levofloxacin 500mg breakline tablet, 10 tablets</v>
          </cell>
          <cell r="E19">
            <v>181925745</v>
          </cell>
          <cell r="F19">
            <v>35.049999999999997</v>
          </cell>
          <cell r="G19" t="str">
            <v>EML</v>
          </cell>
          <cell r="H19">
            <v>2500</v>
          </cell>
          <cell r="I19">
            <v>0</v>
          </cell>
          <cell r="J19">
            <v>0</v>
          </cell>
          <cell r="K19">
            <v>0</v>
          </cell>
        </row>
        <row r="20">
          <cell r="A20">
            <v>4049</v>
          </cell>
          <cell r="B20" t="str">
            <v>HP01-2015TB-17</v>
          </cell>
          <cell r="C20">
            <v>17</v>
          </cell>
          <cell r="D20" t="str">
            <v>Levofloxacin 500mg breakline tablet, 28 tablets</v>
          </cell>
          <cell r="E20">
            <v>181925747</v>
          </cell>
          <cell r="F20">
            <v>96.34</v>
          </cell>
          <cell r="G20" t="str">
            <v>EML</v>
          </cell>
          <cell r="H20">
            <v>3000</v>
          </cell>
          <cell r="I20">
            <v>0</v>
          </cell>
          <cell r="J20">
            <v>0</v>
          </cell>
          <cell r="K20">
            <v>0</v>
          </cell>
        </row>
        <row r="21">
          <cell r="A21" t="e">
            <v>#N/A</v>
          </cell>
          <cell r="B21" t="str">
            <v>HP01-2015TB-18</v>
          </cell>
          <cell r="C21">
            <v>18</v>
          </cell>
          <cell r="D21" t="str">
            <v>Moxifloxacin 400mg tablet, 10 tablets</v>
          </cell>
          <cell r="E21">
            <v>180965259</v>
          </cell>
          <cell r="F21">
            <v>120.46</v>
          </cell>
          <cell r="G21" t="str">
            <v>EML</v>
          </cell>
          <cell r="H21">
            <v>600</v>
          </cell>
          <cell r="I21">
            <v>0</v>
          </cell>
          <cell r="J21">
            <v>0</v>
          </cell>
          <cell r="K21">
            <v>0</v>
          </cell>
        </row>
        <row r="22">
          <cell r="A22">
            <v>733</v>
          </cell>
          <cell r="B22" t="str">
            <v>HP01-2015TB-19</v>
          </cell>
          <cell r="C22">
            <v>19</v>
          </cell>
          <cell r="D22" t="str">
            <v>Moxifloxacin 400mg tablet, 28 tablets</v>
          </cell>
          <cell r="E22">
            <v>181879123</v>
          </cell>
          <cell r="F22">
            <v>193.8</v>
          </cell>
          <cell r="G22" t="str">
            <v>EML</v>
          </cell>
          <cell r="H22">
            <v>1800</v>
          </cell>
          <cell r="I22">
            <v>0</v>
          </cell>
          <cell r="J22">
            <v>0</v>
          </cell>
          <cell r="K22">
            <v>0</v>
          </cell>
        </row>
        <row r="23">
          <cell r="A23">
            <v>3138</v>
          </cell>
          <cell r="B23" t="str">
            <v>HP01-2015TB-1</v>
          </cell>
          <cell r="C23">
            <v>1</v>
          </cell>
          <cell r="D23" t="str">
            <v>Para-aminosalicyclic acid 4g modified release granules, sachets, 30 sachets</v>
          </cell>
          <cell r="E23">
            <v>181810590</v>
          </cell>
          <cell r="F23">
            <v>1126.6600000000001</v>
          </cell>
          <cell r="G23" t="str">
            <v>NON-EML</v>
          </cell>
          <cell r="H23">
            <v>8000</v>
          </cell>
          <cell r="I23">
            <v>0</v>
          </cell>
          <cell r="J23">
            <v>0</v>
          </cell>
          <cell r="K23">
            <v>0</v>
          </cell>
        </row>
        <row r="24">
          <cell r="A24">
            <v>85</v>
          </cell>
          <cell r="B24" t="str">
            <v>HP01-2015TB-20</v>
          </cell>
          <cell r="C24">
            <v>20</v>
          </cell>
          <cell r="D24" t="str">
            <v>Pyrazinamide 500mg tablet, 28 tablets</v>
          </cell>
          <cell r="E24">
            <v>181817496</v>
          </cell>
          <cell r="F24">
            <v>13.7</v>
          </cell>
          <cell r="G24" t="str">
            <v>EML</v>
          </cell>
          <cell r="H24">
            <v>600</v>
          </cell>
          <cell r="I24">
            <v>180</v>
          </cell>
          <cell r="J24">
            <v>360</v>
          </cell>
          <cell r="K24">
            <v>2466</v>
          </cell>
        </row>
        <row r="25">
          <cell r="A25">
            <v>2980</v>
          </cell>
          <cell r="B25" t="str">
            <v>HP01-2015TB-21</v>
          </cell>
          <cell r="C25">
            <v>21</v>
          </cell>
          <cell r="D25" t="str">
            <v>Pyrazinamide 500mg tablet, 56 tablets</v>
          </cell>
          <cell r="E25">
            <v>181817499</v>
          </cell>
          <cell r="F25">
            <v>27.41</v>
          </cell>
          <cell r="G25" t="str">
            <v>EML</v>
          </cell>
          <cell r="H25">
            <v>14000</v>
          </cell>
          <cell r="I25">
            <v>0</v>
          </cell>
          <cell r="J25">
            <v>0</v>
          </cell>
          <cell r="K25">
            <v>0</v>
          </cell>
        </row>
        <row r="26">
          <cell r="A26">
            <v>4043</v>
          </cell>
          <cell r="B26" t="str">
            <v>HP01-2015TB-22</v>
          </cell>
          <cell r="C26">
            <v>22</v>
          </cell>
          <cell r="D26" t="str">
            <v>Pyrazinamide 500mg tablet, 84 tablets</v>
          </cell>
          <cell r="E26">
            <v>181817501</v>
          </cell>
          <cell r="F26">
            <v>47.1</v>
          </cell>
          <cell r="G26" t="str">
            <v>EML</v>
          </cell>
          <cell r="H26">
            <v>26000</v>
          </cell>
          <cell r="I26">
            <v>0</v>
          </cell>
          <cell r="J26">
            <v>0</v>
          </cell>
          <cell r="K26">
            <v>0</v>
          </cell>
        </row>
        <row r="27">
          <cell r="A27" t="e">
            <v>#N/A</v>
          </cell>
          <cell r="B27" t="str">
            <v>HP01-2015TB-23</v>
          </cell>
          <cell r="C27">
            <v>23</v>
          </cell>
          <cell r="D27" t="str">
            <v>Pyrazinamide 500mg tablet, 100 tablets</v>
          </cell>
          <cell r="E27" t="str">
            <v>n/a</v>
          </cell>
          <cell r="F27">
            <v>0</v>
          </cell>
          <cell r="G27" t="str">
            <v>EML</v>
          </cell>
          <cell r="H27">
            <v>6600</v>
          </cell>
          <cell r="I27">
            <v>0</v>
          </cell>
          <cell r="J27">
            <v>0</v>
          </cell>
          <cell r="K27">
            <v>0</v>
          </cell>
        </row>
        <row r="28">
          <cell r="A28">
            <v>79</v>
          </cell>
          <cell r="B28" t="str">
            <v>HP01-2015TB-24</v>
          </cell>
          <cell r="C28">
            <v>24</v>
          </cell>
          <cell r="D28" t="str">
            <v>Rifampicin 100mg/5ml syrup, 180ml</v>
          </cell>
          <cell r="E28">
            <v>189711338</v>
          </cell>
          <cell r="F28">
            <v>0</v>
          </cell>
          <cell r="G28" t="str">
            <v>EML</v>
          </cell>
          <cell r="H28">
            <v>3000</v>
          </cell>
          <cell r="I28">
            <v>100</v>
          </cell>
          <cell r="J28">
            <v>200</v>
          </cell>
          <cell r="K28">
            <v>0</v>
          </cell>
        </row>
        <row r="29">
          <cell r="A29">
            <v>77</v>
          </cell>
          <cell r="B29" t="str">
            <v>HP01-2015TB-25</v>
          </cell>
          <cell r="C29">
            <v>25</v>
          </cell>
          <cell r="D29" t="str">
            <v>Rifampicin 150mg capsule/tablet, 100 capsules/tablets</v>
          </cell>
          <cell r="E29">
            <v>189710391</v>
          </cell>
          <cell r="F29">
            <v>100.12</v>
          </cell>
          <cell r="G29" t="str">
            <v>EML</v>
          </cell>
          <cell r="H29">
            <v>2000</v>
          </cell>
          <cell r="I29">
            <v>60</v>
          </cell>
          <cell r="J29">
            <v>120</v>
          </cell>
          <cell r="K29">
            <v>6007.2000000000007</v>
          </cell>
        </row>
        <row r="30">
          <cell r="A30">
            <v>3954</v>
          </cell>
          <cell r="B30" t="str">
            <v>HP01-2015TB-28</v>
          </cell>
          <cell r="C30">
            <v>28</v>
          </cell>
          <cell r="D30" t="str">
            <v>Rifampicin, Pyrazinamide, Ethambutol and Isoniazid  150/400/275/75mg tablet, 28 tablets</v>
          </cell>
          <cell r="E30">
            <v>181817624</v>
          </cell>
          <cell r="F30">
            <v>29.33</v>
          </cell>
          <cell r="G30" t="str">
            <v>EML</v>
          </cell>
          <cell r="H30">
            <v>300</v>
          </cell>
          <cell r="I30">
            <v>0</v>
          </cell>
          <cell r="J30">
            <v>0</v>
          </cell>
          <cell r="K30">
            <v>0</v>
          </cell>
        </row>
        <row r="31">
          <cell r="A31">
            <v>2897</v>
          </cell>
          <cell r="B31" t="str">
            <v>HP01-2015TB-29</v>
          </cell>
          <cell r="C31">
            <v>29</v>
          </cell>
          <cell r="D31" t="str">
            <v>Rifampicin, Pyrazinamide, Ethambutol and Isoniazid  150/400/275/75mg tablet, 56 tablets</v>
          </cell>
          <cell r="E31">
            <v>181817626</v>
          </cell>
          <cell r="F31">
            <v>56.05</v>
          </cell>
          <cell r="G31" t="str">
            <v>EML</v>
          </cell>
          <cell r="H31">
            <v>450</v>
          </cell>
          <cell r="I31">
            <v>264</v>
          </cell>
          <cell r="J31">
            <v>528</v>
          </cell>
          <cell r="K31">
            <v>14797.199999999999</v>
          </cell>
        </row>
        <row r="32">
          <cell r="A32">
            <v>3193</v>
          </cell>
          <cell r="B32" t="str">
            <v>HP01-2015TB-30</v>
          </cell>
          <cell r="C32">
            <v>30</v>
          </cell>
          <cell r="D32" t="str">
            <v>Rifampicin, Pyrazinamide, Ethambutol and Isoniazid  150/400/275/75mg tablet, 84 tablets</v>
          </cell>
          <cell r="E32">
            <v>181817627</v>
          </cell>
          <cell r="F32">
            <v>82.42</v>
          </cell>
          <cell r="G32" t="str">
            <v>EML</v>
          </cell>
          <cell r="H32">
            <v>10000</v>
          </cell>
          <cell r="I32">
            <v>180</v>
          </cell>
          <cell r="J32">
            <v>360</v>
          </cell>
          <cell r="K32">
            <v>14835.6</v>
          </cell>
        </row>
        <row r="33">
          <cell r="A33">
            <v>3241</v>
          </cell>
          <cell r="B33" t="str">
            <v>HP01-2015TB-31</v>
          </cell>
          <cell r="C33">
            <v>31</v>
          </cell>
          <cell r="D33" t="str">
            <v>Rifampicin, Pyrazinamide, Ethambutol and Isoniazid  150/400/275/75mg tablet, 100 tablets</v>
          </cell>
          <cell r="E33">
            <v>181771853</v>
          </cell>
          <cell r="F33">
            <v>96.45</v>
          </cell>
          <cell r="G33" t="str">
            <v>EML</v>
          </cell>
          <cell r="H33">
            <v>80000</v>
          </cell>
          <cell r="I33">
            <v>0</v>
          </cell>
          <cell r="J33">
            <v>0</v>
          </cell>
          <cell r="K33">
            <v>0</v>
          </cell>
        </row>
        <row r="34">
          <cell r="A34">
            <v>2904</v>
          </cell>
          <cell r="B34" t="str">
            <v>HP01-2015TB-32</v>
          </cell>
          <cell r="C34">
            <v>32</v>
          </cell>
          <cell r="D34" t="str">
            <v>Rifampicin, Ethambutol, Isoniazid and Pyrazinamide 150/400/275/75mg tablet, 112 tablets</v>
          </cell>
          <cell r="E34">
            <v>181817608</v>
          </cell>
          <cell r="F34">
            <v>107.34</v>
          </cell>
          <cell r="G34" t="str">
            <v>EML</v>
          </cell>
          <cell r="H34">
            <v>60000</v>
          </cell>
          <cell r="I34">
            <v>180</v>
          </cell>
          <cell r="J34">
            <v>360</v>
          </cell>
          <cell r="K34">
            <v>19321.2</v>
          </cell>
        </row>
        <row r="35">
          <cell r="A35">
            <v>3953</v>
          </cell>
          <cell r="B35" t="str">
            <v>HP01-2015TB-33</v>
          </cell>
          <cell r="C35">
            <v>33</v>
          </cell>
          <cell r="D35" t="str">
            <v>Rifampicin and Isoniazid 150/75mg tablet, 56 tablets</v>
          </cell>
          <cell r="E35">
            <v>181817633</v>
          </cell>
          <cell r="F35">
            <v>35.909999999999997</v>
          </cell>
          <cell r="G35" t="str">
            <v>EML</v>
          </cell>
          <cell r="H35">
            <v>10800</v>
          </cell>
          <cell r="I35">
            <v>60</v>
          </cell>
          <cell r="J35">
            <v>120</v>
          </cell>
          <cell r="K35">
            <v>2154.6</v>
          </cell>
        </row>
        <row r="36">
          <cell r="A36">
            <v>2913</v>
          </cell>
          <cell r="B36" t="str">
            <v>HP01-2015TB-34</v>
          </cell>
          <cell r="C36">
            <v>34</v>
          </cell>
          <cell r="D36" t="str">
            <v>Rifampicin and Isoniazid 150/75mg tablet, 84 tablets</v>
          </cell>
          <cell r="E36">
            <v>181817634</v>
          </cell>
          <cell r="F36">
            <v>43.7</v>
          </cell>
          <cell r="G36" t="str">
            <v>EML</v>
          </cell>
          <cell r="H36">
            <v>20400</v>
          </cell>
          <cell r="I36">
            <v>60</v>
          </cell>
          <cell r="J36">
            <v>120</v>
          </cell>
          <cell r="K36">
            <v>2622</v>
          </cell>
        </row>
        <row r="37">
          <cell r="A37">
            <v>2909</v>
          </cell>
          <cell r="B37" t="str">
            <v>HP01-2015TB-35</v>
          </cell>
          <cell r="C37">
            <v>35</v>
          </cell>
          <cell r="D37" t="str">
            <v>Rifampicin and Isoniazid 300/150mg tablet, 56 tablets</v>
          </cell>
          <cell r="E37">
            <v>181817575</v>
          </cell>
          <cell r="F37">
            <v>57.96</v>
          </cell>
          <cell r="G37" t="str">
            <v>EML</v>
          </cell>
          <cell r="H37">
            <v>36700</v>
          </cell>
          <cell r="I37">
            <v>120</v>
          </cell>
          <cell r="J37">
            <v>240</v>
          </cell>
          <cell r="K37">
            <v>6955.2</v>
          </cell>
        </row>
        <row r="38">
          <cell r="A38">
            <v>78</v>
          </cell>
          <cell r="B38" t="str">
            <v>HP01-2015TB-36</v>
          </cell>
          <cell r="C38">
            <v>36</v>
          </cell>
          <cell r="D38" t="str">
            <v>Rifampicin and Isoniazid 60/60mg dispersible tablet, 28 tablets</v>
          </cell>
          <cell r="E38">
            <v>181879047</v>
          </cell>
          <cell r="F38">
            <v>19.41</v>
          </cell>
          <cell r="G38" t="str">
            <v>EML</v>
          </cell>
          <cell r="H38">
            <v>39200</v>
          </cell>
          <cell r="I38">
            <v>264</v>
          </cell>
          <cell r="J38">
            <v>528</v>
          </cell>
          <cell r="K38">
            <v>5124.24</v>
          </cell>
        </row>
        <row r="39">
          <cell r="A39">
            <v>2090</v>
          </cell>
          <cell r="B39" t="str">
            <v>HP01-2015TB-37</v>
          </cell>
          <cell r="C39">
            <v>37</v>
          </cell>
          <cell r="D39" t="str">
            <v>Rifampicin and Isoniazid 60/60mg dispersible tablet, 56 tablets</v>
          </cell>
          <cell r="E39">
            <v>181879049</v>
          </cell>
          <cell r="F39">
            <v>32.89</v>
          </cell>
          <cell r="G39" t="str">
            <v>EML</v>
          </cell>
          <cell r="H39">
            <v>66000</v>
          </cell>
          <cell r="I39">
            <v>100</v>
          </cell>
          <cell r="J39">
            <v>200</v>
          </cell>
          <cell r="K39">
            <v>3289</v>
          </cell>
        </row>
        <row r="40">
          <cell r="A40" t="e">
            <v>#N/A</v>
          </cell>
          <cell r="B40" t="str">
            <v>HP01-2015TB-38</v>
          </cell>
          <cell r="C40">
            <v>38</v>
          </cell>
          <cell r="D40" t="str">
            <v>Rifampicin, Pyrazinamide and Isoniazid  60/150/60mg dispersible tablet, 80 tablets</v>
          </cell>
          <cell r="E40">
            <v>181930013</v>
          </cell>
          <cell r="F40">
            <v>0</v>
          </cell>
          <cell r="G40" t="str">
            <v>EML</v>
          </cell>
          <cell r="H40">
            <v>30700</v>
          </cell>
          <cell r="I40">
            <v>60</v>
          </cell>
          <cell r="J40">
            <v>120</v>
          </cell>
          <cell r="K40">
            <v>0</v>
          </cell>
        </row>
        <row r="41">
          <cell r="A41">
            <v>3384</v>
          </cell>
          <cell r="B41" t="str">
            <v>HP01-2015TB-40</v>
          </cell>
          <cell r="C41">
            <v>40</v>
          </cell>
          <cell r="D41" t="str">
            <v>Terizidone 250mg capsule, 100 capsules</v>
          </cell>
          <cell r="E41">
            <v>181774577</v>
          </cell>
          <cell r="F41">
            <v>850.73</v>
          </cell>
          <cell r="G41" t="str">
            <v>EML</v>
          </cell>
          <cell r="H41">
            <v>46000</v>
          </cell>
          <cell r="I41">
            <v>0</v>
          </cell>
          <cell r="J41">
            <v>0</v>
          </cell>
          <cell r="K41">
            <v>0</v>
          </cell>
        </row>
      </sheetData>
      <sheetData sheetId="4">
        <row r="1">
          <cell r="A1" t="str">
            <v>ST_NATO</v>
          </cell>
          <cell r="B1" t="str">
            <v>ST_RECORD</v>
          </cell>
          <cell r="C1" t="str">
            <v>ST_GENNAME</v>
          </cell>
        </row>
        <row r="2">
          <cell r="A2">
            <v>189708789</v>
          </cell>
          <cell r="B2">
            <v>1</v>
          </cell>
          <cell r="C2" t="str">
            <v>Amikacin Inj 250Mg/2ml 2Ml</v>
          </cell>
        </row>
        <row r="3">
          <cell r="A3">
            <v>189710336</v>
          </cell>
          <cell r="B3">
            <v>2</v>
          </cell>
          <cell r="C3" t="str">
            <v>Amoxycillin Caps 250Mg (500'S)</v>
          </cell>
        </row>
        <row r="4">
          <cell r="A4">
            <v>180192423</v>
          </cell>
          <cell r="B4">
            <v>3</v>
          </cell>
          <cell r="C4" t="str">
            <v>~Intrav Cath 20G Introducer Needle</v>
          </cell>
        </row>
        <row r="5">
          <cell r="A5">
            <v>180192425</v>
          </cell>
          <cell r="B5">
            <v>4</v>
          </cell>
          <cell r="C5" t="str">
            <v>~Intrav Cath 22G Introducer Needle</v>
          </cell>
        </row>
        <row r="6">
          <cell r="A6">
            <v>189710723</v>
          </cell>
          <cell r="B6">
            <v>5</v>
          </cell>
          <cell r="C6" t="str">
            <v>Amphotericin-B Inj 50Mg</v>
          </cell>
        </row>
        <row r="7">
          <cell r="A7" t="str">
            <v>.</v>
          </cell>
          <cell r="B7">
            <v>6</v>
          </cell>
          <cell r="C7" t="str">
            <v>Tpn 8008A</v>
          </cell>
        </row>
        <row r="8">
          <cell r="A8" t="str">
            <v>DELETED</v>
          </cell>
          <cell r="B8">
            <v>7</v>
          </cell>
          <cell r="C8" t="str">
            <v>Dressing Wound Dispersion  5Cm X  5Cm</v>
          </cell>
        </row>
        <row r="9">
          <cell r="A9">
            <v>189702886</v>
          </cell>
          <cell r="B9">
            <v>8</v>
          </cell>
          <cell r="C9" t="str">
            <v>Ampicillin Inj 250Mg</v>
          </cell>
        </row>
        <row r="10">
          <cell r="A10">
            <v>189702887</v>
          </cell>
          <cell r="B10">
            <v>9</v>
          </cell>
          <cell r="C10" t="str">
            <v>Ampicillin Inj 500Mg</v>
          </cell>
        </row>
        <row r="11">
          <cell r="A11">
            <v>180161753</v>
          </cell>
          <cell r="B11">
            <v>10</v>
          </cell>
          <cell r="C11" t="str">
            <v>~Cefuroxime 125Mg/5ml Susp 50Ml</v>
          </cell>
        </row>
        <row r="12">
          <cell r="A12" t="str">
            <v>QUOTE</v>
          </cell>
          <cell r="B12">
            <v>11</v>
          </cell>
          <cell r="C12" t="str">
            <v>Iodine 131 Caps (Radio Active Iodine 10Mci)</v>
          </cell>
        </row>
        <row r="13">
          <cell r="A13">
            <v>189710536</v>
          </cell>
          <cell r="B13">
            <v>12</v>
          </cell>
          <cell r="C13" t="str">
            <v>~Amphotericinb Lozenges 10Mg (20'S)</v>
          </cell>
        </row>
        <row r="14">
          <cell r="A14">
            <v>189700011</v>
          </cell>
          <cell r="B14">
            <v>13</v>
          </cell>
          <cell r="C14" t="str">
            <v>Benzathine Penicillin G Inj 2.4Mu</v>
          </cell>
        </row>
        <row r="15">
          <cell r="A15">
            <v>189700012</v>
          </cell>
          <cell r="B15">
            <v>14</v>
          </cell>
          <cell r="C15" t="str">
            <v>~Benzathine Procaine Penicillin S/dose Inj</v>
          </cell>
        </row>
        <row r="16">
          <cell r="A16">
            <v>189700015</v>
          </cell>
          <cell r="B16">
            <v>15</v>
          </cell>
          <cell r="C16" t="str">
            <v>Benzylpenicillin Inj 1Mu</v>
          </cell>
        </row>
        <row r="17">
          <cell r="A17">
            <v>189708788</v>
          </cell>
          <cell r="B17">
            <v>16</v>
          </cell>
          <cell r="C17" t="str">
            <v>Cefotaxime Inj 500Mg</v>
          </cell>
        </row>
        <row r="18">
          <cell r="A18">
            <v>189707452</v>
          </cell>
          <cell r="B18">
            <v>17</v>
          </cell>
          <cell r="C18" t="str">
            <v>~Cefoxitin 1G Inj</v>
          </cell>
        </row>
        <row r="19">
          <cell r="A19">
            <v>189705592</v>
          </cell>
          <cell r="B19">
            <v>18</v>
          </cell>
          <cell r="C19" t="str">
            <v>Cephalexin Susp 125Mg/5ml 100Ml</v>
          </cell>
        </row>
        <row r="20">
          <cell r="A20">
            <v>189755469</v>
          </cell>
          <cell r="B20">
            <v>19</v>
          </cell>
          <cell r="C20" t="str">
            <v>Cephalexin Caps 250Mg (20'S)</v>
          </cell>
        </row>
        <row r="21">
          <cell r="A21">
            <v>189714975</v>
          </cell>
          <cell r="B21">
            <v>20</v>
          </cell>
          <cell r="C21" t="str">
            <v>Cephalexin Tabs 500Mg (20'S)</v>
          </cell>
        </row>
        <row r="22">
          <cell r="A22">
            <v>181750480</v>
          </cell>
          <cell r="B22">
            <v>21</v>
          </cell>
          <cell r="C22" t="str">
            <v>Ceftriaxone Inj 500Mg</v>
          </cell>
        </row>
        <row r="23">
          <cell r="A23">
            <v>189710256</v>
          </cell>
          <cell r="B23">
            <v>22</v>
          </cell>
          <cell r="C23" t="str">
            <v>~Chloramphenicol Caps 250Mg (100'S)</v>
          </cell>
        </row>
        <row r="24">
          <cell r="A24" t="str">
            <v>*</v>
          </cell>
          <cell r="B24">
            <v>23</v>
          </cell>
          <cell r="C24" t="str">
            <v>Dressing Foam Adh Nanocrystalline Anti-Micro 10X20cm</v>
          </cell>
        </row>
        <row r="25">
          <cell r="A25">
            <v>189705057</v>
          </cell>
          <cell r="B25">
            <v>24</v>
          </cell>
          <cell r="C25" t="str">
            <v>Campaign: Swabs Alcohol</v>
          </cell>
        </row>
        <row r="26">
          <cell r="A26">
            <v>189705063</v>
          </cell>
          <cell r="B26">
            <v>25</v>
          </cell>
          <cell r="C26" t="str">
            <v>Chloramphenicol Inj 1G</v>
          </cell>
        </row>
        <row r="27">
          <cell r="A27">
            <v>189712133</v>
          </cell>
          <cell r="B27">
            <v>26</v>
          </cell>
          <cell r="C27" t="str">
            <v>Chloramphenicol Eye Drops 0.5% 10Ml</v>
          </cell>
        </row>
        <row r="28">
          <cell r="A28">
            <v>189700731</v>
          </cell>
          <cell r="B28">
            <v>27</v>
          </cell>
          <cell r="C28" t="str">
            <v>Chloramphenicol Eye Oint 1% 3,5G</v>
          </cell>
        </row>
        <row r="29">
          <cell r="A29">
            <v>180177484</v>
          </cell>
          <cell r="B29">
            <v>28</v>
          </cell>
          <cell r="C29" t="str">
            <v>Immunoglobulin Human Normal 12G Inj 400Ml</v>
          </cell>
        </row>
        <row r="30">
          <cell r="A30">
            <v>181818543</v>
          </cell>
          <cell r="B30">
            <v>29</v>
          </cell>
          <cell r="C30" t="str">
            <v>Flucloxacillin Caps 250Mg (40'S)</v>
          </cell>
        </row>
        <row r="31">
          <cell r="A31">
            <v>189705615</v>
          </cell>
          <cell r="B31">
            <v>30</v>
          </cell>
          <cell r="C31" t="str">
            <v>Cloxacillin Inj 250Mg</v>
          </cell>
        </row>
        <row r="32">
          <cell r="A32">
            <v>189705134</v>
          </cell>
          <cell r="B32">
            <v>31</v>
          </cell>
          <cell r="C32" t="str">
            <v>Cloxacillin Inj 500Mg</v>
          </cell>
        </row>
        <row r="33">
          <cell r="A33">
            <v>189711407</v>
          </cell>
          <cell r="B33">
            <v>32</v>
          </cell>
          <cell r="C33" t="str">
            <v>Flucloxacillin Susp 125Mg/5ml 100Ml</v>
          </cell>
        </row>
        <row r="34">
          <cell r="A34">
            <v>189762412</v>
          </cell>
          <cell r="B34">
            <v>33</v>
          </cell>
          <cell r="C34" t="str">
            <v>Doxycycline Caps 100Mg (100'S)</v>
          </cell>
        </row>
        <row r="35">
          <cell r="A35">
            <v>189714940</v>
          </cell>
          <cell r="B35">
            <v>34</v>
          </cell>
          <cell r="C35" t="str">
            <v>~Erythromycin Susp 250Mg/5ml 100Ml</v>
          </cell>
        </row>
        <row r="36">
          <cell r="A36">
            <v>189710733</v>
          </cell>
          <cell r="B36">
            <v>35</v>
          </cell>
          <cell r="C36" t="str">
            <v>~Erythromycin I.V Inj 1G</v>
          </cell>
        </row>
        <row r="37">
          <cell r="A37">
            <v>189712134</v>
          </cell>
          <cell r="B37">
            <v>36</v>
          </cell>
          <cell r="C37" t="str">
            <v>~Erythromycin Susp 125Mg/5ml 100Ml</v>
          </cell>
        </row>
        <row r="38">
          <cell r="A38">
            <v>189706258</v>
          </cell>
          <cell r="B38">
            <v>37</v>
          </cell>
          <cell r="C38" t="str">
            <v>Framycetin Gramicidin Dexamethasone Ear/eye Drops</v>
          </cell>
        </row>
        <row r="39">
          <cell r="A39">
            <v>181749810</v>
          </cell>
          <cell r="B39">
            <v>38</v>
          </cell>
          <cell r="C39" t="str">
            <v>Linezolid 600Mg/300ml Sol For Infusion</v>
          </cell>
        </row>
        <row r="40">
          <cell r="A40">
            <v>181918030</v>
          </cell>
          <cell r="B40">
            <v>39</v>
          </cell>
          <cell r="C40" t="str">
            <v>Alendronate Tabs 10Mg (30'S)</v>
          </cell>
        </row>
        <row r="41">
          <cell r="A41" t="str">
            <v>QOUTE</v>
          </cell>
          <cell r="B41">
            <v>40</v>
          </cell>
          <cell r="C41" t="str">
            <v>Paclitaxel Administration Sets</v>
          </cell>
        </row>
        <row r="42">
          <cell r="A42" t="str">
            <v>DELETED</v>
          </cell>
          <cell r="B42">
            <v>41</v>
          </cell>
          <cell r="C42" t="str">
            <v>~Framycetin Eye Oint 0,5% 5G</v>
          </cell>
        </row>
        <row r="43">
          <cell r="A43">
            <v>189705064</v>
          </cell>
          <cell r="B43">
            <v>42</v>
          </cell>
          <cell r="C43" t="str">
            <v>~Gentamicin Inj 20Mg Vial</v>
          </cell>
        </row>
        <row r="44">
          <cell r="A44">
            <v>181797302</v>
          </cell>
          <cell r="B44">
            <v>43</v>
          </cell>
          <cell r="C44" t="str">
            <v>~Gentamicin Beta Iodo Toln Crm 20G</v>
          </cell>
        </row>
        <row r="45">
          <cell r="A45">
            <v>189710974</v>
          </cell>
          <cell r="B45">
            <v>44</v>
          </cell>
          <cell r="C45" t="str">
            <v>Gentamicin Inj 20Mg Ampoule</v>
          </cell>
        </row>
        <row r="46">
          <cell r="A46">
            <v>180056669</v>
          </cell>
          <cell r="B46">
            <v>45</v>
          </cell>
          <cell r="C46" t="str">
            <v>Gentamicin Inj 80Mg Ampoule</v>
          </cell>
        </row>
        <row r="47">
          <cell r="A47">
            <v>189705066</v>
          </cell>
          <cell r="B47">
            <v>46</v>
          </cell>
          <cell r="C47" t="str">
            <v>~Gentamicin Inj 80Mg Vial</v>
          </cell>
        </row>
        <row r="48">
          <cell r="A48">
            <v>189705158</v>
          </cell>
          <cell r="B48">
            <v>47</v>
          </cell>
          <cell r="C48" t="str">
            <v>Gentamicin Eye Drops 3Mg/ml 5Ml</v>
          </cell>
        </row>
        <row r="49">
          <cell r="A49">
            <v>189714530</v>
          </cell>
          <cell r="B49">
            <v>48</v>
          </cell>
          <cell r="C49" t="str">
            <v>Ranitidine 300Mg Tabs (30'S)</v>
          </cell>
        </row>
        <row r="50">
          <cell r="A50">
            <v>189758585</v>
          </cell>
          <cell r="B50">
            <v>49</v>
          </cell>
          <cell r="C50" t="str">
            <v>Griseofulvin Tabs 125Mg (100'S)</v>
          </cell>
        </row>
        <row r="51">
          <cell r="A51">
            <v>189710255</v>
          </cell>
          <cell r="B51">
            <v>50</v>
          </cell>
          <cell r="C51" t="str">
            <v>Griseofulvin Tabs 500Mg (100'S)</v>
          </cell>
        </row>
        <row r="52">
          <cell r="A52">
            <v>181900107</v>
          </cell>
          <cell r="B52">
            <v>51</v>
          </cell>
          <cell r="C52" t="str">
            <v>Kanamycin Inj 1G 3Ml</v>
          </cell>
        </row>
        <row r="53">
          <cell r="A53">
            <v>189714945</v>
          </cell>
          <cell r="B53">
            <v>52</v>
          </cell>
          <cell r="C53" t="str">
            <v>~Minocycline Tabs 100Mg (100'S)</v>
          </cell>
        </row>
        <row r="54">
          <cell r="A54">
            <v>189708708</v>
          </cell>
          <cell r="B54">
            <v>53</v>
          </cell>
          <cell r="C54" t="str">
            <v>Natamycin Eye Drops 15Ml</v>
          </cell>
        </row>
        <row r="55">
          <cell r="A55">
            <v>189703045</v>
          </cell>
          <cell r="B55">
            <v>54</v>
          </cell>
          <cell r="C55" t="str">
            <v>~Neomycin Betamethasone Eye Drops 5Ml</v>
          </cell>
        </row>
        <row r="56">
          <cell r="A56" t="str">
            <v>QUOTE</v>
          </cell>
          <cell r="B56">
            <v>55</v>
          </cell>
          <cell r="C56" t="str">
            <v>Cath Double Lumen Pead 5Fr 13Cm Cvc Set</v>
          </cell>
        </row>
        <row r="57">
          <cell r="A57">
            <v>189705149</v>
          </cell>
          <cell r="B57">
            <v>56</v>
          </cell>
          <cell r="C57" t="str">
            <v>~Neomycin Chlorhexidine Nasal Crm 10G</v>
          </cell>
        </row>
        <row r="58">
          <cell r="A58">
            <v>180191871</v>
          </cell>
          <cell r="B58">
            <v>57</v>
          </cell>
          <cell r="C58" t="str">
            <v>Neomycin Polymixin Hydrocortisone Ear Drops</v>
          </cell>
        </row>
        <row r="59">
          <cell r="A59">
            <v>180162238</v>
          </cell>
          <cell r="B59">
            <v>58</v>
          </cell>
          <cell r="C59" t="str">
            <v>Sertraline 50Mg Caps  (30'S)</v>
          </cell>
        </row>
        <row r="60">
          <cell r="A60">
            <v>189714987</v>
          </cell>
          <cell r="B60">
            <v>59</v>
          </cell>
          <cell r="C60" t="str">
            <v>~Neomycin Prednisolone Lotion 30Ml</v>
          </cell>
        </row>
        <row r="61">
          <cell r="A61" t="str">
            <v>QUOTE</v>
          </cell>
          <cell r="B61">
            <v>60</v>
          </cell>
          <cell r="C61" t="str">
            <v>Punch Biopsy 3Mm</v>
          </cell>
        </row>
        <row r="62">
          <cell r="A62">
            <v>189712135</v>
          </cell>
          <cell r="B62">
            <v>61</v>
          </cell>
          <cell r="C62" t="str">
            <v>Nystatin Oral Susp 100 000Iu 20Ml</v>
          </cell>
        </row>
        <row r="63">
          <cell r="A63">
            <v>181761190</v>
          </cell>
          <cell r="B63">
            <v>62</v>
          </cell>
          <cell r="C63" t="str">
            <v>Tramadol Hcl 100Mg Caps/tabs (60'S)</v>
          </cell>
        </row>
        <row r="64">
          <cell r="A64">
            <v>189706000</v>
          </cell>
          <cell r="B64">
            <v>63</v>
          </cell>
          <cell r="C64" t="str">
            <v>Nystatin Topical Oint 100 000Iu 15Gm</v>
          </cell>
        </row>
        <row r="65">
          <cell r="A65">
            <v>189705999</v>
          </cell>
          <cell r="B65">
            <v>64</v>
          </cell>
          <cell r="C65" t="str">
            <v>~Nystatin Topical Crm 100 000Iu 15G</v>
          </cell>
        </row>
        <row r="66">
          <cell r="A66">
            <v>189708005</v>
          </cell>
          <cell r="B66">
            <v>65</v>
          </cell>
          <cell r="C66" t="str">
            <v>~Nystatin Nvaginal Cream 100 000Iu 60G</v>
          </cell>
        </row>
        <row r="67">
          <cell r="A67">
            <v>189712136</v>
          </cell>
          <cell r="B67">
            <v>66</v>
          </cell>
          <cell r="C67" t="str">
            <v>~Nystatin Vaginal Tabs</v>
          </cell>
        </row>
        <row r="68">
          <cell r="A68">
            <v>181936076</v>
          </cell>
          <cell r="B68">
            <v>67</v>
          </cell>
          <cell r="C68" t="str">
            <v>Olanzapine Tabs 10Mg (28'S)</v>
          </cell>
        </row>
        <row r="69">
          <cell r="A69">
            <v>180139617</v>
          </cell>
          <cell r="B69">
            <v>68</v>
          </cell>
          <cell r="C69" t="str">
            <v>Oxymetazoline Eye Drops 15Ml 0.025%</v>
          </cell>
        </row>
        <row r="70">
          <cell r="A70">
            <v>181778333</v>
          </cell>
          <cell r="B70">
            <v>69</v>
          </cell>
          <cell r="C70" t="str">
            <v>Filter Breath Viral Adult Straight 15Mm Id, 22 Co2 Port</v>
          </cell>
        </row>
        <row r="71">
          <cell r="A71">
            <v>189700734</v>
          </cell>
          <cell r="B71">
            <v>70</v>
          </cell>
          <cell r="C71" t="str">
            <v>~Oxytetracycline Polymixin Eye Oint 5G</v>
          </cell>
        </row>
        <row r="72">
          <cell r="A72">
            <v>189700961</v>
          </cell>
          <cell r="B72">
            <v>71</v>
          </cell>
          <cell r="C72" t="str">
            <v>~Oxytetracycline Polymixin Topical Oint 15G</v>
          </cell>
        </row>
        <row r="73">
          <cell r="A73">
            <v>180381452</v>
          </cell>
          <cell r="B73">
            <v>72</v>
          </cell>
          <cell r="C73" t="str">
            <v>Autoclave Vacuum Test Pack</v>
          </cell>
        </row>
        <row r="74">
          <cell r="A74">
            <v>189714957</v>
          </cell>
          <cell r="B74">
            <v>73</v>
          </cell>
          <cell r="C74" t="str">
            <v>~Phenoxymethyl Penicillin Tabs 250Mg</v>
          </cell>
        </row>
        <row r="75">
          <cell r="A75">
            <v>181932100</v>
          </cell>
          <cell r="B75">
            <v>74</v>
          </cell>
          <cell r="C75" t="str">
            <v>Piperacillin 4G/tazobactam Sodium 500Mg Inj</v>
          </cell>
        </row>
        <row r="76">
          <cell r="A76">
            <v>189710764</v>
          </cell>
          <cell r="B76">
            <v>75</v>
          </cell>
          <cell r="C76" t="str">
            <v>~Piperacillin Inj 4G</v>
          </cell>
        </row>
        <row r="77">
          <cell r="A77">
            <v>180157156</v>
          </cell>
          <cell r="B77">
            <v>76</v>
          </cell>
          <cell r="C77" t="str">
            <v>Procaine Penicillin Inj 300Mg/ml 10Ml</v>
          </cell>
        </row>
        <row r="78">
          <cell r="A78">
            <v>189710391</v>
          </cell>
          <cell r="B78">
            <v>77</v>
          </cell>
          <cell r="C78" t="str">
            <v>Rifampicin Caps 150Mg (100'S)</v>
          </cell>
        </row>
        <row r="79">
          <cell r="A79">
            <v>181879047</v>
          </cell>
          <cell r="B79">
            <v>78</v>
          </cell>
          <cell r="C79" t="str">
            <v>Rif  60 Inh 60 Disp Tabs (28'S)</v>
          </cell>
        </row>
        <row r="80">
          <cell r="A80">
            <v>189711338</v>
          </cell>
          <cell r="B80">
            <v>79</v>
          </cell>
          <cell r="C80" t="str">
            <v>Rifampicin Syr 100Mg/5ml 180Ml</v>
          </cell>
        </row>
        <row r="81">
          <cell r="A81">
            <v>181750482</v>
          </cell>
          <cell r="B81">
            <v>80</v>
          </cell>
          <cell r="C81" t="str">
            <v>Ceftriaxone Inj 1G</v>
          </cell>
        </row>
        <row r="82">
          <cell r="A82">
            <v>181817579</v>
          </cell>
          <cell r="B82">
            <v>81</v>
          </cell>
          <cell r="C82" t="str">
            <v>~Rif  60 Inh 30 Pza 150 (84'S)</v>
          </cell>
        </row>
        <row r="83">
          <cell r="A83">
            <v>181778981</v>
          </cell>
          <cell r="B83">
            <v>82</v>
          </cell>
          <cell r="C83" t="str">
            <v>Rifampicin Tabs 600Mg (100'S)</v>
          </cell>
        </row>
        <row r="84">
          <cell r="A84">
            <v>189700096</v>
          </cell>
          <cell r="B84">
            <v>83</v>
          </cell>
          <cell r="C84" t="str">
            <v>~Streptomycin 1G Inj 3Ml</v>
          </cell>
        </row>
        <row r="85">
          <cell r="A85">
            <v>189700097</v>
          </cell>
          <cell r="B85">
            <v>84</v>
          </cell>
          <cell r="C85" t="str">
            <v>~Streptomycin Inj 5G/15ml</v>
          </cell>
        </row>
        <row r="86">
          <cell r="A86">
            <v>181817496</v>
          </cell>
          <cell r="B86">
            <v>85</v>
          </cell>
          <cell r="C86" t="str">
            <v>Pyrazinamide 500Mg Tabs 28'S</v>
          </cell>
        </row>
        <row r="87">
          <cell r="A87">
            <v>189708042</v>
          </cell>
          <cell r="B87">
            <v>86</v>
          </cell>
          <cell r="C87" t="str">
            <v>Tobramycin Eye Drops 3Mg/ml 5Ml</v>
          </cell>
        </row>
        <row r="88">
          <cell r="A88">
            <v>189708886</v>
          </cell>
          <cell r="B88">
            <v>87</v>
          </cell>
          <cell r="C88" t="str">
            <v>Vancomycin Inj 500Mg/10ml 10Ml</v>
          </cell>
        </row>
        <row r="89">
          <cell r="A89">
            <v>189711124</v>
          </cell>
          <cell r="B89">
            <v>88</v>
          </cell>
          <cell r="C89" t="str">
            <v>Acetylcholine 40Mg Mannitol 200Mg For Eye Irrigation</v>
          </cell>
        </row>
        <row r="90">
          <cell r="A90">
            <v>189711365</v>
          </cell>
          <cell r="B90">
            <v>89</v>
          </cell>
          <cell r="C90" t="str">
            <v>Antazoline Eye Drops 15Ml</v>
          </cell>
        </row>
        <row r="91">
          <cell r="A91">
            <v>180259791</v>
          </cell>
          <cell r="B91">
            <v>90</v>
          </cell>
          <cell r="C91" t="str">
            <v>Apraclonidine Eye Drops 0,5%</v>
          </cell>
        </row>
        <row r="92">
          <cell r="A92">
            <v>180087294</v>
          </cell>
          <cell r="B92">
            <v>91</v>
          </cell>
          <cell r="C92" t="str">
            <v>Atropine Eye Drops 5Ml</v>
          </cell>
        </row>
        <row r="93">
          <cell r="A93">
            <v>189712745</v>
          </cell>
          <cell r="B93">
            <v>92</v>
          </cell>
          <cell r="C93" t="str">
            <v>Ophthalmic Irrigation Sol 500Ml</v>
          </cell>
        </row>
        <row r="94">
          <cell r="A94">
            <v>180362919</v>
          </cell>
          <cell r="B94">
            <v>93</v>
          </cell>
          <cell r="C94" t="str">
            <v>Beclomethasone M.D.I 100Mcg 200Dose</v>
          </cell>
        </row>
        <row r="95">
          <cell r="A95">
            <v>180267798</v>
          </cell>
          <cell r="B95">
            <v>94</v>
          </cell>
          <cell r="C95" t="str">
            <v>Beclomethasone Nasal Spray Aqueous 50Mcg</v>
          </cell>
        </row>
        <row r="96">
          <cell r="A96">
            <v>180961972</v>
          </cell>
          <cell r="B96">
            <v>95</v>
          </cell>
          <cell r="C96" t="str">
            <v>Syringe Safety 10Ml 20Gx40mm (0.9Mm) Needle</v>
          </cell>
        </row>
        <row r="97">
          <cell r="A97">
            <v>181835942</v>
          </cell>
          <cell r="B97">
            <v>96</v>
          </cell>
          <cell r="C97" t="str">
            <v>Moxifloxacin Hcl Eye Drops 5Ml</v>
          </cell>
        </row>
        <row r="98">
          <cell r="A98">
            <v>180034698</v>
          </cell>
          <cell r="B98">
            <v>97</v>
          </cell>
          <cell r="C98" t="str">
            <v>Hydroxypropylmethylcellulose 0.3% Eye Drops</v>
          </cell>
        </row>
        <row r="99">
          <cell r="A99">
            <v>181841585</v>
          </cell>
          <cell r="B99">
            <v>98</v>
          </cell>
          <cell r="C99" t="str">
            <v>Latanoprost 50Ug, Timolol 5Mg/ml</v>
          </cell>
        </row>
        <row r="100">
          <cell r="A100">
            <v>181851259</v>
          </cell>
          <cell r="B100">
            <v>99</v>
          </cell>
          <cell r="C100" t="str">
            <v>Dressing Wound Dispersion 10Cm X 10Cm</v>
          </cell>
        </row>
        <row r="101">
          <cell r="A101">
            <v>181821883</v>
          </cell>
          <cell r="B101">
            <v>100</v>
          </cell>
          <cell r="C101" t="str">
            <v>Hydrochlorothiazide Tabs 12.5Mg (28'S)</v>
          </cell>
        </row>
        <row r="102">
          <cell r="A102">
            <v>189707994</v>
          </cell>
          <cell r="B102">
            <v>101</v>
          </cell>
          <cell r="C102" t="str">
            <v>~Flumethasone Clioquinol Ear Drops 7.5Ml</v>
          </cell>
        </row>
        <row r="103">
          <cell r="A103">
            <v>180306324</v>
          </cell>
          <cell r="B103">
            <v>102</v>
          </cell>
          <cell r="C103" t="str">
            <v>Ketorolac Tromethamine 5Ml Eye Drops</v>
          </cell>
        </row>
        <row r="104">
          <cell r="A104">
            <v>3021070</v>
          </cell>
          <cell r="B104">
            <v>103</v>
          </cell>
          <cell r="C104" t="str">
            <v>Sut Chromic 2/0 3/8Tp 64Mm</v>
          </cell>
        </row>
        <row r="105">
          <cell r="A105" t="str">
            <v>DELETED</v>
          </cell>
          <cell r="B105">
            <v>104</v>
          </cell>
          <cell r="C105" t="str">
            <v>~Hexoprenaline Inhaler Complete 300Dose</v>
          </cell>
        </row>
        <row r="106">
          <cell r="A106">
            <v>189712250</v>
          </cell>
          <cell r="B106">
            <v>105</v>
          </cell>
          <cell r="C106" t="str">
            <v>Homatropine Hypromellose Eye Drops 5Ml</v>
          </cell>
        </row>
        <row r="107">
          <cell r="A107" t="str">
            <v>.</v>
          </cell>
          <cell r="B107">
            <v>106</v>
          </cell>
          <cell r="C107" t="str">
            <v>Polyacrylic Acid Gel 10G</v>
          </cell>
        </row>
        <row r="108">
          <cell r="A108">
            <v>189711240</v>
          </cell>
          <cell r="B108">
            <v>107</v>
          </cell>
          <cell r="C108" t="str">
            <v>Sodium Hyaluronate 10Mg/ml 0.4Ml Syringe</v>
          </cell>
        </row>
        <row r="109">
          <cell r="A109">
            <v>181900816</v>
          </cell>
          <cell r="B109">
            <v>108</v>
          </cell>
          <cell r="C109" t="str">
            <v>Stavudine Caps 30Mg (60'S)</v>
          </cell>
        </row>
        <row r="110">
          <cell r="A110">
            <v>180963227</v>
          </cell>
          <cell r="B110">
            <v>109</v>
          </cell>
          <cell r="C110" t="str">
            <v>Lignocaine Spray 10Mg 475 Dose</v>
          </cell>
        </row>
        <row r="111">
          <cell r="A111">
            <v>189703838</v>
          </cell>
          <cell r="B111">
            <v>110</v>
          </cell>
          <cell r="C111" t="str">
            <v>Oxybuprocaine Eye Drops 0.4%M/v</v>
          </cell>
        </row>
        <row r="112">
          <cell r="A112">
            <v>189707390</v>
          </cell>
          <cell r="B112">
            <v>111</v>
          </cell>
          <cell r="C112" t="str">
            <v>Oxymetazoline Nose Drops 0.025%</v>
          </cell>
        </row>
        <row r="113">
          <cell r="A113">
            <v>189705181</v>
          </cell>
          <cell r="B113">
            <v>112</v>
          </cell>
          <cell r="C113" t="str">
            <v>Oxymetazoline Nose Drops 0.05%</v>
          </cell>
        </row>
        <row r="114">
          <cell r="A114">
            <v>189760265</v>
          </cell>
          <cell r="B114">
            <v>113</v>
          </cell>
          <cell r="C114" t="str">
            <v>Phenylephrine Eye Drops 10% 7.5Ml</v>
          </cell>
        </row>
        <row r="115">
          <cell r="A115">
            <v>181772811</v>
          </cell>
          <cell r="B115">
            <v>114</v>
          </cell>
          <cell r="C115" t="str">
            <v>Bimatoprost 0.3Mg/ml Eye Drops 3Ml</v>
          </cell>
        </row>
        <row r="116">
          <cell r="A116">
            <v>189714725</v>
          </cell>
          <cell r="B116">
            <v>115</v>
          </cell>
          <cell r="C116" t="str">
            <v>Pilocarpine Eye Drops 1% 15Ml</v>
          </cell>
        </row>
        <row r="117">
          <cell r="A117">
            <v>189713905</v>
          </cell>
          <cell r="B117">
            <v>116</v>
          </cell>
          <cell r="C117" t="str">
            <v>~Pilocarpine Eye Drops 4% 15Ml</v>
          </cell>
        </row>
        <row r="118">
          <cell r="A118">
            <v>180975217</v>
          </cell>
          <cell r="B118">
            <v>117</v>
          </cell>
          <cell r="C118" t="str">
            <v>Plastic Wound Dressing Aerosol 100Ml</v>
          </cell>
        </row>
        <row r="119">
          <cell r="A119">
            <v>189714797</v>
          </cell>
          <cell r="B119">
            <v>118</v>
          </cell>
          <cell r="C119" t="str">
            <v>Polyethylene Glycol Isop Spray 100G</v>
          </cell>
        </row>
        <row r="120">
          <cell r="A120">
            <v>189714729</v>
          </cell>
          <cell r="B120">
            <v>119</v>
          </cell>
          <cell r="C120" t="str">
            <v>~Polyvinyl Alcohol Eye Drops 15Ml</v>
          </cell>
        </row>
        <row r="121">
          <cell r="A121">
            <v>189707170</v>
          </cell>
          <cell r="B121">
            <v>120</v>
          </cell>
          <cell r="C121" t="str">
            <v>~Povidone Iodine Solution Spray 100Ml</v>
          </cell>
        </row>
        <row r="122">
          <cell r="A122">
            <v>189706016</v>
          </cell>
          <cell r="B122">
            <v>121</v>
          </cell>
          <cell r="C122" t="str">
            <v>~Salbutamol M.D.I Refill 100Mcg 200 Dose</v>
          </cell>
        </row>
        <row r="123">
          <cell r="A123">
            <v>189703618</v>
          </cell>
          <cell r="B123">
            <v>122</v>
          </cell>
          <cell r="C123" t="str">
            <v>Salbutamol M.D.I. 100Mcg 200 Dose</v>
          </cell>
        </row>
        <row r="124">
          <cell r="A124">
            <v>189710033</v>
          </cell>
          <cell r="B124">
            <v>123</v>
          </cell>
          <cell r="C124" t="str">
            <v>~Sodium Cromoglycate Inhalant Caps 20Mg</v>
          </cell>
        </row>
        <row r="125">
          <cell r="A125">
            <v>189758556</v>
          </cell>
          <cell r="B125">
            <v>124</v>
          </cell>
          <cell r="C125" t="str">
            <v>~Sodium Cromoglycate Spinhaler</v>
          </cell>
        </row>
        <row r="126">
          <cell r="A126">
            <v>181745282</v>
          </cell>
          <cell r="B126">
            <v>125</v>
          </cell>
          <cell r="C126" t="str">
            <v>Sodium Cromoglycate Eye Drops 2% 10Ml</v>
          </cell>
        </row>
        <row r="127">
          <cell r="A127">
            <v>181838247</v>
          </cell>
          <cell r="B127">
            <v>126</v>
          </cell>
          <cell r="C127" t="str">
            <v>Brimonidine 1.5Mg/ml Eye Drops 5Ml</v>
          </cell>
        </row>
        <row r="128">
          <cell r="A128">
            <v>189714735</v>
          </cell>
          <cell r="B128">
            <v>127</v>
          </cell>
          <cell r="C128" t="str">
            <v>Timolol Eye Drops 0.25% 5Ml</v>
          </cell>
        </row>
        <row r="129">
          <cell r="A129">
            <v>189711308</v>
          </cell>
          <cell r="B129">
            <v>128</v>
          </cell>
          <cell r="C129" t="str">
            <v>Timolol Eye Drops 0.5% 5Ml</v>
          </cell>
        </row>
        <row r="130">
          <cell r="A130">
            <v>180150384</v>
          </cell>
          <cell r="B130">
            <v>129</v>
          </cell>
          <cell r="C130" t="str">
            <v>Arachis Oil Paradichlorbenzene Chlorbutol Ear Drops</v>
          </cell>
        </row>
        <row r="131">
          <cell r="A131">
            <v>189714739</v>
          </cell>
          <cell r="B131">
            <v>130</v>
          </cell>
          <cell r="C131" t="str">
            <v>Tropicamide Eye Drops 1% 15Ml</v>
          </cell>
        </row>
        <row r="132">
          <cell r="A132">
            <v>181908007</v>
          </cell>
          <cell r="B132">
            <v>131</v>
          </cell>
          <cell r="C132" t="str">
            <v>Needle Stimuplex A50</v>
          </cell>
        </row>
        <row r="133">
          <cell r="A133">
            <v>181795795</v>
          </cell>
          <cell r="B133">
            <v>132</v>
          </cell>
          <cell r="C133" t="str">
            <v>Intra Uterine Device Short Cu380</v>
          </cell>
        </row>
        <row r="134">
          <cell r="A134">
            <v>189712383</v>
          </cell>
          <cell r="B134">
            <v>133</v>
          </cell>
          <cell r="C134" t="str">
            <v>~Intra Uterine Device 375</v>
          </cell>
        </row>
        <row r="135">
          <cell r="A135">
            <v>189705223</v>
          </cell>
          <cell r="B135">
            <v>134</v>
          </cell>
          <cell r="C135" t="str">
            <v>Oral Contraceptive Monophasic Low</v>
          </cell>
        </row>
        <row r="136">
          <cell r="A136">
            <v>189703093</v>
          </cell>
          <cell r="B136">
            <v>135</v>
          </cell>
          <cell r="C136" t="str">
            <v>Oral Contraceptive Progestogen</v>
          </cell>
        </row>
        <row r="137">
          <cell r="A137">
            <v>189762873</v>
          </cell>
          <cell r="B137">
            <v>136</v>
          </cell>
          <cell r="C137" t="str">
            <v>Medroxyprogesterone Inj 150Mg/ml 1Ml</v>
          </cell>
        </row>
        <row r="138">
          <cell r="A138">
            <v>189750995</v>
          </cell>
          <cell r="B138">
            <v>137</v>
          </cell>
          <cell r="C138" t="str">
            <v>Norethisterone Inj 200Mg/ml Long-Acting</v>
          </cell>
        </row>
        <row r="139">
          <cell r="A139">
            <v>189702739</v>
          </cell>
          <cell r="B139">
            <v>138</v>
          </cell>
          <cell r="C139" t="str">
            <v>Oral Contraceptive Monophasic High</v>
          </cell>
        </row>
        <row r="140">
          <cell r="A140">
            <v>189707391</v>
          </cell>
          <cell r="B140">
            <v>139</v>
          </cell>
          <cell r="C140" t="str">
            <v>Oral Contraceptive Triphasic Low</v>
          </cell>
        </row>
        <row r="141">
          <cell r="A141">
            <v>181774538</v>
          </cell>
          <cell r="B141">
            <v>140</v>
          </cell>
          <cell r="C141" t="str">
            <v>Alcohol 96% 20L</v>
          </cell>
        </row>
        <row r="142">
          <cell r="A142">
            <v>181774548</v>
          </cell>
          <cell r="B142">
            <v>141</v>
          </cell>
          <cell r="C142" t="str">
            <v>Ether Technical  500Ml</v>
          </cell>
        </row>
        <row r="143">
          <cell r="A143" t="str">
            <v>RT 180 5.3</v>
          </cell>
          <cell r="B143">
            <v>142</v>
          </cell>
          <cell r="C143" t="str">
            <v>Ether Technical 25L</v>
          </cell>
        </row>
        <row r="144">
          <cell r="A144">
            <v>189715124</v>
          </cell>
          <cell r="B144">
            <v>143</v>
          </cell>
          <cell r="C144" t="str">
            <v>Glycerine  500Ml</v>
          </cell>
        </row>
        <row r="145">
          <cell r="A145">
            <v>189703002</v>
          </cell>
          <cell r="B145">
            <v>144</v>
          </cell>
          <cell r="C145" t="str">
            <v>Campaign: Needle Hypodermic 23G</v>
          </cell>
        </row>
        <row r="146">
          <cell r="A146">
            <v>180258014</v>
          </cell>
          <cell r="B146">
            <v>145</v>
          </cell>
          <cell r="C146" t="str">
            <v>Tpn 7009A</v>
          </cell>
        </row>
        <row r="147">
          <cell r="A147">
            <v>181781208</v>
          </cell>
          <cell r="B147">
            <v>146</v>
          </cell>
          <cell r="C147" t="str">
            <v>Abacavir 20Mg/ml Oral Sol - 240Ml</v>
          </cell>
        </row>
        <row r="148">
          <cell r="A148">
            <v>180075476</v>
          </cell>
          <cell r="B148">
            <v>147</v>
          </cell>
          <cell r="C148" t="str">
            <v>Acyclovir Inj 250Mg</v>
          </cell>
        </row>
        <row r="149">
          <cell r="A149">
            <v>180075485</v>
          </cell>
          <cell r="B149">
            <v>148</v>
          </cell>
          <cell r="C149" t="str">
            <v>Adrenaline Inj 0.1Mg/ml 1:1000  1Ml</v>
          </cell>
        </row>
        <row r="150">
          <cell r="A150">
            <v>189705621</v>
          </cell>
          <cell r="B150">
            <v>149</v>
          </cell>
          <cell r="C150" t="str">
            <v>~Alcuronium Inj 5Mg/ml 2Ml</v>
          </cell>
        </row>
        <row r="151">
          <cell r="A151">
            <v>180075489</v>
          </cell>
          <cell r="B151">
            <v>150</v>
          </cell>
          <cell r="C151" t="str">
            <v>Alfentanil Inj 0.5Mg/ml 2Ml</v>
          </cell>
        </row>
        <row r="152">
          <cell r="A152">
            <v>181896196</v>
          </cell>
          <cell r="B152">
            <v>151</v>
          </cell>
          <cell r="C152" t="str">
            <v>Efavirenz 600Mg Caps (30'S)</v>
          </cell>
        </row>
        <row r="153">
          <cell r="A153">
            <v>189700102</v>
          </cell>
          <cell r="B153">
            <v>152</v>
          </cell>
          <cell r="C153" t="str">
            <v>Aminophyllin Inj For I.V.Use  25Mg/ml 10Ml</v>
          </cell>
        </row>
        <row r="154">
          <cell r="A154">
            <v>189700101</v>
          </cell>
          <cell r="B154">
            <v>153</v>
          </cell>
          <cell r="C154" t="str">
            <v>`Aminophyllin Inj For I.M.Use 250Mg/ml 2Ml</v>
          </cell>
        </row>
        <row r="155">
          <cell r="A155">
            <v>180258264</v>
          </cell>
          <cell r="B155">
            <v>154</v>
          </cell>
          <cell r="C155" t="str">
            <v>Tpn 3013Xa</v>
          </cell>
        </row>
        <row r="156">
          <cell r="A156">
            <v>189700008</v>
          </cell>
          <cell r="B156">
            <v>155</v>
          </cell>
          <cell r="C156" t="str">
            <v>Ascorbic Acid Inj For I.V.Use 100Mg/ml 5Ml</v>
          </cell>
        </row>
        <row r="157">
          <cell r="A157">
            <v>189707023</v>
          </cell>
          <cell r="B157">
            <v>156</v>
          </cell>
          <cell r="C157" t="str">
            <v>Atropine Inj 0.5Mg/ml 1Ml</v>
          </cell>
        </row>
        <row r="158">
          <cell r="A158">
            <v>189707024</v>
          </cell>
          <cell r="B158">
            <v>158</v>
          </cell>
          <cell r="C158" t="str">
            <v>Atropine Inj 1Mg/ml  1Ml</v>
          </cell>
        </row>
        <row r="159">
          <cell r="A159" t="str">
            <v>MOTIVATION</v>
          </cell>
          <cell r="B159">
            <v>159</v>
          </cell>
          <cell r="C159" t="str">
            <v>~Cladribine 1Mg/ml Injection</v>
          </cell>
        </row>
        <row r="160">
          <cell r="A160" t="str">
            <v>MOTIVATION</v>
          </cell>
          <cell r="B160">
            <v>160</v>
          </cell>
          <cell r="C160" t="str">
            <v>Dactinomycin 0.51Mg Vial</v>
          </cell>
        </row>
        <row r="161">
          <cell r="A161">
            <v>181803365</v>
          </cell>
          <cell r="B161">
            <v>161</v>
          </cell>
          <cell r="C161" t="str">
            <v>Risperidone Inj 25Mg</v>
          </cell>
        </row>
        <row r="162">
          <cell r="A162">
            <v>180075548</v>
          </cell>
          <cell r="B162">
            <v>162</v>
          </cell>
          <cell r="C162" t="str">
            <v>Biperidin Inj 5Mg/ml</v>
          </cell>
        </row>
        <row r="163">
          <cell r="A163">
            <v>180075555</v>
          </cell>
          <cell r="B163">
            <v>163</v>
          </cell>
          <cell r="C163" t="str">
            <v>~Bupivacaine Inj With Adrenaline 5Mg;5mcg/ml 20Ml</v>
          </cell>
        </row>
        <row r="164">
          <cell r="A164">
            <v>180075551</v>
          </cell>
          <cell r="B164">
            <v>164</v>
          </cell>
          <cell r="C164" t="str">
            <v>Bupivacaine Inj 5Mg/ml 10Ml</v>
          </cell>
        </row>
        <row r="165">
          <cell r="A165">
            <v>180075553</v>
          </cell>
          <cell r="B165">
            <v>165</v>
          </cell>
          <cell r="C165" t="str">
            <v>Bupivacaine Inj Spinal 5Mg/ml 4Ml</v>
          </cell>
        </row>
        <row r="166">
          <cell r="A166">
            <v>180075556</v>
          </cell>
          <cell r="B166">
            <v>166</v>
          </cell>
          <cell r="C166" t="str">
            <v>Bupivacaine Inj Spinal (Dextrose) 4Ml</v>
          </cell>
        </row>
        <row r="167">
          <cell r="A167">
            <v>180075565</v>
          </cell>
          <cell r="B167">
            <v>167</v>
          </cell>
          <cell r="C167" t="str">
            <v>Calcium Gluconate Inj 10% 10Ml</v>
          </cell>
        </row>
        <row r="168">
          <cell r="A168">
            <v>180076442</v>
          </cell>
          <cell r="B168">
            <v>168</v>
          </cell>
          <cell r="C168" t="str">
            <v>Octreotide 0.05Mg Injection</v>
          </cell>
        </row>
        <row r="169">
          <cell r="A169">
            <v>180075625</v>
          </cell>
          <cell r="B169">
            <v>169</v>
          </cell>
          <cell r="C169" t="str">
            <v>Chlorpromazine Inj 25Mg/ml 1Ml</v>
          </cell>
        </row>
        <row r="170">
          <cell r="A170">
            <v>180075629</v>
          </cell>
          <cell r="B170">
            <v>170</v>
          </cell>
          <cell r="C170" t="str">
            <v>~Chlorpromazine Inj 25Mg/ml 2Ml</v>
          </cell>
        </row>
        <row r="171">
          <cell r="A171">
            <v>180075649</v>
          </cell>
          <cell r="B171">
            <v>171</v>
          </cell>
          <cell r="C171" t="str">
            <v>~Cimetidine Inj 100Mg/ml 2Ml</v>
          </cell>
        </row>
        <row r="172">
          <cell r="A172">
            <v>180075726</v>
          </cell>
          <cell r="B172">
            <v>172</v>
          </cell>
          <cell r="C172" t="str">
            <v>Clonazepam Inj 1Mg/ml 1Ml</v>
          </cell>
        </row>
        <row r="173">
          <cell r="A173">
            <v>180075729</v>
          </cell>
          <cell r="B173">
            <v>173</v>
          </cell>
          <cell r="C173" t="str">
            <v>Clothiapine Inj 10Mg/ml  4Ml</v>
          </cell>
        </row>
        <row r="174">
          <cell r="A174">
            <v>189715773</v>
          </cell>
          <cell r="B174">
            <v>174</v>
          </cell>
          <cell r="C174" t="str">
            <v>Cyanocobalamin Inj Vit B12 1000Mcg/ml 1Ml</v>
          </cell>
        </row>
        <row r="175">
          <cell r="A175">
            <v>180251455</v>
          </cell>
          <cell r="B175">
            <v>175</v>
          </cell>
          <cell r="C175" t="str">
            <v>Erythropoietin 10 000Iu Inj</v>
          </cell>
        </row>
        <row r="176">
          <cell r="A176">
            <v>180075759</v>
          </cell>
          <cell r="B176">
            <v>176</v>
          </cell>
          <cell r="C176" t="str">
            <v>Dexamethasone Inj 4Mg/ml 1Ml</v>
          </cell>
        </row>
        <row r="177">
          <cell r="A177">
            <v>180352804</v>
          </cell>
          <cell r="B177">
            <v>177</v>
          </cell>
          <cell r="C177" t="str">
            <v>Dextrose In Water Inj 50% 50Ml</v>
          </cell>
        </row>
        <row r="178">
          <cell r="A178">
            <v>180075798</v>
          </cell>
          <cell r="B178">
            <v>178</v>
          </cell>
          <cell r="C178" t="str">
            <v>Diazepam Inj 5Mg/ml 2Ml</v>
          </cell>
        </row>
        <row r="179">
          <cell r="A179">
            <v>180075799</v>
          </cell>
          <cell r="B179">
            <v>179</v>
          </cell>
          <cell r="C179" t="str">
            <v>Diclofenac Inj 25Mg/ml 3Ml</v>
          </cell>
        </row>
        <row r="180">
          <cell r="A180">
            <v>180075803</v>
          </cell>
          <cell r="B180">
            <v>180</v>
          </cell>
          <cell r="C180" t="str">
            <v>Digoxin Inj 0.25Mg/ml 2Ml</v>
          </cell>
        </row>
        <row r="181">
          <cell r="A181" t="str">
            <v>QUOTE</v>
          </cell>
          <cell r="B181">
            <v>181</v>
          </cell>
          <cell r="C181" t="str">
            <v>Mycobutin 150Mg Caps 30'</v>
          </cell>
        </row>
        <row r="182">
          <cell r="A182">
            <v>181858236</v>
          </cell>
          <cell r="B182">
            <v>182</v>
          </cell>
          <cell r="C182" t="str">
            <v>~5-Fluorouracil 50Mg/ml Inj 100Ml</v>
          </cell>
        </row>
        <row r="183">
          <cell r="A183">
            <v>180075879</v>
          </cell>
          <cell r="B183">
            <v>183</v>
          </cell>
          <cell r="C183" t="str">
            <v>Dopamine Inj 40Mg/ml 5Ml</v>
          </cell>
        </row>
        <row r="184">
          <cell r="A184">
            <v>189705126</v>
          </cell>
          <cell r="B184">
            <v>184</v>
          </cell>
          <cell r="C184" t="str">
            <v>~Droperidol Inj 2.5Mg/ml 2Ml</v>
          </cell>
        </row>
        <row r="185">
          <cell r="A185">
            <v>189713748</v>
          </cell>
          <cell r="B185">
            <v>185</v>
          </cell>
          <cell r="C185" t="str">
            <v>Ephedrine Inj 50Mg/ml 1Ml</v>
          </cell>
        </row>
        <row r="186">
          <cell r="A186">
            <v>180075885</v>
          </cell>
          <cell r="B186">
            <v>186</v>
          </cell>
          <cell r="C186" t="str">
            <v>Ergometrine Inj 0.5Mg/ml 1Ml</v>
          </cell>
        </row>
        <row r="187">
          <cell r="A187" t="str">
            <v>QUOTE</v>
          </cell>
          <cell r="B187">
            <v>187</v>
          </cell>
          <cell r="C187" t="str">
            <v>Epinephrine 1Mg/ml Injection</v>
          </cell>
        </row>
        <row r="188">
          <cell r="A188">
            <v>180075956</v>
          </cell>
          <cell r="B188">
            <v>188</v>
          </cell>
          <cell r="C188" t="str">
            <v>Etomidate Inj 2Mg/ml 10Ml</v>
          </cell>
        </row>
        <row r="189">
          <cell r="A189">
            <v>180075959</v>
          </cell>
          <cell r="B189">
            <v>189</v>
          </cell>
          <cell r="C189" t="str">
            <v>Fentanyl Citrate Inj 0.05Mg/ml 2Ml</v>
          </cell>
        </row>
        <row r="190">
          <cell r="A190">
            <v>180017761</v>
          </cell>
          <cell r="B190">
            <v>190</v>
          </cell>
          <cell r="C190" t="str">
            <v>Flupenthixol Decanoate Inj 20Mg/ml 1Ml</v>
          </cell>
        </row>
        <row r="191">
          <cell r="A191">
            <v>180017769</v>
          </cell>
          <cell r="B191">
            <v>191</v>
          </cell>
          <cell r="C191" t="str">
            <v>~Flupenthixol Decanoate Inj 20Mg/ml 2Ml</v>
          </cell>
        </row>
        <row r="192">
          <cell r="A192">
            <v>189704449</v>
          </cell>
          <cell r="B192">
            <v>192</v>
          </cell>
          <cell r="C192" t="str">
            <v>Fluphenazine Decanoate Inj 25Mg/ml 10Ml</v>
          </cell>
        </row>
        <row r="193">
          <cell r="A193">
            <v>180075982</v>
          </cell>
          <cell r="B193">
            <v>193</v>
          </cell>
          <cell r="C193" t="str">
            <v>Furosemide Inj 10Mg/ml  2Ml</v>
          </cell>
        </row>
        <row r="194">
          <cell r="A194">
            <v>180075988</v>
          </cell>
          <cell r="B194">
            <v>194</v>
          </cell>
          <cell r="C194" t="str">
            <v>Furosemide Inj 10Mg/ml 25Ml</v>
          </cell>
        </row>
        <row r="195">
          <cell r="A195">
            <v>180076000</v>
          </cell>
          <cell r="B195">
            <v>195</v>
          </cell>
          <cell r="C195" t="str">
            <v>Haloperidol Inj  5Mg/ml 1Ml</v>
          </cell>
        </row>
        <row r="196">
          <cell r="A196">
            <v>189710951</v>
          </cell>
          <cell r="B196">
            <v>196</v>
          </cell>
          <cell r="C196" t="str">
            <v>Heparin Inj  5000Iu/ml 5Ml</v>
          </cell>
        </row>
        <row r="197">
          <cell r="A197">
            <v>180076011</v>
          </cell>
          <cell r="B197">
            <v>197</v>
          </cell>
          <cell r="C197" t="str">
            <v>~Heparin Inj 5000Iu/ml 1Ml</v>
          </cell>
        </row>
        <row r="198">
          <cell r="A198">
            <v>180076017</v>
          </cell>
          <cell r="B198">
            <v>198</v>
          </cell>
          <cell r="C198" t="str">
            <v>~Hexoprenaline Inj 2.5Mcg/ml  2Ml</v>
          </cell>
        </row>
        <row r="199">
          <cell r="A199">
            <v>180076019</v>
          </cell>
          <cell r="B199">
            <v>199</v>
          </cell>
          <cell r="C199" t="str">
            <v>~Hexoprenaline Inj 2.5Mcg/ml 10Ml</v>
          </cell>
        </row>
        <row r="200">
          <cell r="A200">
            <v>180018040</v>
          </cell>
          <cell r="B200">
            <v>200</v>
          </cell>
          <cell r="C200" t="str">
            <v>Hydrocortisone Inj 100Mg/2ml</v>
          </cell>
        </row>
        <row r="201">
          <cell r="A201">
            <v>181799280</v>
          </cell>
          <cell r="B201">
            <v>201</v>
          </cell>
          <cell r="C201" t="str">
            <v>~Esomeprazole 40Mg Inj</v>
          </cell>
        </row>
        <row r="202">
          <cell r="A202">
            <v>180089469</v>
          </cell>
          <cell r="B202">
            <v>202</v>
          </cell>
          <cell r="C202" t="str">
            <v>~Hydroxyzine Inj 50Mg/ml 2Ml</v>
          </cell>
        </row>
        <row r="203">
          <cell r="A203" t="str">
            <v>MOT</v>
          </cell>
          <cell r="B203">
            <v>203</v>
          </cell>
          <cell r="C203" t="str">
            <v>~Imiglucerase 400U Vial</v>
          </cell>
        </row>
        <row r="204">
          <cell r="A204">
            <v>180076081</v>
          </cell>
          <cell r="B204">
            <v>204</v>
          </cell>
          <cell r="C204" t="str">
            <v>Hyoscine-N-Butylbrom Inj 20Mg/ml 1Ml</v>
          </cell>
        </row>
        <row r="205">
          <cell r="A205" t="str">
            <v>DELETED</v>
          </cell>
          <cell r="B205">
            <v>205</v>
          </cell>
          <cell r="C205" t="str">
            <v>~Insulin Inj Device 1,5Ml Penfill</v>
          </cell>
        </row>
        <row r="206">
          <cell r="A206">
            <v>181917195</v>
          </cell>
          <cell r="B206">
            <v>206</v>
          </cell>
          <cell r="C206" t="str">
            <v>Device: Re-Usable Pen For 3Ml Insulin Cartridge</v>
          </cell>
        </row>
        <row r="207">
          <cell r="A207">
            <v>189710587</v>
          </cell>
          <cell r="B207">
            <v>207</v>
          </cell>
          <cell r="C207" t="str">
            <v>Insulin Humulin N 10Ml</v>
          </cell>
        </row>
        <row r="208">
          <cell r="A208">
            <v>191915214</v>
          </cell>
          <cell r="B208">
            <v>208</v>
          </cell>
          <cell r="C208" t="str">
            <v>Needle Insulin Penset 31G X 8Mm</v>
          </cell>
        </row>
        <row r="209">
          <cell r="A209">
            <v>189710585</v>
          </cell>
          <cell r="B209">
            <v>209</v>
          </cell>
          <cell r="C209" t="str">
            <v>Insulin Humulin R 10Ml</v>
          </cell>
        </row>
        <row r="210">
          <cell r="A210">
            <v>189711634</v>
          </cell>
          <cell r="B210">
            <v>210</v>
          </cell>
          <cell r="C210" t="str">
            <v>Insulin Humulin 30/70 10Ml</v>
          </cell>
        </row>
        <row r="211">
          <cell r="A211" t="str">
            <v>DELETED</v>
          </cell>
          <cell r="B211">
            <v>211</v>
          </cell>
          <cell r="C211" t="str">
            <v>~Insulin Actraphane Hm  1,5Ml Penfill</v>
          </cell>
        </row>
        <row r="212">
          <cell r="A212">
            <v>189711669</v>
          </cell>
          <cell r="B212">
            <v>212</v>
          </cell>
          <cell r="C212" t="str">
            <v>~Insulin Monotard Hm 10Ml</v>
          </cell>
        </row>
        <row r="213">
          <cell r="A213">
            <v>180076304</v>
          </cell>
          <cell r="B213">
            <v>213</v>
          </cell>
          <cell r="C213" t="str">
            <v>~Isoproterenol 0,2Mg 1Ml Inj</v>
          </cell>
        </row>
        <row r="214">
          <cell r="A214">
            <v>189710933</v>
          </cell>
          <cell r="B214">
            <v>214</v>
          </cell>
          <cell r="C214" t="str">
            <v>Ketamine Inj  10Mg/ml 20Ml</v>
          </cell>
        </row>
        <row r="215">
          <cell r="A215">
            <v>189710574</v>
          </cell>
          <cell r="B215">
            <v>215</v>
          </cell>
          <cell r="C215" t="str">
            <v>~Ketamine Inj  50Mg/ml 10Ml</v>
          </cell>
        </row>
        <row r="216">
          <cell r="A216">
            <v>189706747</v>
          </cell>
          <cell r="B216">
            <v>216</v>
          </cell>
          <cell r="C216" t="str">
            <v>Ketamine Inj 100Mg/ml 10Ml</v>
          </cell>
        </row>
        <row r="217">
          <cell r="A217">
            <v>180076312</v>
          </cell>
          <cell r="B217">
            <v>217</v>
          </cell>
          <cell r="C217" t="str">
            <v>Lignocaine Inj Adrenalin 2% 1,8Ml</v>
          </cell>
        </row>
        <row r="218">
          <cell r="A218">
            <v>180076306</v>
          </cell>
          <cell r="B218">
            <v>218</v>
          </cell>
          <cell r="C218" t="str">
            <v>Lignocaine Inj  1% 20Ml</v>
          </cell>
        </row>
        <row r="219">
          <cell r="A219">
            <v>180076343</v>
          </cell>
          <cell r="B219">
            <v>219</v>
          </cell>
          <cell r="C219" t="str">
            <v>Lignocaine Inj  2%  1.8Ml</v>
          </cell>
        </row>
        <row r="220">
          <cell r="A220">
            <v>189703157</v>
          </cell>
          <cell r="B220">
            <v>220</v>
          </cell>
          <cell r="C220" t="str">
            <v>Lignocaine Inj  2% 20Ml</v>
          </cell>
        </row>
        <row r="221">
          <cell r="A221">
            <v>180076308</v>
          </cell>
          <cell r="B221">
            <v>221</v>
          </cell>
          <cell r="C221" t="str">
            <v>Lignocaine Inj  2%  5Ml I.V.</v>
          </cell>
        </row>
        <row r="222">
          <cell r="A222">
            <v>180076349</v>
          </cell>
          <cell r="B222">
            <v>222</v>
          </cell>
          <cell r="C222" t="str">
            <v>~Lignocaine Inj  5% + Dextrose 7.5%  2Ml</v>
          </cell>
        </row>
        <row r="223">
          <cell r="A223">
            <v>180076360</v>
          </cell>
          <cell r="B223">
            <v>223</v>
          </cell>
          <cell r="C223" t="str">
            <v>Lignocaine Inj 10% 5Ml I.V.</v>
          </cell>
        </row>
        <row r="224">
          <cell r="A224">
            <v>180146448</v>
          </cell>
          <cell r="B224">
            <v>224</v>
          </cell>
          <cell r="C224" t="str">
            <v>Mebendazole 500Mg Tabs (1'S)</v>
          </cell>
        </row>
        <row r="225">
          <cell r="A225">
            <v>189710942</v>
          </cell>
          <cell r="B225">
            <v>225</v>
          </cell>
          <cell r="C225" t="str">
            <v>Magnesium Sulphate Inj 50% 2Ml</v>
          </cell>
        </row>
        <row r="226">
          <cell r="A226">
            <v>189705645</v>
          </cell>
          <cell r="B226">
            <v>226</v>
          </cell>
          <cell r="C226" t="str">
            <v>~Mepivacaine Inj 3% Dental</v>
          </cell>
        </row>
        <row r="227">
          <cell r="A227" t="str">
            <v>QUOTE</v>
          </cell>
          <cell r="B227">
            <v>227</v>
          </cell>
          <cell r="C227" t="str">
            <v>Asparaginase Inj 10 000Iu</v>
          </cell>
        </row>
        <row r="228">
          <cell r="A228" t="str">
            <v>QUOTE</v>
          </cell>
          <cell r="B228">
            <v>228</v>
          </cell>
          <cell r="C228" t="str">
            <v>Methylene Blue Inj 1%  10Ml</v>
          </cell>
        </row>
        <row r="229">
          <cell r="A229">
            <v>189715290</v>
          </cell>
          <cell r="B229">
            <v>229</v>
          </cell>
          <cell r="C229" t="str">
            <v>Methylprednisolone Acetate Inj 40Mg</v>
          </cell>
        </row>
        <row r="230">
          <cell r="A230">
            <v>180076396</v>
          </cell>
          <cell r="B230">
            <v>230</v>
          </cell>
          <cell r="C230" t="str">
            <v>Metoclopramide Inj 5Mg/ml 2Ml</v>
          </cell>
        </row>
        <row r="231">
          <cell r="A231">
            <v>189707172</v>
          </cell>
          <cell r="B231">
            <v>231</v>
          </cell>
          <cell r="C231" t="str">
            <v>Metronidazole Inj 500Mg/100ml I.V.</v>
          </cell>
        </row>
        <row r="232">
          <cell r="A232">
            <v>180076404</v>
          </cell>
          <cell r="B232">
            <v>232</v>
          </cell>
          <cell r="C232" t="str">
            <v>Midazolam Inj 5Mg/ml 3Ml</v>
          </cell>
        </row>
        <row r="233">
          <cell r="A233">
            <v>180247792</v>
          </cell>
          <cell r="B233">
            <v>233</v>
          </cell>
          <cell r="C233" t="str">
            <v>~Ketorolac Tromethamine 30Mg/ml Inj</v>
          </cell>
        </row>
        <row r="234">
          <cell r="A234">
            <v>189700425</v>
          </cell>
          <cell r="B234">
            <v>234</v>
          </cell>
          <cell r="C234" t="str">
            <v>Morphine Sulphate Inj 15Mg 1Ml</v>
          </cell>
        </row>
        <row r="235">
          <cell r="A235">
            <v>189708068</v>
          </cell>
          <cell r="B235">
            <v>235</v>
          </cell>
          <cell r="C235" t="str">
            <v>~Naloxone Inj 0.02Mg/ml 2Ml</v>
          </cell>
        </row>
        <row r="236">
          <cell r="A236">
            <v>189705061</v>
          </cell>
          <cell r="B236">
            <v>236</v>
          </cell>
          <cell r="C236" t="str">
            <v>Naloxone Inj 0.4Mg/ml 1Ml</v>
          </cell>
        </row>
        <row r="237">
          <cell r="A237">
            <v>180076423</v>
          </cell>
          <cell r="B237">
            <v>237</v>
          </cell>
          <cell r="C237" t="str">
            <v>Neostigmine Meth Inj 0,5Mg/ml 1Ml</v>
          </cell>
        </row>
        <row r="238">
          <cell r="A238">
            <v>180089506</v>
          </cell>
          <cell r="B238">
            <v>238</v>
          </cell>
          <cell r="C238" t="str">
            <v>Neostigmine Meth Inj 2,5Mg/ml 1Ml</v>
          </cell>
        </row>
        <row r="239">
          <cell r="A239" t="str">
            <v>QUOTE</v>
          </cell>
          <cell r="B239">
            <v>239</v>
          </cell>
          <cell r="C239" t="str">
            <v>Tube Sengstagen Blakemore Ch18</v>
          </cell>
        </row>
        <row r="240">
          <cell r="A240">
            <v>180076434</v>
          </cell>
          <cell r="B240">
            <v>240</v>
          </cell>
          <cell r="C240" t="str">
            <v>Obidoxime Inj For I.V. 250Mg/ml 1Ml</v>
          </cell>
        </row>
        <row r="241">
          <cell r="A241">
            <v>189710759</v>
          </cell>
          <cell r="B241">
            <v>241</v>
          </cell>
          <cell r="C241" t="str">
            <v>Conj. Oestrogens Inj 25Mg + Dil 5Ml</v>
          </cell>
        </row>
        <row r="242">
          <cell r="A242">
            <v>189706842</v>
          </cell>
          <cell r="B242">
            <v>242</v>
          </cell>
          <cell r="C242" t="str">
            <v>Ornipressin Inj 5Iu 1Ml</v>
          </cell>
        </row>
        <row r="243">
          <cell r="A243" t="str">
            <v>*</v>
          </cell>
          <cell r="B243">
            <v>243</v>
          </cell>
          <cell r="C243" t="str">
            <v>Syntometrine (Ergometrine + Oxytocin)</v>
          </cell>
        </row>
        <row r="244">
          <cell r="A244" t="str">
            <v>DELETED</v>
          </cell>
          <cell r="B244">
            <v>244</v>
          </cell>
          <cell r="C244" t="str">
            <v>~Oxytocin Inj  2Iu 2Ml</v>
          </cell>
        </row>
        <row r="245">
          <cell r="A245">
            <v>180076470</v>
          </cell>
          <cell r="B245">
            <v>245</v>
          </cell>
          <cell r="C245" t="str">
            <v>Oxytocin Inj  5Iu 1Ml</v>
          </cell>
        </row>
        <row r="246">
          <cell r="A246">
            <v>180076472</v>
          </cell>
          <cell r="B246">
            <v>246</v>
          </cell>
          <cell r="C246" t="str">
            <v>Oxytocin Inj 10Iu 1Ml</v>
          </cell>
        </row>
        <row r="247">
          <cell r="A247">
            <v>180054705</v>
          </cell>
          <cell r="B247">
            <v>247</v>
          </cell>
          <cell r="C247" t="str">
            <v>Perindopril Tabs 4Mg (28'S)</v>
          </cell>
        </row>
        <row r="248">
          <cell r="A248">
            <v>189703124</v>
          </cell>
          <cell r="B248">
            <v>248</v>
          </cell>
          <cell r="C248" t="str">
            <v>Pethidine Inj  25Mg/ml 1Ml</v>
          </cell>
        </row>
        <row r="249">
          <cell r="A249">
            <v>180076519</v>
          </cell>
          <cell r="B249">
            <v>249</v>
          </cell>
          <cell r="C249" t="str">
            <v>Pethidine Inj  50Mg/ml 1Ml</v>
          </cell>
        </row>
        <row r="250">
          <cell r="A250">
            <v>180076540</v>
          </cell>
          <cell r="B250">
            <v>250</v>
          </cell>
          <cell r="C250" t="str">
            <v>Pethidine Inj 100Mg/2ml</v>
          </cell>
        </row>
        <row r="251">
          <cell r="A251">
            <v>189700073</v>
          </cell>
          <cell r="B251">
            <v>251</v>
          </cell>
          <cell r="C251" t="str">
            <v>Phenobarbitone Inj 200Mg/ml 1Ml</v>
          </cell>
        </row>
        <row r="252">
          <cell r="A252">
            <v>189708084</v>
          </cell>
          <cell r="B252">
            <v>252</v>
          </cell>
          <cell r="C252" t="str">
            <v>Phenytoin Inj 50Mg/ml 5Ml</v>
          </cell>
        </row>
        <row r="253">
          <cell r="A253">
            <v>180953330</v>
          </cell>
          <cell r="B253">
            <v>253</v>
          </cell>
          <cell r="C253" t="str">
            <v>Phytomenadione Inj  2Mg/0.2Ml</v>
          </cell>
        </row>
        <row r="254">
          <cell r="A254">
            <v>180146851</v>
          </cell>
          <cell r="B254">
            <v>254</v>
          </cell>
          <cell r="C254" t="str">
            <v>Phytomenadione Inj 10Mg/ml</v>
          </cell>
        </row>
        <row r="255">
          <cell r="A255">
            <v>189710612</v>
          </cell>
          <cell r="B255">
            <v>255</v>
          </cell>
          <cell r="C255" t="str">
            <v>Potassium Chloride Inj 15% 10Ml</v>
          </cell>
        </row>
        <row r="256">
          <cell r="A256">
            <v>180076576</v>
          </cell>
          <cell r="B256">
            <v>256</v>
          </cell>
          <cell r="C256" t="str">
            <v>~Prochlorperazine Inj 12.5Mg/ml 1Ml</v>
          </cell>
        </row>
        <row r="257">
          <cell r="A257">
            <v>180076589</v>
          </cell>
          <cell r="B257">
            <v>257</v>
          </cell>
          <cell r="C257" t="str">
            <v>~Promazine Inj 50Mg/ml 10X1ml</v>
          </cell>
        </row>
        <row r="258">
          <cell r="A258">
            <v>189703419</v>
          </cell>
          <cell r="B258">
            <v>258</v>
          </cell>
          <cell r="C258" t="str">
            <v>~Promethazine Inj 25Mg/ml 1Ml</v>
          </cell>
        </row>
        <row r="259">
          <cell r="A259">
            <v>189703420</v>
          </cell>
          <cell r="B259">
            <v>259</v>
          </cell>
          <cell r="C259" t="str">
            <v>Promethazine Inj 25Mg/ml 2Ml</v>
          </cell>
        </row>
        <row r="260">
          <cell r="A260">
            <v>180076591</v>
          </cell>
          <cell r="B260">
            <v>260</v>
          </cell>
          <cell r="C260" t="str">
            <v>Propranolol Inj 1Mg/ml 1Ml</v>
          </cell>
        </row>
        <row r="261">
          <cell r="A261">
            <v>180076593</v>
          </cell>
          <cell r="B261">
            <v>261</v>
          </cell>
          <cell r="C261" t="str">
            <v>Protamine Sulphate Inj 10Mg/ml 5Ml</v>
          </cell>
        </row>
        <row r="262">
          <cell r="A262">
            <v>189706315</v>
          </cell>
          <cell r="B262">
            <v>262</v>
          </cell>
          <cell r="C262" t="str">
            <v>Quinine Inj 300Mg/ml 1Ml</v>
          </cell>
        </row>
        <row r="263">
          <cell r="A263">
            <v>180189601</v>
          </cell>
          <cell r="B263">
            <v>263</v>
          </cell>
          <cell r="C263" t="str">
            <v>Alterplase Inj 50Mg</v>
          </cell>
        </row>
        <row r="264">
          <cell r="A264" t="str">
            <v>QUOTE</v>
          </cell>
          <cell r="B264">
            <v>264</v>
          </cell>
          <cell r="C264" t="str">
            <v>~Sodium Tetradeycl Sulphate Inj 30Mg/ml 5Ml</v>
          </cell>
        </row>
        <row r="265">
          <cell r="A265">
            <v>180358064</v>
          </cell>
          <cell r="B265">
            <v>265</v>
          </cell>
          <cell r="C265" t="str">
            <v>Sodium Bicarb Inj 4% 50Ml</v>
          </cell>
        </row>
        <row r="266">
          <cell r="A266">
            <v>180358068</v>
          </cell>
          <cell r="B266">
            <v>266</v>
          </cell>
          <cell r="C266" t="str">
            <v>Sodium Bicarb Inj 8.5% 50Ml</v>
          </cell>
        </row>
        <row r="267">
          <cell r="A267">
            <v>181905533</v>
          </cell>
          <cell r="B267">
            <v>267</v>
          </cell>
          <cell r="C267" t="str">
            <v>Azithromycin 250Mg Tablet (3'S)</v>
          </cell>
        </row>
        <row r="268">
          <cell r="A268">
            <v>189710871</v>
          </cell>
          <cell r="B268">
            <v>268</v>
          </cell>
          <cell r="C268" t="str">
            <v>Water For Inj   10Ml (Plastic)</v>
          </cell>
        </row>
        <row r="269">
          <cell r="A269">
            <v>180076785</v>
          </cell>
          <cell r="B269">
            <v>269</v>
          </cell>
          <cell r="C269" t="str">
            <v>Suxamethonium Inj 50Mg/ml 2Ml</v>
          </cell>
        </row>
        <row r="270">
          <cell r="A270">
            <v>189705469</v>
          </cell>
          <cell r="B270">
            <v>270</v>
          </cell>
          <cell r="C270" t="str">
            <v>Testosterone Cypionate Inj 100Mg  10Ml</v>
          </cell>
        </row>
        <row r="271">
          <cell r="A271" t="str">
            <v>DONATION</v>
          </cell>
          <cell r="B271">
            <v>271</v>
          </cell>
          <cell r="C271" t="str">
            <v>Mebendazole 500Mg Tabs (150'S) Donation</v>
          </cell>
        </row>
        <row r="272">
          <cell r="A272">
            <v>189711002</v>
          </cell>
          <cell r="B272">
            <v>272</v>
          </cell>
          <cell r="C272" t="str">
            <v>Thiopentone Sodium Inj 0.5G</v>
          </cell>
        </row>
        <row r="273">
          <cell r="A273">
            <v>189753628</v>
          </cell>
          <cell r="B273">
            <v>273</v>
          </cell>
          <cell r="C273" t="str">
            <v>Total Phospholipids 200Mg 8Ml</v>
          </cell>
        </row>
        <row r="274">
          <cell r="A274">
            <v>180076981</v>
          </cell>
          <cell r="B274">
            <v>274</v>
          </cell>
          <cell r="C274" t="str">
            <v>Tranexamic Acid Inj 100Mg/ml 5Ml</v>
          </cell>
        </row>
        <row r="275">
          <cell r="A275" t="str">
            <v>QUOTE</v>
          </cell>
          <cell r="B275">
            <v>275</v>
          </cell>
          <cell r="C275" t="str">
            <v>Riboflavin 25Mg Tabs</v>
          </cell>
        </row>
        <row r="276">
          <cell r="A276">
            <v>180057631</v>
          </cell>
          <cell r="B276">
            <v>276</v>
          </cell>
          <cell r="C276" t="str">
            <v>Zuclopenthixol Decanoate Oily Inj 200Mg/ml 1Ml</v>
          </cell>
        </row>
        <row r="277">
          <cell r="A277">
            <v>180327653</v>
          </cell>
          <cell r="B277">
            <v>277</v>
          </cell>
          <cell r="C277" t="str">
            <v>Vaccine B C G  20 Dose Vial + Diluent</v>
          </cell>
        </row>
        <row r="278">
          <cell r="A278">
            <v>180181282</v>
          </cell>
          <cell r="B278">
            <v>278</v>
          </cell>
          <cell r="C278" t="str">
            <v>Albumin Solution 20% 50Ml</v>
          </cell>
        </row>
        <row r="279">
          <cell r="A279">
            <v>189707389</v>
          </cell>
          <cell r="B279">
            <v>279</v>
          </cell>
          <cell r="C279" t="str">
            <v>Oxymetazoline 0.05% Nasal Spray 15Ml</v>
          </cell>
        </row>
        <row r="280">
          <cell r="A280">
            <v>189706269</v>
          </cell>
          <cell r="B280">
            <v>280</v>
          </cell>
          <cell r="C280" t="str">
            <v>~Vaccine Measles Live Atten 10 Dose + Diluent</v>
          </cell>
        </row>
        <row r="281">
          <cell r="A281">
            <v>180323312</v>
          </cell>
          <cell r="B281">
            <v>281</v>
          </cell>
          <cell r="C281" t="str">
            <v>Vaccine Hepatitis B Paed 10 Dose Vial(multidose)</v>
          </cell>
        </row>
        <row r="282">
          <cell r="A282">
            <v>180027866</v>
          </cell>
          <cell r="B282">
            <v>282</v>
          </cell>
          <cell r="C282" t="str">
            <v>~Vaccine Oral Polio Trivalent 10 Dose</v>
          </cell>
        </row>
        <row r="283">
          <cell r="A283" t="str">
            <v>QUOTE SAVP</v>
          </cell>
          <cell r="B283">
            <v>283</v>
          </cell>
          <cell r="C283" t="str">
            <v>Snake Bite Antisera (046)</v>
          </cell>
        </row>
        <row r="284">
          <cell r="A284">
            <v>180027863</v>
          </cell>
          <cell r="B284">
            <v>284</v>
          </cell>
          <cell r="C284" t="str">
            <v>Vaccine Tetanus Adsorbed 10 Dose</v>
          </cell>
        </row>
        <row r="285">
          <cell r="A285">
            <v>189712403</v>
          </cell>
          <cell r="B285">
            <v>285</v>
          </cell>
          <cell r="C285" t="str">
            <v>~Test Tuberculin P P D Liquid (Purified)1</v>
          </cell>
        </row>
        <row r="286">
          <cell r="A286" t="str">
            <v>QUOTE</v>
          </cell>
          <cell r="B286">
            <v>286</v>
          </cell>
          <cell r="C286" t="str">
            <v>Biopsy Sampler Endocell</v>
          </cell>
        </row>
        <row r="287">
          <cell r="A287">
            <v>189751932</v>
          </cell>
          <cell r="B287">
            <v>287</v>
          </cell>
          <cell r="C287" t="str">
            <v>Immunoglobulin Human Normal Single Dose Amp 5Ml (10320</v>
          </cell>
        </row>
        <row r="288">
          <cell r="A288">
            <v>189706843</v>
          </cell>
          <cell r="B288">
            <v>288</v>
          </cell>
          <cell r="C288" t="str">
            <v>Immunoglobulin Human Anti-Rabies 150Iu/ml - 2Ml (10346</v>
          </cell>
        </row>
        <row r="289">
          <cell r="A289">
            <v>189707156</v>
          </cell>
          <cell r="B289">
            <v>289</v>
          </cell>
          <cell r="C289" t="str">
            <v>Vaccine Rabies 2.5Iu/dose Vial &amp; Dil.</v>
          </cell>
        </row>
        <row r="290">
          <cell r="A290">
            <v>189750580</v>
          </cell>
          <cell r="B290">
            <v>290</v>
          </cell>
          <cell r="C290" t="str">
            <v>Immunoglobulin Anti-Tetanus 250Iu 1Ml</v>
          </cell>
        </row>
        <row r="291">
          <cell r="A291">
            <v>189714841</v>
          </cell>
          <cell r="B291">
            <v>291</v>
          </cell>
          <cell r="C291" t="str">
            <v>~Acetone B.P 500Ml Glass Bottle</v>
          </cell>
        </row>
        <row r="292">
          <cell r="A292">
            <v>181750193</v>
          </cell>
          <cell r="B292">
            <v>292</v>
          </cell>
          <cell r="C292" t="str">
            <v>Sterile Pack Catheter Tray</v>
          </cell>
        </row>
        <row r="293">
          <cell r="A293">
            <v>181750191</v>
          </cell>
          <cell r="B293">
            <v>293</v>
          </cell>
          <cell r="C293" t="str">
            <v>Sterile Pack Large Tray</v>
          </cell>
        </row>
        <row r="294">
          <cell r="A294">
            <v>180258270</v>
          </cell>
          <cell r="B294">
            <v>294</v>
          </cell>
          <cell r="C294" t="str">
            <v>Amino Acid 18 Dextrose 50 Fat 20  2030Ml</v>
          </cell>
        </row>
        <row r="295">
          <cell r="A295">
            <v>181750198</v>
          </cell>
          <cell r="B295">
            <v>295</v>
          </cell>
          <cell r="C295" t="str">
            <v>Sterile Pack Swabbing Tray (Pv Pack)</v>
          </cell>
        </row>
        <row r="296">
          <cell r="A296">
            <v>189707423</v>
          </cell>
          <cell r="B296">
            <v>296</v>
          </cell>
          <cell r="C296" t="str">
            <v>Aluminium Hydrox Gel 350Ml</v>
          </cell>
        </row>
        <row r="297">
          <cell r="A297">
            <v>181750192</v>
          </cell>
          <cell r="B297">
            <v>297</v>
          </cell>
          <cell r="C297" t="str">
            <v>Sterile Pack Multi-Pack</v>
          </cell>
        </row>
        <row r="298">
          <cell r="A298" t="str">
            <v>QUOTE</v>
          </cell>
          <cell r="B298">
            <v>298</v>
          </cell>
          <cell r="C298" t="str">
            <v>Snake Bite Antisera (Boomslang)</v>
          </cell>
        </row>
        <row r="299">
          <cell r="A299" t="str">
            <v>QUOTE</v>
          </cell>
          <cell r="B299">
            <v>299</v>
          </cell>
          <cell r="C299" t="str">
            <v>~Aqua Anisi Conc 100Ml</v>
          </cell>
        </row>
        <row r="300">
          <cell r="A300" t="str">
            <v>QUOTE</v>
          </cell>
          <cell r="B300">
            <v>300</v>
          </cell>
          <cell r="C300" t="str">
            <v>Aqua Chlorof Conc 500Ml</v>
          </cell>
        </row>
        <row r="301">
          <cell r="A301" t="str">
            <v>QUOTE</v>
          </cell>
          <cell r="B301">
            <v>301</v>
          </cell>
          <cell r="C301" t="str">
            <v>~Aqua Menth Pip Conc 100Ml</v>
          </cell>
        </row>
        <row r="302">
          <cell r="A302" t="str">
            <v>QUOTE</v>
          </cell>
          <cell r="B302">
            <v>302</v>
          </cell>
          <cell r="C302" t="str">
            <v>Valsartan 160Mg Fct Tabs (28'S)</v>
          </cell>
        </row>
        <row r="303">
          <cell r="A303">
            <v>181802352</v>
          </cell>
          <cell r="B303">
            <v>303</v>
          </cell>
          <cell r="C303" t="str">
            <v>Laryngeal Mask Airway Size 004 Autoclavable Silicone</v>
          </cell>
        </row>
        <row r="304">
          <cell r="A304" t="str">
            <v>MOTIVATION</v>
          </cell>
          <cell r="B304">
            <v>304</v>
          </cell>
          <cell r="C304" t="str">
            <v>Lipid Emulsion 20% Purif. Soyabean 40G</v>
          </cell>
        </row>
        <row r="305">
          <cell r="A305">
            <v>189707445</v>
          </cell>
          <cell r="B305">
            <v>305</v>
          </cell>
          <cell r="C305" t="str">
            <v>Benzyl Benzoate Emuls 100Ml</v>
          </cell>
        </row>
        <row r="306">
          <cell r="A306">
            <v>181896254</v>
          </cell>
          <cell r="B306">
            <v>306</v>
          </cell>
          <cell r="C306" t="str">
            <v>Tenofovir 300Mg Lamivudine 300Mg Tablets 28</v>
          </cell>
        </row>
        <row r="307">
          <cell r="A307">
            <v>181825242</v>
          </cell>
          <cell r="B307">
            <v>307</v>
          </cell>
          <cell r="C307" t="str">
            <v>Vaccine Tetenus Reduced Diptheria</v>
          </cell>
        </row>
        <row r="308">
          <cell r="A308">
            <v>189703365</v>
          </cell>
          <cell r="B308">
            <v>308</v>
          </cell>
          <cell r="C308" t="str">
            <v>Calamine Lotion 100Ml</v>
          </cell>
        </row>
        <row r="309">
          <cell r="A309">
            <v>180090749</v>
          </cell>
          <cell r="B309">
            <v>309</v>
          </cell>
          <cell r="C309" t="str">
            <v>Chlorhexidine Gluc 0.5% In Alcohol 70%</v>
          </cell>
        </row>
        <row r="310">
          <cell r="A310">
            <v>189703386</v>
          </cell>
          <cell r="B310">
            <v>310</v>
          </cell>
          <cell r="C310" t="str">
            <v>~Cetylpyridinium Mouthwash 200Ml</v>
          </cell>
        </row>
        <row r="311">
          <cell r="A311">
            <v>189705153</v>
          </cell>
          <cell r="B311">
            <v>311</v>
          </cell>
          <cell r="C311" t="str">
            <v>Campaign: Chlorhexidine Ascrub 4% 500Ml</v>
          </cell>
        </row>
        <row r="312">
          <cell r="A312">
            <v>181848798</v>
          </cell>
          <cell r="B312">
            <v>312</v>
          </cell>
          <cell r="C312" t="str">
            <v>Speculum Vaginal Non Ster Medium (85Mm X 30Mm)</v>
          </cell>
        </row>
        <row r="313">
          <cell r="A313">
            <v>189712105</v>
          </cell>
          <cell r="B313">
            <v>313</v>
          </cell>
          <cell r="C313" t="str">
            <v>Chlorhexidine Sol  5% 5L</v>
          </cell>
        </row>
        <row r="314">
          <cell r="A314">
            <v>180108137</v>
          </cell>
          <cell r="B314">
            <v>314</v>
          </cell>
          <cell r="C314" t="str">
            <v>Lamotrigine Tabs  50Mg (60'S)</v>
          </cell>
        </row>
        <row r="315">
          <cell r="A315">
            <v>189706003</v>
          </cell>
          <cell r="B315">
            <v>315</v>
          </cell>
          <cell r="C315" t="str">
            <v>~Chloroquine Syr 100Ml</v>
          </cell>
        </row>
        <row r="316">
          <cell r="A316" t="str">
            <v>PREPACK 28</v>
          </cell>
          <cell r="B316">
            <v>316</v>
          </cell>
          <cell r="C316" t="str">
            <v>~Chlorpromazine Tabs 50Mg (28'S)</v>
          </cell>
        </row>
        <row r="317">
          <cell r="A317">
            <v>189707400</v>
          </cell>
          <cell r="B317">
            <v>317</v>
          </cell>
          <cell r="C317" t="str">
            <v>Chlorpromazine Syr 25Mg/5ml 100Ml</v>
          </cell>
        </row>
        <row r="318">
          <cell r="A318">
            <v>189711315</v>
          </cell>
          <cell r="B318">
            <v>318</v>
          </cell>
          <cell r="C318" t="str">
            <v>Co-Trimoxazole Susp  50Ml</v>
          </cell>
        </row>
        <row r="319">
          <cell r="A319">
            <v>189703514</v>
          </cell>
          <cell r="B319">
            <v>319</v>
          </cell>
          <cell r="C319" t="str">
            <v>Co-Trimoxazole Susp 100Ml</v>
          </cell>
        </row>
        <row r="320">
          <cell r="A320">
            <v>189715749</v>
          </cell>
          <cell r="B320">
            <v>320</v>
          </cell>
          <cell r="C320" t="str">
            <v>Tar Extract Shampoo 200Ml</v>
          </cell>
        </row>
        <row r="321">
          <cell r="A321">
            <v>189712370</v>
          </cell>
          <cell r="B321">
            <v>321</v>
          </cell>
          <cell r="C321" t="str">
            <v>Coal Tar Solution 500Ml</v>
          </cell>
        </row>
        <row r="322">
          <cell r="A322">
            <v>189712299</v>
          </cell>
          <cell r="B322">
            <v>322</v>
          </cell>
          <cell r="C322" t="str">
            <v>~Cocaine Powder</v>
          </cell>
        </row>
        <row r="323">
          <cell r="A323">
            <v>180235830</v>
          </cell>
          <cell r="B323">
            <v>323</v>
          </cell>
          <cell r="C323" t="str">
            <v>Cannula Nasal Paed Low Flow Oxygen</v>
          </cell>
        </row>
        <row r="324">
          <cell r="A324" t="str">
            <v>QUOTE</v>
          </cell>
          <cell r="B324">
            <v>324</v>
          </cell>
          <cell r="C324" t="str">
            <v>Dorzolamide Timolol Eye Drops</v>
          </cell>
        </row>
        <row r="325">
          <cell r="A325">
            <v>189705151</v>
          </cell>
          <cell r="B325">
            <v>325</v>
          </cell>
          <cell r="C325" t="str">
            <v>~Cyclizine Syr 12.5Mg/5ml 50Ml</v>
          </cell>
        </row>
        <row r="326">
          <cell r="A326" t="str">
            <v>QOUTE</v>
          </cell>
          <cell r="B326">
            <v>326</v>
          </cell>
          <cell r="C326" t="str">
            <v>~Sodium Benzoate Powder 100G</v>
          </cell>
        </row>
        <row r="327">
          <cell r="A327" t="str">
            <v>DELETED</v>
          </cell>
          <cell r="B327">
            <v>327</v>
          </cell>
          <cell r="C327" t="str">
            <v>~Dicyclomine Syr 10Mg/5ml 100Ml</v>
          </cell>
        </row>
        <row r="328">
          <cell r="A328">
            <v>189757468</v>
          </cell>
          <cell r="B328">
            <v>328</v>
          </cell>
          <cell r="C328" t="str">
            <v>Digoxin Oral Drops 0.05Mg/ml 50Ml (Amb.Bottle)</v>
          </cell>
        </row>
        <row r="329">
          <cell r="A329">
            <v>189712210</v>
          </cell>
          <cell r="B329">
            <v>329</v>
          </cell>
          <cell r="C329" t="str">
            <v>Sut Polyest 3/0 1/2Tp 20Mm Cardio</v>
          </cell>
        </row>
        <row r="330">
          <cell r="A330">
            <v>189705079</v>
          </cell>
          <cell r="B330">
            <v>330</v>
          </cell>
          <cell r="C330" t="str">
            <v>Cocillana Compound/ D.P.H Syr 100Ml</v>
          </cell>
        </row>
        <row r="331">
          <cell r="A331" t="str">
            <v>DELETED</v>
          </cell>
          <cell r="B331">
            <v>331</v>
          </cell>
          <cell r="C331" t="str">
            <v>~Diphenhydramine Syr 2.5L</v>
          </cell>
        </row>
        <row r="332">
          <cell r="A332">
            <v>181817552</v>
          </cell>
          <cell r="B332">
            <v>332</v>
          </cell>
          <cell r="C332" t="str">
            <v>Bevacizumab Inj 100Mg/4ml</v>
          </cell>
        </row>
        <row r="333">
          <cell r="A333">
            <v>189711229</v>
          </cell>
          <cell r="B333">
            <v>333</v>
          </cell>
          <cell r="C333" t="str">
            <v>~Enflurane Anaesthetic Sol 250Ml</v>
          </cell>
        </row>
        <row r="334">
          <cell r="A334">
            <v>189712409</v>
          </cell>
          <cell r="B334">
            <v>334</v>
          </cell>
          <cell r="C334" t="str">
            <v>Ergocalciferol Oral Drops 15Ml (Vit D)</v>
          </cell>
        </row>
        <row r="335">
          <cell r="A335">
            <v>189705157</v>
          </cell>
          <cell r="B335">
            <v>335</v>
          </cell>
          <cell r="C335" t="str">
            <v>~Ethambutol Syr 25Mg/ml 500Ml</v>
          </cell>
        </row>
        <row r="336">
          <cell r="A336">
            <v>189700547</v>
          </cell>
          <cell r="B336">
            <v>336</v>
          </cell>
          <cell r="C336" t="str">
            <v>Ethyl Chloride B.P. Spray 100Ml</v>
          </cell>
        </row>
        <row r="337">
          <cell r="A337">
            <v>181858255</v>
          </cell>
          <cell r="B337">
            <v>337</v>
          </cell>
          <cell r="C337" t="str">
            <v>Ondansetron 8Mg Tabs (15'S)</v>
          </cell>
        </row>
        <row r="338">
          <cell r="A338">
            <v>189711476</v>
          </cell>
          <cell r="B338">
            <v>338</v>
          </cell>
          <cell r="C338" t="str">
            <v>Ferrous Lactate Oral Drops 10Ml</v>
          </cell>
        </row>
        <row r="339">
          <cell r="A339">
            <v>189700822</v>
          </cell>
          <cell r="B339">
            <v>339</v>
          </cell>
          <cell r="C339" t="str">
            <v>Formaldehyde Sol 1L</v>
          </cell>
        </row>
        <row r="340">
          <cell r="A340">
            <v>189714763</v>
          </cell>
          <cell r="B340">
            <v>340</v>
          </cell>
          <cell r="C340" t="str">
            <v>Furosemide Oral Sol 10Mg/ml 100Ml</v>
          </cell>
        </row>
        <row r="341">
          <cell r="A341">
            <v>180339712</v>
          </cell>
          <cell r="B341">
            <v>341</v>
          </cell>
          <cell r="C341" t="str">
            <v>Furosemide Tabs 40Mg (28'S)</v>
          </cell>
        </row>
        <row r="342">
          <cell r="A342">
            <v>181863951</v>
          </cell>
          <cell r="B342">
            <v>342</v>
          </cell>
          <cell r="C342" t="str">
            <v>~Gamma Benzene Hexachl Shampoo 1% 100Ml</v>
          </cell>
        </row>
        <row r="343">
          <cell r="A343">
            <v>189712405</v>
          </cell>
          <cell r="B343">
            <v>343</v>
          </cell>
          <cell r="C343" t="str">
            <v>~Gentian Violet Sol 0.5% 20Ml</v>
          </cell>
        </row>
        <row r="344">
          <cell r="A344">
            <v>180154658</v>
          </cell>
          <cell r="B344">
            <v>344</v>
          </cell>
          <cell r="C344" t="str">
            <v>~Gluteraldehyde Sol 2% 5L</v>
          </cell>
        </row>
        <row r="345">
          <cell r="A345">
            <v>180005216</v>
          </cell>
          <cell r="B345">
            <v>345</v>
          </cell>
          <cell r="C345" t="str">
            <v>Stopcock Three Way 10Cm Extension Tubing</v>
          </cell>
        </row>
        <row r="346">
          <cell r="A346">
            <v>181861433</v>
          </cell>
          <cell r="B346">
            <v>346</v>
          </cell>
          <cell r="C346" t="str">
            <v>Ortho Pthaldehyde 5.75% Solution 5L</v>
          </cell>
        </row>
        <row r="347">
          <cell r="A347">
            <v>180154648</v>
          </cell>
          <cell r="B347">
            <v>347</v>
          </cell>
          <cell r="C347" t="str">
            <v>Gluteraldehyde Sol  2% 1L</v>
          </cell>
        </row>
        <row r="348">
          <cell r="A348">
            <v>189750285</v>
          </cell>
          <cell r="B348">
            <v>348</v>
          </cell>
          <cell r="C348" t="str">
            <v>Halothane Anaesthetic Sol 250Ml</v>
          </cell>
        </row>
        <row r="349">
          <cell r="A349" t="str">
            <v>MOTIVATION</v>
          </cell>
          <cell r="B349">
            <v>349</v>
          </cell>
          <cell r="C349" t="str">
            <v>~Epoetin Alfa 200Mcg/0.3Ml</v>
          </cell>
        </row>
        <row r="350">
          <cell r="A350" t="str">
            <v>MOTIVATION</v>
          </cell>
          <cell r="B350">
            <v>350</v>
          </cell>
          <cell r="C350" t="str">
            <v>Salmeterol &amp; Fluticasone Accuhaler 50/100</v>
          </cell>
        </row>
        <row r="351">
          <cell r="A351">
            <v>189700824</v>
          </cell>
          <cell r="B351">
            <v>351</v>
          </cell>
          <cell r="C351" t="str">
            <v>Hydrogen Peroxide Sol 6%  500Ml</v>
          </cell>
        </row>
        <row r="352">
          <cell r="A352">
            <v>189711478</v>
          </cell>
          <cell r="B352">
            <v>352</v>
          </cell>
          <cell r="C352" t="str">
            <v>~Hydroxyzine Syr 10Mg 100Ml</v>
          </cell>
        </row>
        <row r="353">
          <cell r="A353">
            <v>189712348</v>
          </cell>
          <cell r="B353">
            <v>353</v>
          </cell>
          <cell r="C353" t="str">
            <v>Ibuprofen Susp 100Mg/5ml 100Ml</v>
          </cell>
        </row>
        <row r="354">
          <cell r="A354">
            <v>180296095</v>
          </cell>
          <cell r="B354">
            <v>354</v>
          </cell>
          <cell r="C354" t="str">
            <v>~Ichthamol Glycerine 500Ml</v>
          </cell>
        </row>
        <row r="355">
          <cell r="A355" t="str">
            <v>QUOTE EYE</v>
          </cell>
          <cell r="B355">
            <v>355</v>
          </cell>
          <cell r="C355" t="str">
            <v>Knife Ophthalmic Short Cut 5.2Mm Angled Satin -Intraocc</v>
          </cell>
        </row>
        <row r="356">
          <cell r="A356">
            <v>180008212</v>
          </cell>
          <cell r="B356">
            <v>356</v>
          </cell>
          <cell r="C356" t="str">
            <v>Ipratropium Udv 0.5Mg/2ml (60'S)</v>
          </cell>
        </row>
        <row r="357">
          <cell r="A357">
            <v>189712947</v>
          </cell>
          <cell r="B357">
            <v>357</v>
          </cell>
          <cell r="C357" t="str">
            <v>~Mist Tussi Infans Mixt 100Ml</v>
          </cell>
        </row>
        <row r="358">
          <cell r="A358" t="str">
            <v>QUOTE</v>
          </cell>
          <cell r="B358">
            <v>358</v>
          </cell>
          <cell r="C358" t="str">
            <v>`Ipecacuanha Tincture</v>
          </cell>
        </row>
        <row r="359">
          <cell r="A359">
            <v>189761050</v>
          </cell>
          <cell r="B359">
            <v>359</v>
          </cell>
          <cell r="C359" t="str">
            <v>Acetylcholine Chloride 20Mg/2ml Powder.</v>
          </cell>
        </row>
        <row r="360">
          <cell r="A360" t="str">
            <v>QUOTE STOMA</v>
          </cell>
          <cell r="B360">
            <v>360</v>
          </cell>
          <cell r="C360" t="str">
            <v>Pouch Ostomy   5 Seal 44Mm</v>
          </cell>
        </row>
        <row r="361">
          <cell r="A361">
            <v>189708079</v>
          </cell>
          <cell r="B361">
            <v>361</v>
          </cell>
          <cell r="C361" t="str">
            <v>~Ketotifen Fumarate Syr 200Ml</v>
          </cell>
        </row>
        <row r="362">
          <cell r="A362">
            <v>180155404</v>
          </cell>
          <cell r="B362">
            <v>362</v>
          </cell>
          <cell r="C362" t="str">
            <v>Tramadol Hcl 50Mg Cap/tab (100'S)</v>
          </cell>
        </row>
        <row r="363">
          <cell r="A363">
            <v>189707998</v>
          </cell>
          <cell r="B363">
            <v>363</v>
          </cell>
          <cell r="C363" t="str">
            <v>Lactulose Syr 150Ml</v>
          </cell>
        </row>
        <row r="364">
          <cell r="A364">
            <v>189714770</v>
          </cell>
          <cell r="B364">
            <v>364</v>
          </cell>
          <cell r="C364" t="str">
            <v>Liquid Paraffin 200Ml</v>
          </cell>
        </row>
        <row r="365">
          <cell r="A365">
            <v>181901076</v>
          </cell>
          <cell r="B365">
            <v>365</v>
          </cell>
          <cell r="C365" t="str">
            <v>Abacavir 60Mg Dispersable Tabs (56'S)</v>
          </cell>
        </row>
        <row r="366">
          <cell r="A366">
            <v>189711283</v>
          </cell>
          <cell r="B366">
            <v>366</v>
          </cell>
          <cell r="C366" t="str">
            <v>~Magnesium Hydroxide Mixt 100Ml</v>
          </cell>
        </row>
        <row r="367">
          <cell r="A367">
            <v>180389193</v>
          </cell>
          <cell r="B367">
            <v>367</v>
          </cell>
          <cell r="C367" t="str">
            <v>Sut Synthabs 1 Ligation</v>
          </cell>
        </row>
        <row r="368">
          <cell r="A368">
            <v>189712285</v>
          </cell>
          <cell r="B368">
            <v>368</v>
          </cell>
          <cell r="C368" t="str">
            <v>Malic Benzoic Salicylic Sol (500Ml)</v>
          </cell>
        </row>
        <row r="369">
          <cell r="A369">
            <v>181848800</v>
          </cell>
          <cell r="B369">
            <v>369</v>
          </cell>
          <cell r="C369" t="str">
            <v>Speculum Vaginal Non Ster Large (100Mm X 35Mm)</v>
          </cell>
        </row>
        <row r="370">
          <cell r="A370" t="str">
            <v>NATIONAL STOC</v>
          </cell>
          <cell r="B370">
            <v>370</v>
          </cell>
          <cell r="C370" t="str">
            <v>Oseltamivir Suspenion 12Mg/ml</v>
          </cell>
        </row>
        <row r="371">
          <cell r="A371">
            <v>189702867</v>
          </cell>
          <cell r="B371">
            <v>371</v>
          </cell>
          <cell r="C371" t="str">
            <v>~Mepyramine Maleate Elixir 25Mg/5ml 100Ml</v>
          </cell>
        </row>
        <row r="372">
          <cell r="A372">
            <v>189714872</v>
          </cell>
          <cell r="B372">
            <v>372</v>
          </cell>
          <cell r="C372" t="str">
            <v>~Mercurochrome Sol 1% 20Ml</v>
          </cell>
        </row>
        <row r="373">
          <cell r="A373">
            <v>189703008</v>
          </cell>
          <cell r="B373">
            <v>373</v>
          </cell>
          <cell r="C373" t="str">
            <v>~Mercurochrome Sol 2% 100Ml</v>
          </cell>
        </row>
        <row r="374">
          <cell r="A374">
            <v>181862059</v>
          </cell>
          <cell r="B374">
            <v>374</v>
          </cell>
          <cell r="C374" t="str">
            <v>Zinc Scored 20Mg Dis Tabs(100's)</v>
          </cell>
        </row>
        <row r="375">
          <cell r="A375">
            <v>180069195</v>
          </cell>
          <cell r="B375">
            <v>375</v>
          </cell>
          <cell r="C375" t="str">
            <v>~Mesna Inhalant Amps 600Mg/3ml</v>
          </cell>
        </row>
        <row r="376">
          <cell r="A376" t="str">
            <v>QUOTATION</v>
          </cell>
          <cell r="B376">
            <v>376</v>
          </cell>
          <cell r="C376" t="str">
            <v>~Repaglinide 1Mg</v>
          </cell>
        </row>
        <row r="377">
          <cell r="A377">
            <v>189714323</v>
          </cell>
          <cell r="B377">
            <v>377</v>
          </cell>
          <cell r="C377" t="str">
            <v>Metoclopramide Syr 5Mg/5ml 50Ml</v>
          </cell>
        </row>
        <row r="378">
          <cell r="A378">
            <v>189714780</v>
          </cell>
          <cell r="B378">
            <v>378</v>
          </cell>
          <cell r="C378" t="str">
            <v>Metronidazole Susp 200Mg/5ml  50Ml</v>
          </cell>
        </row>
        <row r="379">
          <cell r="A379">
            <v>189712109</v>
          </cell>
          <cell r="B379">
            <v>379</v>
          </cell>
          <cell r="C379" t="str">
            <v>~Nalidixic Acid Susp 250Mg/5ml 100Ml</v>
          </cell>
        </row>
        <row r="380">
          <cell r="A380" t="str">
            <v>*</v>
          </cell>
          <cell r="B380">
            <v>380</v>
          </cell>
          <cell r="C380" t="str">
            <v>~Baby Formula Lactose Free  Infacare Nurture Lf</v>
          </cell>
        </row>
        <row r="381">
          <cell r="A381">
            <v>181783743</v>
          </cell>
          <cell r="B381">
            <v>381</v>
          </cell>
          <cell r="C381" t="str">
            <v>Paracetamol Syr 120Mg/5ml  100Ml</v>
          </cell>
        </row>
        <row r="382">
          <cell r="A382">
            <v>181818827</v>
          </cell>
          <cell r="B382">
            <v>382</v>
          </cell>
          <cell r="C382" t="str">
            <v>Paracetamol 1G Solution For Infusion,100ml</v>
          </cell>
        </row>
        <row r="383">
          <cell r="A383">
            <v>189712404</v>
          </cell>
          <cell r="B383">
            <v>383</v>
          </cell>
          <cell r="C383" t="str">
            <v>Paracetamol Syr 120Mg/5ml   50Ml</v>
          </cell>
        </row>
        <row r="384">
          <cell r="A384">
            <v>189708072</v>
          </cell>
          <cell r="B384">
            <v>384</v>
          </cell>
          <cell r="C384" t="str">
            <v>Phenobarbitone Syrup 100Ml</v>
          </cell>
        </row>
        <row r="385">
          <cell r="A385">
            <v>189712199</v>
          </cell>
          <cell r="B385">
            <v>385</v>
          </cell>
          <cell r="C385" t="str">
            <v>Strips Skin Closure  6Mmx75mm</v>
          </cell>
        </row>
        <row r="386">
          <cell r="A386">
            <v>181851261</v>
          </cell>
          <cell r="B386">
            <v>386</v>
          </cell>
          <cell r="C386" t="str">
            <v>Dressing Wound Dispersion 15Cm X 20Cm</v>
          </cell>
        </row>
        <row r="387">
          <cell r="A387">
            <v>180236020</v>
          </cell>
          <cell r="B387">
            <v>387</v>
          </cell>
          <cell r="C387" t="str">
            <v>Phenytoin Susp 125Mg/5ml 237Ml</v>
          </cell>
        </row>
        <row r="388">
          <cell r="A388">
            <v>180199078</v>
          </cell>
          <cell r="B388">
            <v>388</v>
          </cell>
          <cell r="C388" t="str">
            <v>`Piperazine Hydrate Syrup 30Ml</v>
          </cell>
        </row>
        <row r="389">
          <cell r="A389">
            <v>189712155</v>
          </cell>
          <cell r="B389">
            <v>389</v>
          </cell>
          <cell r="C389" t="str">
            <v>Tetracosactide Inj 1Mg</v>
          </cell>
        </row>
        <row r="390">
          <cell r="A390">
            <v>189705099</v>
          </cell>
          <cell r="B390">
            <v>390</v>
          </cell>
          <cell r="C390" t="str">
            <v>Potassium Citrate Mixture 200Ml</v>
          </cell>
        </row>
        <row r="391">
          <cell r="A391">
            <v>189712302</v>
          </cell>
          <cell r="B391">
            <v>391</v>
          </cell>
          <cell r="C391" t="str">
            <v>Povidone Iodine Solution 1.0L</v>
          </cell>
        </row>
        <row r="392">
          <cell r="A392">
            <v>189703516</v>
          </cell>
          <cell r="B392">
            <v>392</v>
          </cell>
          <cell r="C392" t="str">
            <v>~Povidone Iodine Shampoo 150Ml</v>
          </cell>
        </row>
        <row r="393">
          <cell r="A393" t="str">
            <v>QUOTE STOMA</v>
          </cell>
          <cell r="B393">
            <v>393</v>
          </cell>
          <cell r="C393" t="str">
            <v>Paste Stomahesive Premium 57G</v>
          </cell>
        </row>
        <row r="394">
          <cell r="A394">
            <v>189702847</v>
          </cell>
          <cell r="B394">
            <v>394</v>
          </cell>
          <cell r="C394" t="str">
            <v>Promethazine Syr 5Mg/5ml 100Ml</v>
          </cell>
        </row>
        <row r="395">
          <cell r="A395">
            <v>180189209</v>
          </cell>
          <cell r="B395">
            <v>395</v>
          </cell>
          <cell r="C395" t="str">
            <v>Glibenclamide Tabs 5Mg (28'S)</v>
          </cell>
        </row>
        <row r="396">
          <cell r="A396">
            <v>189711325</v>
          </cell>
          <cell r="B396">
            <v>396</v>
          </cell>
          <cell r="C396" t="str">
            <v>~Pseudoephedrine Triprolidine Syrup 100Ml</v>
          </cell>
        </row>
        <row r="397">
          <cell r="A397">
            <v>189703495</v>
          </cell>
          <cell r="B397">
            <v>397</v>
          </cell>
          <cell r="C397" t="str">
            <v>~Pseudoephedrine Triprolidine Syrup 1.0L</v>
          </cell>
        </row>
        <row r="398">
          <cell r="A398">
            <v>189707999</v>
          </cell>
          <cell r="B398">
            <v>398</v>
          </cell>
          <cell r="C398" t="str">
            <v>~Pseudoephedrine Syrup 30Mg/5ml 100Ml</v>
          </cell>
        </row>
        <row r="399">
          <cell r="A399">
            <v>180010153</v>
          </cell>
          <cell r="B399">
            <v>399</v>
          </cell>
          <cell r="C399" t="str">
            <v>~Pseudoephedrine Syrup 30Mg/5ml  50Ml</v>
          </cell>
        </row>
        <row r="400">
          <cell r="A400">
            <v>180006485</v>
          </cell>
          <cell r="B400">
            <v>400</v>
          </cell>
          <cell r="C400" t="str">
            <v>Salbutamol Udv 2.5Mg/2.5Ml</v>
          </cell>
        </row>
        <row r="401">
          <cell r="A401">
            <v>189705166</v>
          </cell>
          <cell r="B401">
            <v>401</v>
          </cell>
          <cell r="C401" t="str">
            <v>~Salbutamol Syr 2Mg/5ml 150Ml</v>
          </cell>
        </row>
        <row r="402">
          <cell r="A402">
            <v>189714792</v>
          </cell>
          <cell r="B402">
            <v>402</v>
          </cell>
          <cell r="C402" t="str">
            <v>~Salbutamol Syr 2Mg/5ml 500Ml</v>
          </cell>
        </row>
        <row r="403">
          <cell r="A403">
            <v>189714836</v>
          </cell>
          <cell r="B403">
            <v>403</v>
          </cell>
          <cell r="C403" t="str">
            <v>Selenium Sulphide Susp 2.5%</v>
          </cell>
        </row>
        <row r="404">
          <cell r="A404">
            <v>180339410</v>
          </cell>
          <cell r="B404">
            <v>404</v>
          </cell>
          <cell r="C404" t="str">
            <v>~Zinc Sulphate Caps 220Mg</v>
          </cell>
        </row>
        <row r="405">
          <cell r="A405">
            <v>189712107</v>
          </cell>
          <cell r="B405">
            <v>405</v>
          </cell>
          <cell r="C405" t="str">
            <v>~Sodium Hypochlorite Solution 1% 5.0L</v>
          </cell>
        </row>
        <row r="406">
          <cell r="A406">
            <v>189713767</v>
          </cell>
          <cell r="B406">
            <v>406</v>
          </cell>
          <cell r="C406" t="str">
            <v>Valproate Sodium Liquid Sugar Free 200Mg/5ml 300Ml</v>
          </cell>
        </row>
        <row r="407">
          <cell r="A407">
            <v>189712241</v>
          </cell>
          <cell r="B407">
            <v>407</v>
          </cell>
          <cell r="C407" t="str">
            <v>Sodium Phosphate Enema Sol 135Ml</v>
          </cell>
        </row>
        <row r="408">
          <cell r="A408" t="str">
            <v>ONCHOLOGY</v>
          </cell>
          <cell r="B408">
            <v>408</v>
          </cell>
          <cell r="C408" t="str">
            <v>Procarbazine 50Mg Tablets</v>
          </cell>
        </row>
        <row r="409">
          <cell r="A409" t="str">
            <v>QUOTE</v>
          </cell>
          <cell r="B409">
            <v>409</v>
          </cell>
          <cell r="C409" t="str">
            <v>Amino Acid Combination Itn 3301</v>
          </cell>
        </row>
        <row r="410">
          <cell r="A410">
            <v>189705998</v>
          </cell>
          <cell r="B410">
            <v>410</v>
          </cell>
          <cell r="C410" t="str">
            <v>Triamcinolone Acetonide 0.1%</v>
          </cell>
        </row>
        <row r="411">
          <cell r="A411" t="str">
            <v>QUOTE</v>
          </cell>
          <cell r="B411">
            <v>411</v>
          </cell>
          <cell r="C411" t="str">
            <v>Syrup Simplex 2.5L</v>
          </cell>
        </row>
        <row r="412">
          <cell r="A412">
            <v>189709075</v>
          </cell>
          <cell r="B412">
            <v>412</v>
          </cell>
          <cell r="C412" t="str">
            <v>Verapamil Tabs 240Mg Sr (30'S)</v>
          </cell>
        </row>
        <row r="413">
          <cell r="A413">
            <v>189712717</v>
          </cell>
          <cell r="B413">
            <v>413</v>
          </cell>
          <cell r="C413" t="str">
            <v>Immunoglobulin Human Normal 6G 200Ml (Polyga</v>
          </cell>
        </row>
        <row r="414">
          <cell r="A414">
            <v>180181121</v>
          </cell>
          <cell r="B414">
            <v>414</v>
          </cell>
          <cell r="C414" t="str">
            <v>Theophylline Syr 200Ml (Alcohol Free)</v>
          </cell>
        </row>
        <row r="415">
          <cell r="A415">
            <v>189706023</v>
          </cell>
          <cell r="B415">
            <v>415</v>
          </cell>
          <cell r="C415" t="str">
            <v>~Theophylline Syr 500Ml</v>
          </cell>
        </row>
        <row r="416">
          <cell r="A416">
            <v>189712406</v>
          </cell>
          <cell r="B416">
            <v>416</v>
          </cell>
          <cell r="C416" t="str">
            <v>~Thymol Glycerine Compound 100Ml</v>
          </cell>
        </row>
        <row r="417">
          <cell r="A417">
            <v>189711332</v>
          </cell>
          <cell r="B417">
            <v>417</v>
          </cell>
          <cell r="C417" t="str">
            <v>Tilidine Oral Drops 100Mg/ml</v>
          </cell>
        </row>
        <row r="418">
          <cell r="A418">
            <v>189711303</v>
          </cell>
          <cell r="B418">
            <v>418</v>
          </cell>
          <cell r="C418" t="str">
            <v>Iodine Solution Weak 500Ml</v>
          </cell>
        </row>
        <row r="419">
          <cell r="A419">
            <v>189704309</v>
          </cell>
          <cell r="B419">
            <v>419</v>
          </cell>
          <cell r="C419" t="str">
            <v>Campaign: Syringe Hypodermic  2Ml Three-Part</v>
          </cell>
        </row>
        <row r="420">
          <cell r="A420" t="str">
            <v>*</v>
          </cell>
          <cell r="B420">
            <v>420</v>
          </cell>
          <cell r="C420" t="str">
            <v>~Tenofovir &amp; Emtricitabine Tabs (1'S)</v>
          </cell>
        </row>
        <row r="421">
          <cell r="A421">
            <v>189704657</v>
          </cell>
          <cell r="B421">
            <v>421</v>
          </cell>
          <cell r="C421" t="str">
            <v>Trimeprazine Syrup 30Mg/5ml 100Ml</v>
          </cell>
        </row>
        <row r="422">
          <cell r="A422">
            <v>181798190</v>
          </cell>
          <cell r="B422">
            <v>422</v>
          </cell>
          <cell r="C422" t="str">
            <v>Vitamin A Caps 200 000Iu (50'S)</v>
          </cell>
        </row>
        <row r="423">
          <cell r="A423" t="str">
            <v>QUOTE</v>
          </cell>
          <cell r="B423">
            <v>423</v>
          </cell>
          <cell r="C423" t="str">
            <v>~Riboflavin Tabs 10Mg</v>
          </cell>
        </row>
        <row r="424">
          <cell r="A424">
            <v>189718286</v>
          </cell>
          <cell r="B424">
            <v>424</v>
          </cell>
          <cell r="C424" t="str">
            <v>Vitamin Multiple Syrup 100Ml</v>
          </cell>
        </row>
        <row r="425">
          <cell r="A425">
            <v>180142414</v>
          </cell>
          <cell r="B425">
            <v>2290</v>
          </cell>
          <cell r="C425" t="str">
            <v>~Didanosine Tabs 100Mg (60'S)</v>
          </cell>
        </row>
        <row r="426">
          <cell r="A426">
            <v>189712343</v>
          </cell>
          <cell r="B426">
            <v>426</v>
          </cell>
          <cell r="C426" t="str">
            <v>Acyclovir Cream 5% 2G</v>
          </cell>
        </row>
        <row r="427">
          <cell r="A427">
            <v>189712344</v>
          </cell>
          <cell r="B427">
            <v>427</v>
          </cell>
          <cell r="C427" t="str">
            <v>Acyclovir Eye Oint 3%</v>
          </cell>
        </row>
        <row r="428">
          <cell r="A428">
            <v>181779136</v>
          </cell>
          <cell r="B428">
            <v>428</v>
          </cell>
          <cell r="C428" t="str">
            <v>Ritonavir Sol 80Mg/ml (90Ml)</v>
          </cell>
        </row>
        <row r="429">
          <cell r="A429">
            <v>180076305</v>
          </cell>
          <cell r="B429">
            <v>429</v>
          </cell>
          <cell r="C429" t="str">
            <v>Labetalol Hcl 5Mg/ml Injection.</v>
          </cell>
        </row>
        <row r="430">
          <cell r="A430">
            <v>180094038</v>
          </cell>
          <cell r="B430">
            <v>430</v>
          </cell>
          <cell r="C430" t="str">
            <v>~Calcipotriol Oitment 100G Tube</v>
          </cell>
        </row>
        <row r="431">
          <cell r="A431">
            <v>189715396</v>
          </cell>
          <cell r="B431">
            <v>431</v>
          </cell>
          <cell r="C431" t="str">
            <v>Benzoic Acid Co Oint  25Gm</v>
          </cell>
        </row>
        <row r="432">
          <cell r="A432">
            <v>189703383</v>
          </cell>
          <cell r="B432">
            <v>432</v>
          </cell>
          <cell r="C432" t="str">
            <v>Betamethasone Valerate Cream  15G</v>
          </cell>
        </row>
        <row r="433">
          <cell r="A433">
            <v>189707996</v>
          </cell>
          <cell r="B433">
            <v>433</v>
          </cell>
          <cell r="C433" t="str">
            <v>Betamethasone Valerate Cream 500G</v>
          </cell>
        </row>
        <row r="434">
          <cell r="A434">
            <v>189712125</v>
          </cell>
          <cell r="B434">
            <v>434</v>
          </cell>
          <cell r="C434" t="str">
            <v>Bisacodyl Supps 10Mg</v>
          </cell>
        </row>
        <row r="435">
          <cell r="A435">
            <v>180326889</v>
          </cell>
          <cell r="B435">
            <v>435</v>
          </cell>
          <cell r="C435" t="str">
            <v>~Bismuth Subgallate Zinc Supps</v>
          </cell>
        </row>
        <row r="436">
          <cell r="A436">
            <v>189711255</v>
          </cell>
          <cell r="B436">
            <v>436</v>
          </cell>
          <cell r="C436" t="str">
            <v>Bismuth Subnitrate Iodoform Paste 100Gm</v>
          </cell>
        </row>
        <row r="437">
          <cell r="A437" t="str">
            <v>QUOTE</v>
          </cell>
          <cell r="B437">
            <v>437</v>
          </cell>
          <cell r="C437" t="str">
            <v>~Sodium Methyl Hydroxy Benzoate Powder</v>
          </cell>
        </row>
        <row r="438">
          <cell r="A438">
            <v>189715755</v>
          </cell>
          <cell r="B438">
            <v>438</v>
          </cell>
          <cell r="C438" t="str">
            <v>Silver Nitrate Applicator 95%</v>
          </cell>
        </row>
        <row r="439">
          <cell r="A439">
            <v>180346230</v>
          </cell>
          <cell r="B439">
            <v>439</v>
          </cell>
          <cell r="C439" t="str">
            <v>Imiquimod Cream</v>
          </cell>
        </row>
        <row r="440">
          <cell r="A440" t="str">
            <v>QUOTE</v>
          </cell>
          <cell r="B440">
            <v>440</v>
          </cell>
          <cell r="C440" t="str">
            <v>Charcoal Pulv Activated 100Gm</v>
          </cell>
        </row>
        <row r="441">
          <cell r="A441">
            <v>180254404</v>
          </cell>
          <cell r="B441">
            <v>441</v>
          </cell>
          <cell r="C441" t="str">
            <v>~Cetrimide Chlorhexidine 1:100  50Ml</v>
          </cell>
        </row>
        <row r="442">
          <cell r="A442">
            <v>181826366</v>
          </cell>
          <cell r="B442">
            <v>442</v>
          </cell>
          <cell r="C442" t="str">
            <v>~Chlorhexidine Cream Obstetric 100Ml</v>
          </cell>
        </row>
        <row r="443">
          <cell r="A443">
            <v>180257040</v>
          </cell>
          <cell r="B443">
            <v>443</v>
          </cell>
          <cell r="C443" t="str">
            <v>Cholestyramine Powder</v>
          </cell>
        </row>
        <row r="444">
          <cell r="A444">
            <v>189707981</v>
          </cell>
          <cell r="B444">
            <v>444</v>
          </cell>
          <cell r="C444" t="str">
            <v>Clobetasol Propionate Cream 25Gm</v>
          </cell>
        </row>
        <row r="445">
          <cell r="A445">
            <v>189707980</v>
          </cell>
          <cell r="B445">
            <v>445</v>
          </cell>
          <cell r="C445" t="str">
            <v>Clobetasol Propionate Oint 25Gm</v>
          </cell>
        </row>
        <row r="446">
          <cell r="A446">
            <v>189705118</v>
          </cell>
          <cell r="B446">
            <v>446</v>
          </cell>
          <cell r="C446" t="str">
            <v>Clotrimazole Cream 1% 20Gm</v>
          </cell>
        </row>
        <row r="447">
          <cell r="A447" t="str">
            <v>MOTIVATION</v>
          </cell>
          <cell r="B447">
            <v>447</v>
          </cell>
          <cell r="C447" t="str">
            <v>~Clotrimazole 10Mg Lozenges</v>
          </cell>
        </row>
        <row r="448">
          <cell r="A448">
            <v>180351237</v>
          </cell>
          <cell r="B448">
            <v>448</v>
          </cell>
          <cell r="C448" t="str">
            <v>Quetiapine I R Tabs 100Mg (90'S)</v>
          </cell>
        </row>
        <row r="449">
          <cell r="A449">
            <v>189705170</v>
          </cell>
          <cell r="B449">
            <v>449</v>
          </cell>
          <cell r="C449" t="str">
            <v>Conj. Oestrogens Vag Cream 42.5Gm</v>
          </cell>
        </row>
        <row r="450">
          <cell r="A450">
            <v>189711824</v>
          </cell>
          <cell r="B450">
            <v>450</v>
          </cell>
          <cell r="C450" t="str">
            <v>~Cyclizine 50Mg Tabs (10'S)</v>
          </cell>
        </row>
        <row r="451">
          <cell r="A451">
            <v>189740713</v>
          </cell>
          <cell r="B451">
            <v>451</v>
          </cell>
          <cell r="C451" t="str">
            <v>Dextrose Powder  50G</v>
          </cell>
        </row>
        <row r="452">
          <cell r="A452">
            <v>180231807</v>
          </cell>
          <cell r="B452">
            <v>452</v>
          </cell>
          <cell r="C452" t="str">
            <v>~Intrav Cath 16G Introducer Needle</v>
          </cell>
        </row>
        <row r="453">
          <cell r="A453">
            <v>180192421</v>
          </cell>
          <cell r="B453">
            <v>453</v>
          </cell>
          <cell r="C453" t="str">
            <v>~Intrav Cath 18G Introducer Needle</v>
          </cell>
        </row>
        <row r="454">
          <cell r="A454">
            <v>189708273</v>
          </cell>
          <cell r="B454">
            <v>454</v>
          </cell>
          <cell r="C454" t="str">
            <v>Sut Polyest 5/0 1/2Tp 13Mm Cardio</v>
          </cell>
        </row>
        <row r="455">
          <cell r="A455">
            <v>189713910</v>
          </cell>
          <cell r="B455">
            <v>455</v>
          </cell>
          <cell r="C455" t="str">
            <v>Electrode Gel 250Ml</v>
          </cell>
        </row>
        <row r="456">
          <cell r="A456">
            <v>189707512</v>
          </cell>
          <cell r="B456">
            <v>456</v>
          </cell>
          <cell r="C456" t="str">
            <v>Emulsifying Ointment 500Gm</v>
          </cell>
        </row>
        <row r="457">
          <cell r="A457" t="str">
            <v>QUOTE</v>
          </cell>
          <cell r="B457">
            <v>457</v>
          </cell>
          <cell r="C457" t="str">
            <v>Flumethasone Pivalate Clioquin Crm 15Gm</v>
          </cell>
        </row>
        <row r="458">
          <cell r="A458" t="str">
            <v>QUOTE</v>
          </cell>
          <cell r="B458">
            <v>458</v>
          </cell>
          <cell r="C458" t="str">
            <v>Kaltostat Wound Dressing 2G Cavity</v>
          </cell>
        </row>
        <row r="459">
          <cell r="A459">
            <v>180032075</v>
          </cell>
          <cell r="B459">
            <v>459</v>
          </cell>
          <cell r="C459" t="str">
            <v>Glycerine Supps Infant</v>
          </cell>
        </row>
        <row r="460">
          <cell r="A460">
            <v>180032076</v>
          </cell>
          <cell r="B460">
            <v>460</v>
          </cell>
          <cell r="C460" t="str">
            <v>Glycerine Supps Adult</v>
          </cell>
        </row>
        <row r="461">
          <cell r="A461">
            <v>181808885</v>
          </cell>
          <cell r="B461">
            <v>461</v>
          </cell>
          <cell r="C461" t="str">
            <v>Glove Exam Synt P/l Free Medium</v>
          </cell>
        </row>
        <row r="462">
          <cell r="A462">
            <v>189709037</v>
          </cell>
          <cell r="B462">
            <v>462</v>
          </cell>
          <cell r="C462" t="str">
            <v>Hydrocortisone Cream 1% 20Gm</v>
          </cell>
        </row>
        <row r="463">
          <cell r="A463">
            <v>189714886</v>
          </cell>
          <cell r="B463">
            <v>463</v>
          </cell>
          <cell r="C463" t="str">
            <v>~Ichthammol Oint 500Gm</v>
          </cell>
        </row>
        <row r="464">
          <cell r="A464">
            <v>189703432</v>
          </cell>
          <cell r="B464">
            <v>464</v>
          </cell>
          <cell r="C464" t="str">
            <v>Indomethacin Supps 100Mg</v>
          </cell>
        </row>
        <row r="465">
          <cell r="A465">
            <v>189712120</v>
          </cell>
          <cell r="B465">
            <v>465</v>
          </cell>
          <cell r="C465" t="str">
            <v>Lignocaine Gel 2% 20Gm</v>
          </cell>
        </row>
        <row r="466">
          <cell r="A466" t="str">
            <v>PREPACK 50ML</v>
          </cell>
          <cell r="B466">
            <v>466</v>
          </cell>
          <cell r="C466" t="str">
            <v>~Liquid Paraffin   50Ml</v>
          </cell>
        </row>
        <row r="467">
          <cell r="A467">
            <v>180086460</v>
          </cell>
          <cell r="B467">
            <v>467</v>
          </cell>
          <cell r="C467" t="str">
            <v>Lubricating Jelly 5Ml Sachet</v>
          </cell>
        </row>
        <row r="468">
          <cell r="A468">
            <v>189712093</v>
          </cell>
          <cell r="B468">
            <v>468</v>
          </cell>
          <cell r="C468" t="str">
            <v>~Magnesium Sulphate Crystals 500G (Epsom)</v>
          </cell>
        </row>
        <row r="469">
          <cell r="A469">
            <v>189712286</v>
          </cell>
          <cell r="B469">
            <v>469</v>
          </cell>
          <cell r="C469" t="str">
            <v>Malic Benzoic Salicylic Cream  (50G)</v>
          </cell>
        </row>
        <row r="470">
          <cell r="A470">
            <v>189709027</v>
          </cell>
          <cell r="B470">
            <v>470</v>
          </cell>
          <cell r="C470" t="str">
            <v>~Malic Benzoic Salicylic Cream 500G</v>
          </cell>
        </row>
        <row r="471">
          <cell r="A471">
            <v>189715751</v>
          </cell>
          <cell r="B471">
            <v>471</v>
          </cell>
          <cell r="C471" t="str">
            <v>Silver Nitrate 40% &amp; Potassium Nitrate 60%</v>
          </cell>
        </row>
        <row r="472">
          <cell r="A472">
            <v>189700955</v>
          </cell>
          <cell r="B472">
            <v>472</v>
          </cell>
          <cell r="C472" t="str">
            <v>~Mepyramine Maleate Cream 25G</v>
          </cell>
        </row>
        <row r="473">
          <cell r="A473">
            <v>189711948</v>
          </cell>
          <cell r="B473">
            <v>473</v>
          </cell>
          <cell r="C473" t="str">
            <v>Methyl Salicylate In Vaseline Oint 25G</v>
          </cell>
        </row>
        <row r="474">
          <cell r="A474">
            <v>189710844</v>
          </cell>
          <cell r="B474">
            <v>474</v>
          </cell>
          <cell r="C474" t="str">
            <v>Metronidazole Supps  500Mg (10'S)</v>
          </cell>
        </row>
        <row r="475">
          <cell r="A475">
            <v>189753933</v>
          </cell>
          <cell r="B475">
            <v>475</v>
          </cell>
          <cell r="C475" t="str">
            <v>Benzoyl Peroxide Gel  5% 40Gm</v>
          </cell>
        </row>
        <row r="476">
          <cell r="A476">
            <v>189708022</v>
          </cell>
          <cell r="B476">
            <v>476</v>
          </cell>
          <cell r="C476" t="str">
            <v>Miconazole Nitrate Oral Gel 30Gm</v>
          </cell>
        </row>
        <row r="477">
          <cell r="A477">
            <v>189706299</v>
          </cell>
          <cell r="B477">
            <v>477</v>
          </cell>
          <cell r="C477" t="str">
            <v>~Monosulfiram Soap 5% 75G</v>
          </cell>
        </row>
        <row r="478">
          <cell r="A478">
            <v>189715464</v>
          </cell>
          <cell r="B478">
            <v>478</v>
          </cell>
          <cell r="C478" t="str">
            <v>Morphine Sulphate Powder (10G)</v>
          </cell>
        </row>
        <row r="479">
          <cell r="A479">
            <v>189702496</v>
          </cell>
          <cell r="B479">
            <v>479</v>
          </cell>
          <cell r="C479" t="str">
            <v>~Nitrofurazone Oint 0.2% 500Gm</v>
          </cell>
        </row>
        <row r="480">
          <cell r="A480">
            <v>189702495</v>
          </cell>
          <cell r="B480">
            <v>480</v>
          </cell>
          <cell r="C480" t="str">
            <v>~Nitrofurazone Oint 0.2% 25Gm</v>
          </cell>
        </row>
        <row r="481">
          <cell r="A481">
            <v>181899908</v>
          </cell>
          <cell r="B481">
            <v>481</v>
          </cell>
          <cell r="C481" t="str">
            <v>Organic N-Chloro Compounds 30G</v>
          </cell>
        </row>
        <row r="482">
          <cell r="A482">
            <v>189715227</v>
          </cell>
          <cell r="B482">
            <v>482</v>
          </cell>
          <cell r="C482" t="str">
            <v>Pilocarpine Eye Gel 4% 5G</v>
          </cell>
        </row>
        <row r="483">
          <cell r="A483">
            <v>189708021</v>
          </cell>
          <cell r="B483">
            <v>483</v>
          </cell>
          <cell r="C483" t="str">
            <v>~Podophyllin Resin Salicylic Acid Oint 10Gm</v>
          </cell>
        </row>
        <row r="484">
          <cell r="A484">
            <v>189715468</v>
          </cell>
          <cell r="B484">
            <v>484</v>
          </cell>
          <cell r="C484" t="str">
            <v>Podophyllin Resin 25Gm</v>
          </cell>
        </row>
        <row r="485">
          <cell r="A485">
            <v>180035581</v>
          </cell>
          <cell r="B485">
            <v>485</v>
          </cell>
          <cell r="C485" t="str">
            <v>Potassium Chloride Powder 500Gm</v>
          </cell>
        </row>
        <row r="486">
          <cell r="A486">
            <v>180119662</v>
          </cell>
          <cell r="B486">
            <v>486</v>
          </cell>
          <cell r="C486" t="str">
            <v>Povidone Iodine Cream 25G</v>
          </cell>
        </row>
        <row r="487">
          <cell r="A487">
            <v>189707388</v>
          </cell>
          <cell r="B487">
            <v>487</v>
          </cell>
          <cell r="C487" t="str">
            <v>~Povidone Iodine Oint 500G</v>
          </cell>
        </row>
        <row r="488">
          <cell r="A488" t="str">
            <v>PREPACK  30</v>
          </cell>
          <cell r="B488">
            <v>488</v>
          </cell>
          <cell r="C488" t="str">
            <v>Prednisone Tabs 1Mg (30'S)</v>
          </cell>
        </row>
        <row r="489">
          <cell r="A489">
            <v>181798179</v>
          </cell>
          <cell r="B489">
            <v>489</v>
          </cell>
          <cell r="C489" t="str">
            <v>Prednisone Tabs 5Mg (28'S)</v>
          </cell>
        </row>
        <row r="490">
          <cell r="A490">
            <v>181922274</v>
          </cell>
          <cell r="B490">
            <v>490</v>
          </cell>
          <cell r="C490" t="str">
            <v>Darunavir 600Mg Tabs (56'S)</v>
          </cell>
        </row>
        <row r="491">
          <cell r="A491">
            <v>189715499</v>
          </cell>
          <cell r="B491">
            <v>491</v>
          </cell>
          <cell r="C491" t="str">
            <v>Salicylic Acid Powder 500Gm</v>
          </cell>
        </row>
        <row r="492">
          <cell r="A492">
            <v>189705115</v>
          </cell>
          <cell r="B492">
            <v>492</v>
          </cell>
          <cell r="C492" t="str">
            <v>Silver Sulphadiazine 1% Cream (500G)</v>
          </cell>
        </row>
        <row r="493">
          <cell r="A493">
            <v>189705116</v>
          </cell>
          <cell r="B493">
            <v>493</v>
          </cell>
          <cell r="C493" t="str">
            <v>Silver Sulphadiazine 1% Cream  (50G)</v>
          </cell>
        </row>
        <row r="494">
          <cell r="A494">
            <v>189711288</v>
          </cell>
          <cell r="B494">
            <v>494</v>
          </cell>
          <cell r="C494" t="str">
            <v>~Sodium Bicarbonate Powder 500G</v>
          </cell>
        </row>
        <row r="495">
          <cell r="A495">
            <v>181915402</v>
          </cell>
          <cell r="B495">
            <v>495</v>
          </cell>
          <cell r="C495" t="str">
            <v>Sodium Chloride Potassium Sodium Citrate Powder 26G</v>
          </cell>
        </row>
        <row r="496">
          <cell r="A496">
            <v>181851265</v>
          </cell>
          <cell r="B496">
            <v>496</v>
          </cell>
          <cell r="C496" t="str">
            <v>Dressing Wound Dispersion 10Cm X 1M Roll</v>
          </cell>
        </row>
        <row r="497">
          <cell r="A497">
            <v>189717326</v>
          </cell>
          <cell r="B497">
            <v>497</v>
          </cell>
          <cell r="C497" t="str">
            <v>~Sodium Citro-Tartrate Granules 60Gm</v>
          </cell>
        </row>
        <row r="498">
          <cell r="A498">
            <v>189707435</v>
          </cell>
          <cell r="B498">
            <v>498</v>
          </cell>
          <cell r="C498" t="str">
            <v>~Soft Paraffin White 500Gm</v>
          </cell>
        </row>
        <row r="499">
          <cell r="A499">
            <v>189707436</v>
          </cell>
          <cell r="B499">
            <v>499</v>
          </cell>
          <cell r="C499" t="str">
            <v>Soft Paraffin Yellow 500G</v>
          </cell>
        </row>
        <row r="500">
          <cell r="A500" t="str">
            <v>*</v>
          </cell>
          <cell r="B500">
            <v>500</v>
          </cell>
          <cell r="C500" t="str">
            <v>Tigecycline Powder 50Mg/ml</v>
          </cell>
        </row>
        <row r="501">
          <cell r="A501" t="str">
            <v>QUOTE EYE</v>
          </cell>
          <cell r="B501">
            <v>501</v>
          </cell>
          <cell r="C501" t="str">
            <v>Knife Ophthalmic Slit 3.0Mm Angled Satin -Phaco Incisio</v>
          </cell>
        </row>
        <row r="502">
          <cell r="A502">
            <v>180115255</v>
          </cell>
          <cell r="B502">
            <v>502</v>
          </cell>
          <cell r="C502" t="str">
            <v>Vigabatrin Tabs 500Mg (100'S)</v>
          </cell>
        </row>
        <row r="503">
          <cell r="A503">
            <v>181915443</v>
          </cell>
          <cell r="B503">
            <v>503</v>
          </cell>
          <cell r="C503" t="str">
            <v>Sun Screen Cream Spf 30 50Ml</v>
          </cell>
        </row>
        <row r="504">
          <cell r="A504">
            <v>189709033</v>
          </cell>
          <cell r="B504">
            <v>504</v>
          </cell>
          <cell r="C504" t="str">
            <v>Tretinoin Cream 20Gm</v>
          </cell>
        </row>
        <row r="505">
          <cell r="A505">
            <v>189715428</v>
          </cell>
          <cell r="B505">
            <v>505</v>
          </cell>
          <cell r="C505" t="str">
            <v>Tretinoin Gel 20Gm</v>
          </cell>
        </row>
        <row r="506">
          <cell r="A506">
            <v>189712178</v>
          </cell>
          <cell r="B506">
            <v>506</v>
          </cell>
          <cell r="C506" t="str">
            <v>Ultrasound Gel Medium Viscosity 250Ml</v>
          </cell>
        </row>
        <row r="507">
          <cell r="A507">
            <v>181777171</v>
          </cell>
          <cell r="B507">
            <v>507</v>
          </cell>
          <cell r="C507" t="str">
            <v>Tube Endo T Cuffed Intub L/mask 6Mm</v>
          </cell>
        </row>
        <row r="508">
          <cell r="A508">
            <v>181798191</v>
          </cell>
          <cell r="B508">
            <v>508</v>
          </cell>
          <cell r="C508" t="str">
            <v>Vitamin A Caps  50 000Iu (50'S)</v>
          </cell>
        </row>
        <row r="509">
          <cell r="A509">
            <v>189715429</v>
          </cell>
          <cell r="B509">
            <v>509</v>
          </cell>
          <cell r="C509" t="str">
            <v>Zinc &amp; Castor Oil Oint 25Gm</v>
          </cell>
        </row>
        <row r="510">
          <cell r="A510">
            <v>189715434</v>
          </cell>
          <cell r="B510">
            <v>510</v>
          </cell>
          <cell r="C510" t="str">
            <v>~Zinc Oint 500Gm</v>
          </cell>
        </row>
        <row r="511">
          <cell r="A511">
            <v>180165395</v>
          </cell>
          <cell r="B511">
            <v>511</v>
          </cell>
          <cell r="C511" t="str">
            <v>Zidovudine Syrup 200Ml</v>
          </cell>
        </row>
        <row r="512">
          <cell r="A512">
            <v>189752737</v>
          </cell>
          <cell r="B512">
            <v>512</v>
          </cell>
          <cell r="C512" t="str">
            <v>Acetazolamide Tabs 250Mg (30'S)</v>
          </cell>
        </row>
        <row r="513">
          <cell r="A513">
            <v>180105006</v>
          </cell>
          <cell r="B513">
            <v>513</v>
          </cell>
          <cell r="C513" t="str">
            <v>Allopurinol Tabs 100Mg (100'S)</v>
          </cell>
        </row>
        <row r="514">
          <cell r="A514">
            <v>180145732</v>
          </cell>
          <cell r="B514">
            <v>514</v>
          </cell>
          <cell r="C514" t="str">
            <v>~Didanosine Tabs 25Mg (60'S)</v>
          </cell>
        </row>
        <row r="515">
          <cell r="A515">
            <v>180002786</v>
          </cell>
          <cell r="B515">
            <v>515</v>
          </cell>
          <cell r="C515" t="str">
            <v>Amoxycillin Clavulan Susp 250/62.5</v>
          </cell>
        </row>
        <row r="516">
          <cell r="A516">
            <v>181896240</v>
          </cell>
          <cell r="B516">
            <v>516</v>
          </cell>
          <cell r="C516" t="str">
            <v>Stavudine Caps 20Mg (60'S)</v>
          </cell>
        </row>
        <row r="517">
          <cell r="A517">
            <v>180009972</v>
          </cell>
          <cell r="B517">
            <v>517</v>
          </cell>
          <cell r="C517" t="str">
            <v>Chlorhexidine Scrub 4% 5L</v>
          </cell>
        </row>
        <row r="518">
          <cell r="A518">
            <v>180339402</v>
          </cell>
          <cell r="B518">
            <v>518</v>
          </cell>
          <cell r="C518" t="str">
            <v>Amitriptyline Tabs 10Mg (28'S)</v>
          </cell>
        </row>
        <row r="519">
          <cell r="A519">
            <v>189760812</v>
          </cell>
          <cell r="B519">
            <v>519</v>
          </cell>
          <cell r="C519" t="str">
            <v>Amitriptyline Tabs 25Mg (100'S)</v>
          </cell>
        </row>
        <row r="520">
          <cell r="A520">
            <v>180958902</v>
          </cell>
          <cell r="B520">
            <v>520</v>
          </cell>
          <cell r="C520" t="str">
            <v>Artemether/lumefantrine 20/120Mg Tabs (24'S)</v>
          </cell>
        </row>
        <row r="521">
          <cell r="A521" t="str">
            <v>QUOTE</v>
          </cell>
          <cell r="B521">
            <v>521</v>
          </cell>
          <cell r="C521" t="str">
            <v>~Perindopril 4Mg/indapamide 1.25Mg</v>
          </cell>
        </row>
        <row r="522">
          <cell r="A522">
            <v>181936077</v>
          </cell>
          <cell r="B522">
            <v>522</v>
          </cell>
          <cell r="C522" t="str">
            <v>Olanzapine Tabs 5Mg (28'S)</v>
          </cell>
        </row>
        <row r="523">
          <cell r="A523">
            <v>181798133</v>
          </cell>
          <cell r="B523">
            <v>523</v>
          </cell>
          <cell r="C523" t="str">
            <v>~Artovastatin Tabs 20Mg (30'S)</v>
          </cell>
        </row>
        <row r="524">
          <cell r="A524">
            <v>180339413</v>
          </cell>
          <cell r="B524">
            <v>524</v>
          </cell>
          <cell r="C524" t="str">
            <v>Atenolol Tabs 50Mg (28'S)</v>
          </cell>
        </row>
        <row r="525">
          <cell r="A525">
            <v>180192290</v>
          </cell>
          <cell r="B525">
            <v>525</v>
          </cell>
          <cell r="C525" t="str">
            <v>Atenolol Tabs 100Mg (28'S)</v>
          </cell>
        </row>
        <row r="526">
          <cell r="A526">
            <v>189710306</v>
          </cell>
          <cell r="B526">
            <v>526</v>
          </cell>
          <cell r="C526" t="str">
            <v>~Auranofin Tabs 3Mg</v>
          </cell>
        </row>
        <row r="527">
          <cell r="A527">
            <v>189710063</v>
          </cell>
          <cell r="B527">
            <v>527</v>
          </cell>
          <cell r="C527" t="str">
            <v>~Al Hyd, Aliginic Acid, Mag Tris &amp; Sod Bicarbonate</v>
          </cell>
        </row>
        <row r="528">
          <cell r="A528">
            <v>189710247</v>
          </cell>
          <cell r="B528">
            <v>528</v>
          </cell>
          <cell r="C528" t="str">
            <v>Biperiden Tabs 2Mg (500'S)</v>
          </cell>
        </row>
        <row r="529">
          <cell r="A529">
            <v>189710222</v>
          </cell>
          <cell r="B529">
            <v>529</v>
          </cell>
          <cell r="C529" t="str">
            <v>~Bisacodyl Tabs 5Mg (200'S)</v>
          </cell>
        </row>
        <row r="530">
          <cell r="A530">
            <v>189715336</v>
          </cell>
          <cell r="B530">
            <v>530</v>
          </cell>
          <cell r="C530" t="str">
            <v>~Ursodeoxycholic Acid 100Mg Tabs (180'S)</v>
          </cell>
        </row>
        <row r="531">
          <cell r="A531">
            <v>189710310</v>
          </cell>
          <cell r="B531">
            <v>531</v>
          </cell>
          <cell r="C531" t="str">
            <v>Bromocriptine Mesylate Tabs 2.5Mg (30'S)</v>
          </cell>
        </row>
        <row r="532">
          <cell r="A532">
            <v>180031182</v>
          </cell>
          <cell r="B532">
            <v>532</v>
          </cell>
          <cell r="C532" t="str">
            <v>Maintelyte &amp; Dextrose 5% 1000Ml Hospital</v>
          </cell>
        </row>
        <row r="533">
          <cell r="A533">
            <v>189710010</v>
          </cell>
          <cell r="B533">
            <v>533</v>
          </cell>
          <cell r="C533" t="str">
            <v>Captopril Tabs 25Mg (60'S)</v>
          </cell>
        </row>
        <row r="534">
          <cell r="A534" t="str">
            <v>QUOTE</v>
          </cell>
          <cell r="B534">
            <v>534</v>
          </cell>
          <cell r="C534" t="str">
            <v>Perindopril Tabs 10Mg</v>
          </cell>
        </row>
        <row r="535">
          <cell r="A535">
            <v>181892375</v>
          </cell>
          <cell r="B535">
            <v>535</v>
          </cell>
          <cell r="C535" t="str">
            <v>Carbamazepine Tabs 200Mg (28'S)</v>
          </cell>
        </row>
        <row r="536">
          <cell r="A536">
            <v>189710383</v>
          </cell>
          <cell r="B536">
            <v>536</v>
          </cell>
          <cell r="C536" t="str">
            <v>Carbidopa 25Mg Levodopa 250Mg Tabs (100'S)</v>
          </cell>
        </row>
        <row r="537">
          <cell r="A537">
            <v>189710226</v>
          </cell>
          <cell r="B537">
            <v>537</v>
          </cell>
          <cell r="C537" t="str">
            <v>Carbimazole Tabs 5Mg (100'S)</v>
          </cell>
        </row>
        <row r="538">
          <cell r="A538">
            <v>181775264</v>
          </cell>
          <cell r="B538">
            <v>538</v>
          </cell>
          <cell r="C538" t="str">
            <v>Monitoring Set Paediatric.</v>
          </cell>
        </row>
        <row r="539">
          <cell r="A539" t="str">
            <v>*</v>
          </cell>
          <cell r="B539">
            <v>539</v>
          </cell>
          <cell r="C539" t="str">
            <v>~Darbepoietin Alpha 80Ug Prefilled Syringe</v>
          </cell>
        </row>
        <row r="540">
          <cell r="A540">
            <v>189710650</v>
          </cell>
          <cell r="B540">
            <v>540</v>
          </cell>
          <cell r="C540" t="str">
            <v>~Chlordiazepoxide Clidinium Tabs</v>
          </cell>
        </row>
        <row r="541">
          <cell r="A541">
            <v>181868871</v>
          </cell>
          <cell r="B541">
            <v>541</v>
          </cell>
          <cell r="C541" t="str">
            <v>Chlorpromazine Tabs  25Mg (28'S)</v>
          </cell>
        </row>
        <row r="542">
          <cell r="A542">
            <v>180969540</v>
          </cell>
          <cell r="B542">
            <v>542</v>
          </cell>
          <cell r="C542" t="str">
            <v>Goserelin Acetate Inj 10.8Mg</v>
          </cell>
        </row>
        <row r="543">
          <cell r="A543">
            <v>189709944</v>
          </cell>
          <cell r="B543">
            <v>543</v>
          </cell>
          <cell r="C543" t="str">
            <v>Goserelin Acetate Inj  3.6Mg</v>
          </cell>
        </row>
        <row r="544">
          <cell r="A544">
            <v>189712624</v>
          </cell>
          <cell r="B544">
            <v>544</v>
          </cell>
          <cell r="C544" t="str">
            <v>Chloroquine Tabs 200Mg (100'S)</v>
          </cell>
        </row>
        <row r="545">
          <cell r="A545">
            <v>189751769</v>
          </cell>
          <cell r="B545">
            <v>545</v>
          </cell>
          <cell r="C545" t="str">
            <v>Chlorpheniramine Tabs 4Mg (1000'S)</v>
          </cell>
        </row>
        <row r="546">
          <cell r="A546">
            <v>180073795</v>
          </cell>
          <cell r="B546">
            <v>546</v>
          </cell>
          <cell r="C546" t="str">
            <v>Granisetron 1Mg/ml Injection</v>
          </cell>
        </row>
        <row r="547">
          <cell r="A547" t="str">
            <v>MOTIVATION</v>
          </cell>
          <cell r="B547">
            <v>547</v>
          </cell>
          <cell r="C547" t="str">
            <v>~Zopiclone 7.5Mg Tabs</v>
          </cell>
        </row>
        <row r="548">
          <cell r="A548">
            <v>1897172706</v>
          </cell>
          <cell r="B548">
            <v>548</v>
          </cell>
          <cell r="C548" t="str">
            <v>Chlorpromazine Tabs  25Mg (500'S)</v>
          </cell>
        </row>
        <row r="549">
          <cell r="A549">
            <v>181917351</v>
          </cell>
          <cell r="B549">
            <v>549</v>
          </cell>
          <cell r="C549" t="str">
            <v>Chlorpromazine Tabs  50Mg (56'S)</v>
          </cell>
        </row>
        <row r="550">
          <cell r="A550">
            <v>189712650</v>
          </cell>
          <cell r="B550">
            <v>550</v>
          </cell>
          <cell r="C550" t="str">
            <v>~Chlorpromazine Tabs 100Mg (500'S)</v>
          </cell>
        </row>
        <row r="551">
          <cell r="A551">
            <v>190142507</v>
          </cell>
          <cell r="B551">
            <v>551</v>
          </cell>
          <cell r="C551" t="str">
            <v>~Letrozole Tabs 2.5Mg</v>
          </cell>
        </row>
        <row r="552">
          <cell r="A552">
            <v>180950543</v>
          </cell>
          <cell r="B552">
            <v>552</v>
          </cell>
          <cell r="C552" t="str">
            <v>Closed Suction System 14Fr</v>
          </cell>
        </row>
        <row r="553">
          <cell r="A553">
            <v>180959585</v>
          </cell>
          <cell r="B553">
            <v>553</v>
          </cell>
          <cell r="C553" t="str">
            <v>Olanzapine Tabs 2.5Mg (28'S)</v>
          </cell>
        </row>
        <row r="554">
          <cell r="A554">
            <v>189710220</v>
          </cell>
          <cell r="B554">
            <v>554</v>
          </cell>
          <cell r="C554" t="str">
            <v>Cinnarizine Tabs 25Mg (50'S)</v>
          </cell>
        </row>
        <row r="555">
          <cell r="A555">
            <v>189714435</v>
          </cell>
          <cell r="B555">
            <v>555</v>
          </cell>
          <cell r="C555" t="str">
            <v>Clofazimine Caps 100Mg</v>
          </cell>
        </row>
        <row r="556">
          <cell r="A556">
            <v>180054777</v>
          </cell>
          <cell r="B556">
            <v>556</v>
          </cell>
          <cell r="C556" t="str">
            <v>Clomiphene Tabs 50Mg (10'S)</v>
          </cell>
        </row>
        <row r="557">
          <cell r="A557">
            <v>180964072</v>
          </cell>
          <cell r="B557">
            <v>557</v>
          </cell>
          <cell r="C557" t="str">
            <v>Clopidogrel 75Mg Tabs (28'S)</v>
          </cell>
        </row>
        <row r="558">
          <cell r="A558">
            <v>181797926</v>
          </cell>
          <cell r="B558">
            <v>558</v>
          </cell>
          <cell r="C558" t="str">
            <v>Clomipramine Tabs 25Mg (50'S)</v>
          </cell>
        </row>
        <row r="559">
          <cell r="A559">
            <v>189752192</v>
          </cell>
          <cell r="B559">
            <v>559</v>
          </cell>
          <cell r="C559" t="str">
            <v>Clonazepam Tabs 2Mg (90'S)</v>
          </cell>
        </row>
        <row r="560">
          <cell r="A560">
            <v>189710305</v>
          </cell>
          <cell r="B560">
            <v>560</v>
          </cell>
          <cell r="C560" t="str">
            <v>Clonidine Tabs 25Mcg (100'S)</v>
          </cell>
        </row>
        <row r="561">
          <cell r="A561">
            <v>189710307</v>
          </cell>
          <cell r="B561">
            <v>561</v>
          </cell>
          <cell r="C561" t="str">
            <v>Clothiapine Tabs 40Mg (100'S)</v>
          </cell>
        </row>
        <row r="562">
          <cell r="A562">
            <v>189710069</v>
          </cell>
          <cell r="B562">
            <v>562</v>
          </cell>
          <cell r="C562" t="str">
            <v>Clozapine Tabs  25Mg (84'S)</v>
          </cell>
        </row>
        <row r="563">
          <cell r="A563">
            <v>189711823</v>
          </cell>
          <cell r="B563">
            <v>563</v>
          </cell>
          <cell r="C563" t="str">
            <v>Co-Trimoxazole Tabs 480Mg (1000'S)</v>
          </cell>
        </row>
        <row r="564">
          <cell r="A564">
            <v>181937413</v>
          </cell>
          <cell r="B564">
            <v>564</v>
          </cell>
          <cell r="C564" t="str">
            <v>Colchicine Tabs 0.5Mg (12'S)</v>
          </cell>
        </row>
        <row r="565">
          <cell r="A565">
            <v>189763014</v>
          </cell>
          <cell r="B565">
            <v>565</v>
          </cell>
          <cell r="C565" t="str">
            <v>Cetirizine Tabs 10Mg (30'S)</v>
          </cell>
        </row>
        <row r="566">
          <cell r="A566">
            <v>189708262</v>
          </cell>
          <cell r="B566">
            <v>566</v>
          </cell>
          <cell r="C566" t="str">
            <v>Imipenem Cilastatin Inj 500Mg</v>
          </cell>
        </row>
        <row r="567">
          <cell r="A567">
            <v>180166911</v>
          </cell>
          <cell r="B567">
            <v>567</v>
          </cell>
          <cell r="C567" t="str">
            <v>Cytarabine Inj 100Mg</v>
          </cell>
        </row>
        <row r="568">
          <cell r="A568">
            <v>189710181</v>
          </cell>
          <cell r="B568">
            <v>568</v>
          </cell>
          <cell r="C568" t="str">
            <v>Dapsone Tabs 100Mg (100'S)</v>
          </cell>
        </row>
        <row r="569">
          <cell r="A569">
            <v>180262328</v>
          </cell>
          <cell r="B569">
            <v>569</v>
          </cell>
          <cell r="C569" t="str">
            <v>Ritonavir Tabs 100Mg 60'S</v>
          </cell>
        </row>
        <row r="570">
          <cell r="A570">
            <v>180199114</v>
          </cell>
          <cell r="B570">
            <v>570</v>
          </cell>
          <cell r="C570" t="str">
            <v>~Diazepam Tabs 2Mg (100'S)</v>
          </cell>
        </row>
        <row r="571">
          <cell r="A571">
            <v>180280749</v>
          </cell>
          <cell r="B571">
            <v>571</v>
          </cell>
          <cell r="C571" t="str">
            <v>Diazepam 5Mg Scored Tabs (100'S)</v>
          </cell>
        </row>
        <row r="572">
          <cell r="A572">
            <v>189711053</v>
          </cell>
          <cell r="B572">
            <v>572</v>
          </cell>
          <cell r="C572" t="str">
            <v>Diclofenac Sodium 25Mg Tabs (100'S)</v>
          </cell>
        </row>
        <row r="573">
          <cell r="A573">
            <v>189714444</v>
          </cell>
          <cell r="B573">
            <v>573</v>
          </cell>
          <cell r="C573" t="str">
            <v>Digoxin Tabs 0.25Mg (100'S)</v>
          </cell>
        </row>
        <row r="574">
          <cell r="A574">
            <v>189710756</v>
          </cell>
          <cell r="B574">
            <v>574</v>
          </cell>
          <cell r="C574" t="str">
            <v>~Dihydrocodeine Tartrate 50Mg Inj</v>
          </cell>
        </row>
        <row r="575">
          <cell r="A575">
            <v>189710531</v>
          </cell>
          <cell r="B575">
            <v>575</v>
          </cell>
          <cell r="C575" t="str">
            <v>Dinoprostone Tabs 0.5Mg (10'S)</v>
          </cell>
        </row>
        <row r="576">
          <cell r="A576">
            <v>189712247</v>
          </cell>
          <cell r="B576">
            <v>576</v>
          </cell>
          <cell r="C576" t="str">
            <v>Thioguanine Tabs 40Mg (25'S)</v>
          </cell>
        </row>
        <row r="577">
          <cell r="A577">
            <v>189710651</v>
          </cell>
          <cell r="B577">
            <v>577</v>
          </cell>
          <cell r="C577" t="str">
            <v>~Dipipanone Cyclizine Tabs 10Mg/30mg</v>
          </cell>
        </row>
        <row r="578">
          <cell r="A578">
            <v>189710462</v>
          </cell>
          <cell r="B578">
            <v>578</v>
          </cell>
          <cell r="C578" t="str">
            <v>~Dipyridamole Tabs 25Mg</v>
          </cell>
        </row>
        <row r="579">
          <cell r="A579">
            <v>181813974</v>
          </cell>
          <cell r="B579">
            <v>579</v>
          </cell>
          <cell r="C579" t="str">
            <v>Valproate / Valproic Acid Tabs 500Mg (56'S)</v>
          </cell>
        </row>
        <row r="580">
          <cell r="A580" t="str">
            <v>.</v>
          </cell>
          <cell r="B580">
            <v>580</v>
          </cell>
          <cell r="C580" t="str">
            <v>Receptal Canister</v>
          </cell>
        </row>
        <row r="581">
          <cell r="A581">
            <v>189710339</v>
          </cell>
          <cell r="B581">
            <v>581</v>
          </cell>
          <cell r="C581" t="str">
            <v>~Disopyramide Caps 100Mg</v>
          </cell>
        </row>
        <row r="582">
          <cell r="A582">
            <v>189710229</v>
          </cell>
          <cell r="B582">
            <v>582</v>
          </cell>
          <cell r="C582" t="str">
            <v>~Disulfirum Tabs 400Mg (50'S)</v>
          </cell>
        </row>
        <row r="583">
          <cell r="A583">
            <v>181896243</v>
          </cell>
          <cell r="B583">
            <v>583</v>
          </cell>
          <cell r="C583" t="str">
            <v>Zidovudine Tabs 300Mg (60'S)</v>
          </cell>
        </row>
        <row r="584">
          <cell r="A584">
            <v>189710187</v>
          </cell>
          <cell r="B584">
            <v>584</v>
          </cell>
          <cell r="C584" t="str">
            <v>Enalapril Tabs 20Mg (28'S)</v>
          </cell>
        </row>
        <row r="585">
          <cell r="A585">
            <v>181775259</v>
          </cell>
          <cell r="B585">
            <v>585</v>
          </cell>
          <cell r="C585" t="str">
            <v>Monitoring Set Adult</v>
          </cell>
        </row>
        <row r="586">
          <cell r="A586">
            <v>189710466</v>
          </cell>
          <cell r="B586">
            <v>586</v>
          </cell>
          <cell r="C586" t="str">
            <v>~Ergotamine And Caffeine Tabs (20'S)</v>
          </cell>
        </row>
        <row r="587">
          <cell r="A587">
            <v>181917383</v>
          </cell>
          <cell r="B587">
            <v>588</v>
          </cell>
          <cell r="C587" t="str">
            <v>Ferrous Fumurate &amp; Folic Acid 100 200Mg/0.1Mg (84'S)</v>
          </cell>
        </row>
        <row r="588">
          <cell r="A588">
            <v>189710645</v>
          </cell>
          <cell r="B588">
            <v>589</v>
          </cell>
          <cell r="C588" t="str">
            <v>~Ferrous Fumarate &amp; Folic Acid (1000'S)</v>
          </cell>
        </row>
        <row r="589">
          <cell r="A589">
            <v>189715339</v>
          </cell>
          <cell r="B589">
            <v>590</v>
          </cell>
          <cell r="C589" t="str">
            <v>Ethambutol Tabs 400Mg (100'S)</v>
          </cell>
        </row>
        <row r="590">
          <cell r="A590">
            <v>180155497</v>
          </cell>
          <cell r="B590">
            <v>591</v>
          </cell>
          <cell r="C590" t="str">
            <v>~Oestradiol Tabs 4Mg (28'S)</v>
          </cell>
        </row>
        <row r="591">
          <cell r="A591">
            <v>180155496</v>
          </cell>
          <cell r="B591">
            <v>592</v>
          </cell>
          <cell r="C591" t="str">
            <v>Oestradiol Tabs 2Mg (28'S)</v>
          </cell>
        </row>
        <row r="592">
          <cell r="A592" t="str">
            <v>QUOTE</v>
          </cell>
          <cell r="B592">
            <v>593</v>
          </cell>
          <cell r="C592" t="str">
            <v>Exchange Transfusion Tray</v>
          </cell>
        </row>
        <row r="593">
          <cell r="A593">
            <v>181923348</v>
          </cell>
          <cell r="B593">
            <v>594</v>
          </cell>
          <cell r="C593" t="str">
            <v>Ferrous Sulphate Co Tabs (28'S)</v>
          </cell>
        </row>
        <row r="594">
          <cell r="A594">
            <v>189714181</v>
          </cell>
          <cell r="B594">
            <v>595</v>
          </cell>
          <cell r="C594" t="str">
            <v>Ferrous Sulphate Co Tabs (500'S)</v>
          </cell>
        </row>
        <row r="595">
          <cell r="A595">
            <v>189760407</v>
          </cell>
          <cell r="B595">
            <v>596</v>
          </cell>
          <cell r="C595" t="str">
            <v>Folic Acid Tabs 5Mg (1000'S)</v>
          </cell>
        </row>
        <row r="596">
          <cell r="A596">
            <v>189711054</v>
          </cell>
          <cell r="B596">
            <v>597</v>
          </cell>
          <cell r="C596" t="str">
            <v>Furosemide Tabs 40Mg (250'S)</v>
          </cell>
        </row>
        <row r="597">
          <cell r="A597">
            <v>189710321</v>
          </cell>
          <cell r="B597">
            <v>598</v>
          </cell>
          <cell r="C597" t="str">
            <v>Glibenclamide Tabs 5Mg (500'S)</v>
          </cell>
        </row>
        <row r="598">
          <cell r="A598">
            <v>180670486</v>
          </cell>
          <cell r="B598">
            <v>599</v>
          </cell>
          <cell r="C598" t="str">
            <v>Gliclazide Tabs 80Mg (56'S)</v>
          </cell>
        </row>
        <row r="599">
          <cell r="A599">
            <v>189713033</v>
          </cell>
          <cell r="B599">
            <v>600</v>
          </cell>
          <cell r="C599" t="str">
            <v>~Glyceryl Trinitrate Tabs 0.5Mg (50'S)</v>
          </cell>
        </row>
        <row r="600">
          <cell r="A600">
            <v>189710286</v>
          </cell>
          <cell r="B600">
            <v>601</v>
          </cell>
          <cell r="C600" t="str">
            <v>Haloperidol Caps 0.5Mg (60'S)</v>
          </cell>
        </row>
        <row r="601">
          <cell r="A601">
            <v>189710367</v>
          </cell>
          <cell r="B601">
            <v>602</v>
          </cell>
          <cell r="C601" t="str">
            <v>Haloperidol Tabs 1.5Mg (100'S)</v>
          </cell>
        </row>
        <row r="602">
          <cell r="A602">
            <v>189710327</v>
          </cell>
          <cell r="B602">
            <v>603</v>
          </cell>
          <cell r="C602" t="str">
            <v>Haloperidol Tabs 5Mg (100'S)</v>
          </cell>
        </row>
        <row r="603">
          <cell r="A603">
            <v>180961937</v>
          </cell>
          <cell r="B603">
            <v>4000</v>
          </cell>
          <cell r="C603" t="str">
            <v>Syringe Safety 5Ml 20Gx40mm (0.9Mm) Needle</v>
          </cell>
        </row>
        <row r="604">
          <cell r="A604">
            <v>189710368</v>
          </cell>
          <cell r="B604">
            <v>605</v>
          </cell>
          <cell r="C604" t="str">
            <v>Hydralazine Tabs 10Mg (500'S)</v>
          </cell>
        </row>
        <row r="605">
          <cell r="A605">
            <v>181917394</v>
          </cell>
          <cell r="B605">
            <v>606</v>
          </cell>
          <cell r="C605" t="str">
            <v>Hydralazine Tabs 50Mg (112'S)</v>
          </cell>
        </row>
        <row r="606">
          <cell r="A606">
            <v>180234796</v>
          </cell>
          <cell r="B606">
            <v>607</v>
          </cell>
          <cell r="C606" t="str">
            <v>Fluconazole Caps 200Mg (28'S)</v>
          </cell>
        </row>
        <row r="607">
          <cell r="A607">
            <v>189710322</v>
          </cell>
          <cell r="B607">
            <v>608</v>
          </cell>
          <cell r="C607" t="str">
            <v>Hydrochlorothiazide Tabs 25Mg (500'S)</v>
          </cell>
        </row>
        <row r="608">
          <cell r="A608" t="str">
            <v>PHASED OUT</v>
          </cell>
          <cell r="B608">
            <v>609</v>
          </cell>
          <cell r="C608" t="str">
            <v>~Hydrochlorothiazide Tabs 25Mg (14'S)</v>
          </cell>
        </row>
        <row r="609">
          <cell r="A609">
            <v>181798176</v>
          </cell>
          <cell r="B609">
            <v>610</v>
          </cell>
          <cell r="C609" t="str">
            <v>Metoclopromide 10Mg Tabs (10'S)</v>
          </cell>
        </row>
        <row r="610">
          <cell r="A610">
            <v>189710164</v>
          </cell>
          <cell r="B610">
            <v>611</v>
          </cell>
          <cell r="C610" t="str">
            <v>Hydroxyzine Tabs  25Mg (100'S)</v>
          </cell>
        </row>
        <row r="611">
          <cell r="A611">
            <v>189712129</v>
          </cell>
          <cell r="B611">
            <v>612</v>
          </cell>
          <cell r="C611" t="str">
            <v>Hyoscine-N-Butylbrom Tabs 10Mg (100'S)</v>
          </cell>
        </row>
        <row r="612">
          <cell r="A612">
            <v>189710323</v>
          </cell>
          <cell r="B612">
            <v>613</v>
          </cell>
          <cell r="C612" t="str">
            <v>Ibuprofen Tabs 200Mg (1000'S)</v>
          </cell>
        </row>
        <row r="613">
          <cell r="A613">
            <v>189710265</v>
          </cell>
          <cell r="B613">
            <v>614</v>
          </cell>
          <cell r="C613" t="str">
            <v>Imipramine Tabs 10Mg (100'S)</v>
          </cell>
        </row>
        <row r="614">
          <cell r="A614">
            <v>180000600</v>
          </cell>
          <cell r="B614">
            <v>615</v>
          </cell>
          <cell r="C614" t="str">
            <v>Imipramine Tabs 25Mg (100'S)</v>
          </cell>
        </row>
        <row r="615">
          <cell r="A615">
            <v>180000605</v>
          </cell>
          <cell r="B615">
            <v>616</v>
          </cell>
          <cell r="C615" t="str">
            <v>~Indomethacin Caps 25Mg (1000'S)</v>
          </cell>
        </row>
        <row r="616">
          <cell r="A616">
            <v>180280768</v>
          </cell>
          <cell r="B616">
            <v>617</v>
          </cell>
          <cell r="C616" t="str">
            <v>~Isoniazid Tabs 100Mg (1000'S)</v>
          </cell>
        </row>
        <row r="617">
          <cell r="A617">
            <v>180280769</v>
          </cell>
          <cell r="B617">
            <v>618</v>
          </cell>
          <cell r="C617" t="str">
            <v>~Isoniazid Tabs 200Mg</v>
          </cell>
        </row>
        <row r="618">
          <cell r="A618">
            <v>181879045</v>
          </cell>
          <cell r="B618">
            <v>619</v>
          </cell>
          <cell r="C618" t="str">
            <v>Isoniazid Tabs 300Mg (28'S)</v>
          </cell>
        </row>
        <row r="619">
          <cell r="A619">
            <v>189710453</v>
          </cell>
          <cell r="B619">
            <v>620</v>
          </cell>
          <cell r="C619" t="str">
            <v>Isosorbide Dinitrate Tabs  5Mg (50'S)</v>
          </cell>
        </row>
        <row r="620">
          <cell r="A620">
            <v>180146434</v>
          </cell>
          <cell r="B620">
            <v>621</v>
          </cell>
          <cell r="C620" t="str">
            <v>Isosorbide Dinitrate Tabs 10Mg (84'S)</v>
          </cell>
        </row>
        <row r="621">
          <cell r="A621">
            <v>189710228</v>
          </cell>
          <cell r="B621">
            <v>622</v>
          </cell>
          <cell r="C621" t="str">
            <v>Ketoconazole Tabs 200Mg (30'S)</v>
          </cell>
        </row>
        <row r="622">
          <cell r="A622">
            <v>189711829</v>
          </cell>
          <cell r="B622">
            <v>623</v>
          </cell>
          <cell r="C622" t="str">
            <v>Amitriptyline Tabs 25Mg (28'S)</v>
          </cell>
        </row>
        <row r="623">
          <cell r="A623">
            <v>189710365</v>
          </cell>
          <cell r="B623">
            <v>624</v>
          </cell>
          <cell r="C623" t="str">
            <v>Lithium Carbonate Tabs 250Mg (100'S)</v>
          </cell>
        </row>
        <row r="624">
          <cell r="A624">
            <v>189710479</v>
          </cell>
          <cell r="B624">
            <v>625</v>
          </cell>
          <cell r="C624" t="str">
            <v>Loperamide Tabs 2Mg (6'S)</v>
          </cell>
        </row>
        <row r="625">
          <cell r="A625">
            <v>189710157</v>
          </cell>
          <cell r="B625">
            <v>626</v>
          </cell>
          <cell r="C625" t="str">
            <v>Lorazepam Tabs 1Mg (100'S)</v>
          </cell>
        </row>
        <row r="626">
          <cell r="A626">
            <v>189714603</v>
          </cell>
          <cell r="B626">
            <v>627</v>
          </cell>
          <cell r="C626" t="str">
            <v>Lorazepam Tabs 2.5Mg (100'S)</v>
          </cell>
        </row>
        <row r="627">
          <cell r="A627">
            <v>181934912</v>
          </cell>
          <cell r="B627">
            <v>628</v>
          </cell>
          <cell r="C627" t="str">
            <v>Levetiracetam Tabs 250Mg (30'S)</v>
          </cell>
        </row>
        <row r="628">
          <cell r="A628">
            <v>189710189</v>
          </cell>
          <cell r="B628">
            <v>629</v>
          </cell>
          <cell r="C628" t="str">
            <v>~Maprotiline Tabs 25Mg</v>
          </cell>
        </row>
        <row r="629">
          <cell r="A629">
            <v>180241343</v>
          </cell>
          <cell r="B629">
            <v>630</v>
          </cell>
          <cell r="C629" t="str">
            <v>~Maprotiline Tabs 75Mg</v>
          </cell>
        </row>
        <row r="630">
          <cell r="A630">
            <v>180339466</v>
          </cell>
          <cell r="B630">
            <v>631</v>
          </cell>
          <cell r="C630" t="str">
            <v>Mebendazole Tabs 100Mg (6'S)</v>
          </cell>
        </row>
        <row r="631">
          <cell r="A631">
            <v>189710263</v>
          </cell>
          <cell r="B631">
            <v>632</v>
          </cell>
          <cell r="C631" t="str">
            <v>Medroxyprogesterone Tabs  5Mg (30'S)</v>
          </cell>
        </row>
        <row r="632">
          <cell r="A632">
            <v>189712182</v>
          </cell>
          <cell r="B632">
            <v>633</v>
          </cell>
          <cell r="C632" t="str">
            <v>~Mefenamic Acid Caps 250Mg</v>
          </cell>
        </row>
        <row r="633">
          <cell r="A633" t="str">
            <v>DELETED</v>
          </cell>
          <cell r="B633">
            <v>634</v>
          </cell>
          <cell r="C633" t="str">
            <v>~Mirtazapine 30Mg Tablets</v>
          </cell>
        </row>
        <row r="634">
          <cell r="A634">
            <v>180670492</v>
          </cell>
          <cell r="B634">
            <v>635</v>
          </cell>
          <cell r="C634" t="str">
            <v>Metformin Tabs 500Mg (56'S)</v>
          </cell>
        </row>
        <row r="635">
          <cell r="A635">
            <v>189710454</v>
          </cell>
          <cell r="B635">
            <v>636</v>
          </cell>
          <cell r="C635" t="str">
            <v>Methyldopa Tabs 250Mg (500'S)</v>
          </cell>
        </row>
        <row r="636">
          <cell r="A636">
            <v>189710452</v>
          </cell>
          <cell r="B636">
            <v>637</v>
          </cell>
          <cell r="C636" t="str">
            <v>Methylphenidate Tabs 10Mg (30'S)</v>
          </cell>
        </row>
        <row r="637">
          <cell r="A637">
            <v>189711057</v>
          </cell>
          <cell r="B637">
            <v>638</v>
          </cell>
          <cell r="C637" t="str">
            <v>Metoclopramide Tabs 10Mg (100'S)</v>
          </cell>
        </row>
        <row r="638">
          <cell r="A638">
            <v>189710264</v>
          </cell>
          <cell r="B638">
            <v>639</v>
          </cell>
          <cell r="C638" t="str">
            <v>Metronidazole Tabs 200Mg (250'S)</v>
          </cell>
        </row>
        <row r="639">
          <cell r="A639">
            <v>189710451</v>
          </cell>
          <cell r="B639">
            <v>640</v>
          </cell>
          <cell r="C639" t="str">
            <v>Metronidazole Tabs 400Mg (500'S)</v>
          </cell>
        </row>
        <row r="640">
          <cell r="A640">
            <v>180105359</v>
          </cell>
          <cell r="B640">
            <v>641</v>
          </cell>
          <cell r="C640" t="str">
            <v>Morphine Sulphate Tabs 10Mg (60'S)</v>
          </cell>
        </row>
        <row r="641">
          <cell r="A641">
            <v>180105391</v>
          </cell>
          <cell r="B641">
            <v>642</v>
          </cell>
          <cell r="C641" t="str">
            <v>Morphine Sulphate Tabs 30Mg (60'S)</v>
          </cell>
        </row>
        <row r="642">
          <cell r="A642">
            <v>181778178</v>
          </cell>
          <cell r="B642">
            <v>643</v>
          </cell>
          <cell r="C642" t="str">
            <v>Omeprazole 10Mg E C Dispersible Tabs (28'S)</v>
          </cell>
        </row>
        <row r="643">
          <cell r="A643">
            <v>189710362</v>
          </cell>
          <cell r="B643">
            <v>644</v>
          </cell>
          <cell r="C643" t="str">
            <v>Naproxen Tabs 250Mg (250'S)</v>
          </cell>
        </row>
        <row r="644">
          <cell r="A644">
            <v>189710202</v>
          </cell>
          <cell r="B644">
            <v>645</v>
          </cell>
          <cell r="C644" t="str">
            <v>~Niclosamide Tabs 500Mg (4'S)</v>
          </cell>
        </row>
        <row r="645">
          <cell r="A645">
            <v>181917398</v>
          </cell>
          <cell r="B645">
            <v>646</v>
          </cell>
          <cell r="C645" t="str">
            <v>Nicotinamide Tabs 100Mg (84'S)</v>
          </cell>
        </row>
        <row r="646">
          <cell r="A646">
            <v>189710364</v>
          </cell>
          <cell r="B646">
            <v>647</v>
          </cell>
          <cell r="C646" t="str">
            <v>Nifedipine Caps  5Mg (100'S)</v>
          </cell>
        </row>
        <row r="647">
          <cell r="A647">
            <v>189710326</v>
          </cell>
          <cell r="B647">
            <v>648</v>
          </cell>
          <cell r="C647" t="str">
            <v>Nifedipine Caps 10Mg (100'S)</v>
          </cell>
        </row>
        <row r="648">
          <cell r="A648">
            <v>189710152</v>
          </cell>
          <cell r="B648">
            <v>649</v>
          </cell>
          <cell r="C648" t="str">
            <v>~Nitrazepam Tabs 5Mg</v>
          </cell>
        </row>
        <row r="649">
          <cell r="A649">
            <v>189714356</v>
          </cell>
          <cell r="B649">
            <v>650</v>
          </cell>
          <cell r="C649" t="str">
            <v>Nitrofurantoin Caps  50Mg (50'S)</v>
          </cell>
        </row>
        <row r="650">
          <cell r="A650">
            <v>189714357</v>
          </cell>
          <cell r="B650">
            <v>651</v>
          </cell>
          <cell r="C650" t="str">
            <v>Nitrofurantoin Caps 100Mg (50'S)</v>
          </cell>
        </row>
        <row r="651">
          <cell r="A651">
            <v>180146299</v>
          </cell>
          <cell r="B651">
            <v>652</v>
          </cell>
          <cell r="C651" t="str">
            <v>~Nitroxoline Tabs 100Mg</v>
          </cell>
        </row>
        <row r="652">
          <cell r="A652">
            <v>189714135</v>
          </cell>
          <cell r="B652">
            <v>653</v>
          </cell>
          <cell r="C652" t="str">
            <v>Norethisterone Tabs 5Mg (30'S)</v>
          </cell>
        </row>
        <row r="653">
          <cell r="A653">
            <v>189707481</v>
          </cell>
          <cell r="B653">
            <v>654</v>
          </cell>
          <cell r="C653" t="str">
            <v>Oestradiol Valerate Norgestrol Tabs</v>
          </cell>
        </row>
        <row r="654">
          <cell r="A654">
            <v>189710165</v>
          </cell>
          <cell r="B654">
            <v>655</v>
          </cell>
          <cell r="C654" t="str">
            <v>~Conj. Oestrogens Tabs 0.625Mg (500'S)</v>
          </cell>
        </row>
        <row r="655">
          <cell r="A655">
            <v>181892393</v>
          </cell>
          <cell r="B655">
            <v>656</v>
          </cell>
          <cell r="C655" t="str">
            <v>Conj. Oestrogens Tabs 1.25Mg (28'S)</v>
          </cell>
        </row>
        <row r="656">
          <cell r="A656">
            <v>180001400</v>
          </cell>
          <cell r="B656">
            <v>657</v>
          </cell>
          <cell r="C656" t="str">
            <v>~Conj Oestrogens Medrogestone Tabs 0.625Mg</v>
          </cell>
        </row>
        <row r="657">
          <cell r="A657">
            <v>180001412</v>
          </cell>
          <cell r="B657">
            <v>658</v>
          </cell>
          <cell r="C657" t="str">
            <v>~Conj Oestrogens Medrogestone Tabs 1.25Mg</v>
          </cell>
        </row>
        <row r="658">
          <cell r="A658">
            <v>189710250</v>
          </cell>
          <cell r="B658">
            <v>659</v>
          </cell>
          <cell r="C658" t="str">
            <v>Orphenadrine Tabs 50Mg (100'S)</v>
          </cell>
        </row>
        <row r="659">
          <cell r="A659">
            <v>180155484</v>
          </cell>
          <cell r="B659">
            <v>660</v>
          </cell>
          <cell r="C659" t="str">
            <v>Paracetamol Tabs 500Mg (20'S)</v>
          </cell>
        </row>
        <row r="660">
          <cell r="A660" t="str">
            <v>PREPACK  20</v>
          </cell>
          <cell r="B660">
            <v>661</v>
          </cell>
          <cell r="C660" t="str">
            <v>~Paracetamol Codeine Caffeine Meprobamabte Tabs (20'S)</v>
          </cell>
        </row>
        <row r="661">
          <cell r="A661">
            <v>189714367</v>
          </cell>
          <cell r="B661">
            <v>662</v>
          </cell>
          <cell r="C661" t="str">
            <v>Paracetamol Codeine Caffeine Meprobamate Tabs (500'S)</v>
          </cell>
        </row>
        <row r="662">
          <cell r="A662">
            <v>180155498</v>
          </cell>
          <cell r="B662">
            <v>663</v>
          </cell>
          <cell r="C662" t="str">
            <v>Paracetamol Codeine Tabs (20'S)</v>
          </cell>
        </row>
        <row r="663">
          <cell r="A663">
            <v>189753433</v>
          </cell>
          <cell r="B663">
            <v>664</v>
          </cell>
          <cell r="C663" t="str">
            <v>Paracetamol Tabs 500Mg (500'S)</v>
          </cell>
        </row>
        <row r="664">
          <cell r="A664">
            <v>189714173</v>
          </cell>
          <cell r="B664">
            <v>665</v>
          </cell>
          <cell r="C664" t="str">
            <v>~Pericyazine Tabs 2.5Mg</v>
          </cell>
        </row>
        <row r="665">
          <cell r="A665">
            <v>189715374</v>
          </cell>
          <cell r="B665">
            <v>666</v>
          </cell>
          <cell r="C665" t="str">
            <v>~Pericyazine Tabs 10Mg</v>
          </cell>
        </row>
        <row r="666">
          <cell r="A666">
            <v>181821889</v>
          </cell>
          <cell r="B666">
            <v>667</v>
          </cell>
          <cell r="C666" t="str">
            <v>Paroxetine 20Mg Tabs (30'S)</v>
          </cell>
        </row>
        <row r="667">
          <cell r="A667" t="str">
            <v>MOTIVATION</v>
          </cell>
          <cell r="B667">
            <v>668</v>
          </cell>
          <cell r="C667" t="str">
            <v>Pamidronic Acid 15Mg/5ml Inj</v>
          </cell>
        </row>
        <row r="668">
          <cell r="A668" t="str">
            <v>DELETED</v>
          </cell>
          <cell r="B668">
            <v>669</v>
          </cell>
          <cell r="C668" t="str">
            <v>~Phenobarbitone Tabs 15Mg</v>
          </cell>
        </row>
        <row r="669">
          <cell r="A669">
            <v>181923404</v>
          </cell>
          <cell r="B669">
            <v>670</v>
          </cell>
          <cell r="C669" t="str">
            <v>Pantoprazole 20Mg Tabs (28'S)</v>
          </cell>
        </row>
        <row r="670">
          <cell r="A670">
            <v>180155499</v>
          </cell>
          <cell r="B670">
            <v>671</v>
          </cell>
          <cell r="C670" t="str">
            <v>Phenobarbitone Tabs 30Mg (84'S)</v>
          </cell>
        </row>
        <row r="671">
          <cell r="A671">
            <v>181860070</v>
          </cell>
          <cell r="B671">
            <v>672</v>
          </cell>
          <cell r="C671" t="str">
            <v>Ropinirole Hcl 5Mg Tabs (84'S)</v>
          </cell>
        </row>
        <row r="672">
          <cell r="A672">
            <v>189710550</v>
          </cell>
          <cell r="B672">
            <v>673</v>
          </cell>
          <cell r="C672" t="str">
            <v>Phenytoin Tabs  50Mg (Chewable Infatabs)</v>
          </cell>
        </row>
        <row r="673">
          <cell r="A673">
            <v>189715312</v>
          </cell>
          <cell r="B673">
            <v>674</v>
          </cell>
          <cell r="C673" t="str">
            <v>Phenytoin Caps 100Mg (100'S)</v>
          </cell>
        </row>
        <row r="674">
          <cell r="A674">
            <v>189714158</v>
          </cell>
          <cell r="B674">
            <v>675</v>
          </cell>
          <cell r="C674" t="str">
            <v>~Pimozide Tabs 1Mg (75'S)</v>
          </cell>
        </row>
        <row r="675">
          <cell r="A675">
            <v>181917399</v>
          </cell>
          <cell r="B675">
            <v>676</v>
          </cell>
          <cell r="C675" t="str">
            <v>Potassium Chloride S R Tabs 600Mg (100'S)</v>
          </cell>
        </row>
        <row r="676">
          <cell r="A676">
            <v>189710324</v>
          </cell>
          <cell r="B676">
            <v>677</v>
          </cell>
          <cell r="C676" t="str">
            <v>Praziquantel Tabs 600Mg (10'S)</v>
          </cell>
        </row>
        <row r="677">
          <cell r="A677">
            <v>189710416</v>
          </cell>
          <cell r="B677">
            <v>678</v>
          </cell>
          <cell r="C677" t="str">
            <v>~Prazosin Tabs 1Mg (100'S)</v>
          </cell>
        </row>
        <row r="678">
          <cell r="A678">
            <v>189710356</v>
          </cell>
          <cell r="B678">
            <v>679</v>
          </cell>
          <cell r="C678" t="str">
            <v>~Prazosin Tabs 2Mg (100'S)</v>
          </cell>
        </row>
        <row r="679">
          <cell r="A679">
            <v>189710355</v>
          </cell>
          <cell r="B679">
            <v>680</v>
          </cell>
          <cell r="C679" t="str">
            <v>Prazosin Tabs 5Mg (30'S)</v>
          </cell>
        </row>
        <row r="680">
          <cell r="A680">
            <v>181860002</v>
          </cell>
          <cell r="B680">
            <v>681</v>
          </cell>
          <cell r="C680" t="str">
            <v>Prednisone Tabs 5Mg (56'S)</v>
          </cell>
        </row>
        <row r="681">
          <cell r="A681">
            <v>189714134</v>
          </cell>
          <cell r="B681">
            <v>682</v>
          </cell>
          <cell r="C681" t="str">
            <v>Prednisone Tabs 5Mg (100'S)</v>
          </cell>
        </row>
        <row r="682">
          <cell r="A682">
            <v>189716004</v>
          </cell>
          <cell r="B682">
            <v>683</v>
          </cell>
          <cell r="C682" t="str">
            <v>Propranolol Tabs 10Mg (50'S)</v>
          </cell>
        </row>
        <row r="683">
          <cell r="A683">
            <v>189710272</v>
          </cell>
          <cell r="B683">
            <v>684</v>
          </cell>
          <cell r="C683" t="str">
            <v>~Probenecid Tabs 500Mg</v>
          </cell>
        </row>
        <row r="684">
          <cell r="A684">
            <v>189710270</v>
          </cell>
          <cell r="B684">
            <v>685</v>
          </cell>
          <cell r="C684" t="str">
            <v>Prochlorperazine Tabs 5Mg (250'S)</v>
          </cell>
        </row>
        <row r="685">
          <cell r="A685">
            <v>189710047</v>
          </cell>
          <cell r="B685">
            <v>686</v>
          </cell>
          <cell r="C685" t="str">
            <v>Promethazine Tabs 10Mg (100'S)</v>
          </cell>
        </row>
        <row r="686">
          <cell r="A686">
            <v>189710049</v>
          </cell>
          <cell r="B686">
            <v>687</v>
          </cell>
          <cell r="C686" t="str">
            <v>Promethazine Tabs 25Mg (100'S)</v>
          </cell>
        </row>
        <row r="687">
          <cell r="A687">
            <v>189711059</v>
          </cell>
          <cell r="B687">
            <v>688</v>
          </cell>
          <cell r="C687" t="str">
            <v>Propranolol Tabs 10Mg (250'S)</v>
          </cell>
        </row>
        <row r="688">
          <cell r="A688">
            <v>189711060</v>
          </cell>
          <cell r="B688">
            <v>689</v>
          </cell>
          <cell r="C688" t="str">
            <v>Propranolol Tabs 40Mg (250'S)</v>
          </cell>
        </row>
        <row r="689">
          <cell r="A689">
            <v>189710287</v>
          </cell>
          <cell r="B689">
            <v>690</v>
          </cell>
          <cell r="C689" t="str">
            <v>~Pseudoephedrine 60Mg Tabs (20'S)</v>
          </cell>
        </row>
        <row r="690">
          <cell r="A690">
            <v>189711049</v>
          </cell>
          <cell r="B690">
            <v>691</v>
          </cell>
          <cell r="C690" t="str">
            <v>~Phytomenadione Chew Tabs 10Mg</v>
          </cell>
        </row>
        <row r="691">
          <cell r="A691">
            <v>189710487</v>
          </cell>
          <cell r="B691">
            <v>692</v>
          </cell>
          <cell r="C691" t="str">
            <v>~Pyrazinamide Tabs 500Mg (1000'S)</v>
          </cell>
        </row>
        <row r="692">
          <cell r="A692">
            <v>189753390</v>
          </cell>
          <cell r="B692">
            <v>693</v>
          </cell>
          <cell r="C692" t="str">
            <v>~Quinidine Sulphate Tabs 200Mg</v>
          </cell>
        </row>
        <row r="693">
          <cell r="A693">
            <v>180280763</v>
          </cell>
          <cell r="B693">
            <v>694</v>
          </cell>
          <cell r="C693" t="str">
            <v>Quinine Sulphate Tabs 300Mg (100'S)</v>
          </cell>
        </row>
        <row r="694">
          <cell r="A694">
            <v>181809452</v>
          </cell>
          <cell r="B694">
            <v>695</v>
          </cell>
          <cell r="C694" t="str">
            <v>Ropinirole Hcl 0.25Mg Tabs (84'S)</v>
          </cell>
        </row>
        <row r="695">
          <cell r="A695">
            <v>189710792</v>
          </cell>
          <cell r="B695">
            <v>696</v>
          </cell>
          <cell r="C695" t="str">
            <v>Saccharine Tabs 15Mg (500'S)</v>
          </cell>
        </row>
        <row r="696">
          <cell r="A696" t="str">
            <v>PREPACK 28</v>
          </cell>
          <cell r="B696">
            <v>697</v>
          </cell>
          <cell r="C696" t="str">
            <v>Warfarin Tabs 5Mg (28'S)</v>
          </cell>
        </row>
        <row r="697">
          <cell r="A697" t="str">
            <v>PREPACK 28</v>
          </cell>
          <cell r="B697">
            <v>698</v>
          </cell>
          <cell r="C697" t="str">
            <v>Potassium Chloride 600Mg Tabs (28'S)</v>
          </cell>
        </row>
        <row r="698">
          <cell r="A698">
            <v>181932173</v>
          </cell>
          <cell r="B698">
            <v>699</v>
          </cell>
          <cell r="C698" t="str">
            <v>Campaign: Needle Hypodermic 29G (0.33Mm) X 8Mm</v>
          </cell>
        </row>
        <row r="699">
          <cell r="A699">
            <v>180280771</v>
          </cell>
          <cell r="B699">
            <v>700</v>
          </cell>
          <cell r="C699" t="str">
            <v>Sodium Acid Phosphate Tabs</v>
          </cell>
        </row>
        <row r="700">
          <cell r="A700">
            <v>180961889</v>
          </cell>
          <cell r="B700">
            <v>701</v>
          </cell>
          <cell r="C700" t="str">
            <v>Syringe Safety 3Ml 23Gx25mm (0.6Mm) Needle</v>
          </cell>
        </row>
        <row r="701">
          <cell r="A701">
            <v>181874441</v>
          </cell>
          <cell r="B701">
            <v>702</v>
          </cell>
          <cell r="C701" t="str">
            <v>Raltegravir 400Mg Tablet 56'S</v>
          </cell>
        </row>
        <row r="702">
          <cell r="A702">
            <v>189710245</v>
          </cell>
          <cell r="B702">
            <v>703</v>
          </cell>
          <cell r="C702" t="str">
            <v>Spironolactone Tabs  25Mg (200'S)</v>
          </cell>
        </row>
        <row r="703">
          <cell r="A703">
            <v>189711050</v>
          </cell>
          <cell r="B703">
            <v>704</v>
          </cell>
          <cell r="C703" t="str">
            <v>Spironolactone Tabs 100Mg (60'S)</v>
          </cell>
        </row>
        <row r="704">
          <cell r="A704">
            <v>189710196</v>
          </cell>
          <cell r="B704">
            <v>705</v>
          </cell>
          <cell r="C704" t="str">
            <v>Sucralfate Tabs 1Gm (120'S)</v>
          </cell>
        </row>
        <row r="705">
          <cell r="A705">
            <v>189714546</v>
          </cell>
          <cell r="B705">
            <v>707</v>
          </cell>
          <cell r="C705" t="str">
            <v>Sulphasalazine Tabs 500Mg (100'S)</v>
          </cell>
        </row>
        <row r="706">
          <cell r="A706">
            <v>189712222</v>
          </cell>
          <cell r="B706">
            <v>708</v>
          </cell>
          <cell r="C706" t="str">
            <v>~Sulpiride Caps 50Mg (100'S)</v>
          </cell>
        </row>
        <row r="707">
          <cell r="A707">
            <v>189714155</v>
          </cell>
          <cell r="B707">
            <v>709</v>
          </cell>
          <cell r="C707" t="str">
            <v>~Sulpiride Tabs 200Mg (50'S)</v>
          </cell>
        </row>
        <row r="708">
          <cell r="A708">
            <v>180045469</v>
          </cell>
          <cell r="B708">
            <v>710</v>
          </cell>
          <cell r="C708" t="str">
            <v>Terbinafine 250Mg Tabs (14'S)</v>
          </cell>
        </row>
        <row r="709">
          <cell r="A709">
            <v>181936074</v>
          </cell>
          <cell r="B709">
            <v>711</v>
          </cell>
          <cell r="C709" t="str">
            <v>Amlodipine Tabs 10Mg (28'S)</v>
          </cell>
        </row>
        <row r="710">
          <cell r="A710">
            <v>189762885</v>
          </cell>
          <cell r="B710">
            <v>712</v>
          </cell>
          <cell r="C710" t="str">
            <v>Theophylline Anh Tabs 200Mg (500'S)</v>
          </cell>
        </row>
        <row r="711">
          <cell r="A711">
            <v>189762887</v>
          </cell>
          <cell r="B711">
            <v>713</v>
          </cell>
          <cell r="C711" t="str">
            <v>~Theophylline Anh Tabs 300Mg (500'S)</v>
          </cell>
        </row>
        <row r="712">
          <cell r="A712" t="str">
            <v>*</v>
          </cell>
          <cell r="B712">
            <v>714</v>
          </cell>
          <cell r="C712" t="str">
            <v>Celecoxib 200Mg Capsulg</v>
          </cell>
        </row>
        <row r="713">
          <cell r="A713">
            <v>181868878</v>
          </cell>
          <cell r="B713">
            <v>715</v>
          </cell>
          <cell r="C713" t="str">
            <v>Diclofenac Sodium 25Mg Tabs (15'S)</v>
          </cell>
        </row>
        <row r="714">
          <cell r="A714">
            <v>181868881</v>
          </cell>
          <cell r="B714">
            <v>716</v>
          </cell>
          <cell r="C714" t="str">
            <v>Diclofenac Sodium 25Mg Tabs (84'S)</v>
          </cell>
        </row>
        <row r="715">
          <cell r="A715">
            <v>180105309</v>
          </cell>
          <cell r="B715">
            <v>717</v>
          </cell>
          <cell r="C715" t="str">
            <v>Diclofenac Sodium 50Mg Tabs (15'S)</v>
          </cell>
        </row>
        <row r="716">
          <cell r="A716">
            <v>181860085</v>
          </cell>
          <cell r="B716">
            <v>718</v>
          </cell>
          <cell r="C716" t="str">
            <v>Thyroxine Sod Tabs 0.05Mg (28'S)</v>
          </cell>
        </row>
        <row r="717">
          <cell r="A717">
            <v>189710280</v>
          </cell>
          <cell r="B717">
            <v>719</v>
          </cell>
          <cell r="C717" t="str">
            <v>Thyroxine Sod Tabs 0.1Mg (100'S)</v>
          </cell>
        </row>
        <row r="718">
          <cell r="A718">
            <v>189710034</v>
          </cell>
          <cell r="B718">
            <v>720</v>
          </cell>
          <cell r="C718" t="str">
            <v>~Tilidine Caps 50Mg</v>
          </cell>
        </row>
        <row r="719">
          <cell r="A719">
            <v>189710279</v>
          </cell>
          <cell r="B719">
            <v>721</v>
          </cell>
          <cell r="C719" t="str">
            <v>~Tolbutamide 500Mg Tabs</v>
          </cell>
        </row>
        <row r="720">
          <cell r="A720">
            <v>189718982</v>
          </cell>
          <cell r="B720">
            <v>722</v>
          </cell>
          <cell r="C720" t="str">
            <v>Tranexamic Acid Tabs 500Mg (100'S)</v>
          </cell>
        </row>
        <row r="721">
          <cell r="A721">
            <v>189710444</v>
          </cell>
          <cell r="B721">
            <v>723</v>
          </cell>
          <cell r="C721" t="str">
            <v>~Trifluoperazine Tabs 2Mg</v>
          </cell>
        </row>
        <row r="722">
          <cell r="A722">
            <v>189710346</v>
          </cell>
          <cell r="B722">
            <v>724</v>
          </cell>
          <cell r="C722" t="str">
            <v>~Trifluoperazine Tabs 5Mg (250'S)</v>
          </cell>
        </row>
        <row r="723">
          <cell r="A723">
            <v>189710424</v>
          </cell>
          <cell r="B723">
            <v>725</v>
          </cell>
          <cell r="C723" t="str">
            <v>~Trihexyphenidyl Tabs 2Mg (100'S)</v>
          </cell>
        </row>
        <row r="724">
          <cell r="A724">
            <v>180339609</v>
          </cell>
          <cell r="B724">
            <v>726</v>
          </cell>
          <cell r="C724" t="str">
            <v>Verapamil Tabs  40Mg (84'S)</v>
          </cell>
        </row>
        <row r="725">
          <cell r="A725">
            <v>181798187</v>
          </cell>
          <cell r="B725">
            <v>727</v>
          </cell>
          <cell r="C725" t="str">
            <v>Vitamin A Caps 100 000Iu (50'S)</v>
          </cell>
        </row>
        <row r="726">
          <cell r="A726">
            <v>180316241</v>
          </cell>
          <cell r="B726">
            <v>728</v>
          </cell>
          <cell r="C726" t="str">
            <v>Vitamin B Co Strong Tabs (1000'S)</v>
          </cell>
        </row>
        <row r="727">
          <cell r="A727">
            <v>189710344</v>
          </cell>
          <cell r="B727">
            <v>729</v>
          </cell>
          <cell r="C727" t="str">
            <v>Thiamine Tabs 100Mg (100'S)</v>
          </cell>
        </row>
        <row r="728">
          <cell r="A728">
            <v>189710278</v>
          </cell>
          <cell r="B728">
            <v>730</v>
          </cell>
          <cell r="C728" t="str">
            <v>Vitamin B6 Tabs 25Mg (100'S)</v>
          </cell>
        </row>
        <row r="729">
          <cell r="A729">
            <v>189751371</v>
          </cell>
          <cell r="B729">
            <v>731</v>
          </cell>
          <cell r="C729" t="str">
            <v>~Vitamin C Tabs 100Mg (100'S)</v>
          </cell>
        </row>
        <row r="730">
          <cell r="A730" t="str">
            <v>QUOTE</v>
          </cell>
          <cell r="B730">
            <v>732</v>
          </cell>
          <cell r="C730" t="str">
            <v>~Vitamin E Caps 100Mg</v>
          </cell>
        </row>
        <row r="731">
          <cell r="A731">
            <v>181879123</v>
          </cell>
          <cell r="B731">
            <v>733</v>
          </cell>
          <cell r="C731" t="str">
            <v>Moxifloxacin Tabs 400Mg (30'S)</v>
          </cell>
        </row>
        <row r="732">
          <cell r="A732">
            <v>189759084</v>
          </cell>
          <cell r="B732">
            <v>734</v>
          </cell>
          <cell r="C732" t="str">
            <v>Warfarin Sodium Tabs 5Mg (100'S)</v>
          </cell>
        </row>
        <row r="733">
          <cell r="A733">
            <v>180348494</v>
          </cell>
          <cell r="B733">
            <v>735</v>
          </cell>
          <cell r="C733" t="str">
            <v>Cabergoline 0.5Mg Tablet (4'S)</v>
          </cell>
        </row>
        <row r="734">
          <cell r="A734">
            <v>180969517</v>
          </cell>
          <cell r="B734">
            <v>736</v>
          </cell>
          <cell r="C734" t="str">
            <v>Fluorouracil Inj 500Mg 10Ml</v>
          </cell>
        </row>
        <row r="735">
          <cell r="A735">
            <v>189715286</v>
          </cell>
          <cell r="B735">
            <v>737</v>
          </cell>
          <cell r="C735" t="str">
            <v>Methotrexate Inj 1000Mg</v>
          </cell>
        </row>
        <row r="736">
          <cell r="A736">
            <v>181837506</v>
          </cell>
          <cell r="B736">
            <v>738</v>
          </cell>
          <cell r="C736" t="str">
            <v>Tenofovir 300 Emtricibine 200Mg Tablet (28'S)</v>
          </cell>
        </row>
        <row r="737">
          <cell r="A737">
            <v>181892380</v>
          </cell>
          <cell r="B737">
            <v>739</v>
          </cell>
          <cell r="C737" t="str">
            <v>Glimepiride 2Mg Tablet (28'S)</v>
          </cell>
        </row>
        <row r="738">
          <cell r="A738">
            <v>189710834</v>
          </cell>
          <cell r="B738">
            <v>740</v>
          </cell>
          <cell r="C738" t="str">
            <v>Chlorambucil Tabs 2Mg (25'S)</v>
          </cell>
        </row>
        <row r="739">
          <cell r="A739">
            <v>189714915</v>
          </cell>
          <cell r="B739">
            <v>741</v>
          </cell>
          <cell r="C739" t="str">
            <v>Cyclophosphamide Inj  500Mg</v>
          </cell>
        </row>
        <row r="740">
          <cell r="A740">
            <v>189714914</v>
          </cell>
          <cell r="B740">
            <v>742</v>
          </cell>
          <cell r="C740" t="str">
            <v>Cyclophosphamide Inj  200Mg</v>
          </cell>
        </row>
        <row r="741">
          <cell r="A741">
            <v>189762107</v>
          </cell>
          <cell r="B741">
            <v>743</v>
          </cell>
          <cell r="C741" t="str">
            <v>Doxorubicin Inj 10Mg</v>
          </cell>
        </row>
        <row r="742">
          <cell r="A742">
            <v>189762108</v>
          </cell>
          <cell r="B742">
            <v>744</v>
          </cell>
          <cell r="C742" t="str">
            <v>Doxorubicin Inj 50Mg</v>
          </cell>
        </row>
        <row r="743">
          <cell r="A743">
            <v>189712651</v>
          </cell>
          <cell r="B743">
            <v>745</v>
          </cell>
          <cell r="C743" t="str">
            <v>Fluorescein Strips 1Mg</v>
          </cell>
        </row>
        <row r="744">
          <cell r="A744">
            <v>180141782</v>
          </cell>
          <cell r="B744">
            <v>746</v>
          </cell>
          <cell r="C744" t="str">
            <v>Test Pregnancy Dipstick</v>
          </cell>
        </row>
        <row r="745">
          <cell r="A745">
            <v>189762820</v>
          </cell>
          <cell r="B745">
            <v>747</v>
          </cell>
          <cell r="C745" t="str">
            <v>Test Strip Blood Glucose (Glycotronic)</v>
          </cell>
        </row>
        <row r="746">
          <cell r="A746">
            <v>189706876</v>
          </cell>
          <cell r="B746">
            <v>748</v>
          </cell>
          <cell r="C746" t="str">
            <v>Test Strip Blood Glucose (Refloflux)</v>
          </cell>
        </row>
        <row r="747">
          <cell r="A747">
            <v>180074243</v>
          </cell>
          <cell r="B747">
            <v>749</v>
          </cell>
          <cell r="C747" t="str">
            <v>~Test Strip Urine Glucose (Lenstrip)</v>
          </cell>
        </row>
        <row r="748">
          <cell r="A748">
            <v>189712095</v>
          </cell>
          <cell r="B748">
            <v>750</v>
          </cell>
          <cell r="C748" t="str">
            <v>~Test Strip Urine Glucose Ketones</v>
          </cell>
        </row>
        <row r="749">
          <cell r="A749">
            <v>189703120</v>
          </cell>
          <cell r="B749">
            <v>751</v>
          </cell>
          <cell r="C749" t="str">
            <v>~Test Strip Urine Glucose Ketones Protein</v>
          </cell>
        </row>
        <row r="750">
          <cell r="A750">
            <v>181753073</v>
          </cell>
          <cell r="B750">
            <v>752</v>
          </cell>
          <cell r="C750" t="str">
            <v>Test Strip Blood Glucose (One Touch)</v>
          </cell>
        </row>
        <row r="751">
          <cell r="A751">
            <v>189714816</v>
          </cell>
          <cell r="B751">
            <v>753</v>
          </cell>
          <cell r="C751" t="str">
            <v>Test Strip Urine Glucose Protein Ketones (Combur 9)</v>
          </cell>
        </row>
        <row r="752">
          <cell r="A752">
            <v>189714821</v>
          </cell>
          <cell r="B752">
            <v>754</v>
          </cell>
          <cell r="C752" t="str">
            <v>Test Strip Urine Glucose Protein Ketones Sg</v>
          </cell>
        </row>
        <row r="753">
          <cell r="A753" t="str">
            <v>QUOTE EYE</v>
          </cell>
          <cell r="B753">
            <v>755</v>
          </cell>
          <cell r="C753" t="str">
            <v>Silicone Oil Inj  10Ml</v>
          </cell>
        </row>
        <row r="754">
          <cell r="A754">
            <v>189710989</v>
          </cell>
          <cell r="B754">
            <v>756</v>
          </cell>
          <cell r="C754" t="str">
            <v>~Meglumine Diatrizoate Inj 30% 250Ml</v>
          </cell>
        </row>
        <row r="755">
          <cell r="A755" t="str">
            <v>MOTIVATION</v>
          </cell>
          <cell r="B755">
            <v>757</v>
          </cell>
          <cell r="C755" t="str">
            <v>Tenecteplase 40Mg</v>
          </cell>
        </row>
        <row r="756">
          <cell r="A756">
            <v>189715769</v>
          </cell>
          <cell r="B756">
            <v>758</v>
          </cell>
          <cell r="C756" t="str">
            <v>~Meglumine Diatrizoate Inj 60% 10X100ml</v>
          </cell>
        </row>
        <row r="757">
          <cell r="A757">
            <v>180221924</v>
          </cell>
          <cell r="B757">
            <v>759</v>
          </cell>
          <cell r="C757" t="str">
            <v>Vinorelbine Tartrate Inj 50Mg</v>
          </cell>
        </row>
        <row r="758">
          <cell r="A758">
            <v>189710947</v>
          </cell>
          <cell r="B758">
            <v>760</v>
          </cell>
          <cell r="C758" t="str">
            <v>~Meglumine Iothalamate Inj 60% 50Ml</v>
          </cell>
        </row>
        <row r="759">
          <cell r="A759">
            <v>189710262</v>
          </cell>
          <cell r="B759">
            <v>761</v>
          </cell>
          <cell r="C759" t="str">
            <v>Mebeverine Tabs 135Mg (100'S)</v>
          </cell>
        </row>
        <row r="760">
          <cell r="A760">
            <v>180322990</v>
          </cell>
          <cell r="B760">
            <v>762</v>
          </cell>
          <cell r="C760" t="str">
            <v>Bicalutamide Tabs 50Mg (30'S)</v>
          </cell>
        </row>
        <row r="761">
          <cell r="A761">
            <v>189710624</v>
          </cell>
          <cell r="B761">
            <v>763</v>
          </cell>
          <cell r="C761" t="str">
            <v>Mitomycin Inj  2Mg</v>
          </cell>
        </row>
        <row r="762">
          <cell r="A762">
            <v>189714589</v>
          </cell>
          <cell r="B762">
            <v>764</v>
          </cell>
          <cell r="C762" t="str">
            <v>Tamoxifen Citrate Tabs 20Mg (30'S)</v>
          </cell>
        </row>
        <row r="763">
          <cell r="A763">
            <v>189710632</v>
          </cell>
          <cell r="B763">
            <v>765</v>
          </cell>
          <cell r="C763" t="str">
            <v>Vincristine Sulphate Inj 2Mg</v>
          </cell>
        </row>
        <row r="764">
          <cell r="A764">
            <v>181875225</v>
          </cell>
          <cell r="B764">
            <v>2000</v>
          </cell>
          <cell r="C764" t="str">
            <v>Lancets Blood Single Use</v>
          </cell>
        </row>
        <row r="765">
          <cell r="A765">
            <v>181932181</v>
          </cell>
          <cell r="B765">
            <v>2001</v>
          </cell>
          <cell r="C765" t="str">
            <v>Needle Disposable 18G X 1.5" (Pink)</v>
          </cell>
        </row>
        <row r="766">
          <cell r="A766">
            <v>181932179</v>
          </cell>
          <cell r="B766">
            <v>2002</v>
          </cell>
          <cell r="C766" t="str">
            <v>Needle Disposable 20G X 1.5" (Yellow)</v>
          </cell>
        </row>
        <row r="767">
          <cell r="A767">
            <v>181932178</v>
          </cell>
          <cell r="B767">
            <v>2003</v>
          </cell>
          <cell r="C767" t="str">
            <v>Needle Disposable 21G X 1.5" (Green)</v>
          </cell>
        </row>
        <row r="768">
          <cell r="A768">
            <v>181932177</v>
          </cell>
          <cell r="B768">
            <v>2004</v>
          </cell>
          <cell r="C768" t="str">
            <v>Needle Disposable 22G X 1.25" (Black)</v>
          </cell>
        </row>
        <row r="769">
          <cell r="A769">
            <v>181932176</v>
          </cell>
          <cell r="B769">
            <v>2005</v>
          </cell>
          <cell r="C769" t="str">
            <v>Needle Disposable 23G X 1" (Blue)</v>
          </cell>
        </row>
        <row r="770">
          <cell r="A770">
            <v>181932175</v>
          </cell>
          <cell r="B770">
            <v>2006</v>
          </cell>
          <cell r="C770" t="str">
            <v>Needle Disposable 25G X 0.6" (Orange)</v>
          </cell>
        </row>
        <row r="771">
          <cell r="A771">
            <v>181932174</v>
          </cell>
          <cell r="B771">
            <v>2007</v>
          </cell>
          <cell r="C771" t="str">
            <v>Needle Disposable 26G X 0.6" (Brown)</v>
          </cell>
        </row>
        <row r="772">
          <cell r="A772">
            <v>180219999</v>
          </cell>
          <cell r="B772">
            <v>2008</v>
          </cell>
          <cell r="C772" t="str">
            <v>Syringe Disposable  2Ml Two Part</v>
          </cell>
        </row>
        <row r="773">
          <cell r="A773">
            <v>180220000</v>
          </cell>
          <cell r="B773">
            <v>2009</v>
          </cell>
          <cell r="C773" t="str">
            <v>Syringe Disposable  5Ml Two Part</v>
          </cell>
        </row>
        <row r="774">
          <cell r="A774">
            <v>180220001</v>
          </cell>
          <cell r="B774">
            <v>2010</v>
          </cell>
          <cell r="C774" t="str">
            <v>Syringe Disposable 10Ml Two Part</v>
          </cell>
        </row>
        <row r="775">
          <cell r="A775">
            <v>180226586</v>
          </cell>
          <cell r="B775">
            <v>2011</v>
          </cell>
          <cell r="C775" t="str">
            <v>Syringe Disposable 20Ml Two Part</v>
          </cell>
        </row>
        <row r="776">
          <cell r="A776">
            <v>189715392</v>
          </cell>
          <cell r="B776">
            <v>2012</v>
          </cell>
          <cell r="C776" t="str">
            <v>Syringe Disposable 60Ml</v>
          </cell>
        </row>
        <row r="777">
          <cell r="A777">
            <v>181908027</v>
          </cell>
          <cell r="B777">
            <v>2013</v>
          </cell>
          <cell r="C777" t="str">
            <v>Syringe Disposable Insulin 1.0Ml</v>
          </cell>
        </row>
        <row r="778">
          <cell r="A778">
            <v>180329818</v>
          </cell>
          <cell r="B778">
            <v>2014</v>
          </cell>
          <cell r="C778" t="str">
            <v>Needle Biopsy Single 14G X  75Mm</v>
          </cell>
        </row>
        <row r="779">
          <cell r="A779">
            <v>180219810</v>
          </cell>
          <cell r="B779">
            <v>2015</v>
          </cell>
          <cell r="C779" t="str">
            <v>Needle Biopsy Single 14G X 114Mm</v>
          </cell>
        </row>
        <row r="780">
          <cell r="A780">
            <v>189706262</v>
          </cell>
          <cell r="B780">
            <v>2016</v>
          </cell>
          <cell r="C780" t="str">
            <v>Needle Disposable Spinal 18G X 3.5"(90Mm)</v>
          </cell>
        </row>
        <row r="781">
          <cell r="A781">
            <v>181916239</v>
          </cell>
          <cell r="B781">
            <v>2017</v>
          </cell>
          <cell r="C781" t="str">
            <v>Test H I V Initial (Screening Test)</v>
          </cell>
        </row>
        <row r="782">
          <cell r="A782">
            <v>181932184</v>
          </cell>
          <cell r="B782">
            <v>2018</v>
          </cell>
          <cell r="C782" t="str">
            <v>Needle Disposable Spinal 22G X 3.5"(90Mm)</v>
          </cell>
        </row>
        <row r="783">
          <cell r="A783">
            <v>181908018</v>
          </cell>
          <cell r="B783">
            <v>2019</v>
          </cell>
          <cell r="C783" t="str">
            <v>Needle Disposable Spinal 25G X 3.5"(90Mm)</v>
          </cell>
        </row>
        <row r="784">
          <cell r="A784">
            <v>189702865</v>
          </cell>
          <cell r="B784">
            <v>2020</v>
          </cell>
          <cell r="C784" t="str">
            <v>Needle Disposable Dental Long  27G</v>
          </cell>
        </row>
        <row r="785">
          <cell r="A785">
            <v>189706937</v>
          </cell>
          <cell r="B785">
            <v>2021</v>
          </cell>
          <cell r="C785" t="str">
            <v>Needle Disposable Dental Short 30G</v>
          </cell>
        </row>
        <row r="786">
          <cell r="A786">
            <v>180019360</v>
          </cell>
          <cell r="B786">
            <v>2022</v>
          </cell>
          <cell r="C786" t="str">
            <v>Admin Set Blood Plasma 10 Drops 18G Needle</v>
          </cell>
        </row>
        <row r="787">
          <cell r="A787">
            <v>180034708</v>
          </cell>
          <cell r="B787">
            <v>2023</v>
          </cell>
          <cell r="C787" t="str">
            <v>Admin Set Blood 10 Drops Adult</v>
          </cell>
        </row>
        <row r="788">
          <cell r="A788">
            <v>180034561</v>
          </cell>
          <cell r="B788">
            <v>2024</v>
          </cell>
          <cell r="C788" t="str">
            <v>Admin Set Control Volume (Fluids) 50Ml</v>
          </cell>
        </row>
        <row r="789">
          <cell r="A789">
            <v>180965681</v>
          </cell>
          <cell r="B789">
            <v>2025</v>
          </cell>
          <cell r="C789" t="str">
            <v>Admin Set Fluid 20 Drops Adult</v>
          </cell>
        </row>
        <row r="790">
          <cell r="A790">
            <v>180965679</v>
          </cell>
          <cell r="B790">
            <v>2026</v>
          </cell>
          <cell r="C790" t="str">
            <v>Admin Set Fluid 60 Drops Paediatric</v>
          </cell>
        </row>
        <row r="791">
          <cell r="A791">
            <v>189711169</v>
          </cell>
          <cell r="B791">
            <v>2027</v>
          </cell>
          <cell r="C791" t="str">
            <v>Admin Set Control Volume (Blood &amp; T P N) 150Ml</v>
          </cell>
        </row>
        <row r="792">
          <cell r="A792">
            <v>189711169</v>
          </cell>
          <cell r="B792">
            <v>2028</v>
          </cell>
          <cell r="C792" t="str">
            <v>Admin Set Control Volume &amp; Membrane (Fluid)</v>
          </cell>
        </row>
        <row r="793">
          <cell r="A793">
            <v>189705608</v>
          </cell>
          <cell r="B793">
            <v>2029</v>
          </cell>
          <cell r="C793" t="str">
            <v>Half Darrows + Glucose 5% 200Ml</v>
          </cell>
        </row>
        <row r="794">
          <cell r="A794">
            <v>189713827</v>
          </cell>
          <cell r="B794">
            <v>2030</v>
          </cell>
          <cell r="C794" t="str">
            <v>Sut Polyest 4/0 1/2Tp 13Mm Cardio</v>
          </cell>
        </row>
        <row r="795">
          <cell r="A795">
            <v>180211868</v>
          </cell>
          <cell r="B795">
            <v>2031</v>
          </cell>
          <cell r="C795" t="str">
            <v>Sut Synthabs 6/0 Flat Cutting 8Mm</v>
          </cell>
        </row>
        <row r="796">
          <cell r="A796">
            <v>180056346</v>
          </cell>
          <cell r="B796">
            <v>2032</v>
          </cell>
          <cell r="C796" t="str">
            <v>Neonatal Maintenance Potassium Free 200Ml</v>
          </cell>
        </row>
        <row r="797">
          <cell r="A797">
            <v>189761512</v>
          </cell>
          <cell r="B797">
            <v>2033</v>
          </cell>
          <cell r="C797" t="str">
            <v>Sodium Chl 0.45% &amp; Glucose 2.5% 1000Ml</v>
          </cell>
        </row>
        <row r="798">
          <cell r="A798">
            <v>189761516</v>
          </cell>
          <cell r="B798">
            <v>2034</v>
          </cell>
          <cell r="C798" t="str">
            <v>Dextrose  5% Sol For Iv Infus  200Ml</v>
          </cell>
        </row>
        <row r="799">
          <cell r="A799">
            <v>180018990</v>
          </cell>
          <cell r="B799">
            <v>2035</v>
          </cell>
          <cell r="C799" t="str">
            <v>Dextrose  5% Sol For Iv Infus 1000Ml</v>
          </cell>
        </row>
        <row r="800">
          <cell r="A800">
            <v>189711067</v>
          </cell>
          <cell r="B800">
            <v>2036</v>
          </cell>
          <cell r="C800" t="str">
            <v>Sodium Chl 0.9% &amp; Glucose 5% 1000Ml</v>
          </cell>
        </row>
        <row r="801">
          <cell r="A801">
            <v>189715161</v>
          </cell>
          <cell r="B801">
            <v>2037</v>
          </cell>
          <cell r="C801" t="str">
            <v>Admin Device Controlled Flow (5Ml-250Ml/hour)</v>
          </cell>
        </row>
        <row r="802">
          <cell r="A802">
            <v>189715211</v>
          </cell>
          <cell r="B802">
            <v>2038</v>
          </cell>
          <cell r="C802" t="str">
            <v>Winged Infusion Set Continuous 19G</v>
          </cell>
        </row>
        <row r="803">
          <cell r="A803">
            <v>180034596</v>
          </cell>
          <cell r="B803">
            <v>2039</v>
          </cell>
          <cell r="C803" t="str">
            <v>Winged Infusion Set Continuous 21G</v>
          </cell>
        </row>
        <row r="804">
          <cell r="A804">
            <v>180034613</v>
          </cell>
          <cell r="B804">
            <v>2040</v>
          </cell>
          <cell r="C804" t="str">
            <v>Winged Infusion Set Continuous 23G</v>
          </cell>
        </row>
        <row r="805">
          <cell r="A805">
            <v>180040414</v>
          </cell>
          <cell r="B805">
            <v>2041</v>
          </cell>
          <cell r="C805" t="str">
            <v>Winged Infusion Set Intermitt 19G</v>
          </cell>
        </row>
        <row r="806">
          <cell r="A806">
            <v>189715212</v>
          </cell>
          <cell r="B806">
            <v>2042</v>
          </cell>
          <cell r="C806" t="str">
            <v>Winged Infusion Set Intermitt 21G</v>
          </cell>
        </row>
        <row r="807">
          <cell r="A807">
            <v>189715213</v>
          </cell>
          <cell r="B807">
            <v>2043</v>
          </cell>
          <cell r="C807" t="str">
            <v>Winged Infusion Set Intermitt 23G</v>
          </cell>
        </row>
        <row r="808">
          <cell r="A808">
            <v>180034900</v>
          </cell>
          <cell r="B808">
            <v>2044</v>
          </cell>
          <cell r="C808" t="str">
            <v>Intravenous Cannula 14G</v>
          </cell>
        </row>
        <row r="809">
          <cell r="A809">
            <v>180192388</v>
          </cell>
          <cell r="B809">
            <v>2045</v>
          </cell>
          <cell r="C809" t="str">
            <v>Intravenous Cannula 16G</v>
          </cell>
        </row>
        <row r="810">
          <cell r="A810">
            <v>180007195</v>
          </cell>
          <cell r="B810">
            <v>2046</v>
          </cell>
          <cell r="C810" t="str">
            <v>Intravenous Cannula 18G</v>
          </cell>
        </row>
        <row r="811">
          <cell r="A811">
            <v>180192393</v>
          </cell>
          <cell r="B811">
            <v>2047</v>
          </cell>
          <cell r="C811" t="str">
            <v>Intravenous Cannula 20G</v>
          </cell>
        </row>
        <row r="812">
          <cell r="A812">
            <v>180192392</v>
          </cell>
          <cell r="B812">
            <v>2048</v>
          </cell>
          <cell r="C812" t="str">
            <v>Intravenous Cannula 22G</v>
          </cell>
        </row>
        <row r="813">
          <cell r="A813">
            <v>180109518</v>
          </cell>
          <cell r="B813">
            <v>2049</v>
          </cell>
          <cell r="C813" t="str">
            <v>Intravenous Cannula 24G</v>
          </cell>
        </row>
        <row r="814">
          <cell r="A814">
            <v>180058953</v>
          </cell>
          <cell r="B814">
            <v>2050</v>
          </cell>
          <cell r="C814" t="str">
            <v>Electrolyte No 2 Sol 1000Ml</v>
          </cell>
        </row>
        <row r="815">
          <cell r="A815">
            <v>180019333</v>
          </cell>
          <cell r="B815">
            <v>2051</v>
          </cell>
          <cell r="C815" t="str">
            <v>Maintelyte &amp; Dextrose 10% 1000Ml</v>
          </cell>
        </row>
        <row r="816">
          <cell r="A816">
            <v>180031182</v>
          </cell>
          <cell r="B816">
            <v>2052</v>
          </cell>
          <cell r="C816" t="str">
            <v>Maintelyte &amp; Dextrose  5% 1000Ml</v>
          </cell>
        </row>
        <row r="817">
          <cell r="A817">
            <v>180106599</v>
          </cell>
          <cell r="B817">
            <v>2053</v>
          </cell>
          <cell r="C817" t="str">
            <v>Mannitol Inj For I.V  20% 500Ml</v>
          </cell>
        </row>
        <row r="818">
          <cell r="A818">
            <v>189761561</v>
          </cell>
          <cell r="B818">
            <v>2054</v>
          </cell>
          <cell r="C818" t="str">
            <v>Mannitol For Irrigation 3000Ml</v>
          </cell>
        </row>
        <row r="819">
          <cell r="A819">
            <v>189711064</v>
          </cell>
          <cell r="B819">
            <v>2055</v>
          </cell>
          <cell r="C819" t="str">
            <v>Neonatal Maintenance Dextrose 10% 200Ml</v>
          </cell>
        </row>
        <row r="820">
          <cell r="A820">
            <v>180031056</v>
          </cell>
          <cell r="B820">
            <v>2056</v>
          </cell>
          <cell r="C820" t="str">
            <v>Plasmalyte B 1000Ml</v>
          </cell>
        </row>
        <row r="821">
          <cell r="A821">
            <v>189761537</v>
          </cell>
          <cell r="B821">
            <v>2057</v>
          </cell>
          <cell r="C821" t="str">
            <v>Ringer Lactate  200Ml</v>
          </cell>
        </row>
        <row r="822">
          <cell r="A822">
            <v>180035962</v>
          </cell>
          <cell r="B822">
            <v>2058</v>
          </cell>
          <cell r="C822" t="str">
            <v>Ringer Lactate Modified 1000Ml</v>
          </cell>
        </row>
        <row r="823">
          <cell r="A823">
            <v>189761551</v>
          </cell>
          <cell r="B823">
            <v>2059</v>
          </cell>
          <cell r="C823" t="str">
            <v>Sodium Chl 0.45% 1000Ml</v>
          </cell>
        </row>
        <row r="824">
          <cell r="A824">
            <v>180031088</v>
          </cell>
          <cell r="B824">
            <v>2060</v>
          </cell>
          <cell r="C824" t="str">
            <v>Sodium Chl 0.9%   200Ml</v>
          </cell>
        </row>
        <row r="825">
          <cell r="A825">
            <v>180031142</v>
          </cell>
          <cell r="B825">
            <v>2061</v>
          </cell>
          <cell r="C825" t="str">
            <v>Sodium Chl 0.9%  1000Ml</v>
          </cell>
        </row>
        <row r="826">
          <cell r="A826">
            <v>189761566</v>
          </cell>
          <cell r="B826">
            <v>2062</v>
          </cell>
          <cell r="C826" t="str">
            <v>Sodium Chl 0.9% Irrigation 1000Ml (Pour Bottle)</v>
          </cell>
        </row>
        <row r="827">
          <cell r="A827">
            <v>180006415</v>
          </cell>
          <cell r="B827">
            <v>2063</v>
          </cell>
          <cell r="C827" t="str">
            <v>Water For Irrigation 1000Ml (Pour Bottle)</v>
          </cell>
        </row>
        <row r="828">
          <cell r="A828">
            <v>189707113</v>
          </cell>
          <cell r="B828">
            <v>2064</v>
          </cell>
          <cell r="C828" t="str">
            <v>Bandage Conforming Gauze  25Mm</v>
          </cell>
        </row>
        <row r="829">
          <cell r="A829">
            <v>181932774</v>
          </cell>
          <cell r="B829">
            <v>2065</v>
          </cell>
          <cell r="C829" t="str">
            <v>Bandage Light Support 50Mmx4.5M Cotton Crepe</v>
          </cell>
        </row>
        <row r="830">
          <cell r="A830">
            <v>180233905</v>
          </cell>
          <cell r="B830">
            <v>2066</v>
          </cell>
          <cell r="C830" t="str">
            <v>Tube Endobroncheal Double Lumen 39Ch Left</v>
          </cell>
        </row>
        <row r="831">
          <cell r="A831">
            <v>181932776</v>
          </cell>
          <cell r="B831">
            <v>2067</v>
          </cell>
          <cell r="C831" t="str">
            <v>Bandage Light Support 100Mmx4.5M Cotton Crepe</v>
          </cell>
        </row>
        <row r="832">
          <cell r="A832">
            <v>181932777</v>
          </cell>
          <cell r="B832">
            <v>2068</v>
          </cell>
          <cell r="C832" t="str">
            <v>Bandage Light Support 150Mmx4.5M Cotton Crepe</v>
          </cell>
        </row>
        <row r="833">
          <cell r="A833">
            <v>189701725</v>
          </cell>
          <cell r="B833">
            <v>2069</v>
          </cell>
          <cell r="C833" t="str">
            <v>Bandage Cotton Crepe 50Mm</v>
          </cell>
        </row>
        <row r="834">
          <cell r="A834">
            <v>180057310</v>
          </cell>
          <cell r="B834">
            <v>2070</v>
          </cell>
          <cell r="C834" t="str">
            <v>Bandage Heavy Support 75Mm (Compression)</v>
          </cell>
        </row>
        <row r="835">
          <cell r="A835">
            <v>180057316</v>
          </cell>
          <cell r="B835">
            <v>2071</v>
          </cell>
          <cell r="C835" t="str">
            <v>Bandage Heavy Support 100Mm (Compression)</v>
          </cell>
        </row>
        <row r="836">
          <cell r="A836">
            <v>189701728</v>
          </cell>
          <cell r="B836">
            <v>2072</v>
          </cell>
          <cell r="C836" t="str">
            <v>Bandage Cotton Crepe 150Mm</v>
          </cell>
        </row>
        <row r="837">
          <cell r="A837">
            <v>180386556</v>
          </cell>
          <cell r="B837">
            <v>2073</v>
          </cell>
          <cell r="C837" t="str">
            <v>Test Malaria Rapid P. Falciparum</v>
          </cell>
        </row>
        <row r="838">
          <cell r="A838" t="str">
            <v>QUOTE EYE</v>
          </cell>
          <cell r="B838">
            <v>2074</v>
          </cell>
          <cell r="C838" t="str">
            <v>Knife Ophthalmic 19Ga V-Lance Blade</v>
          </cell>
        </row>
        <row r="839">
          <cell r="A839">
            <v>189714648</v>
          </cell>
          <cell r="B839">
            <v>2075</v>
          </cell>
          <cell r="C839" t="str">
            <v>~Potassium Hydroxyquinolone Sulphate Benzoyl Perox 25G</v>
          </cell>
        </row>
        <row r="840">
          <cell r="A840">
            <v>189753742</v>
          </cell>
          <cell r="B840">
            <v>2076</v>
          </cell>
          <cell r="C840" t="str">
            <v>Aspirin Tabs 300Mg Soluble (14'S)</v>
          </cell>
        </row>
        <row r="841">
          <cell r="A841">
            <v>189701750</v>
          </cell>
          <cell r="B841">
            <v>2077</v>
          </cell>
          <cell r="C841" t="str">
            <v>Bandage Cast P.O.P Roll Leno 50Mm</v>
          </cell>
        </row>
        <row r="842">
          <cell r="A842">
            <v>189701751</v>
          </cell>
          <cell r="B842">
            <v>2078</v>
          </cell>
          <cell r="C842" t="str">
            <v>Bandage Cast P.O.P Roll Leno 75Mm</v>
          </cell>
        </row>
        <row r="843">
          <cell r="A843">
            <v>189701752</v>
          </cell>
          <cell r="B843">
            <v>2079</v>
          </cell>
          <cell r="C843" t="str">
            <v>Bandage Cast P.O.P Roll Leno 100Mm</v>
          </cell>
        </row>
        <row r="844">
          <cell r="A844">
            <v>189701753</v>
          </cell>
          <cell r="B844">
            <v>2080</v>
          </cell>
          <cell r="C844" t="str">
            <v>Bandage Cast P.O.P Roll Leno 150Mm</v>
          </cell>
        </row>
        <row r="845">
          <cell r="A845">
            <v>189705243</v>
          </cell>
          <cell r="B845">
            <v>2081</v>
          </cell>
          <cell r="C845" t="str">
            <v>Bandage Cast P.O.P Roll Leno 200Mm</v>
          </cell>
        </row>
        <row r="846">
          <cell r="A846">
            <v>189712053</v>
          </cell>
          <cell r="B846">
            <v>2082</v>
          </cell>
          <cell r="C846" t="str">
            <v>Bandage Cast P.O.P Slab 100Mm</v>
          </cell>
        </row>
        <row r="847">
          <cell r="A847">
            <v>189712054</v>
          </cell>
          <cell r="B847">
            <v>2083</v>
          </cell>
          <cell r="C847" t="str">
            <v>Bandage Cast P.O.P Slab 150Mm</v>
          </cell>
        </row>
        <row r="848">
          <cell r="A848">
            <v>189701758</v>
          </cell>
          <cell r="B848">
            <v>2084</v>
          </cell>
          <cell r="C848" t="str">
            <v>Bandage Compression Porous Elastic Adhesive  25Mm</v>
          </cell>
        </row>
        <row r="849">
          <cell r="A849">
            <v>189713516</v>
          </cell>
          <cell r="B849">
            <v>2085</v>
          </cell>
          <cell r="C849" t="str">
            <v>Rifampicin Caps 450Mg (100'S)</v>
          </cell>
        </row>
        <row r="850">
          <cell r="A850">
            <v>189701760</v>
          </cell>
          <cell r="B850">
            <v>2086</v>
          </cell>
          <cell r="C850" t="str">
            <v>Bandage Compression Porous Elastic Adhesive  75Mm</v>
          </cell>
        </row>
        <row r="851">
          <cell r="A851">
            <v>180961926</v>
          </cell>
          <cell r="B851">
            <v>2088</v>
          </cell>
          <cell r="C851" t="str">
            <v>Syringe Safety 5Ml 21Gx40mm (0.8Mm) Needle</v>
          </cell>
        </row>
        <row r="852">
          <cell r="A852">
            <v>181817504</v>
          </cell>
          <cell r="B852">
            <v>2089</v>
          </cell>
          <cell r="C852" t="str">
            <v>~Rif60 Inh 30 Disp Tabs (28'S)</v>
          </cell>
        </row>
        <row r="853">
          <cell r="A853">
            <v>181879049</v>
          </cell>
          <cell r="B853">
            <v>2090</v>
          </cell>
          <cell r="C853" t="str">
            <v>Rif  60 Inh 60 Disp Tabs (56'S)</v>
          </cell>
        </row>
        <row r="854">
          <cell r="A854">
            <v>189703623</v>
          </cell>
          <cell r="B854">
            <v>2091</v>
          </cell>
          <cell r="C854" t="str">
            <v>Bandage Retention Tubular Elastic Sz 2  20Mm</v>
          </cell>
        </row>
        <row r="855">
          <cell r="A855">
            <v>189703625</v>
          </cell>
          <cell r="B855">
            <v>2092</v>
          </cell>
          <cell r="C855" t="str">
            <v>Bandage Retention Tubular Elastic Sz 3  30Mm</v>
          </cell>
        </row>
        <row r="856">
          <cell r="A856">
            <v>180342050</v>
          </cell>
          <cell r="B856">
            <v>2093</v>
          </cell>
          <cell r="C856" t="str">
            <v>~Rif  60 Inh 30 Pza 150 (Bulk/section21)</v>
          </cell>
        </row>
        <row r="857">
          <cell r="A857">
            <v>181817577</v>
          </cell>
          <cell r="B857">
            <v>2094</v>
          </cell>
          <cell r="C857" t="str">
            <v>~Rif  60 Inh 30 Pza 150 (56'S)</v>
          </cell>
        </row>
        <row r="858">
          <cell r="A858">
            <v>180161755</v>
          </cell>
          <cell r="B858">
            <v>2095</v>
          </cell>
          <cell r="C858" t="str">
            <v>~Cefuroxime 125Mg/5ml Susp 100Ml</v>
          </cell>
        </row>
        <row r="859">
          <cell r="A859">
            <v>180175071</v>
          </cell>
          <cell r="B859">
            <v>2096</v>
          </cell>
          <cell r="C859" t="str">
            <v>Bandage Retention Tubular Orthopaedic 100Mm</v>
          </cell>
        </row>
        <row r="860">
          <cell r="A860">
            <v>180175079</v>
          </cell>
          <cell r="B860">
            <v>2097</v>
          </cell>
          <cell r="C860" t="str">
            <v>Bandage Retention Tubular Orthopaedic 150Mm</v>
          </cell>
        </row>
        <row r="861">
          <cell r="A861">
            <v>180175081</v>
          </cell>
          <cell r="B861">
            <v>2098</v>
          </cell>
          <cell r="C861" t="str">
            <v>Bandage Retention Tubular Orthopaedic 200Mm</v>
          </cell>
        </row>
        <row r="862">
          <cell r="A862">
            <v>180175084</v>
          </cell>
          <cell r="B862">
            <v>2099</v>
          </cell>
          <cell r="C862" t="str">
            <v>Bandage Retention Tubular Orthopaedic 250Mm</v>
          </cell>
        </row>
        <row r="863">
          <cell r="A863">
            <v>180002810</v>
          </cell>
          <cell r="B863">
            <v>2100</v>
          </cell>
          <cell r="C863" t="str">
            <v>Vancomycin Inj 1G/30ml 30Ml</v>
          </cell>
        </row>
        <row r="864">
          <cell r="A864">
            <v>180282878</v>
          </cell>
          <cell r="B864">
            <v>2101</v>
          </cell>
          <cell r="C864" t="str">
            <v>Bandage Tubular Sustained  45Mm</v>
          </cell>
        </row>
        <row r="865">
          <cell r="A865">
            <v>180282879</v>
          </cell>
          <cell r="B865">
            <v>2102</v>
          </cell>
          <cell r="C865" t="str">
            <v>Bandage Tubular Sustained Size B 62.5Mm</v>
          </cell>
        </row>
        <row r="866">
          <cell r="A866">
            <v>180240820</v>
          </cell>
          <cell r="B866">
            <v>2103</v>
          </cell>
          <cell r="C866" t="str">
            <v>Bandage Tubular Sustained Size C 67.5Mm</v>
          </cell>
        </row>
        <row r="867">
          <cell r="A867">
            <v>180232886</v>
          </cell>
          <cell r="B867">
            <v>2104</v>
          </cell>
          <cell r="C867" t="str">
            <v>Bandage Tubular Sustained Size D 75Mm</v>
          </cell>
        </row>
        <row r="868">
          <cell r="A868">
            <v>181845376</v>
          </cell>
          <cell r="B868">
            <v>2105</v>
          </cell>
          <cell r="C868" t="str">
            <v>Bandage Tubular Sustained Size E 87.5Mm</v>
          </cell>
        </row>
        <row r="869">
          <cell r="A869">
            <v>180282881</v>
          </cell>
          <cell r="B869">
            <v>2106</v>
          </cell>
          <cell r="C869" t="str">
            <v>Bandage Tubular Sustained Size F 100Mm</v>
          </cell>
        </row>
        <row r="870">
          <cell r="A870">
            <v>180238178</v>
          </cell>
          <cell r="B870">
            <v>2107</v>
          </cell>
          <cell r="C870" t="str">
            <v>Bandage Tubular Sustained Size G 120Mm</v>
          </cell>
        </row>
        <row r="871">
          <cell r="A871">
            <v>181793241</v>
          </cell>
          <cell r="B871">
            <v>2108</v>
          </cell>
          <cell r="C871" t="str">
            <v>~Duloxetine 60Mg Tabs (28'S)</v>
          </cell>
        </row>
        <row r="872">
          <cell r="A872">
            <v>181817509</v>
          </cell>
          <cell r="B872">
            <v>2109</v>
          </cell>
          <cell r="C872" t="str">
            <v>~Rif 60 Inh 30 Disp Tabs (84'S)</v>
          </cell>
        </row>
        <row r="873">
          <cell r="A873">
            <v>189701746</v>
          </cell>
          <cell r="B873">
            <v>2110</v>
          </cell>
          <cell r="C873" t="str">
            <v>Bandage Retention W O W  75Mm</v>
          </cell>
        </row>
        <row r="874">
          <cell r="A874">
            <v>180973785</v>
          </cell>
          <cell r="B874">
            <v>2111</v>
          </cell>
          <cell r="C874" t="str">
            <v>Bandage Retention W O W 100Mm</v>
          </cell>
        </row>
        <row r="875">
          <cell r="A875" t="str">
            <v>QUOTE</v>
          </cell>
          <cell r="B875">
            <v>2112</v>
          </cell>
          <cell r="C875" t="str">
            <v>Gore-Tex Sutures Ptfe Cv-2 122Cm</v>
          </cell>
        </row>
        <row r="876">
          <cell r="A876">
            <v>189752731</v>
          </cell>
          <cell r="B876">
            <v>2113</v>
          </cell>
          <cell r="C876" t="str">
            <v>Tube Endobroncheal Double Lumen 41Ch Left</v>
          </cell>
        </row>
        <row r="877">
          <cell r="A877">
            <v>181790811</v>
          </cell>
          <cell r="B877">
            <v>2114</v>
          </cell>
          <cell r="C877" t="str">
            <v>Tolterodine L-Tartrate 4Mg Tablets (28'S)</v>
          </cell>
        </row>
        <row r="878">
          <cell r="A878">
            <v>189701764</v>
          </cell>
          <cell r="B878">
            <v>2115</v>
          </cell>
          <cell r="C878" t="str">
            <v>Cotton Wool Absorbent 500G Interleaved</v>
          </cell>
        </row>
        <row r="879">
          <cell r="A879">
            <v>189704611</v>
          </cell>
          <cell r="B879">
            <v>2116</v>
          </cell>
          <cell r="C879" t="str">
            <v>Cotton Wool Absorbent Balls Medium 1G</v>
          </cell>
        </row>
        <row r="880">
          <cell r="A880">
            <v>180279429</v>
          </cell>
          <cell r="B880">
            <v>2117</v>
          </cell>
          <cell r="C880" t="str">
            <v>~Mefloquine Tabs 250Mg (6'S)</v>
          </cell>
        </row>
        <row r="881">
          <cell r="A881">
            <v>180258200</v>
          </cell>
          <cell r="B881">
            <v>2119</v>
          </cell>
          <cell r="C881" t="str">
            <v>Tpn 3007A</v>
          </cell>
        </row>
        <row r="882">
          <cell r="A882">
            <v>180101098</v>
          </cell>
          <cell r="B882">
            <v>2121</v>
          </cell>
          <cell r="C882" t="str">
            <v>Fluconazole Inj 2Mg/ml I V Infusion 100Ml</v>
          </cell>
        </row>
        <row r="883">
          <cell r="A883">
            <v>180963720</v>
          </cell>
          <cell r="B883">
            <v>2122</v>
          </cell>
          <cell r="C883" t="str">
            <v>Dressing Wound Absorbent Charcoal Silver 105Mmx105mm</v>
          </cell>
        </row>
        <row r="884">
          <cell r="A884">
            <v>181760941</v>
          </cell>
          <cell r="B884">
            <v>2123</v>
          </cell>
          <cell r="C884" t="str">
            <v>Dressing Wound Absorbent Charcoal Silver 105Mmx190mm</v>
          </cell>
        </row>
        <row r="885">
          <cell r="A885" t="str">
            <v>QUOTE EYE</v>
          </cell>
          <cell r="B885">
            <v>2124</v>
          </cell>
          <cell r="C885" t="str">
            <v>Merocel Eye Spear 180 10/Pouch(spongette Triangular</v>
          </cell>
        </row>
        <row r="886">
          <cell r="A886">
            <v>189702882</v>
          </cell>
          <cell r="B886">
            <v>2125</v>
          </cell>
          <cell r="C886" t="str">
            <v>Dressing Paraffin Gauze 100Mmx100mm</v>
          </cell>
        </row>
        <row r="887">
          <cell r="A887">
            <v>180057791</v>
          </cell>
          <cell r="B887">
            <v>2126</v>
          </cell>
          <cell r="C887" t="str">
            <v>Dressing Paraffin Gauze  95Mmx 7M</v>
          </cell>
        </row>
        <row r="888">
          <cell r="A888">
            <v>180119640</v>
          </cell>
          <cell r="B888">
            <v>2127</v>
          </cell>
          <cell r="C888" t="str">
            <v>Dressing Post-Op Wound  83Mmx120mm</v>
          </cell>
        </row>
        <row r="889">
          <cell r="A889">
            <v>180115783</v>
          </cell>
          <cell r="B889">
            <v>2128</v>
          </cell>
          <cell r="C889" t="str">
            <v>Dressing Post-Op Wound  83Mmx180mm</v>
          </cell>
        </row>
        <row r="890">
          <cell r="A890">
            <v>180051455</v>
          </cell>
          <cell r="B890">
            <v>2129</v>
          </cell>
          <cell r="C890" t="str">
            <v>Dressing Post-Op Wound  83Mmx240mm</v>
          </cell>
        </row>
        <row r="891">
          <cell r="A891">
            <v>181767552</v>
          </cell>
          <cell r="B891">
            <v>2130</v>
          </cell>
          <cell r="C891" t="str">
            <v>Dressing Wound Protease Modulat  28Cm</v>
          </cell>
        </row>
        <row r="892">
          <cell r="A892">
            <v>181767553</v>
          </cell>
          <cell r="B892">
            <v>2131</v>
          </cell>
          <cell r="C892" t="str">
            <v>Dressing Wound Protease Modulat 123Cm</v>
          </cell>
        </row>
        <row r="893">
          <cell r="A893">
            <v>189713990</v>
          </cell>
          <cell r="B893">
            <v>2132</v>
          </cell>
          <cell r="C893" t="str">
            <v>Eye Pad Oval Autoclavable</v>
          </cell>
        </row>
        <row r="894">
          <cell r="A894">
            <v>189712059</v>
          </cell>
          <cell r="B894">
            <v>2133</v>
          </cell>
          <cell r="C894" t="str">
            <v>Felt Adhesive 230Mmx450mmx5mm</v>
          </cell>
        </row>
        <row r="895">
          <cell r="A895">
            <v>180973911</v>
          </cell>
          <cell r="B895">
            <v>2134</v>
          </cell>
          <cell r="C895" t="str">
            <v>Gauze Plugging Absorbent X-Ray 75Mmx900mm 12Ply</v>
          </cell>
        </row>
        <row r="896">
          <cell r="A896">
            <v>189701808</v>
          </cell>
          <cell r="B896">
            <v>2135</v>
          </cell>
          <cell r="C896" t="str">
            <v>Gauze Ribbon Absorbent Cotton 25Mmx10m</v>
          </cell>
        </row>
        <row r="897">
          <cell r="A897">
            <v>181845534</v>
          </cell>
          <cell r="B897">
            <v>2136</v>
          </cell>
          <cell r="C897" t="str">
            <v>Atazanavir 150Mg Capsule,(56)</v>
          </cell>
        </row>
        <row r="898">
          <cell r="A898">
            <v>189712661</v>
          </cell>
          <cell r="B898">
            <v>2137</v>
          </cell>
          <cell r="C898" t="str">
            <v>Oxidised Cellulose Absorbable Gauze  50Mmx70mm</v>
          </cell>
        </row>
        <row r="899">
          <cell r="A899">
            <v>189701729</v>
          </cell>
          <cell r="B899">
            <v>2138</v>
          </cell>
          <cell r="C899" t="str">
            <v>Padding Orthopaedic Natural   50Mm</v>
          </cell>
        </row>
        <row r="900">
          <cell r="A900">
            <v>189701730</v>
          </cell>
          <cell r="B900">
            <v>2139</v>
          </cell>
          <cell r="C900" t="str">
            <v>Padding Orthopaedic Natural   75Mm</v>
          </cell>
        </row>
        <row r="901">
          <cell r="A901">
            <v>189701731</v>
          </cell>
          <cell r="B901">
            <v>2140</v>
          </cell>
          <cell r="C901" t="str">
            <v>Padding Orthopaedic Natural  100Mm</v>
          </cell>
        </row>
        <row r="902">
          <cell r="A902">
            <v>189701732</v>
          </cell>
          <cell r="B902">
            <v>2141</v>
          </cell>
          <cell r="C902" t="str">
            <v>Padding Orthopaedic Natural  150Mm</v>
          </cell>
        </row>
        <row r="903">
          <cell r="A903">
            <v>189710276</v>
          </cell>
          <cell r="B903">
            <v>2142</v>
          </cell>
          <cell r="C903" t="str">
            <v>~Pizotifen 0.5Mg Tabs (100'S)</v>
          </cell>
        </row>
        <row r="904">
          <cell r="A904" t="str">
            <v>QUOTE EYE</v>
          </cell>
          <cell r="B904">
            <v>2144</v>
          </cell>
          <cell r="C904" t="str">
            <v>Sut Polyest 11/0 1/2Sp 30Cm</v>
          </cell>
        </row>
        <row r="905">
          <cell r="A905">
            <v>180072329</v>
          </cell>
          <cell r="B905">
            <v>2149</v>
          </cell>
          <cell r="C905" t="str">
            <v>Skin Traction Kit Adult</v>
          </cell>
        </row>
        <row r="906">
          <cell r="A906">
            <v>189705314</v>
          </cell>
          <cell r="B906">
            <v>2150</v>
          </cell>
          <cell r="C906" t="str">
            <v>Skin Traction Kit Child</v>
          </cell>
        </row>
        <row r="907">
          <cell r="A907">
            <v>180312708</v>
          </cell>
          <cell r="B907">
            <v>2151</v>
          </cell>
          <cell r="C907" t="str">
            <v>Sponge Gelatin Absorbable 70Mmx50mmx 1Mm</v>
          </cell>
        </row>
        <row r="908">
          <cell r="A908">
            <v>189705303</v>
          </cell>
          <cell r="B908">
            <v>2152</v>
          </cell>
          <cell r="C908" t="str">
            <v>Swabs Abdominal X-Ray 170Mmx200mm  8G</v>
          </cell>
        </row>
        <row r="909">
          <cell r="A909">
            <v>189705023</v>
          </cell>
          <cell r="B909">
            <v>2153</v>
          </cell>
          <cell r="C909" t="str">
            <v>Swabs Abdominal X-Ray 370Mmx450mm 36G</v>
          </cell>
        </row>
        <row r="910">
          <cell r="A910">
            <v>189703187</v>
          </cell>
          <cell r="B910">
            <v>2154</v>
          </cell>
          <cell r="C910" t="str">
            <v>~Swabs Gauze Green 100Mmx100mm 12Ply</v>
          </cell>
        </row>
        <row r="911">
          <cell r="A911">
            <v>189711679</v>
          </cell>
          <cell r="B911">
            <v>2155</v>
          </cell>
          <cell r="C911" t="str">
            <v>~Pentoxyfylline Tabs 400Mg (100'S)</v>
          </cell>
        </row>
        <row r="912">
          <cell r="A912">
            <v>4142</v>
          </cell>
          <cell r="B912">
            <v>2156</v>
          </cell>
          <cell r="C912" t="str">
            <v>Dressing Biatain-Ibu Softhold 10X20cm</v>
          </cell>
        </row>
        <row r="913">
          <cell r="A913">
            <v>189712072</v>
          </cell>
          <cell r="B913">
            <v>2157</v>
          </cell>
          <cell r="C913" t="str">
            <v>Swabs Gauze Absorbent 100Mmx100mm  8 Ply Non-Sterile</v>
          </cell>
        </row>
        <row r="914">
          <cell r="A914">
            <v>189705320</v>
          </cell>
          <cell r="B914">
            <v>2158</v>
          </cell>
          <cell r="C914" t="str">
            <v>~Swabs Gauze Absorbent 100Mmx100mm 12Ply</v>
          </cell>
        </row>
        <row r="915">
          <cell r="A915">
            <v>189712074</v>
          </cell>
          <cell r="B915">
            <v>2159</v>
          </cell>
          <cell r="C915" t="str">
            <v>~Swabs Gauze X-Ray   75Mmx75mm 12Ply</v>
          </cell>
        </row>
        <row r="916">
          <cell r="A916">
            <v>181808910</v>
          </cell>
          <cell r="B916">
            <v>2160</v>
          </cell>
          <cell r="C916" t="str">
            <v>Glove Exam Synt P/l Free Small</v>
          </cell>
        </row>
        <row r="917">
          <cell r="A917">
            <v>189705873</v>
          </cell>
          <cell r="B917">
            <v>2161</v>
          </cell>
          <cell r="C917" t="str">
            <v>Swabs Alcohol  24Mmx30mm</v>
          </cell>
        </row>
        <row r="918">
          <cell r="A918">
            <v>189707122</v>
          </cell>
          <cell r="B918">
            <v>2162</v>
          </cell>
          <cell r="C918" t="str">
            <v>Swabs Cleansing   65Mm</v>
          </cell>
        </row>
        <row r="919">
          <cell r="A919">
            <v>180290833</v>
          </cell>
          <cell r="B919">
            <v>2163</v>
          </cell>
          <cell r="C919" t="str">
            <v>Swabs Surgical Dissecting X-Ray 10Mm</v>
          </cell>
        </row>
        <row r="920">
          <cell r="A920" t="str">
            <v>QUOTE</v>
          </cell>
          <cell r="B920">
            <v>2164</v>
          </cell>
          <cell r="C920" t="str">
            <v>Swabs Tonsil  25Mmx100mm 100</v>
          </cell>
        </row>
        <row r="921">
          <cell r="A921" t="str">
            <v>QUOTE EYE</v>
          </cell>
          <cell r="B921">
            <v>2165</v>
          </cell>
          <cell r="C921" t="str">
            <v>Sut Nylon 10/0 30Cm Black</v>
          </cell>
        </row>
        <row r="922">
          <cell r="A922">
            <v>181931954</v>
          </cell>
          <cell r="B922">
            <v>2166</v>
          </cell>
          <cell r="C922" t="str">
            <v>Tape Surgical Adhesive Paper  25Mm X 5M</v>
          </cell>
        </row>
        <row r="923">
          <cell r="A923">
            <v>189705318</v>
          </cell>
          <cell r="B923">
            <v>2167</v>
          </cell>
          <cell r="C923" t="str">
            <v>~Tape Surgical Microporous  50Mm</v>
          </cell>
        </row>
        <row r="924">
          <cell r="A924">
            <v>181931956</v>
          </cell>
          <cell r="B924">
            <v>2168</v>
          </cell>
          <cell r="C924" t="str">
            <v>Tape Surgical Adhesive Paper  75Mm X 5M</v>
          </cell>
        </row>
        <row r="925">
          <cell r="A925">
            <v>189715623</v>
          </cell>
          <cell r="B925">
            <v>2169</v>
          </cell>
          <cell r="C925" t="str">
            <v>Admin Set Blood 10 Drops High Capacity</v>
          </cell>
        </row>
        <row r="926">
          <cell r="A926">
            <v>180059305</v>
          </cell>
          <cell r="B926">
            <v>2170</v>
          </cell>
          <cell r="C926" t="str">
            <v>Tape Zinc Oxide Surgical Adhesive 25Mm</v>
          </cell>
        </row>
        <row r="927">
          <cell r="A927">
            <v>180177501</v>
          </cell>
          <cell r="B927">
            <v>2171</v>
          </cell>
          <cell r="C927" t="str">
            <v>Sheath Incontinence 25-Small No Latex</v>
          </cell>
        </row>
        <row r="928">
          <cell r="A928">
            <v>180059314</v>
          </cell>
          <cell r="B928">
            <v>2172</v>
          </cell>
          <cell r="C928" t="str">
            <v>Tape Zinc Oxide Surgical Adhesive 75Mm</v>
          </cell>
        </row>
        <row r="929">
          <cell r="A929">
            <v>180009240</v>
          </cell>
          <cell r="B929">
            <v>2173</v>
          </cell>
          <cell r="C929" t="str">
            <v>Tape Autoclave Adhesive 12Mm</v>
          </cell>
        </row>
        <row r="930">
          <cell r="A930">
            <v>180177513</v>
          </cell>
          <cell r="B930">
            <v>2174</v>
          </cell>
          <cell r="C930" t="str">
            <v>Sheath Incontinence 30-Medium No Latex</v>
          </cell>
        </row>
        <row r="931">
          <cell r="A931">
            <v>180158744</v>
          </cell>
          <cell r="B931">
            <v>2175</v>
          </cell>
          <cell r="C931" t="str">
            <v>Bag Sterilization  No  3</v>
          </cell>
        </row>
        <row r="932">
          <cell r="A932">
            <v>180158748</v>
          </cell>
          <cell r="B932">
            <v>2176</v>
          </cell>
          <cell r="C932" t="str">
            <v>Bag Sterilization  No  4</v>
          </cell>
        </row>
        <row r="933">
          <cell r="A933">
            <v>180158751</v>
          </cell>
          <cell r="B933">
            <v>2177</v>
          </cell>
          <cell r="C933" t="str">
            <v>Bag Sterilization  No  5</v>
          </cell>
        </row>
        <row r="934">
          <cell r="A934">
            <v>180973899</v>
          </cell>
          <cell r="B934">
            <v>2178</v>
          </cell>
          <cell r="C934" t="str">
            <v>Dressing Wound Abs. Adh.Border Sacral 18(22)X18(22)</v>
          </cell>
        </row>
        <row r="935">
          <cell r="A935">
            <v>180158754</v>
          </cell>
          <cell r="B935">
            <v>2179</v>
          </cell>
          <cell r="C935" t="str">
            <v>Bag Sterilization  No  7</v>
          </cell>
        </row>
        <row r="936">
          <cell r="A936">
            <v>180158757</v>
          </cell>
          <cell r="B936">
            <v>2180</v>
          </cell>
          <cell r="C936" t="str">
            <v>Bag Sterilization  No  8</v>
          </cell>
        </row>
        <row r="937">
          <cell r="A937">
            <v>189708894</v>
          </cell>
          <cell r="B937">
            <v>2181</v>
          </cell>
          <cell r="C937" t="str">
            <v>~Cefuroxime 250Mg Injection</v>
          </cell>
        </row>
        <row r="938">
          <cell r="A938">
            <v>180158761</v>
          </cell>
          <cell r="B938">
            <v>2182</v>
          </cell>
          <cell r="C938" t="str">
            <v>Bag Sterilization  No 11</v>
          </cell>
        </row>
        <row r="939">
          <cell r="A939">
            <v>180158769</v>
          </cell>
          <cell r="B939">
            <v>2183</v>
          </cell>
          <cell r="C939" t="str">
            <v>Bag Sterilization  No 12</v>
          </cell>
        </row>
        <row r="940">
          <cell r="A940">
            <v>180082906</v>
          </cell>
          <cell r="B940">
            <v>2184</v>
          </cell>
          <cell r="C940" t="str">
            <v>Immunoglobulin, Human, Normal 2.5-3G Inj.</v>
          </cell>
        </row>
        <row r="941">
          <cell r="A941">
            <v>180082250</v>
          </cell>
          <cell r="B941">
            <v>2185</v>
          </cell>
          <cell r="C941" t="str">
            <v>Immunoglobulin, Human, Normal 1G Inject.</v>
          </cell>
        </row>
        <row r="942">
          <cell r="A942" t="str">
            <v>RT 276</v>
          </cell>
          <cell r="B942">
            <v>2186</v>
          </cell>
          <cell r="C942" t="str">
            <v>Sanitary Towels Maternity With Loops</v>
          </cell>
        </row>
        <row r="943">
          <cell r="A943">
            <v>181799367</v>
          </cell>
          <cell r="B943">
            <v>2187</v>
          </cell>
          <cell r="C943" t="str">
            <v>Total Phospholipids 240Mg/3ml Vial</v>
          </cell>
        </row>
        <row r="944">
          <cell r="A944">
            <v>189705629</v>
          </cell>
          <cell r="B944">
            <v>2188</v>
          </cell>
          <cell r="C944" t="str">
            <v>Bottle Amber Rectan Plastic  50Ml</v>
          </cell>
        </row>
        <row r="945">
          <cell r="A945">
            <v>189705631</v>
          </cell>
          <cell r="B945">
            <v>2189</v>
          </cell>
          <cell r="C945" t="str">
            <v>Bottle Amber Rectan Plastic 100Ml</v>
          </cell>
        </row>
        <row r="946">
          <cell r="A946">
            <v>189705633</v>
          </cell>
          <cell r="B946">
            <v>2190</v>
          </cell>
          <cell r="C946" t="str">
            <v>Bottle Amber Rectan Plastic 200Ml</v>
          </cell>
        </row>
        <row r="947">
          <cell r="A947">
            <v>180013033</v>
          </cell>
          <cell r="B947">
            <v>2191</v>
          </cell>
          <cell r="C947" t="str">
            <v>Bottle Amber Round Plastic 500Ml</v>
          </cell>
        </row>
        <row r="948">
          <cell r="A948">
            <v>180028879</v>
          </cell>
          <cell r="B948">
            <v>2192</v>
          </cell>
          <cell r="C948" t="str">
            <v>Bottle Dropper Eye 15Ml</v>
          </cell>
        </row>
        <row r="949">
          <cell r="A949">
            <v>181798157</v>
          </cell>
          <cell r="B949">
            <v>4001</v>
          </cell>
          <cell r="C949" t="str">
            <v>Hydralazine Tabs 25Mg (56'S)</v>
          </cell>
        </row>
        <row r="950">
          <cell r="A950">
            <v>180158856</v>
          </cell>
          <cell r="B950">
            <v>2194</v>
          </cell>
          <cell r="C950" t="str">
            <v>Bottle Spray Cap Fit Screw Neck 28/400 (#2191)</v>
          </cell>
        </row>
        <row r="951">
          <cell r="A951">
            <v>180009282</v>
          </cell>
          <cell r="B951">
            <v>2195</v>
          </cell>
          <cell r="C951" t="str">
            <v>Cap Theatre Green (Balaclava)</v>
          </cell>
        </row>
        <row r="952">
          <cell r="A952">
            <v>180323803</v>
          </cell>
          <cell r="B952">
            <v>2196</v>
          </cell>
          <cell r="C952" t="str">
            <v>Digoxin Tabs 0.25Mg (14'S)</v>
          </cell>
        </row>
        <row r="953">
          <cell r="A953">
            <v>180967261</v>
          </cell>
          <cell r="B953">
            <v>2197</v>
          </cell>
          <cell r="C953" t="str">
            <v>Clamps Umbilical Cord</v>
          </cell>
        </row>
        <row r="954">
          <cell r="A954">
            <v>180295467</v>
          </cell>
          <cell r="B954">
            <v>2198</v>
          </cell>
          <cell r="C954" t="str">
            <v>Collar Cervical Foam Large</v>
          </cell>
        </row>
        <row r="955">
          <cell r="A955">
            <v>180295463</v>
          </cell>
          <cell r="B955">
            <v>2200</v>
          </cell>
          <cell r="C955" t="str">
            <v>Collar Cervical Foam Medium</v>
          </cell>
        </row>
        <row r="956">
          <cell r="A956">
            <v>180295461</v>
          </cell>
          <cell r="B956">
            <v>2202</v>
          </cell>
          <cell r="C956" t="str">
            <v>Collar Cervical Foam Small</v>
          </cell>
        </row>
        <row r="957">
          <cell r="A957">
            <v>180012892</v>
          </cell>
          <cell r="B957">
            <v>2204</v>
          </cell>
          <cell r="C957" t="str">
            <v>Mask Surgical Theatre Filter &gt; 99%</v>
          </cell>
        </row>
        <row r="958">
          <cell r="A958">
            <v>180009400</v>
          </cell>
          <cell r="B958">
            <v>2205</v>
          </cell>
          <cell r="C958" t="str">
            <v>Mask Face Ward Queen Charlotte</v>
          </cell>
        </row>
        <row r="959">
          <cell r="A959">
            <v>180339414</v>
          </cell>
          <cell r="B959">
            <v>2206</v>
          </cell>
          <cell r="C959" t="str">
            <v>Carbamazepine Tabs 200Mg (56'S)</v>
          </cell>
        </row>
        <row r="960">
          <cell r="A960">
            <v>180339437</v>
          </cell>
          <cell r="B960">
            <v>2207</v>
          </cell>
          <cell r="C960" t="str">
            <v>Carbamazepine Tabs 200Mg (84'S)</v>
          </cell>
        </row>
        <row r="961">
          <cell r="A961" t="str">
            <v>QUOTE EYE</v>
          </cell>
          <cell r="B961">
            <v>2208</v>
          </cell>
          <cell r="C961" t="str">
            <v>Sut Polyprop 10/0 Straight And Curved Needle 30Cm</v>
          </cell>
        </row>
        <row r="962">
          <cell r="A962" t="str">
            <v>MOTIVATION</v>
          </cell>
          <cell r="B962">
            <v>2209</v>
          </cell>
          <cell r="C962" t="str">
            <v>Epoetin Alfa 100Mcg/0.3Ml</v>
          </cell>
        </row>
        <row r="963">
          <cell r="A963" t="str">
            <v>QUOTE</v>
          </cell>
          <cell r="B963">
            <v>2210</v>
          </cell>
          <cell r="C963" t="str">
            <v>~Form Provincial Doctors Box</v>
          </cell>
        </row>
        <row r="964">
          <cell r="A964" t="str">
            <v>QUOTE</v>
          </cell>
          <cell r="B964">
            <v>2211</v>
          </cell>
          <cell r="C964" t="str">
            <v>Artesunate 60Mg Vial</v>
          </cell>
        </row>
        <row r="965">
          <cell r="A965">
            <v>189713535</v>
          </cell>
          <cell r="B965">
            <v>2212</v>
          </cell>
          <cell r="C965" t="str">
            <v>Glove Examination Latex  Large</v>
          </cell>
        </row>
        <row r="966">
          <cell r="A966">
            <v>189713534</v>
          </cell>
          <cell r="B966">
            <v>2213</v>
          </cell>
          <cell r="C966" t="str">
            <v>Glove Examination Latex  Medium</v>
          </cell>
        </row>
        <row r="967">
          <cell r="A967">
            <v>189713533</v>
          </cell>
          <cell r="B967">
            <v>2214</v>
          </cell>
          <cell r="C967" t="str">
            <v>Glove Examination Latex  Small</v>
          </cell>
        </row>
        <row r="968">
          <cell r="A968">
            <v>180169317</v>
          </cell>
          <cell r="B968">
            <v>2215</v>
          </cell>
          <cell r="C968" t="str">
            <v>Haemosolvate Factor 9 500Iu 10Ml</v>
          </cell>
        </row>
        <row r="969">
          <cell r="A969">
            <v>181750136</v>
          </cell>
          <cell r="B969">
            <v>2216</v>
          </cell>
          <cell r="C969" t="str">
            <v>Glove Surgical Non Latex Size 6.5</v>
          </cell>
        </row>
        <row r="970">
          <cell r="A970" t="str">
            <v>QUOTE EYE</v>
          </cell>
          <cell r="B970">
            <v>2217</v>
          </cell>
          <cell r="C970" t="str">
            <v>Sut Polyprop 10/0 3/8Tc 20Cm Blue Mono</v>
          </cell>
        </row>
        <row r="971">
          <cell r="A971" t="str">
            <v>QUOTE EYE</v>
          </cell>
          <cell r="B971">
            <v>2218</v>
          </cell>
          <cell r="C971" t="str">
            <v>Sut Polyest 5/0 45Cm White Braided</v>
          </cell>
        </row>
        <row r="972">
          <cell r="A972">
            <v>180282649</v>
          </cell>
          <cell r="B972">
            <v>2219</v>
          </cell>
          <cell r="C972" t="str">
            <v>Magnesium Chloride 500-700Mg S R Tabs (60'S)</v>
          </cell>
        </row>
        <row r="973">
          <cell r="A973">
            <v>181750138</v>
          </cell>
          <cell r="B973">
            <v>2220</v>
          </cell>
          <cell r="C973" t="str">
            <v>Glove Surgical Non Latex Size 7.0</v>
          </cell>
        </row>
        <row r="974">
          <cell r="A974">
            <v>180075722</v>
          </cell>
          <cell r="B974">
            <v>2221</v>
          </cell>
          <cell r="C974" t="str">
            <v>~Chlomipramine Hcl 12.5Mg/ml 2Ml Inj</v>
          </cell>
        </row>
        <row r="975">
          <cell r="A975">
            <v>180008342</v>
          </cell>
          <cell r="B975">
            <v>2222</v>
          </cell>
          <cell r="C975" t="str">
            <v>Glove Surgical Latex Long Size 6.0</v>
          </cell>
        </row>
        <row r="976">
          <cell r="A976">
            <v>180008344</v>
          </cell>
          <cell r="B976">
            <v>2223</v>
          </cell>
          <cell r="C976" t="str">
            <v>Glove Surgical Latex Long Size 6.5</v>
          </cell>
        </row>
        <row r="977">
          <cell r="A977">
            <v>180008346</v>
          </cell>
          <cell r="B977">
            <v>2224</v>
          </cell>
          <cell r="C977" t="str">
            <v>Glove Surgical Latex Long Size 7.0</v>
          </cell>
        </row>
        <row r="978">
          <cell r="A978">
            <v>180008349</v>
          </cell>
          <cell r="B978">
            <v>2225</v>
          </cell>
          <cell r="C978" t="str">
            <v>Glove Surgical Latex Long Size 7.5</v>
          </cell>
        </row>
        <row r="979">
          <cell r="A979">
            <v>180008353</v>
          </cell>
          <cell r="B979">
            <v>2226</v>
          </cell>
          <cell r="C979" t="str">
            <v>Glove Surgical Latex Long Size 8.0</v>
          </cell>
        </row>
        <row r="980">
          <cell r="A980">
            <v>180008356</v>
          </cell>
          <cell r="B980">
            <v>2227</v>
          </cell>
          <cell r="C980" t="str">
            <v>Glove Surgical Latex Long Size 8.5</v>
          </cell>
        </row>
        <row r="981">
          <cell r="A981">
            <v>189714493</v>
          </cell>
          <cell r="B981">
            <v>2228</v>
          </cell>
          <cell r="C981" t="str">
            <v>Indapamide Tabs 2.5Mg (30'S)</v>
          </cell>
        </row>
        <row r="982">
          <cell r="A982">
            <v>189708030</v>
          </cell>
          <cell r="B982">
            <v>2236</v>
          </cell>
          <cell r="C982" t="str">
            <v>~Erythromycin Topical Lotion 20Mg/ml</v>
          </cell>
        </row>
        <row r="983">
          <cell r="A983">
            <v>189703389</v>
          </cell>
          <cell r="B983">
            <v>2237</v>
          </cell>
          <cell r="C983" t="str">
            <v>Measure Spoon Medical  5Ml</v>
          </cell>
        </row>
        <row r="984">
          <cell r="A984" t="str">
            <v>RT 189</v>
          </cell>
          <cell r="B984">
            <v>2238</v>
          </cell>
          <cell r="C984" t="str">
            <v>Razor Blades Safety</v>
          </cell>
        </row>
        <row r="985">
          <cell r="A985">
            <v>181892379</v>
          </cell>
          <cell r="B985">
            <v>2239</v>
          </cell>
          <cell r="C985" t="str">
            <v>Glimepiride 1Mg Tablet (28'S)</v>
          </cell>
        </row>
        <row r="986">
          <cell r="A986">
            <v>180009502</v>
          </cell>
          <cell r="B986">
            <v>2240</v>
          </cell>
          <cell r="C986" t="str">
            <v>Thermometer Oral Long Bulb</v>
          </cell>
        </row>
        <row r="987">
          <cell r="A987">
            <v>181777177</v>
          </cell>
          <cell r="B987">
            <v>2241</v>
          </cell>
          <cell r="C987" t="str">
            <v>Tube Endo T Cuffed Intub L/mask 8Mm</v>
          </cell>
        </row>
        <row r="988">
          <cell r="A988">
            <v>180009261</v>
          </cell>
          <cell r="B988">
            <v>2242</v>
          </cell>
          <cell r="C988" t="str">
            <v>Spatula Tongue Hardwood</v>
          </cell>
        </row>
        <row r="989">
          <cell r="A989">
            <v>189701591</v>
          </cell>
          <cell r="B989">
            <v>2243</v>
          </cell>
          <cell r="C989" t="str">
            <v>Heels Walking Rubber Large</v>
          </cell>
        </row>
        <row r="990">
          <cell r="A990">
            <v>189701636</v>
          </cell>
          <cell r="B990">
            <v>2244</v>
          </cell>
          <cell r="C990" t="str">
            <v>Heels Walking Rubber Medium</v>
          </cell>
        </row>
        <row r="991">
          <cell r="A991">
            <v>189701699</v>
          </cell>
          <cell r="B991">
            <v>2245</v>
          </cell>
          <cell r="C991" t="str">
            <v>Heels Walking Rubber Small</v>
          </cell>
        </row>
        <row r="992">
          <cell r="A992">
            <v>180001368</v>
          </cell>
          <cell r="B992">
            <v>2246</v>
          </cell>
          <cell r="C992" t="str">
            <v>Applicator (Orange Stick)</v>
          </cell>
        </row>
        <row r="993">
          <cell r="A993">
            <v>180158942</v>
          </cell>
          <cell r="B993">
            <v>2247</v>
          </cell>
          <cell r="C993" t="str">
            <v>Spatula Vaginal Aylesbury</v>
          </cell>
        </row>
        <row r="994">
          <cell r="A994" t="str">
            <v>RT 276</v>
          </cell>
          <cell r="B994">
            <v>2248</v>
          </cell>
          <cell r="C994" t="str">
            <v>~Sanitary Towels Maternity Without Loops</v>
          </cell>
        </row>
        <row r="995">
          <cell r="A995">
            <v>181930749</v>
          </cell>
          <cell r="B995">
            <v>766</v>
          </cell>
          <cell r="C995" t="str">
            <v>Amniotic Membrane Perforator</v>
          </cell>
        </row>
        <row r="996">
          <cell r="A996" t="str">
            <v>QUOTE</v>
          </cell>
          <cell r="B996">
            <v>767</v>
          </cell>
          <cell r="C996" t="str">
            <v>Autoclave Check Indicator</v>
          </cell>
        </row>
        <row r="997">
          <cell r="A997" t="str">
            <v>QUOTE</v>
          </cell>
          <cell r="B997">
            <v>768</v>
          </cell>
          <cell r="C997" t="str">
            <v>Bandage Reston  200Mmx298mm</v>
          </cell>
        </row>
        <row r="998">
          <cell r="A998" t="str">
            <v>QUOTE</v>
          </cell>
          <cell r="B998">
            <v>769</v>
          </cell>
          <cell r="C998" t="str">
            <v>Bandage Reston  216Mmx279mm</v>
          </cell>
        </row>
        <row r="999">
          <cell r="A999" t="str">
            <v>RT  20</v>
          </cell>
          <cell r="B999">
            <v>770</v>
          </cell>
          <cell r="C999" t="str">
            <v>Electrodes E.C.G Adult</v>
          </cell>
        </row>
        <row r="1000">
          <cell r="A1000">
            <v>180210944</v>
          </cell>
          <cell r="B1000">
            <v>771</v>
          </cell>
          <cell r="C1000" t="str">
            <v>Sut Polyprop 2/0 1/2Tp 26Mm Cardio</v>
          </cell>
        </row>
        <row r="1001">
          <cell r="A1001" t="str">
            <v>QUOTE</v>
          </cell>
          <cell r="B1001">
            <v>772</v>
          </cell>
          <cell r="C1001" t="str">
            <v>Splints Aluminium Finger  0.5"</v>
          </cell>
        </row>
        <row r="1002">
          <cell r="A1002">
            <v>181772157</v>
          </cell>
          <cell r="B1002">
            <v>773</v>
          </cell>
          <cell r="C1002" t="str">
            <v>Total Phospholipids 100Mg 4Ml (Survanta)</v>
          </cell>
        </row>
        <row r="1003">
          <cell r="A1003">
            <v>189714103</v>
          </cell>
          <cell r="B1003">
            <v>774</v>
          </cell>
          <cell r="C1003" t="str">
            <v>Pouch Urostomy Two Piece 38Mm Transparent Drainable</v>
          </cell>
        </row>
        <row r="1004">
          <cell r="A1004" t="str">
            <v>QUOTE</v>
          </cell>
          <cell r="B1004">
            <v>775</v>
          </cell>
          <cell r="C1004" t="str">
            <v>Suction Bottle Liners W/o Valve 2L</v>
          </cell>
        </row>
        <row r="1005">
          <cell r="A1005" t="str">
            <v>QUOTE</v>
          </cell>
          <cell r="B1005">
            <v>776</v>
          </cell>
          <cell r="C1005" t="str">
            <v>Suction Bottle Liners With Valve 2L</v>
          </cell>
        </row>
        <row r="1006">
          <cell r="A1006" t="str">
            <v>QUOTE</v>
          </cell>
          <cell r="B1006">
            <v>777</v>
          </cell>
          <cell r="C1006" t="str">
            <v>Suction Bottle Valves</v>
          </cell>
        </row>
        <row r="1007">
          <cell r="A1007">
            <v>181789626</v>
          </cell>
          <cell r="B1007">
            <v>778</v>
          </cell>
          <cell r="C1007" t="str">
            <v>Thermometer Vaccine Dial</v>
          </cell>
        </row>
        <row r="1008">
          <cell r="A1008">
            <v>180327923</v>
          </cell>
          <cell r="B1008">
            <v>779</v>
          </cell>
          <cell r="C1008" t="str">
            <v>Thermometer Minimum Maximum</v>
          </cell>
        </row>
        <row r="1009">
          <cell r="A1009">
            <v>180961902</v>
          </cell>
          <cell r="B1009">
            <v>780</v>
          </cell>
          <cell r="C1009" t="str">
            <v>Syringe Safety 3Ml 21Gx40mm (0.8Mm) Needle</v>
          </cell>
        </row>
        <row r="1010">
          <cell r="A1010">
            <v>189711416</v>
          </cell>
          <cell r="B1010">
            <v>781</v>
          </cell>
          <cell r="C1010" t="str">
            <v>Bag Urine Drainage Paediatric 55Mmx150mm</v>
          </cell>
        </row>
        <row r="1011">
          <cell r="A1011">
            <v>189702998</v>
          </cell>
          <cell r="B1011">
            <v>783</v>
          </cell>
          <cell r="C1011" t="str">
            <v>Bag Urine Drainage Single End</v>
          </cell>
        </row>
        <row r="1012">
          <cell r="A1012">
            <v>180226129</v>
          </cell>
          <cell r="B1012">
            <v>784</v>
          </cell>
          <cell r="C1012" t="str">
            <v>Cath.Ureth.Foley 2Way  8Fg  3Ml Silicone</v>
          </cell>
        </row>
        <row r="1013">
          <cell r="A1013">
            <v>181848612</v>
          </cell>
          <cell r="B1013">
            <v>785</v>
          </cell>
          <cell r="C1013" t="str">
            <v>Filter Breath Viral Adult Angled 15Id-22Od</v>
          </cell>
        </row>
        <row r="1014">
          <cell r="A1014">
            <v>181848609</v>
          </cell>
          <cell r="B1014">
            <v>786</v>
          </cell>
          <cell r="C1014" t="str">
            <v>Filter Breath Viral Adult Straight 15Id-22Od</v>
          </cell>
        </row>
        <row r="1015">
          <cell r="A1015">
            <v>181848622</v>
          </cell>
          <cell r="B1015">
            <v>787</v>
          </cell>
          <cell r="C1015" t="str">
            <v>Filter Breath Intensive Care Anaesthesia</v>
          </cell>
        </row>
        <row r="1016">
          <cell r="A1016">
            <v>181848615</v>
          </cell>
          <cell r="B1016">
            <v>788</v>
          </cell>
          <cell r="C1016" t="str">
            <v>Filter Breath Viral Paed Angled 15Id-22Od</v>
          </cell>
        </row>
        <row r="1017">
          <cell r="A1017" t="str">
            <v>*</v>
          </cell>
          <cell r="B1017">
            <v>789</v>
          </cell>
          <cell r="C1017" t="str">
            <v>Filter Breath Viral Paed Straight 15Id-22Id</v>
          </cell>
        </row>
        <row r="1018">
          <cell r="A1018">
            <v>181848618</v>
          </cell>
          <cell r="B1018">
            <v>790</v>
          </cell>
          <cell r="C1018" t="str">
            <v>Filter Breath Viral Neonatal Straight 15Id-22Od</v>
          </cell>
        </row>
        <row r="1019">
          <cell r="A1019" t="str">
            <v>MOTIVATION</v>
          </cell>
          <cell r="B1019">
            <v>791</v>
          </cell>
          <cell r="C1019" t="str">
            <v>Cathether Arterial 88Fg 2.7Mm</v>
          </cell>
        </row>
        <row r="1020">
          <cell r="A1020">
            <v>189703036</v>
          </cell>
          <cell r="B1020">
            <v>792</v>
          </cell>
          <cell r="C1020" t="str">
            <v>Cyclizine Hcl 50Mg Suppositories 6'S</v>
          </cell>
        </row>
        <row r="1021">
          <cell r="A1021">
            <v>180233832</v>
          </cell>
          <cell r="B1021">
            <v>793</v>
          </cell>
          <cell r="C1021" t="str">
            <v>Meropenem Trihydrate 500Mg Inj</v>
          </cell>
        </row>
        <row r="1022">
          <cell r="A1022">
            <v>180233880</v>
          </cell>
          <cell r="B1022">
            <v>794</v>
          </cell>
          <cell r="C1022" t="str">
            <v>Meropenem Trihydrate 1G Inj</v>
          </cell>
        </row>
        <row r="1023">
          <cell r="A1023">
            <v>180772105</v>
          </cell>
          <cell r="B1023">
            <v>795</v>
          </cell>
          <cell r="C1023" t="str">
            <v>Glove Surg Sterile Latex H/all 7</v>
          </cell>
        </row>
        <row r="1024">
          <cell r="A1024">
            <v>180772100</v>
          </cell>
          <cell r="B1024">
            <v>796</v>
          </cell>
          <cell r="C1024" t="str">
            <v>Glove Surg Sterile Latex H/all 8</v>
          </cell>
        </row>
        <row r="1025">
          <cell r="A1025">
            <v>180772099</v>
          </cell>
          <cell r="B1025">
            <v>797</v>
          </cell>
          <cell r="C1025" t="str">
            <v>Glove Surg Sterile Latex H/all 8.5</v>
          </cell>
        </row>
        <row r="1026">
          <cell r="A1026">
            <v>181813052</v>
          </cell>
          <cell r="B1026">
            <v>798</v>
          </cell>
          <cell r="C1026" t="str">
            <v>Glove Surg Sterile Synt H/all 6.5</v>
          </cell>
        </row>
        <row r="1027">
          <cell r="A1027">
            <v>181813053</v>
          </cell>
          <cell r="B1027">
            <v>799</v>
          </cell>
          <cell r="C1027" t="str">
            <v>Glove Surg Sterile Synt H/all 7</v>
          </cell>
        </row>
        <row r="1028">
          <cell r="A1028">
            <v>181811511</v>
          </cell>
          <cell r="B1028">
            <v>800</v>
          </cell>
          <cell r="C1028" t="str">
            <v>Glove Surg Sterile Synt H/all 7.5</v>
          </cell>
        </row>
        <row r="1029">
          <cell r="A1029">
            <v>181932147</v>
          </cell>
          <cell r="B1029">
            <v>801</v>
          </cell>
          <cell r="C1029" t="str">
            <v>Cath.Ureth.Nelaton  8Fg 400Mm Pvc 2 Eye</v>
          </cell>
        </row>
        <row r="1030">
          <cell r="A1030">
            <v>181932138</v>
          </cell>
          <cell r="B1030">
            <v>802</v>
          </cell>
          <cell r="C1030" t="str">
            <v>Cath.Ureth.Nelaton 10Fg 400Mm Pvc 2 Eye</v>
          </cell>
        </row>
        <row r="1031">
          <cell r="A1031">
            <v>181932139</v>
          </cell>
          <cell r="B1031">
            <v>803</v>
          </cell>
          <cell r="C1031" t="str">
            <v>Cath.Ureth.Nelaton 12Fg 400Mm Pvc 2 Eye</v>
          </cell>
        </row>
        <row r="1032">
          <cell r="A1032">
            <v>181932142</v>
          </cell>
          <cell r="B1032">
            <v>804</v>
          </cell>
          <cell r="C1032" t="str">
            <v>Cath.Ureth.Nelaton 16Fg 400Mm Pvc 2 Eye</v>
          </cell>
        </row>
        <row r="1033">
          <cell r="A1033">
            <v>181815037</v>
          </cell>
          <cell r="B1033">
            <v>805</v>
          </cell>
          <cell r="C1033" t="str">
            <v>Glove Surg Sterile Synt H/all 8</v>
          </cell>
        </row>
        <row r="1034">
          <cell r="A1034">
            <v>181815039</v>
          </cell>
          <cell r="B1034">
            <v>806</v>
          </cell>
          <cell r="C1034" t="str">
            <v>Glove Surg Sterile Synt H/all 8.5</v>
          </cell>
        </row>
        <row r="1035">
          <cell r="A1035">
            <v>180179985</v>
          </cell>
          <cell r="B1035">
            <v>807</v>
          </cell>
          <cell r="C1035" t="str">
            <v>Cath.Ureth.Foley 2Way 16Fg 30Ml Silicone</v>
          </cell>
        </row>
        <row r="1036">
          <cell r="A1036">
            <v>180179988</v>
          </cell>
          <cell r="B1036">
            <v>808</v>
          </cell>
          <cell r="C1036" t="str">
            <v>Cath.Ureth.Foley 2Way 18Fg 30Ml Silicone</v>
          </cell>
        </row>
        <row r="1037">
          <cell r="A1037">
            <v>180179994</v>
          </cell>
          <cell r="B1037">
            <v>809</v>
          </cell>
          <cell r="C1037" t="str">
            <v>Cath.Ureth.Foley 2Way 20Fg 30Ml Silicone</v>
          </cell>
        </row>
        <row r="1038">
          <cell r="A1038">
            <v>180180000</v>
          </cell>
          <cell r="B1038">
            <v>810</v>
          </cell>
          <cell r="C1038" t="str">
            <v>Cath.Ureth.Foley 2Way 22Fg 30Ml Silicone</v>
          </cell>
        </row>
        <row r="1039">
          <cell r="A1039">
            <v>180180002</v>
          </cell>
          <cell r="B1039">
            <v>811</v>
          </cell>
          <cell r="C1039" t="str">
            <v>Cath.Ureth.Foley 2Way 24Fg 30Ml Silicone</v>
          </cell>
        </row>
        <row r="1040">
          <cell r="A1040">
            <v>180056697</v>
          </cell>
          <cell r="B1040">
            <v>812</v>
          </cell>
          <cell r="C1040" t="str">
            <v>Cath Suction Respiratory  6Fg (Control Airport) 350Mm</v>
          </cell>
        </row>
        <row r="1041">
          <cell r="A1041">
            <v>180226254</v>
          </cell>
          <cell r="B1041">
            <v>813</v>
          </cell>
          <cell r="C1041" t="str">
            <v>Cath Suction Respiratory  8Fg (Control Airport) 350Mm</v>
          </cell>
        </row>
        <row r="1042">
          <cell r="A1042">
            <v>180226256</v>
          </cell>
          <cell r="B1042">
            <v>814</v>
          </cell>
          <cell r="C1042" t="str">
            <v>Cath Suction Respiratory 10Fg (Control Airport) 350Mm</v>
          </cell>
        </row>
        <row r="1043">
          <cell r="A1043">
            <v>180056764</v>
          </cell>
          <cell r="B1043">
            <v>815</v>
          </cell>
          <cell r="C1043" t="str">
            <v>Cath Suction Respiratory 12Fg (Control Airport) 500Mm</v>
          </cell>
        </row>
        <row r="1044">
          <cell r="A1044">
            <v>180056769</v>
          </cell>
          <cell r="B1044">
            <v>816</v>
          </cell>
          <cell r="C1044" t="str">
            <v>Cath Suction Respiratory 14Fg (Control Airport) 500Mm</v>
          </cell>
        </row>
        <row r="1045">
          <cell r="A1045">
            <v>180057497</v>
          </cell>
          <cell r="B1045">
            <v>817</v>
          </cell>
          <cell r="C1045" t="str">
            <v>Drainage Sheet Corrugated Silicone Sterile</v>
          </cell>
        </row>
        <row r="1046">
          <cell r="A1046">
            <v>180150382</v>
          </cell>
          <cell r="B1046">
            <v>818</v>
          </cell>
          <cell r="C1046" t="str">
            <v>Drainage System Chest U/water Adult</v>
          </cell>
        </row>
        <row r="1047">
          <cell r="A1047">
            <v>189706983</v>
          </cell>
          <cell r="B1047">
            <v>819</v>
          </cell>
          <cell r="C1047" t="str">
            <v>Drainage System Wound Portable 3.0Mm.Needle Ster.500Ml</v>
          </cell>
        </row>
        <row r="1048">
          <cell r="A1048">
            <v>189706984</v>
          </cell>
          <cell r="B1048">
            <v>820</v>
          </cell>
          <cell r="C1048" t="str">
            <v>Drainage System Wound Portable 6.0Mm.Needle Ster. 500Ml</v>
          </cell>
        </row>
        <row r="1049">
          <cell r="A1049">
            <v>180057515</v>
          </cell>
          <cell r="B1049">
            <v>821</v>
          </cell>
          <cell r="C1049" t="str">
            <v>Mucous Extractor 6Fg &amp; 10Fg</v>
          </cell>
        </row>
        <row r="1050">
          <cell r="A1050">
            <v>189706081</v>
          </cell>
          <cell r="B1050">
            <v>822</v>
          </cell>
          <cell r="C1050" t="str">
            <v>Sheath Incontinence 35-Large Latex</v>
          </cell>
        </row>
        <row r="1051">
          <cell r="A1051">
            <v>189706079</v>
          </cell>
          <cell r="B1051">
            <v>823</v>
          </cell>
          <cell r="C1051" t="str">
            <v>Sheath Incontinence 25-Small Latex</v>
          </cell>
        </row>
        <row r="1052">
          <cell r="A1052">
            <v>180286737</v>
          </cell>
          <cell r="B1052">
            <v>824</v>
          </cell>
          <cell r="C1052" t="str">
            <v>Tube Drain Penrose Latex 300Mmx 6Mm</v>
          </cell>
        </row>
        <row r="1053">
          <cell r="A1053">
            <v>181777094</v>
          </cell>
          <cell r="B1053">
            <v>825</v>
          </cell>
          <cell r="C1053" t="str">
            <v>Bag Rebreathing 1L Antistat 22F Stra/neck Rubber</v>
          </cell>
        </row>
        <row r="1054">
          <cell r="A1054">
            <v>180057626</v>
          </cell>
          <cell r="B1054">
            <v>826</v>
          </cell>
          <cell r="C1054" t="str">
            <v>~Tube Drain Penrose Latex 300Mmx18mm</v>
          </cell>
        </row>
        <row r="1055">
          <cell r="A1055">
            <v>189712864</v>
          </cell>
          <cell r="B1055">
            <v>827</v>
          </cell>
          <cell r="C1055" t="str">
            <v>Tube Drain Pensil Silicone 350Mmx 6Mm</v>
          </cell>
        </row>
        <row r="1056">
          <cell r="A1056">
            <v>189717408</v>
          </cell>
          <cell r="B1056">
            <v>828</v>
          </cell>
          <cell r="C1056" t="str">
            <v>Tube Drain Pensil Silicone 350Mmx20mm</v>
          </cell>
        </row>
        <row r="1057">
          <cell r="A1057">
            <v>189705491</v>
          </cell>
          <cell r="B1057">
            <v>829</v>
          </cell>
          <cell r="C1057" t="str">
            <v>Tube Duodenal Levin 12Fg</v>
          </cell>
        </row>
        <row r="1058">
          <cell r="A1058">
            <v>189706151</v>
          </cell>
          <cell r="B1058">
            <v>830</v>
          </cell>
          <cell r="C1058" t="str">
            <v>Tube Duodenal Ryles 10Fg</v>
          </cell>
        </row>
        <row r="1059">
          <cell r="A1059">
            <v>189706152</v>
          </cell>
          <cell r="B1059">
            <v>831</v>
          </cell>
          <cell r="C1059" t="str">
            <v>Tube Duodenal Ryles 12Fg</v>
          </cell>
        </row>
        <row r="1060">
          <cell r="A1060">
            <v>189706153</v>
          </cell>
          <cell r="B1060">
            <v>832</v>
          </cell>
          <cell r="C1060" t="str">
            <v>Tube Duodenal Ryles 14Fg</v>
          </cell>
        </row>
        <row r="1061">
          <cell r="A1061">
            <v>189706154</v>
          </cell>
          <cell r="B1061">
            <v>833</v>
          </cell>
          <cell r="C1061" t="str">
            <v>Tube Duodenal Ryles 16Fg</v>
          </cell>
        </row>
        <row r="1062">
          <cell r="A1062">
            <v>181777095</v>
          </cell>
          <cell r="B1062">
            <v>834</v>
          </cell>
          <cell r="C1062" t="str">
            <v>Bag Rebreathing 2L Antistat 22F Stra/neck Rubber</v>
          </cell>
        </row>
        <row r="1063">
          <cell r="A1063">
            <v>189702899</v>
          </cell>
          <cell r="B1063">
            <v>835</v>
          </cell>
          <cell r="C1063" t="str">
            <v>Tube Nasal Feeding  5Fg 40Cm</v>
          </cell>
        </row>
        <row r="1064">
          <cell r="A1064">
            <v>181848642</v>
          </cell>
          <cell r="B1064">
            <v>836</v>
          </cell>
          <cell r="C1064" t="str">
            <v>Bag Rebreathing 2L Tape/neck 22Mm Latex Free</v>
          </cell>
        </row>
        <row r="1065">
          <cell r="A1065">
            <v>189702900</v>
          </cell>
          <cell r="B1065">
            <v>837</v>
          </cell>
          <cell r="C1065" t="str">
            <v>Tube Nasal Feeding  8Fg 40Cm</v>
          </cell>
        </row>
        <row r="1066">
          <cell r="A1066" t="str">
            <v>QUOTE</v>
          </cell>
          <cell r="B1066">
            <v>838</v>
          </cell>
          <cell r="C1066" t="str">
            <v>Chemo Ports Adults</v>
          </cell>
        </row>
        <row r="1067">
          <cell r="A1067">
            <v>189741081</v>
          </cell>
          <cell r="B1067">
            <v>839</v>
          </cell>
          <cell r="C1067" t="str">
            <v>Airway Pharyngeal 0</v>
          </cell>
        </row>
        <row r="1068">
          <cell r="A1068">
            <v>189741080</v>
          </cell>
          <cell r="B1068">
            <v>840</v>
          </cell>
          <cell r="C1068" t="str">
            <v>Airway Pharyngeal 00</v>
          </cell>
        </row>
        <row r="1069">
          <cell r="A1069">
            <v>180330216</v>
          </cell>
          <cell r="B1069">
            <v>841</v>
          </cell>
          <cell r="C1069" t="str">
            <v>Airway Pharyngeal 000</v>
          </cell>
        </row>
        <row r="1070">
          <cell r="A1070">
            <v>189741082</v>
          </cell>
          <cell r="B1070">
            <v>842</v>
          </cell>
          <cell r="C1070" t="str">
            <v>Airway Pharyngeal 1</v>
          </cell>
        </row>
        <row r="1071">
          <cell r="A1071">
            <v>189701193</v>
          </cell>
          <cell r="B1071">
            <v>843</v>
          </cell>
          <cell r="C1071" t="str">
            <v>Airway Pharyngeal 2</v>
          </cell>
        </row>
        <row r="1072">
          <cell r="A1072">
            <v>189701192</v>
          </cell>
          <cell r="B1072">
            <v>844</v>
          </cell>
          <cell r="C1072" t="str">
            <v>Airway Pharyngeal 3</v>
          </cell>
        </row>
        <row r="1073">
          <cell r="A1073">
            <v>189701191</v>
          </cell>
          <cell r="B1073">
            <v>845</v>
          </cell>
          <cell r="C1073" t="str">
            <v>Airway Pharyngeal 4</v>
          </cell>
        </row>
        <row r="1074">
          <cell r="A1074">
            <v>189706964</v>
          </cell>
          <cell r="B1074">
            <v>846</v>
          </cell>
          <cell r="C1074" t="str">
            <v>Cannula Nasal Adult Low Flow Oxygen</v>
          </cell>
        </row>
        <row r="1075">
          <cell r="A1075">
            <v>189713942</v>
          </cell>
          <cell r="B1075">
            <v>847</v>
          </cell>
          <cell r="C1075" t="str">
            <v>Harness Anaesthetic Four Tail Adult</v>
          </cell>
        </row>
        <row r="1076">
          <cell r="A1076">
            <v>180385651</v>
          </cell>
          <cell r="B1076">
            <v>848</v>
          </cell>
          <cell r="C1076" t="str">
            <v>Humidifier &amp; Valve 500Ml Capacity</v>
          </cell>
        </row>
        <row r="1077">
          <cell r="A1077" t="str">
            <v>RT  13 012</v>
          </cell>
          <cell r="B1077">
            <v>849</v>
          </cell>
          <cell r="C1077" t="str">
            <v>Mask Anaesthetic Clear Sz 0</v>
          </cell>
        </row>
        <row r="1078">
          <cell r="A1078">
            <v>181777316</v>
          </cell>
          <cell r="B1078">
            <v>850</v>
          </cell>
          <cell r="C1078" t="str">
            <v>Mask Anaesthetic Clear Sz 1</v>
          </cell>
        </row>
        <row r="1079">
          <cell r="A1079">
            <v>181815041</v>
          </cell>
          <cell r="B1079">
            <v>851</v>
          </cell>
          <cell r="C1079" t="str">
            <v>Glove Surg Sterile Synt H/all 9</v>
          </cell>
        </row>
        <row r="1080">
          <cell r="A1080" t="str">
            <v>*</v>
          </cell>
          <cell r="B1080">
            <v>852</v>
          </cell>
          <cell r="C1080" t="str">
            <v>~Fresh Dried Plasma (F D P) 200Ml</v>
          </cell>
        </row>
        <row r="1081">
          <cell r="A1081">
            <v>180385373</v>
          </cell>
          <cell r="B1081">
            <v>853</v>
          </cell>
          <cell r="C1081" t="str">
            <v>Mask Oxygen Diluter 24% Adult</v>
          </cell>
        </row>
        <row r="1082">
          <cell r="A1082" t="str">
            <v>RT  13 085</v>
          </cell>
          <cell r="B1082">
            <v>854</v>
          </cell>
          <cell r="C1082" t="str">
            <v>Mask Oxygen Paed</v>
          </cell>
        </row>
        <row r="1083">
          <cell r="A1083">
            <v>180198178</v>
          </cell>
          <cell r="B1083">
            <v>855</v>
          </cell>
          <cell r="C1083" t="str">
            <v>Nebulizer For Beta 2 &amp; Mask Adult</v>
          </cell>
        </row>
        <row r="1084">
          <cell r="A1084">
            <v>181848641</v>
          </cell>
          <cell r="B1084">
            <v>856</v>
          </cell>
          <cell r="C1084" t="str">
            <v>Nebulizer For Beta 2 &amp; Mask Paed</v>
          </cell>
        </row>
        <row r="1085">
          <cell r="A1085">
            <v>180368131</v>
          </cell>
          <cell r="B1085">
            <v>857</v>
          </cell>
          <cell r="C1085" t="str">
            <v>Tube Endotracheal Cuff Dual  5.0</v>
          </cell>
        </row>
        <row r="1086">
          <cell r="A1086">
            <v>180364694</v>
          </cell>
          <cell r="B1086">
            <v>858</v>
          </cell>
          <cell r="C1086" t="str">
            <v>Tube Endotracheal Cuff Dual  6.0</v>
          </cell>
        </row>
        <row r="1087">
          <cell r="A1087">
            <v>180370549</v>
          </cell>
          <cell r="B1087">
            <v>859</v>
          </cell>
          <cell r="C1087" t="str">
            <v>Tube Endotracheal Cuff Dual  6.5</v>
          </cell>
        </row>
        <row r="1088">
          <cell r="A1088">
            <v>180366943</v>
          </cell>
          <cell r="B1088">
            <v>860</v>
          </cell>
          <cell r="C1088" t="str">
            <v>Tube Endotracheal Cuff Dual  7.0</v>
          </cell>
        </row>
        <row r="1089">
          <cell r="A1089">
            <v>180385188</v>
          </cell>
          <cell r="B1089">
            <v>861</v>
          </cell>
          <cell r="C1089" t="str">
            <v>Tube Endotracheal Cuff Dual  7.5</v>
          </cell>
        </row>
        <row r="1090">
          <cell r="A1090">
            <v>180369374</v>
          </cell>
          <cell r="B1090">
            <v>862</v>
          </cell>
          <cell r="C1090" t="str">
            <v>Tube Endotracheal Cuff Dual  8.0</v>
          </cell>
        </row>
        <row r="1091">
          <cell r="A1091">
            <v>180379365</v>
          </cell>
          <cell r="B1091">
            <v>863</v>
          </cell>
          <cell r="C1091" t="str">
            <v>Tube Endotracheal Cuff Dual  8.5</v>
          </cell>
        </row>
        <row r="1092">
          <cell r="A1092">
            <v>180383564</v>
          </cell>
          <cell r="B1092">
            <v>864</v>
          </cell>
          <cell r="C1092" t="str">
            <v>Tube Endotracheal Cuff Dual  9.0</v>
          </cell>
        </row>
        <row r="1093">
          <cell r="A1093">
            <v>189712992</v>
          </cell>
          <cell r="B1093">
            <v>865</v>
          </cell>
          <cell r="C1093" t="str">
            <v>Tube Endotracheal Non Cuff Dual 2.5</v>
          </cell>
        </row>
        <row r="1094">
          <cell r="A1094">
            <v>180240846</v>
          </cell>
          <cell r="B1094">
            <v>866</v>
          </cell>
          <cell r="C1094" t="str">
            <v>Tube Endotracheal Non Cuff Dual 3.0</v>
          </cell>
        </row>
        <row r="1095">
          <cell r="A1095">
            <v>189712995</v>
          </cell>
          <cell r="B1095">
            <v>867</v>
          </cell>
          <cell r="C1095" t="str">
            <v>Tube Endotracheal Non Cuff Dual 3.5</v>
          </cell>
        </row>
        <row r="1096">
          <cell r="A1096">
            <v>180390270</v>
          </cell>
          <cell r="B1096">
            <v>868</v>
          </cell>
          <cell r="C1096" t="str">
            <v>Scalpel Surgical Blades No. 10</v>
          </cell>
        </row>
        <row r="1097">
          <cell r="A1097">
            <v>180390271</v>
          </cell>
          <cell r="B1097">
            <v>869</v>
          </cell>
          <cell r="C1097" t="str">
            <v>Scalpel Surgical Blades No. 11</v>
          </cell>
        </row>
        <row r="1098">
          <cell r="A1098" t="str">
            <v>QUOTE</v>
          </cell>
          <cell r="B1098">
            <v>870</v>
          </cell>
          <cell r="C1098" t="str">
            <v>Electrosurgical Plate Disposable Adults</v>
          </cell>
        </row>
        <row r="1099">
          <cell r="A1099">
            <v>180390273</v>
          </cell>
          <cell r="B1099">
            <v>871</v>
          </cell>
          <cell r="C1099" t="str">
            <v>Scalpel Surgical Blades No. 15</v>
          </cell>
        </row>
        <row r="1100">
          <cell r="A1100">
            <v>180390274</v>
          </cell>
          <cell r="B1100">
            <v>872</v>
          </cell>
          <cell r="C1100" t="str">
            <v>Scalpel Surgical Blades No. 20</v>
          </cell>
        </row>
        <row r="1101">
          <cell r="A1101">
            <v>180390276</v>
          </cell>
          <cell r="B1101">
            <v>873</v>
          </cell>
          <cell r="C1101" t="str">
            <v>Scalpel Surgical Blades No. 21</v>
          </cell>
        </row>
        <row r="1102">
          <cell r="A1102">
            <v>180390279</v>
          </cell>
          <cell r="B1102">
            <v>874</v>
          </cell>
          <cell r="C1102" t="str">
            <v>Scalpel Surgical Blades No. 22</v>
          </cell>
        </row>
        <row r="1103">
          <cell r="A1103">
            <v>180390281</v>
          </cell>
          <cell r="B1103">
            <v>875</v>
          </cell>
          <cell r="C1103" t="str">
            <v>Scalpel Surgical Blades No. 23</v>
          </cell>
        </row>
        <row r="1104">
          <cell r="A1104" t="str">
            <v>QUOTE</v>
          </cell>
          <cell r="B1104">
            <v>876</v>
          </cell>
          <cell r="C1104" t="str">
            <v>Electrosurgical Plate Disposable Paeds</v>
          </cell>
        </row>
        <row r="1105">
          <cell r="A1105" t="str">
            <v>QUOTE STOMA</v>
          </cell>
          <cell r="B1105">
            <v>877</v>
          </cell>
          <cell r="C1105" t="str">
            <v>Clips Stoma For Drainable Pouch</v>
          </cell>
        </row>
        <row r="1106">
          <cell r="A1106">
            <v>189712802</v>
          </cell>
          <cell r="B1106">
            <v>878</v>
          </cell>
          <cell r="C1106" t="str">
            <v>Pouch Ostomy  44Mm Opaque Green</v>
          </cell>
        </row>
        <row r="1107">
          <cell r="A1107">
            <v>189712939</v>
          </cell>
          <cell r="B1107">
            <v>879</v>
          </cell>
          <cell r="C1107" t="str">
            <v>Needle Biopsy Iliac  15G 1.8Mm</v>
          </cell>
        </row>
        <row r="1108">
          <cell r="A1108" t="str">
            <v>QUOTE STOMA</v>
          </cell>
          <cell r="B1108">
            <v>880</v>
          </cell>
          <cell r="C1108" t="str">
            <v>Flange  45Mm (Cut To 32Mm)</v>
          </cell>
        </row>
        <row r="1109">
          <cell r="A1109" t="str">
            <v>QUOTE STOMA</v>
          </cell>
          <cell r="B1109">
            <v>881</v>
          </cell>
          <cell r="C1109" t="str">
            <v>Flange  57Mm Flexible</v>
          </cell>
        </row>
        <row r="1110">
          <cell r="A1110" t="str">
            <v>QUOTE STOMA</v>
          </cell>
          <cell r="B1110">
            <v>882</v>
          </cell>
          <cell r="C1110" t="str">
            <v>Flange 102Mm (Cut To 89Mm) 14206</v>
          </cell>
        </row>
        <row r="1111">
          <cell r="A1111" t="str">
            <v>QUOTE STOMA</v>
          </cell>
          <cell r="B1111">
            <v>883</v>
          </cell>
          <cell r="C1111" t="str">
            <v>Flange  45Mm Stomahesive</v>
          </cell>
        </row>
        <row r="1112">
          <cell r="A1112">
            <v>180191289</v>
          </cell>
          <cell r="B1112">
            <v>884</v>
          </cell>
          <cell r="C1112" t="str">
            <v>Dressing Hydrocolloid Ulcer 10Cmx10cm</v>
          </cell>
        </row>
        <row r="1113">
          <cell r="A1113">
            <v>180177639</v>
          </cell>
          <cell r="B1113">
            <v>885</v>
          </cell>
          <cell r="C1113" t="str">
            <v>Dorzolamide Eye Drops 20Mg/ml 5Ml</v>
          </cell>
        </row>
        <row r="1114">
          <cell r="A1114" t="str">
            <v>QUOTE STOMA</v>
          </cell>
          <cell r="B1114">
            <v>886</v>
          </cell>
          <cell r="C1114" t="str">
            <v>Skin Barrier Stoma 10X10cm</v>
          </cell>
        </row>
        <row r="1115">
          <cell r="A1115">
            <v>180343642</v>
          </cell>
          <cell r="B1115">
            <v>887</v>
          </cell>
          <cell r="C1115" t="str">
            <v>Tacrolimus Caps 1Mg (100'S)</v>
          </cell>
        </row>
        <row r="1116">
          <cell r="A1116">
            <v>180155487</v>
          </cell>
          <cell r="B1116">
            <v>888</v>
          </cell>
          <cell r="C1116" t="str">
            <v>Carvedilol 25Mg Scored Tabs (30'S)</v>
          </cell>
        </row>
        <row r="1117">
          <cell r="A1117" t="str">
            <v>QUOTE</v>
          </cell>
          <cell r="B1117">
            <v>889</v>
          </cell>
          <cell r="C1117" t="str">
            <v>Needle Port Adults</v>
          </cell>
        </row>
        <row r="1118">
          <cell r="A1118">
            <v>180961888</v>
          </cell>
          <cell r="B1118">
            <v>890</v>
          </cell>
          <cell r="C1118" t="str">
            <v>Syringe Safety 3Ml 25Gx25mm (0.5Mm) Needle</v>
          </cell>
        </row>
        <row r="1119">
          <cell r="A1119" t="str">
            <v>*</v>
          </cell>
          <cell r="B1119">
            <v>891</v>
          </cell>
          <cell r="C1119" t="str">
            <v>Insulin Lispro/protamine</v>
          </cell>
        </row>
        <row r="1120">
          <cell r="A1120">
            <v>180961890</v>
          </cell>
          <cell r="B1120">
            <v>892</v>
          </cell>
          <cell r="C1120" t="str">
            <v>Syringe Safety 3Ml 22Gx25mm (0.7Mm) Needle</v>
          </cell>
        </row>
        <row r="1121">
          <cell r="A1121">
            <v>180961903</v>
          </cell>
          <cell r="B1121">
            <v>893</v>
          </cell>
          <cell r="C1121" t="str">
            <v>Syringe Safety 3Ml 20Gx25mm (0.9Mm) Needle</v>
          </cell>
        </row>
        <row r="1122">
          <cell r="A1122">
            <v>180211656</v>
          </cell>
          <cell r="B1122">
            <v>894</v>
          </cell>
          <cell r="C1122" t="str">
            <v>Bonewax Sterile</v>
          </cell>
        </row>
        <row r="1123">
          <cell r="A1123" t="str">
            <v>QUOTE EYE</v>
          </cell>
          <cell r="B1123">
            <v>895</v>
          </cell>
          <cell r="C1123" t="str">
            <v>Cannula Eye Irrigation 30G Rycroft</v>
          </cell>
        </row>
        <row r="1124">
          <cell r="A1124">
            <v>3025090</v>
          </cell>
          <cell r="B1124">
            <v>896</v>
          </cell>
          <cell r="C1124" t="str">
            <v>~Sut Polyest 1 1/2Rc 24Mm 75Cm</v>
          </cell>
        </row>
        <row r="1125">
          <cell r="A1125" t="str">
            <v>MOTIVATION</v>
          </cell>
          <cell r="B1125">
            <v>897</v>
          </cell>
          <cell r="C1125" t="str">
            <v>~Anaculet Hydrochlorhide 30Mg Tabs</v>
          </cell>
        </row>
        <row r="1126">
          <cell r="A1126">
            <v>180956885</v>
          </cell>
          <cell r="B1126">
            <v>898</v>
          </cell>
          <cell r="C1126" t="str">
            <v>Sut Polyest 3/0 1/2Tp 26Mm</v>
          </cell>
        </row>
        <row r="1127">
          <cell r="A1127">
            <v>189704617</v>
          </cell>
          <cell r="B1127">
            <v>899</v>
          </cell>
          <cell r="C1127" t="str">
            <v>Syringe Disposable 10Ml Three Part</v>
          </cell>
        </row>
        <row r="1128">
          <cell r="A1128" t="str">
            <v>3025130 DEL</v>
          </cell>
          <cell r="B1128">
            <v>900</v>
          </cell>
          <cell r="C1128" t="str">
            <v>~Sut Polyest 4/0 3/8Tp 17Mm</v>
          </cell>
        </row>
        <row r="1129">
          <cell r="A1129">
            <v>189703347</v>
          </cell>
          <cell r="B1129">
            <v>901</v>
          </cell>
          <cell r="C1129" t="str">
            <v>Sut Nylon 0 1/2Rc 40Mm</v>
          </cell>
        </row>
        <row r="1130">
          <cell r="A1130">
            <v>180212752</v>
          </cell>
          <cell r="B1130">
            <v>902</v>
          </cell>
          <cell r="C1130" t="str">
            <v>Sut Nylon 0 3/8Cc 90Mm</v>
          </cell>
        </row>
        <row r="1131">
          <cell r="A1131">
            <v>189703348</v>
          </cell>
          <cell r="B1131">
            <v>903</v>
          </cell>
          <cell r="C1131" t="str">
            <v>Sut Nylon 1 1/2Rc 50Mm</v>
          </cell>
        </row>
        <row r="1132">
          <cell r="A1132">
            <v>189706111</v>
          </cell>
          <cell r="B1132">
            <v>904</v>
          </cell>
          <cell r="C1132" t="str">
            <v>Sut Nylon 1 3/8Cc 90Mm</v>
          </cell>
        </row>
        <row r="1133">
          <cell r="A1133">
            <v>180212819</v>
          </cell>
          <cell r="B1133">
            <v>905</v>
          </cell>
          <cell r="C1133" t="str">
            <v>Sut Nylon 2/0 3/8Cc 25Mm</v>
          </cell>
        </row>
        <row r="1134">
          <cell r="A1134">
            <v>189704899</v>
          </cell>
          <cell r="B1134">
            <v>906</v>
          </cell>
          <cell r="C1134" t="str">
            <v>Sut Nylon 2/0 3/8Rc 26Mm</v>
          </cell>
        </row>
        <row r="1135">
          <cell r="A1135">
            <v>180211856</v>
          </cell>
          <cell r="B1135">
            <v>907</v>
          </cell>
          <cell r="C1135" t="str">
            <v>Sut Nylon 2/0 3/8Cc 90Mm</v>
          </cell>
        </row>
        <row r="1136">
          <cell r="A1136">
            <v>180212751</v>
          </cell>
          <cell r="B1136">
            <v>908</v>
          </cell>
          <cell r="C1136" t="str">
            <v>Sut Nylon 2/0 3/8Rc 45Mm</v>
          </cell>
        </row>
        <row r="1137">
          <cell r="A1137">
            <v>180320710</v>
          </cell>
          <cell r="B1137">
            <v>909</v>
          </cell>
          <cell r="C1137" t="str">
            <v>~Sut Nylon 3/0 3/8Cc 25Mm</v>
          </cell>
        </row>
        <row r="1138">
          <cell r="A1138">
            <v>189759132</v>
          </cell>
          <cell r="B1138">
            <v>910</v>
          </cell>
          <cell r="C1138" t="str">
            <v>Sut Polyprop 3/0 3/8Rc 24Mm</v>
          </cell>
        </row>
        <row r="1139">
          <cell r="A1139">
            <v>180211863</v>
          </cell>
          <cell r="B1139">
            <v>911</v>
          </cell>
          <cell r="C1139" t="str">
            <v>Sut Nylon 4/0 3/8Rc 19Mm</v>
          </cell>
        </row>
        <row r="1140">
          <cell r="A1140">
            <v>180211301</v>
          </cell>
          <cell r="B1140">
            <v>912</v>
          </cell>
          <cell r="C1140" t="str">
            <v>Sut Nylon 5/0 3/8Cc 12Mm</v>
          </cell>
        </row>
        <row r="1141">
          <cell r="A1141" t="str">
            <v>QUOTE</v>
          </cell>
          <cell r="B1141">
            <v>913</v>
          </cell>
          <cell r="C1141" t="str">
            <v>Sut Nylon 5/0 3/8Rc 13Mm</v>
          </cell>
        </row>
        <row r="1142">
          <cell r="A1142">
            <v>180139121</v>
          </cell>
          <cell r="B1142">
            <v>914</v>
          </cell>
          <cell r="C1142" t="str">
            <v>Sut Nylon 10/0 3/8Sp 6 - 6.5Mm</v>
          </cell>
        </row>
        <row r="1143">
          <cell r="A1143">
            <v>189704908</v>
          </cell>
          <cell r="B1143">
            <v>915</v>
          </cell>
          <cell r="C1143" t="str">
            <v>Sut Chromic 0 Ligation</v>
          </cell>
        </row>
        <row r="1144">
          <cell r="A1144">
            <v>180138009</v>
          </cell>
          <cell r="B1144">
            <v>916</v>
          </cell>
          <cell r="C1144" t="str">
            <v>Sut Chromic 0 1/2Rc 26.6Mm</v>
          </cell>
        </row>
        <row r="1145">
          <cell r="A1145">
            <v>180139131</v>
          </cell>
          <cell r="B1145">
            <v>917</v>
          </cell>
          <cell r="C1145" t="str">
            <v>~Sut Chromic 0 1/2Rc 36Mm 75Cm Gen Clos</v>
          </cell>
        </row>
        <row r="1146">
          <cell r="A1146">
            <v>180961932</v>
          </cell>
          <cell r="B1146">
            <v>918</v>
          </cell>
          <cell r="C1146" t="str">
            <v>Syringe Safety 5Ml 20Gx25mm (0.9Mm) Needle</v>
          </cell>
        </row>
        <row r="1147">
          <cell r="A1147" t="str">
            <v>DELETED</v>
          </cell>
          <cell r="B1147">
            <v>919</v>
          </cell>
          <cell r="C1147" t="str">
            <v>~Sut Chromic 0 1/2Ct 35Mm 75Cm G I</v>
          </cell>
        </row>
        <row r="1148">
          <cell r="A1148">
            <v>180319915</v>
          </cell>
          <cell r="B1148">
            <v>920</v>
          </cell>
          <cell r="C1148" t="str">
            <v>Sut Chromic 0 1/2Tp 40Mm</v>
          </cell>
        </row>
        <row r="1149">
          <cell r="A1149">
            <v>180211860</v>
          </cell>
          <cell r="B1149">
            <v>921</v>
          </cell>
          <cell r="C1149" t="str">
            <v>Sut Chromic 0 1/2Ct 40Mm</v>
          </cell>
        </row>
        <row r="1150">
          <cell r="A1150">
            <v>180957063</v>
          </cell>
          <cell r="B1150">
            <v>922</v>
          </cell>
          <cell r="C1150" t="str">
            <v>Sut Synthabs 15X8cm Sup Mesh</v>
          </cell>
        </row>
        <row r="1151">
          <cell r="A1151">
            <v>189704907</v>
          </cell>
          <cell r="B1151">
            <v>923</v>
          </cell>
          <cell r="C1151" t="str">
            <v>Sut Chromic 1 Ligation</v>
          </cell>
        </row>
        <row r="1152">
          <cell r="A1152" t="str">
            <v>DELETED</v>
          </cell>
          <cell r="B1152">
            <v>924</v>
          </cell>
          <cell r="C1152" t="str">
            <v>~Sut Chromic 1 1/2Rc 36Mm 90Cm Gen Clos</v>
          </cell>
        </row>
        <row r="1153">
          <cell r="A1153">
            <v>189754301</v>
          </cell>
          <cell r="B1153">
            <v>925</v>
          </cell>
          <cell r="C1153" t="str">
            <v>Sut Chromic 1 1/2Rc 40Mm</v>
          </cell>
        </row>
        <row r="1154">
          <cell r="A1154">
            <v>189763018</v>
          </cell>
          <cell r="B1154">
            <v>926</v>
          </cell>
          <cell r="C1154" t="str">
            <v>Sut Chromic 1 1/2Tp 30Mm</v>
          </cell>
        </row>
        <row r="1155">
          <cell r="A1155">
            <v>189703342</v>
          </cell>
          <cell r="B1155">
            <v>927</v>
          </cell>
          <cell r="C1155" t="str">
            <v>Sut Chromic 1 1/2Tp 40Mm</v>
          </cell>
        </row>
        <row r="1156">
          <cell r="A1156" t="str">
            <v>QUOTE EYE</v>
          </cell>
          <cell r="B1156">
            <v>928</v>
          </cell>
          <cell r="C1156" t="str">
            <v>Cannula Subtenon Anaesthesia</v>
          </cell>
        </row>
        <row r="1157">
          <cell r="A1157">
            <v>180232959</v>
          </cell>
          <cell r="B1157">
            <v>929</v>
          </cell>
          <cell r="C1157" t="str">
            <v>~Sut Chromic 2 Ligation 150Cm</v>
          </cell>
        </row>
        <row r="1158">
          <cell r="A1158">
            <v>180139523</v>
          </cell>
          <cell r="B1158">
            <v>930</v>
          </cell>
          <cell r="C1158" t="str">
            <v>Sut Chromic 2 1/2Rc 40Mm</v>
          </cell>
        </row>
        <row r="1159">
          <cell r="A1159">
            <v>180319923</v>
          </cell>
          <cell r="B1159">
            <v>931</v>
          </cell>
          <cell r="C1159" t="str">
            <v>Sut Chromic 2 1/2Tp 45Mm</v>
          </cell>
        </row>
        <row r="1160">
          <cell r="A1160">
            <v>180139522</v>
          </cell>
          <cell r="B1160">
            <v>932</v>
          </cell>
          <cell r="C1160" t="str">
            <v>Sut Chromic 2 1/2Tc 35Mm</v>
          </cell>
        </row>
        <row r="1161">
          <cell r="A1161">
            <v>180173814</v>
          </cell>
          <cell r="B1161">
            <v>933</v>
          </cell>
          <cell r="C1161" t="str">
            <v>Sut Silk 3/0 1/2Tp 17.4Mm Cardio</v>
          </cell>
        </row>
        <row r="1162">
          <cell r="A1162">
            <v>180319914</v>
          </cell>
          <cell r="B1162">
            <v>934</v>
          </cell>
          <cell r="C1162" t="str">
            <v>~Sut Chromic 2/0 1/2Rc 26.6Mm 75Cm Gen Clos</v>
          </cell>
        </row>
        <row r="1163">
          <cell r="A1163">
            <v>180212754</v>
          </cell>
          <cell r="B1163">
            <v>935</v>
          </cell>
          <cell r="C1163" t="str">
            <v>Sut Chromic 2/0 1/2Rc 36Mm</v>
          </cell>
        </row>
        <row r="1164">
          <cell r="A1164">
            <v>189706132</v>
          </cell>
          <cell r="B1164">
            <v>936</v>
          </cell>
          <cell r="C1164" t="str">
            <v>Sut Chromic 2/0 1/2Tp 30Mm</v>
          </cell>
        </row>
        <row r="1165">
          <cell r="A1165">
            <v>180210844</v>
          </cell>
          <cell r="B1165">
            <v>937</v>
          </cell>
          <cell r="C1165" t="str">
            <v>Sut Chromic 2/0 1/2Tp 37Mm-40Mm</v>
          </cell>
        </row>
        <row r="1166">
          <cell r="A1166">
            <v>189754048</v>
          </cell>
          <cell r="B1166">
            <v>938</v>
          </cell>
          <cell r="C1166" t="str">
            <v>Sut Chromic 2/0 1/2Tc 25Mm</v>
          </cell>
        </row>
        <row r="1167">
          <cell r="A1167">
            <v>189757133</v>
          </cell>
          <cell r="B1167">
            <v>939</v>
          </cell>
          <cell r="C1167" t="str">
            <v>Sut Chromic 2/0 3/8Tp 45Mm</v>
          </cell>
        </row>
        <row r="1168">
          <cell r="A1168" t="str">
            <v>QUOTE</v>
          </cell>
          <cell r="B1168">
            <v>940</v>
          </cell>
          <cell r="C1168" t="str">
            <v>Cath Prostatectomy Latex 3-Way</v>
          </cell>
        </row>
        <row r="1169">
          <cell r="A1169" t="str">
            <v>QUOTE</v>
          </cell>
          <cell r="B1169">
            <v>941</v>
          </cell>
          <cell r="C1169" t="str">
            <v>Sut Chromic 3/0 3/8Cc 63Mm</v>
          </cell>
        </row>
        <row r="1170">
          <cell r="A1170">
            <v>189704905</v>
          </cell>
          <cell r="B1170">
            <v>942</v>
          </cell>
          <cell r="C1170" t="str">
            <v>Sut Chromic 3/0 1/2Tp 30Mm</v>
          </cell>
        </row>
        <row r="1171">
          <cell r="A1171">
            <v>180319910</v>
          </cell>
          <cell r="B1171">
            <v>943</v>
          </cell>
          <cell r="C1171" t="str">
            <v>Sut Chromic 3/0 3/8Rc 19Mm</v>
          </cell>
        </row>
        <row r="1172">
          <cell r="A1172">
            <v>180137926</v>
          </cell>
          <cell r="B1172">
            <v>944</v>
          </cell>
          <cell r="C1172" t="str">
            <v>Sut Chromic 3/0 3/8Rc 30Mm</v>
          </cell>
        </row>
        <row r="1173">
          <cell r="A1173">
            <v>189758933</v>
          </cell>
          <cell r="B1173">
            <v>945</v>
          </cell>
          <cell r="C1173" t="str">
            <v>Sut Chromic 4/0 1/2Tp 20Mm</v>
          </cell>
        </row>
        <row r="1174">
          <cell r="A1174">
            <v>180319909</v>
          </cell>
          <cell r="B1174">
            <v>946</v>
          </cell>
          <cell r="C1174" t="str">
            <v>Sut Chromic 4/0 1/2Tp 26Mm</v>
          </cell>
        </row>
        <row r="1175">
          <cell r="A1175" t="str">
            <v>3021170 NOT</v>
          </cell>
          <cell r="B1175">
            <v>947</v>
          </cell>
          <cell r="C1175" t="str">
            <v>~Sut Chromic 4/0 3/8Cc 16Mm Cutic</v>
          </cell>
        </row>
        <row r="1176">
          <cell r="A1176">
            <v>181930538</v>
          </cell>
          <cell r="B1176">
            <v>948</v>
          </cell>
          <cell r="C1176" t="str">
            <v>Vaccine Oral Polio Bivalent 20 Dose Vial</v>
          </cell>
        </row>
        <row r="1177">
          <cell r="A1177">
            <v>180173143</v>
          </cell>
          <cell r="B1177">
            <v>949</v>
          </cell>
          <cell r="C1177" t="str">
            <v>~Sut Plain 0 1/2Ct 36Mm</v>
          </cell>
        </row>
        <row r="1178">
          <cell r="A1178">
            <v>180139494</v>
          </cell>
          <cell r="B1178">
            <v>950</v>
          </cell>
          <cell r="C1178" t="str">
            <v>Sut Plain 2/0 Ligation</v>
          </cell>
        </row>
        <row r="1179">
          <cell r="A1179">
            <v>180173900</v>
          </cell>
          <cell r="B1179">
            <v>951</v>
          </cell>
          <cell r="C1179" t="str">
            <v>Sut Stainless Steel 5 1/2Cc 48Mm 4X45cm Sternum</v>
          </cell>
        </row>
        <row r="1180">
          <cell r="A1180">
            <v>180318956</v>
          </cell>
          <cell r="B1180">
            <v>952</v>
          </cell>
          <cell r="C1180" t="str">
            <v>Sut Plain 2/0 1/2Tp 36Mm</v>
          </cell>
        </row>
        <row r="1181">
          <cell r="A1181">
            <v>180173138</v>
          </cell>
          <cell r="B1181">
            <v>953</v>
          </cell>
          <cell r="C1181" t="str">
            <v>Sut Plain 2/0 3/8Rc 24Mm</v>
          </cell>
        </row>
        <row r="1182">
          <cell r="A1182">
            <v>189704911</v>
          </cell>
          <cell r="B1182">
            <v>954</v>
          </cell>
          <cell r="C1182" t="str">
            <v>Sut Plain 3/0 Ligation</v>
          </cell>
        </row>
        <row r="1183">
          <cell r="A1183">
            <v>180026006</v>
          </cell>
          <cell r="B1183">
            <v>955</v>
          </cell>
          <cell r="C1183" t="str">
            <v>Sut Plain 4/0 1/2Tp 26Mm</v>
          </cell>
        </row>
        <row r="1184">
          <cell r="A1184" t="str">
            <v>DELETED</v>
          </cell>
          <cell r="B1184">
            <v>956</v>
          </cell>
          <cell r="C1184" t="str">
            <v>~Darbepoetin Alpha 50Ug Pre-Filled Syringe</v>
          </cell>
        </row>
        <row r="1185">
          <cell r="A1185">
            <v>181936065</v>
          </cell>
          <cell r="B1185">
            <v>957</v>
          </cell>
          <cell r="C1185" t="str">
            <v>Dolutegravir 50Mg Tablets (30'S)</v>
          </cell>
        </row>
        <row r="1186">
          <cell r="A1186">
            <v>180211864</v>
          </cell>
          <cell r="B1186">
            <v>958</v>
          </cell>
          <cell r="C1186" t="str">
            <v>Sut Plain 3/0 3/8Rc 26Mm Cutic</v>
          </cell>
        </row>
        <row r="1187">
          <cell r="A1187" t="str">
            <v>QUOTE EYE</v>
          </cell>
          <cell r="B1187">
            <v>959</v>
          </cell>
          <cell r="C1187" t="str">
            <v>Cannula Eye Reverse Simcoe Re-Useable</v>
          </cell>
        </row>
        <row r="1188">
          <cell r="A1188">
            <v>180139240</v>
          </cell>
          <cell r="B1188">
            <v>960</v>
          </cell>
          <cell r="C1188" t="str">
            <v>Sut Polyester Fibre 1/2Tp 48Mm (Shirodkar)</v>
          </cell>
        </row>
        <row r="1189">
          <cell r="A1189">
            <v>189712209</v>
          </cell>
          <cell r="B1189">
            <v>961</v>
          </cell>
          <cell r="C1189" t="str">
            <v>Sut Polyest 4/0 1/2Tp 20Mm</v>
          </cell>
        </row>
        <row r="1190">
          <cell r="A1190">
            <v>180961923</v>
          </cell>
          <cell r="B1190">
            <v>962</v>
          </cell>
          <cell r="C1190" t="str">
            <v>Syringe Safety 5Ml 21Gx25mm (0.8Mm) Needle</v>
          </cell>
        </row>
        <row r="1191">
          <cell r="A1191">
            <v>180212864</v>
          </cell>
          <cell r="B1191">
            <v>963</v>
          </cell>
          <cell r="C1191" t="str">
            <v>~Sut Monosyn 0 1/2Rc 36Mm Violet</v>
          </cell>
        </row>
        <row r="1192">
          <cell r="A1192">
            <v>180232878</v>
          </cell>
          <cell r="B1192">
            <v>964</v>
          </cell>
          <cell r="C1192" t="str">
            <v>~Sut Monosyn 0 1/2Rc 40Mm Violet</v>
          </cell>
        </row>
        <row r="1193">
          <cell r="A1193">
            <v>180961912</v>
          </cell>
          <cell r="B1193">
            <v>965</v>
          </cell>
          <cell r="C1193" t="str">
            <v>Syringe Safety 5Ml 22Gx25mm (0.7Mm) Needle</v>
          </cell>
        </row>
        <row r="1194">
          <cell r="A1194">
            <v>189755553</v>
          </cell>
          <cell r="B1194">
            <v>966</v>
          </cell>
          <cell r="C1194" t="str">
            <v>~Sut Monosyn 0 1/2Tp 40Mm Violet</v>
          </cell>
        </row>
        <row r="1195">
          <cell r="A1195">
            <v>180956853</v>
          </cell>
          <cell r="B1195">
            <v>967</v>
          </cell>
          <cell r="C1195" t="str">
            <v>Sut Monosyn 1 1/2Rc 40Mm</v>
          </cell>
        </row>
        <row r="1196">
          <cell r="A1196">
            <v>180956862</v>
          </cell>
          <cell r="B1196">
            <v>968</v>
          </cell>
          <cell r="C1196" t="str">
            <v>Sut Monosyn 1 1/2Tp 40Mm</v>
          </cell>
        </row>
        <row r="1197">
          <cell r="A1197">
            <v>180046816</v>
          </cell>
          <cell r="B1197">
            <v>969</v>
          </cell>
          <cell r="C1197" t="str">
            <v>Sut Monosyn 2/0 1/2Rc 36Mm</v>
          </cell>
        </row>
        <row r="1198">
          <cell r="A1198">
            <v>180956818</v>
          </cell>
          <cell r="B1198">
            <v>970</v>
          </cell>
          <cell r="C1198" t="str">
            <v>Sut Monosyn 2/0 1/2Tp 36Mm</v>
          </cell>
        </row>
        <row r="1199">
          <cell r="A1199">
            <v>180330422</v>
          </cell>
          <cell r="B1199">
            <v>971</v>
          </cell>
          <cell r="C1199" t="str">
            <v>Sut Monosyn 2/0 1/2Tp 30Mm</v>
          </cell>
        </row>
        <row r="1200">
          <cell r="A1200" t="str">
            <v>3024045 DEL</v>
          </cell>
          <cell r="B1200">
            <v>972</v>
          </cell>
          <cell r="C1200" t="str">
            <v>~Sut Monosyn 4/0 Straight 18Mm Violet</v>
          </cell>
        </row>
        <row r="1201">
          <cell r="A1201" t="str">
            <v>QUOTE EYE</v>
          </cell>
          <cell r="B1201">
            <v>973</v>
          </cell>
          <cell r="C1201" t="str">
            <v>Knife Visco Canalostomy</v>
          </cell>
        </row>
        <row r="1202">
          <cell r="A1202">
            <v>180956905</v>
          </cell>
          <cell r="B1202">
            <v>974</v>
          </cell>
          <cell r="C1202" t="str">
            <v>Sut Polyprop 5/0 1/2Tp 17-17,4Mm</v>
          </cell>
        </row>
        <row r="1203">
          <cell r="A1203">
            <v>180323807</v>
          </cell>
          <cell r="B1203">
            <v>975</v>
          </cell>
          <cell r="C1203" t="str">
            <v>Digoxin Tabs 0.25Mg (28'S)</v>
          </cell>
        </row>
        <row r="1204">
          <cell r="A1204">
            <v>180320702</v>
          </cell>
          <cell r="B1204">
            <v>976</v>
          </cell>
          <cell r="C1204" t="str">
            <v>Sut Silk 0 3/8Cc 90Mm</v>
          </cell>
        </row>
        <row r="1205">
          <cell r="A1205">
            <v>180240736</v>
          </cell>
          <cell r="B1205">
            <v>977</v>
          </cell>
          <cell r="C1205" t="str">
            <v>Sut Silk 1 Ligation</v>
          </cell>
        </row>
        <row r="1206">
          <cell r="A1206">
            <v>180320703</v>
          </cell>
          <cell r="B1206">
            <v>978</v>
          </cell>
          <cell r="C1206" t="str">
            <v>Sut Silk 1 3/8Cc 90Mm</v>
          </cell>
        </row>
        <row r="1207">
          <cell r="A1207" t="str">
            <v>QUOTE</v>
          </cell>
          <cell r="B1207">
            <v>979</v>
          </cell>
          <cell r="C1207" t="str">
            <v>Sut Silk 2 3/8Cc 90Mm</v>
          </cell>
        </row>
        <row r="1208">
          <cell r="A1208">
            <v>189760500</v>
          </cell>
          <cell r="B1208">
            <v>980</v>
          </cell>
          <cell r="C1208" t="str">
            <v>~Sut Silk 2/0 Ligation 180Cm Black</v>
          </cell>
        </row>
        <row r="1209">
          <cell r="A1209">
            <v>180320701</v>
          </cell>
          <cell r="B1209">
            <v>981</v>
          </cell>
          <cell r="C1209" t="str">
            <v>Sut Silk 2/0 Straight Cc 60Mm</v>
          </cell>
        </row>
        <row r="1210">
          <cell r="A1210">
            <v>180320700</v>
          </cell>
          <cell r="B1210">
            <v>982</v>
          </cell>
          <cell r="C1210" t="str">
            <v>Sut Silk 2/0 3/8Cc 80Mm</v>
          </cell>
        </row>
        <row r="1211">
          <cell r="A1211">
            <v>180138697</v>
          </cell>
          <cell r="B1211">
            <v>983</v>
          </cell>
          <cell r="C1211" t="str">
            <v>Sut Silk 2/0 3/8Rc 26Mm</v>
          </cell>
        </row>
        <row r="1212">
          <cell r="A1212">
            <v>189751292</v>
          </cell>
          <cell r="B1212">
            <v>984</v>
          </cell>
          <cell r="C1212" t="str">
            <v>Sut Silk 3/0 Ligation 17X45cm Pre-Cut</v>
          </cell>
        </row>
        <row r="1213">
          <cell r="A1213">
            <v>180138659</v>
          </cell>
          <cell r="B1213">
            <v>985</v>
          </cell>
          <cell r="C1213" t="str">
            <v>Sut Silk 3/0 3/8Rc 24Mm</v>
          </cell>
        </row>
        <row r="1214">
          <cell r="A1214" t="str">
            <v>DELETED</v>
          </cell>
          <cell r="B1214">
            <v>986</v>
          </cell>
          <cell r="C1214" t="str">
            <v>~Sut Silk 4/0 3/8Cc 20Mm Black Plastic</v>
          </cell>
        </row>
        <row r="1215">
          <cell r="A1215" t="str">
            <v>QUOTE EYE</v>
          </cell>
          <cell r="B1215">
            <v>987</v>
          </cell>
          <cell r="C1215" t="str">
            <v>~Sut Silk 5/0 3/8Cc 16Mm Black</v>
          </cell>
        </row>
        <row r="1216">
          <cell r="A1216">
            <v>189713811</v>
          </cell>
          <cell r="B1216">
            <v>988</v>
          </cell>
          <cell r="C1216" t="str">
            <v>~Sut Silk 6/0 3/8Rc 11Mm Black</v>
          </cell>
        </row>
        <row r="1217">
          <cell r="A1217">
            <v>180956880</v>
          </cell>
          <cell r="B1217">
            <v>989</v>
          </cell>
          <cell r="C1217" t="str">
            <v>Sut Silk 7/0 3/8Rc 8Mm</v>
          </cell>
        </row>
        <row r="1218">
          <cell r="A1218">
            <v>181891013</v>
          </cell>
          <cell r="B1218">
            <v>990</v>
          </cell>
          <cell r="C1218" t="str">
            <v>Enoxaparin 80Mg Inj Prefilled Syringe</v>
          </cell>
        </row>
        <row r="1219">
          <cell r="A1219">
            <v>181804148</v>
          </cell>
          <cell r="B1219">
            <v>991</v>
          </cell>
          <cell r="C1219" t="str">
            <v>Skin Stapler Disposable</v>
          </cell>
        </row>
        <row r="1220">
          <cell r="A1220">
            <v>180956931</v>
          </cell>
          <cell r="B1220">
            <v>992</v>
          </cell>
          <cell r="C1220" t="str">
            <v>Tape Umbilical Cotton</v>
          </cell>
        </row>
        <row r="1221">
          <cell r="A1221">
            <v>180185965</v>
          </cell>
          <cell r="B1221">
            <v>993</v>
          </cell>
          <cell r="C1221" t="str">
            <v>Sut Synthabs 0 1/2Rc 36Mm</v>
          </cell>
        </row>
        <row r="1222">
          <cell r="A1222">
            <v>180185957</v>
          </cell>
          <cell r="B1222">
            <v>994</v>
          </cell>
          <cell r="C1222" t="str">
            <v>Sut Synthabs 0 1/2Tp 26Mm</v>
          </cell>
        </row>
        <row r="1223">
          <cell r="A1223" t="str">
            <v>3021620 +</v>
          </cell>
          <cell r="B1223">
            <v>995</v>
          </cell>
          <cell r="C1223" t="str">
            <v>~Sut Synthabs 0 1/2Tp 40Mm 90Cm</v>
          </cell>
        </row>
        <row r="1224">
          <cell r="A1224">
            <v>180956849</v>
          </cell>
          <cell r="B1224">
            <v>996</v>
          </cell>
          <cell r="C1224" t="str">
            <v>Sut Synthabs 0 1/2Tp 36Mm</v>
          </cell>
        </row>
        <row r="1225">
          <cell r="A1225">
            <v>180232960</v>
          </cell>
          <cell r="B1225">
            <v>997</v>
          </cell>
          <cell r="C1225" t="str">
            <v>Sut Synthabs 0 1/2Tc 36Mm</v>
          </cell>
        </row>
        <row r="1226">
          <cell r="A1226" t="str">
            <v>3021920 DEL</v>
          </cell>
          <cell r="B1226">
            <v>998</v>
          </cell>
          <cell r="C1226" t="str">
            <v>~Sut Synthabs 1 1/2Rc 36Mm 90Cm</v>
          </cell>
        </row>
        <row r="1227">
          <cell r="A1227">
            <v>180319928</v>
          </cell>
          <cell r="B1227">
            <v>999</v>
          </cell>
          <cell r="C1227" t="str">
            <v>Sut Synthabs 1 1/2Rc 40Mm</v>
          </cell>
        </row>
        <row r="1228">
          <cell r="A1228">
            <v>180328370</v>
          </cell>
          <cell r="B1228">
            <v>1000</v>
          </cell>
          <cell r="C1228" t="str">
            <v>Sut Synthabs 1 1/2Tp 48Mm</v>
          </cell>
        </row>
        <row r="1229">
          <cell r="A1229">
            <v>180325840</v>
          </cell>
          <cell r="B1229">
            <v>1001</v>
          </cell>
          <cell r="C1229" t="str">
            <v>Sut Synthabs 1 1/2Tc 36Mm</v>
          </cell>
        </row>
        <row r="1230">
          <cell r="A1230" t="str">
            <v>3021950 DEL</v>
          </cell>
          <cell r="B1230">
            <v>1002</v>
          </cell>
          <cell r="C1230" t="str">
            <v>~Sut Synthabs 2/0 1/2Rc 40Mm 90Cm</v>
          </cell>
        </row>
        <row r="1231">
          <cell r="A1231">
            <v>180185936</v>
          </cell>
          <cell r="B1231">
            <v>1003</v>
          </cell>
          <cell r="C1231" t="str">
            <v>Sut Synthabs 2/0 1/2Tp 26Mm</v>
          </cell>
        </row>
        <row r="1232">
          <cell r="A1232" t="str">
            <v>3021610 DEL</v>
          </cell>
          <cell r="B1232">
            <v>1004</v>
          </cell>
          <cell r="C1232" t="str">
            <v>~Sut Synthabs 2/0 1/2Tp 37Mm 70Cm</v>
          </cell>
        </row>
        <row r="1233">
          <cell r="A1233">
            <v>189760422</v>
          </cell>
          <cell r="B1233">
            <v>1005</v>
          </cell>
          <cell r="C1233" t="str">
            <v>Sut Synthabs 2/0 1/2Tp 40Mm</v>
          </cell>
        </row>
        <row r="1234">
          <cell r="A1234" t="str">
            <v>DELETED</v>
          </cell>
          <cell r="B1234">
            <v>1006</v>
          </cell>
          <cell r="C1234" t="str">
            <v>~Sut Synthabs 2/0 Str Cut 60Mm 70Cm Cutic</v>
          </cell>
        </row>
        <row r="1235">
          <cell r="A1235">
            <v>180185880</v>
          </cell>
          <cell r="B1235">
            <v>1007</v>
          </cell>
          <cell r="C1235" t="str">
            <v>Sut Synthabs 3/0 1/2Tp 20-22Mm</v>
          </cell>
        </row>
        <row r="1236">
          <cell r="A1236">
            <v>180185899</v>
          </cell>
          <cell r="B1236">
            <v>1008</v>
          </cell>
          <cell r="C1236" t="str">
            <v>Sut Synthabs 3/0 1/2Tp 30Mm</v>
          </cell>
        </row>
        <row r="1237">
          <cell r="A1237">
            <v>180185872</v>
          </cell>
          <cell r="B1237">
            <v>1009</v>
          </cell>
          <cell r="C1237" t="str">
            <v>Sut Synthabs 3/0 3/8Rc 20Mm</v>
          </cell>
        </row>
        <row r="1238">
          <cell r="A1238" t="str">
            <v>QUOTE</v>
          </cell>
          <cell r="B1238">
            <v>1010</v>
          </cell>
          <cell r="C1238" t="str">
            <v>Sut Synthabs 3/0 1/2Rc 22Mm</v>
          </cell>
        </row>
        <row r="1239">
          <cell r="A1239" t="str">
            <v>DELETED</v>
          </cell>
          <cell r="B1239">
            <v>1011</v>
          </cell>
          <cell r="C1239" t="str">
            <v>Sut Synthabs 3/0 3/8Cc 25Mm</v>
          </cell>
        </row>
        <row r="1240">
          <cell r="A1240" t="str">
            <v>QUOTE</v>
          </cell>
          <cell r="B1240">
            <v>1012</v>
          </cell>
          <cell r="C1240" t="str">
            <v>Sut Synthabs 4/0 1/2Tp 22Mm</v>
          </cell>
        </row>
        <row r="1241">
          <cell r="A1241">
            <v>180185862</v>
          </cell>
          <cell r="B1241">
            <v>1013</v>
          </cell>
          <cell r="C1241" t="str">
            <v>Sut Synthabs 5/0 3/8Rc 19Mm</v>
          </cell>
        </row>
        <row r="1242">
          <cell r="A1242">
            <v>180212842</v>
          </cell>
          <cell r="B1242">
            <v>1014</v>
          </cell>
          <cell r="C1242" t="str">
            <v>Sut Synthabs 6/0 1/4Sp  8Mm</v>
          </cell>
        </row>
        <row r="1243">
          <cell r="A1243">
            <v>180956777</v>
          </cell>
          <cell r="B1243">
            <v>1015</v>
          </cell>
          <cell r="C1243" t="str">
            <v>Sut Synthabs 5/0 5/8Tp 27Mm</v>
          </cell>
        </row>
        <row r="1244">
          <cell r="A1244">
            <v>180075520</v>
          </cell>
          <cell r="B1244">
            <v>2249</v>
          </cell>
          <cell r="C1244" t="str">
            <v>Atracurium Inj 50Mg/5ml 5Ml</v>
          </cell>
        </row>
        <row r="1245">
          <cell r="A1245">
            <v>180142176</v>
          </cell>
          <cell r="B1245">
            <v>2250</v>
          </cell>
          <cell r="C1245" t="str">
            <v>Atorvastatin Tabs 10Mg (28'S)</v>
          </cell>
        </row>
        <row r="1246">
          <cell r="A1246">
            <v>180219005</v>
          </cell>
          <cell r="B1246">
            <v>2251</v>
          </cell>
          <cell r="C1246" t="str">
            <v>~Lamivudine Tabs 150Mg (60'S)</v>
          </cell>
        </row>
        <row r="1247">
          <cell r="A1247">
            <v>180964704</v>
          </cell>
          <cell r="B1247">
            <v>2252</v>
          </cell>
          <cell r="C1247" t="str">
            <v>Calcium Carbonate Sol 500Mg (10'S)</v>
          </cell>
        </row>
        <row r="1248">
          <cell r="A1248">
            <v>189712676</v>
          </cell>
          <cell r="B1248">
            <v>2253</v>
          </cell>
          <cell r="C1248" t="str">
            <v>Isotretinoin Caps 10Mg (60'S)</v>
          </cell>
        </row>
        <row r="1249">
          <cell r="A1249">
            <v>189712688</v>
          </cell>
          <cell r="B1249">
            <v>2254</v>
          </cell>
          <cell r="C1249" t="str">
            <v>Isotretinoin Caps 20Mg (60'S)</v>
          </cell>
        </row>
        <row r="1250">
          <cell r="A1250" t="str">
            <v>MOTIVATION</v>
          </cell>
          <cell r="B1250">
            <v>2255</v>
          </cell>
          <cell r="C1250" t="str">
            <v>~Diclophenac Gel 100Mg</v>
          </cell>
        </row>
        <row r="1251">
          <cell r="A1251">
            <v>180231590</v>
          </cell>
          <cell r="B1251">
            <v>2256</v>
          </cell>
          <cell r="C1251" t="str">
            <v>Pancreatin Caps 25,000 (100'S)</v>
          </cell>
        </row>
        <row r="1252">
          <cell r="A1252">
            <v>180346276</v>
          </cell>
          <cell r="B1252">
            <v>2257</v>
          </cell>
          <cell r="C1252" t="str">
            <v>Dressing Wound Abs. Non-Adh.&amp; Adh.Border 11X11cm</v>
          </cell>
        </row>
        <row r="1253">
          <cell r="A1253" t="str">
            <v>QUOTE</v>
          </cell>
          <cell r="B1253">
            <v>2258</v>
          </cell>
          <cell r="C1253" t="str">
            <v>Dressing Hydrocolloid &amp; Border 20Cmx23cm</v>
          </cell>
        </row>
        <row r="1254">
          <cell r="A1254" t="str">
            <v>QUOTE</v>
          </cell>
          <cell r="B1254">
            <v>2259</v>
          </cell>
          <cell r="C1254" t="str">
            <v>Vaccine Hepatitis A Inactivated Adult</v>
          </cell>
        </row>
        <row r="1255">
          <cell r="A1255">
            <v>180326881</v>
          </cell>
          <cell r="B1255">
            <v>2260</v>
          </cell>
          <cell r="C1255" t="str">
            <v>Bismuth Subgallate Zinc Ointment</v>
          </cell>
        </row>
        <row r="1256">
          <cell r="A1256">
            <v>180822125</v>
          </cell>
          <cell r="B1256">
            <v>2261</v>
          </cell>
          <cell r="C1256" t="str">
            <v>Bag Drainage Acute Dialysis 3L</v>
          </cell>
        </row>
        <row r="1257">
          <cell r="A1257">
            <v>181821882</v>
          </cell>
          <cell r="B1257">
            <v>2262</v>
          </cell>
          <cell r="C1257" t="str">
            <v>Chlorpheniramine Tabs 4Mg (10'S)</v>
          </cell>
        </row>
        <row r="1258">
          <cell r="A1258">
            <v>180123451</v>
          </cell>
          <cell r="B1258">
            <v>2263</v>
          </cell>
          <cell r="C1258" t="str">
            <v>Azithromycin 200Mg/5ml Susp 15Ml</v>
          </cell>
        </row>
        <row r="1259">
          <cell r="A1259">
            <v>181826964</v>
          </cell>
          <cell r="B1259">
            <v>2264</v>
          </cell>
          <cell r="C1259" t="str">
            <v>~Formaldehyde Sol 2.5L 1% In Spore 2.5L</v>
          </cell>
        </row>
        <row r="1260">
          <cell r="A1260">
            <v>181896255</v>
          </cell>
          <cell r="B1260">
            <v>2265</v>
          </cell>
          <cell r="C1260" t="str">
            <v>Lamivudine &amp; Zidovudine 150/300Mg (60')</v>
          </cell>
        </row>
        <row r="1261">
          <cell r="A1261">
            <v>180076016</v>
          </cell>
          <cell r="B1261">
            <v>2266</v>
          </cell>
          <cell r="C1261" t="str">
            <v>Heparin Inj 25000Iu/ml 5Ml</v>
          </cell>
        </row>
        <row r="1262">
          <cell r="A1262">
            <v>189711644</v>
          </cell>
          <cell r="B1262">
            <v>2267</v>
          </cell>
          <cell r="C1262" t="str">
            <v>~Insulin Ultratard Hm 10Ml</v>
          </cell>
        </row>
        <row r="1263">
          <cell r="A1263">
            <v>180258207</v>
          </cell>
          <cell r="B1263">
            <v>2268</v>
          </cell>
          <cell r="C1263" t="str">
            <v>Tpn 3008A</v>
          </cell>
        </row>
        <row r="1264">
          <cell r="A1264">
            <v>181923350</v>
          </cell>
          <cell r="B1264">
            <v>2269</v>
          </cell>
          <cell r="C1264" t="str">
            <v>Ferrous Sulphate Co Tabs (84'S)</v>
          </cell>
        </row>
        <row r="1265">
          <cell r="A1265">
            <v>189713751</v>
          </cell>
          <cell r="B1265">
            <v>2270</v>
          </cell>
          <cell r="C1265" t="str">
            <v>Folic Acid Tabs 5Mg (28'S)</v>
          </cell>
        </row>
        <row r="1266">
          <cell r="A1266">
            <v>181827546</v>
          </cell>
          <cell r="B1266">
            <v>2271</v>
          </cell>
          <cell r="C1266" t="str">
            <v>Griseofulvin Tabs 500Mg (28'S)</v>
          </cell>
        </row>
        <row r="1267">
          <cell r="A1267">
            <v>180140321</v>
          </cell>
          <cell r="B1267">
            <v>2272</v>
          </cell>
          <cell r="C1267" t="str">
            <v>Incontinence Diaper Adult, Small</v>
          </cell>
        </row>
        <row r="1268">
          <cell r="A1268">
            <v>189715299</v>
          </cell>
          <cell r="B1268">
            <v>2273</v>
          </cell>
          <cell r="C1268" t="str">
            <v>Incontinence Diaper Adult, Medium</v>
          </cell>
        </row>
        <row r="1269">
          <cell r="A1269">
            <v>189708823</v>
          </cell>
          <cell r="B1269">
            <v>2274</v>
          </cell>
          <cell r="C1269" t="str">
            <v>Incontinence Diaper Adult, Large</v>
          </cell>
        </row>
        <row r="1270">
          <cell r="A1270">
            <v>189753372</v>
          </cell>
          <cell r="B1270">
            <v>2275</v>
          </cell>
          <cell r="C1270" t="str">
            <v>Sodium Chloride Powder 500G</v>
          </cell>
        </row>
        <row r="1271">
          <cell r="A1271">
            <v>180075794</v>
          </cell>
          <cell r="B1271">
            <v>2276</v>
          </cell>
          <cell r="C1271" t="str">
            <v>Dextrose In Water Inj 50% 20Ml</v>
          </cell>
        </row>
        <row r="1272">
          <cell r="A1272">
            <v>180190405</v>
          </cell>
          <cell r="B1272">
            <v>2278</v>
          </cell>
          <cell r="C1272" t="str">
            <v>Hydrochlorothiazide Tabs 25Mg (28'S)</v>
          </cell>
        </row>
        <row r="1273">
          <cell r="A1273">
            <v>189715426</v>
          </cell>
          <cell r="B1273">
            <v>2279</v>
          </cell>
          <cell r="C1273" t="str">
            <v>Sulphur Ointment B.P. 500G</v>
          </cell>
        </row>
        <row r="1274">
          <cell r="A1274">
            <v>181872084</v>
          </cell>
          <cell r="B1274">
            <v>2280</v>
          </cell>
          <cell r="C1274" t="str">
            <v>Dressing Wound Adh Trans 80X100 &amp; Paper Frame</v>
          </cell>
        </row>
        <row r="1275">
          <cell r="A1275">
            <v>181808915</v>
          </cell>
          <cell r="B1275">
            <v>2281</v>
          </cell>
          <cell r="C1275" t="str">
            <v>Tpn Multi Bag Adult Mp &amp; Hc With Eletrolytes 1.5-2L</v>
          </cell>
        </row>
        <row r="1276">
          <cell r="A1276">
            <v>189714588</v>
          </cell>
          <cell r="B1276">
            <v>2282</v>
          </cell>
          <cell r="C1276" t="str">
            <v>Tamoxifen Citrate Tabs 10Mg</v>
          </cell>
        </row>
        <row r="1277">
          <cell r="A1277">
            <v>181896198</v>
          </cell>
          <cell r="B1277">
            <v>2283</v>
          </cell>
          <cell r="C1277" t="str">
            <v>Lamivudine 150Mg Scored Tabs (60'S)</v>
          </cell>
        </row>
        <row r="1278">
          <cell r="A1278">
            <v>180948499</v>
          </cell>
          <cell r="B1278">
            <v>2285</v>
          </cell>
          <cell r="C1278" t="str">
            <v>Itn Baby 102/Tpn 1601N</v>
          </cell>
        </row>
        <row r="1279">
          <cell r="A1279">
            <v>189711810</v>
          </cell>
          <cell r="B1279">
            <v>2286</v>
          </cell>
          <cell r="C1279" t="str">
            <v>Methyldopa Tabs 250Mg (56'S)</v>
          </cell>
        </row>
        <row r="1280">
          <cell r="A1280" t="str">
            <v>PREPACK 28</v>
          </cell>
          <cell r="B1280">
            <v>2287</v>
          </cell>
          <cell r="C1280" t="str">
            <v>Ferrous Fumurate &amp; Folic Acid (28'S) 200Mg/0.1Mg</v>
          </cell>
        </row>
        <row r="1281">
          <cell r="A1281">
            <v>189710260</v>
          </cell>
          <cell r="B1281">
            <v>2288</v>
          </cell>
          <cell r="C1281" t="str">
            <v>Verapamil Tabs  80Mg (250'S)</v>
          </cell>
        </row>
        <row r="1282">
          <cell r="A1282" t="str">
            <v>QUOTE</v>
          </cell>
          <cell r="B1282">
            <v>2289</v>
          </cell>
          <cell r="C1282" t="str">
            <v>Eye Shields (Peadiatric)</v>
          </cell>
        </row>
        <row r="1283">
          <cell r="A1283">
            <v>189714405</v>
          </cell>
          <cell r="B1283">
            <v>2291</v>
          </cell>
          <cell r="C1283" t="str">
            <v>Aspirin Tabs 300Mg Soluble (96'S)</v>
          </cell>
        </row>
        <row r="1284">
          <cell r="A1284">
            <v>189708024</v>
          </cell>
          <cell r="B1284">
            <v>2292</v>
          </cell>
          <cell r="C1284" t="str">
            <v>Amikacin Inj 500Mg/2ml 2Ml</v>
          </cell>
        </row>
        <row r="1285">
          <cell r="A1285" t="str">
            <v>QUOTE</v>
          </cell>
          <cell r="B1285">
            <v>2293</v>
          </cell>
          <cell r="C1285" t="str">
            <v>~Ammonium 12% 5L</v>
          </cell>
        </row>
        <row r="1286">
          <cell r="A1286">
            <v>189757933</v>
          </cell>
          <cell r="B1286">
            <v>2294</v>
          </cell>
          <cell r="C1286" t="str">
            <v>Folic Acid Tabs 5Mg (Ward 100)</v>
          </cell>
        </row>
        <row r="1287">
          <cell r="A1287" t="str">
            <v>PREPACK 100</v>
          </cell>
          <cell r="B1287">
            <v>2295</v>
          </cell>
          <cell r="C1287" t="str">
            <v>Hydrochlorothiazide Tabs 25Mg (Ward 100)</v>
          </cell>
        </row>
        <row r="1288">
          <cell r="A1288">
            <v>189710330</v>
          </cell>
          <cell r="B1288">
            <v>2296</v>
          </cell>
          <cell r="C1288" t="str">
            <v>~Cloxacillin Caps 250Mg (Ward 100)</v>
          </cell>
        </row>
        <row r="1289">
          <cell r="A1289">
            <v>189755220</v>
          </cell>
          <cell r="B1289">
            <v>2297</v>
          </cell>
          <cell r="C1289" t="str">
            <v>Immunoglobulin Anti-D Amp 2Ml</v>
          </cell>
        </row>
        <row r="1290">
          <cell r="A1290">
            <v>180238188</v>
          </cell>
          <cell r="B1290">
            <v>2298</v>
          </cell>
          <cell r="C1290" t="str">
            <v>Applicator Haemolysis</v>
          </cell>
        </row>
        <row r="1291">
          <cell r="A1291">
            <v>189710268</v>
          </cell>
          <cell r="B1291">
            <v>2299</v>
          </cell>
          <cell r="C1291" t="str">
            <v>Azathioprine Tabs 50Mg (100'S)</v>
          </cell>
        </row>
        <row r="1292">
          <cell r="A1292">
            <v>189710127</v>
          </cell>
          <cell r="B1292">
            <v>2300</v>
          </cell>
          <cell r="C1292" t="str">
            <v>Baclofen Tabs 10Mg (30'S)</v>
          </cell>
        </row>
        <row r="1293">
          <cell r="A1293">
            <v>189710126</v>
          </cell>
          <cell r="B1293">
            <v>2301</v>
          </cell>
          <cell r="C1293" t="str">
            <v>Baclofen Tabs 25Mg (30'S)</v>
          </cell>
        </row>
        <row r="1294">
          <cell r="A1294">
            <v>189715305</v>
          </cell>
          <cell r="B1294">
            <v>2303</v>
          </cell>
          <cell r="C1294" t="str">
            <v>Carbamazepine Tabs 200Mg C R (30'S)</v>
          </cell>
        </row>
        <row r="1295">
          <cell r="A1295">
            <v>189708315</v>
          </cell>
          <cell r="B1295">
            <v>2304</v>
          </cell>
          <cell r="C1295" t="str">
            <v>Betaxolol Eye Drops 5Mg/ml 5Ml</v>
          </cell>
        </row>
        <row r="1296">
          <cell r="A1296">
            <v>180339400</v>
          </cell>
          <cell r="B1296">
            <v>2305</v>
          </cell>
          <cell r="C1296" t="str">
            <v>~Aluminium Hydrox Magnesium Trisil Tabs (24'S)</v>
          </cell>
        </row>
        <row r="1297">
          <cell r="A1297">
            <v>180385636</v>
          </cell>
          <cell r="B1297">
            <v>2306</v>
          </cell>
          <cell r="C1297" t="str">
            <v>Tube Endo Cuff Dual 8.5 Reinforced</v>
          </cell>
        </row>
        <row r="1298">
          <cell r="A1298">
            <v>189710186</v>
          </cell>
          <cell r="B1298">
            <v>2307</v>
          </cell>
          <cell r="C1298" t="str">
            <v>Calcitriol Caps 0.25Mcg (30'S)</v>
          </cell>
        </row>
        <row r="1299">
          <cell r="A1299">
            <v>189710283</v>
          </cell>
          <cell r="B1299">
            <v>2308</v>
          </cell>
          <cell r="C1299" t="str">
            <v>Carbidopa 25Mg Levodopa 100Mg Tabs (100'S)</v>
          </cell>
        </row>
        <row r="1300">
          <cell r="A1300">
            <v>181775871</v>
          </cell>
          <cell r="B1300">
            <v>2309</v>
          </cell>
          <cell r="C1300" t="str">
            <v>Campaign: Chlorhexidine Sol In Alcohol 0.5% 500Ml</v>
          </cell>
        </row>
        <row r="1301">
          <cell r="A1301">
            <v>189708190</v>
          </cell>
          <cell r="B1301">
            <v>2310</v>
          </cell>
          <cell r="C1301" t="str">
            <v>Cefotaxime Inj 1G</v>
          </cell>
        </row>
        <row r="1302">
          <cell r="A1302">
            <v>181932807</v>
          </cell>
          <cell r="B1302">
            <v>2311</v>
          </cell>
          <cell r="C1302" t="str">
            <v>~Amino Acid Combination Without Glutamine</v>
          </cell>
        </row>
        <row r="1303">
          <cell r="A1303">
            <v>181775871</v>
          </cell>
          <cell r="B1303">
            <v>2312</v>
          </cell>
          <cell r="C1303" t="str">
            <v>Chlorhexidine Sol In Alcohol 0.5% 500Ml</v>
          </cell>
        </row>
        <row r="1304">
          <cell r="A1304" t="str">
            <v>MOTIVATION</v>
          </cell>
          <cell r="B1304">
            <v>2313</v>
          </cell>
          <cell r="C1304" t="str">
            <v>Peginterferon Injection 180Mcg 0.5Ml</v>
          </cell>
        </row>
        <row r="1305">
          <cell r="A1305">
            <v>180000664</v>
          </cell>
          <cell r="B1305">
            <v>2314</v>
          </cell>
          <cell r="C1305" t="str">
            <v>Clonazepam Tabs 0.5Mg (90'S)</v>
          </cell>
        </row>
        <row r="1306">
          <cell r="A1306">
            <v>189711400</v>
          </cell>
          <cell r="B1306">
            <v>2315</v>
          </cell>
          <cell r="C1306" t="str">
            <v>Clonazepam Oral Drops 2.5Mg 10Ml</v>
          </cell>
        </row>
        <row r="1307">
          <cell r="A1307">
            <v>180231970</v>
          </cell>
          <cell r="B1307">
            <v>2316</v>
          </cell>
          <cell r="C1307" t="str">
            <v>~Itraconazole 10Mg/ml Solution</v>
          </cell>
        </row>
        <row r="1308">
          <cell r="A1308" t="str">
            <v>QUOTE</v>
          </cell>
          <cell r="B1308">
            <v>2317</v>
          </cell>
          <cell r="C1308" t="str">
            <v>Dressing Hydrocolloid &amp; Border 15Cmx18cm</v>
          </cell>
        </row>
        <row r="1309">
          <cell r="A1309">
            <v>181772178</v>
          </cell>
          <cell r="B1309">
            <v>2318</v>
          </cell>
          <cell r="C1309" t="str">
            <v>Quetiapine I R Tabs 300Mg (60'S)</v>
          </cell>
        </row>
        <row r="1310">
          <cell r="A1310">
            <v>189711430</v>
          </cell>
          <cell r="B1310">
            <v>2319</v>
          </cell>
          <cell r="C1310" t="str">
            <v>~Cyclopentolate Eye Drops 1% 15Ml</v>
          </cell>
        </row>
        <row r="1311">
          <cell r="A1311">
            <v>189709124</v>
          </cell>
          <cell r="B1311">
            <v>2320</v>
          </cell>
          <cell r="C1311" t="str">
            <v>Cyproterone Tabs 50Mg (20'S)</v>
          </cell>
        </row>
        <row r="1312">
          <cell r="A1312">
            <v>189711204</v>
          </cell>
          <cell r="B1312">
            <v>2321</v>
          </cell>
          <cell r="C1312" t="str">
            <v>Dexamethasone Eye Drops 0.1% 5Ml</v>
          </cell>
        </row>
        <row r="1313">
          <cell r="A1313">
            <v>180159337</v>
          </cell>
          <cell r="B1313">
            <v>2322</v>
          </cell>
          <cell r="C1313" t="str">
            <v>Dextran 70 In Sodium Chl 0.9%  500Ml</v>
          </cell>
        </row>
        <row r="1314">
          <cell r="A1314">
            <v>189710334</v>
          </cell>
          <cell r="B1314">
            <v>2323</v>
          </cell>
          <cell r="C1314" t="str">
            <v>Phenoxymethyl Penicillin Tabs 250Mg (100'S)</v>
          </cell>
        </row>
        <row r="1315">
          <cell r="A1315" t="str">
            <v>*</v>
          </cell>
          <cell r="B1315">
            <v>2324</v>
          </cell>
          <cell r="C1315" t="str">
            <v>Potassium Citrate 500G</v>
          </cell>
        </row>
        <row r="1316">
          <cell r="A1316" t="str">
            <v>MOTIVATION</v>
          </cell>
          <cell r="B1316">
            <v>2325</v>
          </cell>
          <cell r="C1316" t="str">
            <v>Olanzapine 10Mg Inj</v>
          </cell>
        </row>
        <row r="1317">
          <cell r="A1317">
            <v>181917410</v>
          </cell>
          <cell r="B1317">
            <v>2326</v>
          </cell>
          <cell r="C1317" t="str">
            <v>Tramadol Hcl 200Mg Caps/tabs (60'S)</v>
          </cell>
        </row>
        <row r="1318">
          <cell r="A1318">
            <v>189710758</v>
          </cell>
          <cell r="B1318">
            <v>2327</v>
          </cell>
          <cell r="C1318" t="str">
            <v>Dinoprostone Inj 5Mg/ml 1Ml</v>
          </cell>
        </row>
        <row r="1319">
          <cell r="A1319">
            <v>189753544</v>
          </cell>
          <cell r="B1319">
            <v>2328</v>
          </cell>
          <cell r="C1319" t="str">
            <v>Dinoprostone Gel 1Mg/3g In Syringe</v>
          </cell>
        </row>
        <row r="1320">
          <cell r="A1320" t="str">
            <v>QUOTE</v>
          </cell>
          <cell r="B1320">
            <v>2329</v>
          </cell>
          <cell r="C1320" t="str">
            <v>Tpn Itn3015x/ Itn3015x-Dpn</v>
          </cell>
        </row>
        <row r="1321">
          <cell r="A1321">
            <v>181897254</v>
          </cell>
          <cell r="B1321">
            <v>2330</v>
          </cell>
          <cell r="C1321" t="str">
            <v>Campaign: Vaccine Measles 10 Dose (Measbio)</v>
          </cell>
        </row>
        <row r="1322">
          <cell r="A1322">
            <v>180948498</v>
          </cell>
          <cell r="B1322">
            <v>2331</v>
          </cell>
          <cell r="C1322" t="str">
            <v>Itn Baby 101/Tpn 1005N</v>
          </cell>
        </row>
        <row r="1323">
          <cell r="A1323">
            <v>189715235</v>
          </cell>
          <cell r="B1323">
            <v>2332</v>
          </cell>
          <cell r="C1323" t="str">
            <v>Dobutamine Inj 12.5Mg/ml 20Ml</v>
          </cell>
        </row>
        <row r="1324">
          <cell r="A1324" t="str">
            <v>QUOTE</v>
          </cell>
          <cell r="B1324">
            <v>2333</v>
          </cell>
          <cell r="C1324" t="str">
            <v>Eye Shields (Adult)</v>
          </cell>
        </row>
        <row r="1325">
          <cell r="A1325">
            <v>189753434</v>
          </cell>
          <cell r="B1325">
            <v>2334</v>
          </cell>
          <cell r="C1325" t="str">
            <v>Paracetamol Tabs 500Mg (Ward 100)</v>
          </cell>
        </row>
        <row r="1326">
          <cell r="A1326">
            <v>181783266</v>
          </cell>
          <cell r="B1326">
            <v>2335</v>
          </cell>
          <cell r="C1326" t="str">
            <v>~Alfuzosin Xi Tabs 10Mg (30'S)</v>
          </cell>
        </row>
        <row r="1327">
          <cell r="A1327">
            <v>181826115</v>
          </cell>
          <cell r="B1327">
            <v>2336</v>
          </cell>
          <cell r="C1327" t="str">
            <v>Senna Standardised Tabs (20'S)</v>
          </cell>
        </row>
        <row r="1328">
          <cell r="A1328" t="str">
            <v>QUOTE</v>
          </cell>
          <cell r="B1328">
            <v>2337</v>
          </cell>
          <cell r="C1328" t="str">
            <v>~Ethanolamine Inj 5% 5Ml</v>
          </cell>
        </row>
        <row r="1329">
          <cell r="A1329">
            <v>189710143</v>
          </cell>
          <cell r="B1329">
            <v>2338</v>
          </cell>
          <cell r="C1329" t="str">
            <v>~Ethosuximide Caps 250Mg</v>
          </cell>
        </row>
        <row r="1330">
          <cell r="A1330">
            <v>180136948</v>
          </cell>
          <cell r="B1330">
            <v>2339</v>
          </cell>
          <cell r="C1330" t="str">
            <v>Tube Endotracheal Non Cuff Oral 3.5</v>
          </cell>
        </row>
        <row r="1331">
          <cell r="A1331" t="str">
            <v>QUOTE</v>
          </cell>
          <cell r="B1331">
            <v>2340</v>
          </cell>
          <cell r="C1331" t="str">
            <v>Labels White 75Mm X 30Mm (2 To View)</v>
          </cell>
        </row>
        <row r="1332">
          <cell r="A1332">
            <v>189712783</v>
          </cell>
          <cell r="B1332">
            <v>2341</v>
          </cell>
          <cell r="C1332" t="str">
            <v>Flumazenil Inj 0.1Mg/ml 5Ml</v>
          </cell>
        </row>
        <row r="1333">
          <cell r="A1333">
            <v>189712687</v>
          </cell>
          <cell r="B1333">
            <v>2342</v>
          </cell>
          <cell r="C1333" t="str">
            <v>~Flunarizine Caps 5Mg</v>
          </cell>
        </row>
        <row r="1334">
          <cell r="A1334">
            <v>189712353</v>
          </cell>
          <cell r="B1334">
            <v>2343</v>
          </cell>
          <cell r="C1334" t="str">
            <v>Fluoxetine Caps 20Mg (28/30'S)</v>
          </cell>
        </row>
        <row r="1335">
          <cell r="A1335">
            <v>189712312</v>
          </cell>
          <cell r="B1335">
            <v>2344</v>
          </cell>
          <cell r="C1335" t="str">
            <v>~Gelatin Pectin Oral Paste 30G</v>
          </cell>
        </row>
        <row r="1336">
          <cell r="A1336" t="str">
            <v>QUOTE</v>
          </cell>
          <cell r="B1336">
            <v>2345</v>
          </cell>
          <cell r="C1336" t="str">
            <v>Urea Crystals 500G</v>
          </cell>
        </row>
        <row r="1337">
          <cell r="A1337">
            <v>180966049</v>
          </cell>
          <cell r="B1337">
            <v>2346</v>
          </cell>
          <cell r="C1337" t="str">
            <v>Tpn Nutri 1403La</v>
          </cell>
        </row>
        <row r="1338">
          <cell r="A1338">
            <v>181886851</v>
          </cell>
          <cell r="B1338">
            <v>2347</v>
          </cell>
          <cell r="C1338" t="str">
            <v>Azithromycin Tabs 500Mg (2'S)</v>
          </cell>
        </row>
        <row r="1339">
          <cell r="A1339">
            <v>189762990</v>
          </cell>
          <cell r="B1339">
            <v>2360</v>
          </cell>
          <cell r="C1339" t="str">
            <v>Mesalazine Tabs 400Mg (90'S)</v>
          </cell>
        </row>
        <row r="1340">
          <cell r="A1340" t="str">
            <v>QUOTE</v>
          </cell>
          <cell r="B1340">
            <v>2349</v>
          </cell>
          <cell r="C1340" t="str">
            <v>Itn Paed 108/Tpn 1700A</v>
          </cell>
        </row>
        <row r="1341">
          <cell r="A1341" t="str">
            <v>RT  15</v>
          </cell>
          <cell r="B1341">
            <v>2350</v>
          </cell>
          <cell r="C1341" t="str">
            <v>Knife Ophthalmic Crescent Angles Bevel Up Satin</v>
          </cell>
        </row>
        <row r="1342">
          <cell r="A1342">
            <v>189759199</v>
          </cell>
          <cell r="B1342">
            <v>2351</v>
          </cell>
          <cell r="C1342" t="str">
            <v>~Buprenorphine Tabs 0.2Mg</v>
          </cell>
        </row>
        <row r="1343">
          <cell r="A1343">
            <v>180956891</v>
          </cell>
          <cell r="B1343">
            <v>2352</v>
          </cell>
          <cell r="C1343" t="str">
            <v>Sut Polyest 2/0 1/2Tp 25Mm 10X90cm Cardio</v>
          </cell>
        </row>
        <row r="1344">
          <cell r="A1344">
            <v>180291039</v>
          </cell>
          <cell r="B1344">
            <v>2353</v>
          </cell>
          <cell r="C1344" t="str">
            <v>Azithromycin Tabs 500Mg (3'S)</v>
          </cell>
        </row>
        <row r="1345">
          <cell r="A1345" t="str">
            <v>QUOTE</v>
          </cell>
          <cell r="B1345">
            <v>2354</v>
          </cell>
          <cell r="C1345" t="str">
            <v>Saquinavir Caps 200Mg (270'S)</v>
          </cell>
        </row>
        <row r="1346">
          <cell r="A1346">
            <v>180258010</v>
          </cell>
          <cell r="B1346">
            <v>2355</v>
          </cell>
          <cell r="C1346" t="str">
            <v>Amino Acid  9 Dextrose 20 Fat 10  2530Ml</v>
          </cell>
        </row>
        <row r="1347">
          <cell r="A1347">
            <v>180229548</v>
          </cell>
          <cell r="B1347">
            <v>2356</v>
          </cell>
          <cell r="C1347" t="str">
            <v>`Gelatin Pectin Oral Paste  5G</v>
          </cell>
        </row>
        <row r="1348">
          <cell r="A1348">
            <v>181840032</v>
          </cell>
          <cell r="B1348">
            <v>2357</v>
          </cell>
          <cell r="C1348" t="str">
            <v>Formoterol Fumarate 12Mcg 120 M.D.I</v>
          </cell>
        </row>
        <row r="1349">
          <cell r="A1349">
            <v>180309135</v>
          </cell>
          <cell r="B1349">
            <v>2358</v>
          </cell>
          <cell r="C1349" t="str">
            <v>Glucagon Inj 1Mg 1Ml</v>
          </cell>
        </row>
        <row r="1350">
          <cell r="A1350">
            <v>181798189</v>
          </cell>
          <cell r="B1350">
            <v>2359</v>
          </cell>
          <cell r="C1350" t="str">
            <v>Thiamine Tabs 100Mg (28'S)</v>
          </cell>
        </row>
        <row r="1351">
          <cell r="A1351">
            <v>180169780</v>
          </cell>
          <cell r="B1351">
            <v>2361</v>
          </cell>
          <cell r="C1351" t="str">
            <v>Haemosolvate Factor 8 500Iu 10Ml</v>
          </cell>
        </row>
        <row r="1352">
          <cell r="A1352" t="str">
            <v>DELETED</v>
          </cell>
          <cell r="B1352">
            <v>2362</v>
          </cell>
          <cell r="C1352" t="str">
            <v>~Serum Cholinesterase Inj 45Mg</v>
          </cell>
        </row>
        <row r="1353">
          <cell r="A1353">
            <v>181923352</v>
          </cell>
          <cell r="B1353">
            <v>2363</v>
          </cell>
          <cell r="C1353" t="str">
            <v>Haloperidol Tabs 5Mg (28'S)</v>
          </cell>
        </row>
        <row r="1354">
          <cell r="A1354">
            <v>181923353</v>
          </cell>
          <cell r="B1354">
            <v>2364</v>
          </cell>
          <cell r="C1354" t="str">
            <v>Haloperidol Tabs 5Mg (56'S)</v>
          </cell>
        </row>
        <row r="1355">
          <cell r="A1355" t="str">
            <v>DELETED</v>
          </cell>
          <cell r="B1355">
            <v>2365</v>
          </cell>
          <cell r="C1355" t="str">
            <v>~Heparin Inj  1000Iu/ml 1Ml</v>
          </cell>
        </row>
        <row r="1356">
          <cell r="A1356">
            <v>181860086</v>
          </cell>
          <cell r="B1356">
            <v>2366</v>
          </cell>
          <cell r="C1356" t="str">
            <v>Thyroxine Sod Tabs 0.1Mg (28'S)</v>
          </cell>
        </row>
        <row r="1357">
          <cell r="A1357">
            <v>180373081</v>
          </cell>
          <cell r="B1357">
            <v>2367</v>
          </cell>
          <cell r="C1357" t="str">
            <v>Adenosine Inj 6Mg/2ml</v>
          </cell>
        </row>
        <row r="1358">
          <cell r="A1358" t="str">
            <v>QUOTE</v>
          </cell>
          <cell r="B1358">
            <v>2368</v>
          </cell>
          <cell r="C1358" t="str">
            <v>~Dithranol Powder 25G</v>
          </cell>
        </row>
        <row r="1359">
          <cell r="A1359" t="str">
            <v>QUOTE</v>
          </cell>
          <cell r="B1359">
            <v>2369</v>
          </cell>
          <cell r="C1359" t="str">
            <v>Labels Eye Ear Nasal Drops</v>
          </cell>
        </row>
        <row r="1360">
          <cell r="A1360">
            <v>181829416</v>
          </cell>
          <cell r="B1360">
            <v>2370</v>
          </cell>
          <cell r="C1360" t="str">
            <v>~Betahistine Hcl 24Mg Tabs (20'S)</v>
          </cell>
        </row>
        <row r="1361">
          <cell r="A1361" t="str">
            <v>PPP09</v>
          </cell>
          <cell r="B1361">
            <v>2371</v>
          </cell>
          <cell r="C1361" t="str">
            <v>Vaccine Rota Single Dose</v>
          </cell>
        </row>
        <row r="1362">
          <cell r="A1362">
            <v>180351608</v>
          </cell>
          <cell r="B1362">
            <v>2372</v>
          </cell>
          <cell r="C1362" t="str">
            <v>Immunoglobulin Anti-Hepatitis B   2Ml</v>
          </cell>
        </row>
        <row r="1363">
          <cell r="A1363">
            <v>180230649</v>
          </cell>
          <cell r="B1363">
            <v>2373</v>
          </cell>
          <cell r="C1363" t="str">
            <v>Fluconazole Caps  50Mg (14'S)</v>
          </cell>
        </row>
        <row r="1364">
          <cell r="A1364">
            <v>189710812</v>
          </cell>
          <cell r="B1364">
            <v>2374</v>
          </cell>
          <cell r="C1364" t="str">
            <v>Methyldopa Tabs 250Mg (84'S)</v>
          </cell>
        </row>
        <row r="1365">
          <cell r="A1365">
            <v>189712342</v>
          </cell>
          <cell r="B1365">
            <v>2375</v>
          </cell>
          <cell r="C1365" t="str">
            <v>Verapamil Tabs 120Mg (250'S)</v>
          </cell>
        </row>
        <row r="1366">
          <cell r="A1366" t="str">
            <v>QUOTE</v>
          </cell>
          <cell r="B1366">
            <v>2376</v>
          </cell>
          <cell r="C1366" t="str">
            <v>Propylthiouracil Tabs 50Mg</v>
          </cell>
        </row>
        <row r="1367">
          <cell r="A1367">
            <v>180138162</v>
          </cell>
          <cell r="B1367">
            <v>2377</v>
          </cell>
          <cell r="C1367" t="str">
            <v>Sut Synthabs 3/0 Ligation 135Cm</v>
          </cell>
        </row>
        <row r="1368">
          <cell r="A1368">
            <v>180309126</v>
          </cell>
          <cell r="B1368">
            <v>2378</v>
          </cell>
          <cell r="C1368" t="str">
            <v>Insulin Humulin N 3Ml Penset</v>
          </cell>
        </row>
        <row r="1369">
          <cell r="A1369">
            <v>180076205</v>
          </cell>
          <cell r="B1369">
            <v>2379</v>
          </cell>
          <cell r="C1369" t="str">
            <v>~Insulin Actraphane Hm  1.5Ml Penset</v>
          </cell>
        </row>
        <row r="1370">
          <cell r="A1370">
            <v>180070808</v>
          </cell>
          <cell r="B1370">
            <v>2381</v>
          </cell>
          <cell r="C1370" t="str">
            <v>Iron Polyisomaltose Inj 2Ml</v>
          </cell>
        </row>
        <row r="1371">
          <cell r="A1371">
            <v>181900960</v>
          </cell>
          <cell r="B1371">
            <v>2382</v>
          </cell>
          <cell r="C1371" t="str">
            <v>Abacavir Lamivudine Tabs 600Mg/300mg</v>
          </cell>
        </row>
        <row r="1372">
          <cell r="A1372">
            <v>180103512</v>
          </cell>
          <cell r="B1372">
            <v>2383</v>
          </cell>
          <cell r="C1372" t="str">
            <v>Gabapentin 400Mg Caps (100'S)</v>
          </cell>
        </row>
        <row r="1373">
          <cell r="A1373">
            <v>189710827</v>
          </cell>
          <cell r="B1373">
            <v>2384</v>
          </cell>
          <cell r="C1373" t="str">
            <v>Isosorbide Dinitrate Tabs 40Mg</v>
          </cell>
        </row>
        <row r="1374">
          <cell r="A1374">
            <v>181773023</v>
          </cell>
          <cell r="B1374">
            <v>2385</v>
          </cell>
          <cell r="C1374" t="str">
            <v>Isosorbide-5-Mononitrate Tabs 20Mg (56'S)</v>
          </cell>
        </row>
        <row r="1375">
          <cell r="A1375" t="str">
            <v>QUOTE</v>
          </cell>
          <cell r="B1375">
            <v>2386</v>
          </cell>
          <cell r="C1375" t="str">
            <v>Lamotrigine Oral Suspension</v>
          </cell>
        </row>
        <row r="1376">
          <cell r="A1376">
            <v>180362560</v>
          </cell>
          <cell r="B1376">
            <v>2387</v>
          </cell>
          <cell r="C1376" t="str">
            <v>Levobunolol Eye Drops 0.5% (5/7.5Ml)</v>
          </cell>
        </row>
        <row r="1377">
          <cell r="A1377">
            <v>189710597</v>
          </cell>
          <cell r="B1377">
            <v>2388</v>
          </cell>
          <cell r="C1377" t="str">
            <v>~Lincomycin Inj 600Mg 2Ml</v>
          </cell>
        </row>
        <row r="1378">
          <cell r="A1378">
            <v>189715733</v>
          </cell>
          <cell r="B1378">
            <v>2389</v>
          </cell>
          <cell r="C1378" t="str">
            <v>Vaccine Non Epi Pneumococcal</v>
          </cell>
        </row>
        <row r="1379">
          <cell r="A1379">
            <v>181892381</v>
          </cell>
          <cell r="B1379">
            <v>2390</v>
          </cell>
          <cell r="C1379" t="str">
            <v>Glimepiride 4Mg Tablets (28'S)</v>
          </cell>
        </row>
        <row r="1380">
          <cell r="A1380">
            <v>189705085</v>
          </cell>
          <cell r="B1380">
            <v>2391</v>
          </cell>
          <cell r="C1380" t="str">
            <v>~Magnesium Trisilicate Mixt Co</v>
          </cell>
        </row>
        <row r="1381">
          <cell r="A1381">
            <v>180342019</v>
          </cell>
          <cell r="B1381">
            <v>2392</v>
          </cell>
          <cell r="C1381" t="str">
            <v>Doxycycline Caps 100Mg (14'S)</v>
          </cell>
        </row>
        <row r="1382">
          <cell r="A1382" t="str">
            <v>QUOTE</v>
          </cell>
          <cell r="B1382">
            <v>2393</v>
          </cell>
          <cell r="C1382" t="str">
            <v>Admin Set Volumetric Inf Trinity</v>
          </cell>
        </row>
        <row r="1383">
          <cell r="A1383">
            <v>189710197</v>
          </cell>
          <cell r="B1383">
            <v>2394</v>
          </cell>
          <cell r="C1383" t="str">
            <v>~Metolazone Tabs 2.5Mg</v>
          </cell>
        </row>
        <row r="1384">
          <cell r="A1384" t="str">
            <v>QUOTE</v>
          </cell>
          <cell r="B1384">
            <v>2395</v>
          </cell>
          <cell r="C1384" t="str">
            <v>Cath Peritoneal Dialysis 47Cm 1 Cuff</v>
          </cell>
        </row>
        <row r="1385">
          <cell r="A1385" t="str">
            <v>QUOTE</v>
          </cell>
          <cell r="B1385">
            <v>2396</v>
          </cell>
          <cell r="C1385" t="str">
            <v>Escitalopram 10Mg Tablets</v>
          </cell>
        </row>
        <row r="1386">
          <cell r="A1386">
            <v>180956884</v>
          </cell>
          <cell r="B1386">
            <v>2397</v>
          </cell>
          <cell r="C1386" t="str">
            <v>Sut Polyest 3/0 3/8Tc 16.8Mm Cardio</v>
          </cell>
        </row>
        <row r="1387">
          <cell r="A1387">
            <v>189711536</v>
          </cell>
          <cell r="B1387">
            <v>2398</v>
          </cell>
          <cell r="C1387" t="str">
            <v>~Nitrofurantoin Susp 25Mg/5ml</v>
          </cell>
        </row>
        <row r="1388">
          <cell r="A1388">
            <v>189708057</v>
          </cell>
          <cell r="B1388">
            <v>2399</v>
          </cell>
          <cell r="C1388" t="str">
            <v>Neomycin Polymixin Dexamethazone Eye Drops 5Ml</v>
          </cell>
        </row>
        <row r="1389">
          <cell r="A1389">
            <v>189711212</v>
          </cell>
          <cell r="B1389">
            <v>2400</v>
          </cell>
          <cell r="C1389" t="str">
            <v>Chloramphenicol 0.5% And Dexamethazone Eye Drops</v>
          </cell>
        </row>
        <row r="1390">
          <cell r="A1390">
            <v>189755066</v>
          </cell>
          <cell r="B1390">
            <v>2401</v>
          </cell>
          <cell r="C1390" t="str">
            <v>Neomycin Polymixin Dexamethasone Eye Oint 3.5G</v>
          </cell>
        </row>
        <row r="1391">
          <cell r="A1391">
            <v>180309128</v>
          </cell>
          <cell r="B1391">
            <v>2402</v>
          </cell>
          <cell r="C1391" t="str">
            <v>Insulin Humulin R 3Ml Penset</v>
          </cell>
        </row>
        <row r="1392">
          <cell r="A1392">
            <v>180339610</v>
          </cell>
          <cell r="B1392">
            <v>2403</v>
          </cell>
          <cell r="C1392" t="str">
            <v>Vitamin B6 Tabs 25Mg (28'S)</v>
          </cell>
        </row>
        <row r="1393">
          <cell r="A1393" t="str">
            <v>QUOTE</v>
          </cell>
          <cell r="B1393">
            <v>3941</v>
          </cell>
          <cell r="C1393" t="str">
            <v>Bandage Cast Water Resistant Padding 100Mmx2.4M</v>
          </cell>
        </row>
        <row r="1394">
          <cell r="A1394">
            <v>180034782</v>
          </cell>
          <cell r="B1394">
            <v>2405</v>
          </cell>
          <cell r="C1394" t="str">
            <v>~Salmetrol Disks 50Mcg (Powder For Inhalation)</v>
          </cell>
        </row>
        <row r="1395">
          <cell r="A1395" t="str">
            <v>QUOTE</v>
          </cell>
          <cell r="B1395">
            <v>2406</v>
          </cell>
          <cell r="C1395" t="str">
            <v>Cath Single Lumen 14G 20Cm Cvc + Adapter</v>
          </cell>
        </row>
        <row r="1396">
          <cell r="A1396">
            <v>181809456</v>
          </cell>
          <cell r="B1396">
            <v>2407</v>
          </cell>
          <cell r="C1396" t="str">
            <v>Ropinirole Hcl 0.5Mg Tabs (84'S)</v>
          </cell>
        </row>
        <row r="1397">
          <cell r="A1397">
            <v>180035478</v>
          </cell>
          <cell r="B1397">
            <v>2409</v>
          </cell>
          <cell r="C1397" t="str">
            <v>Potassium Permanganate Powder 500G</v>
          </cell>
        </row>
        <row r="1398">
          <cell r="A1398" t="str">
            <v>PREPACK 200</v>
          </cell>
          <cell r="B1398">
            <v>2410</v>
          </cell>
          <cell r="C1398" t="str">
            <v>Vitamin B Co Strong Tabs (Ward 200)</v>
          </cell>
        </row>
        <row r="1399">
          <cell r="A1399" t="str">
            <v>QUOTE</v>
          </cell>
          <cell r="B1399">
            <v>2411</v>
          </cell>
          <cell r="C1399" t="str">
            <v>~Nitrogen Liquid (Histofreeze)</v>
          </cell>
        </row>
        <row r="1400">
          <cell r="A1400">
            <v>189762886</v>
          </cell>
          <cell r="B1400">
            <v>2412</v>
          </cell>
          <cell r="C1400" t="str">
            <v>Theophylline Anh Tabs 300Mg (60'S)</v>
          </cell>
        </row>
        <row r="1401">
          <cell r="A1401">
            <v>180076445</v>
          </cell>
          <cell r="B1401">
            <v>2413</v>
          </cell>
          <cell r="C1401" t="str">
            <v>Ocreotide Ampoule 0.1Mg/ml</v>
          </cell>
        </row>
        <row r="1402">
          <cell r="A1402">
            <v>180264457</v>
          </cell>
          <cell r="B1402">
            <v>2414</v>
          </cell>
          <cell r="C1402" t="str">
            <v>Bandage Compression Ventilated 75Mm</v>
          </cell>
        </row>
        <row r="1403">
          <cell r="A1403">
            <v>181907967</v>
          </cell>
          <cell r="B1403">
            <v>2415</v>
          </cell>
          <cell r="C1403" t="str">
            <v>Drainage Kit Suprapubic 16F</v>
          </cell>
        </row>
        <row r="1404">
          <cell r="A1404" t="str">
            <v>QUOTE</v>
          </cell>
          <cell r="B1404">
            <v>2416</v>
          </cell>
          <cell r="C1404" t="str">
            <v>Tube Endo Cuff Dual 5.0 Reinforced</v>
          </cell>
        </row>
        <row r="1405">
          <cell r="A1405">
            <v>180186474</v>
          </cell>
          <cell r="B1405">
            <v>2417</v>
          </cell>
          <cell r="C1405" t="str">
            <v>Cefepime Inj 500Mg</v>
          </cell>
        </row>
        <row r="1406">
          <cell r="A1406" t="str">
            <v>QUOTE EYE</v>
          </cell>
          <cell r="B1406">
            <v>2418</v>
          </cell>
          <cell r="C1406" t="str">
            <v>Knife Ophthalmic 15 Degrees Stab Knife</v>
          </cell>
        </row>
        <row r="1407">
          <cell r="A1407">
            <v>180059469</v>
          </cell>
          <cell r="B1407">
            <v>2419</v>
          </cell>
          <cell r="C1407" t="str">
            <v>Bandage Support Triangular Non-Woven</v>
          </cell>
        </row>
        <row r="1408">
          <cell r="A1408">
            <v>189705153</v>
          </cell>
          <cell r="B1408">
            <v>2420</v>
          </cell>
          <cell r="C1408" t="str">
            <v>Chlorhexidine Scrub  4%  500Ml</v>
          </cell>
        </row>
        <row r="1409">
          <cell r="A1409" t="str">
            <v>MOTIVATION</v>
          </cell>
          <cell r="B1409">
            <v>2421</v>
          </cell>
          <cell r="C1409" t="str">
            <v>Dermacarrier 6 To 1</v>
          </cell>
        </row>
        <row r="1410">
          <cell r="A1410">
            <v>189712078</v>
          </cell>
          <cell r="B1410">
            <v>2422</v>
          </cell>
          <cell r="C1410" t="str">
            <v>Dressing Tulle Gras 100Mmx100mm</v>
          </cell>
        </row>
        <row r="1411">
          <cell r="A1411">
            <v>180059550</v>
          </cell>
          <cell r="B1411">
            <v>2423</v>
          </cell>
          <cell r="C1411" t="str">
            <v>Dressing Burn First Aid 10Cmx10cm</v>
          </cell>
        </row>
        <row r="1412">
          <cell r="A1412">
            <v>189711806</v>
          </cell>
          <cell r="B1412">
            <v>2424</v>
          </cell>
          <cell r="C1412" t="str">
            <v>Metformin Tabs 850Mg (28'S)</v>
          </cell>
        </row>
        <row r="1413">
          <cell r="A1413" t="str">
            <v>QUOTE EYE</v>
          </cell>
          <cell r="B1413">
            <v>2425</v>
          </cell>
          <cell r="C1413" t="str">
            <v>Carboxymethylcellulose Eye Drops 0,4Ml</v>
          </cell>
        </row>
        <row r="1414">
          <cell r="A1414">
            <v>180096628</v>
          </cell>
          <cell r="B1414">
            <v>2426</v>
          </cell>
          <cell r="C1414" t="str">
            <v>Gauze Absorbent Cotton 0.9Mx5m</v>
          </cell>
        </row>
        <row r="1415">
          <cell r="A1415">
            <v>189705284</v>
          </cell>
          <cell r="B1415">
            <v>2427</v>
          </cell>
          <cell r="C1415" t="str">
            <v>Pad Surgical Absorbent Sterile 100Mmx100mm</v>
          </cell>
        </row>
        <row r="1416">
          <cell r="A1416">
            <v>189714570</v>
          </cell>
          <cell r="B1416">
            <v>2428</v>
          </cell>
          <cell r="C1416" t="str">
            <v>Vitamins And Mineral, Prenatal.</v>
          </cell>
        </row>
        <row r="1417">
          <cell r="A1417">
            <v>180221034</v>
          </cell>
          <cell r="B1417">
            <v>2429</v>
          </cell>
          <cell r="C1417" t="str">
            <v>Anastrazole Tabs 1Mg (30'S)</v>
          </cell>
        </row>
        <row r="1418">
          <cell r="A1418">
            <v>180177700</v>
          </cell>
          <cell r="B1418">
            <v>2430</v>
          </cell>
          <cell r="C1418" t="str">
            <v>Bag Urine Drainage Leg Long Tube</v>
          </cell>
        </row>
        <row r="1419">
          <cell r="A1419">
            <v>180138153</v>
          </cell>
          <cell r="B1419">
            <v>2431</v>
          </cell>
          <cell r="C1419" t="str">
            <v>Mesalazine Supps 500Mg (20'S)</v>
          </cell>
        </row>
        <row r="1420">
          <cell r="A1420">
            <v>189705298</v>
          </cell>
          <cell r="B1420">
            <v>2432</v>
          </cell>
          <cell r="C1420" t="str">
            <v>~Swabs Gauze Absorbent Sterile 100Mmx100mm 12Ply</v>
          </cell>
        </row>
        <row r="1421">
          <cell r="A1421">
            <v>189703186</v>
          </cell>
          <cell r="B1421">
            <v>2434</v>
          </cell>
          <cell r="C1421" t="str">
            <v>~Swabs Gauze X-Ray 100Mmx100mm 12Ply</v>
          </cell>
        </row>
        <row r="1422">
          <cell r="A1422">
            <v>189705316</v>
          </cell>
          <cell r="B1422">
            <v>2435</v>
          </cell>
          <cell r="C1422" t="str">
            <v>~Tape Surgical Microporous  12.5Mm</v>
          </cell>
        </row>
        <row r="1423">
          <cell r="A1423">
            <v>189712265</v>
          </cell>
          <cell r="B1423">
            <v>2408</v>
          </cell>
          <cell r="C1423" t="str">
            <v>Sennosides A &amp; B Syrup 71Ml</v>
          </cell>
        </row>
        <row r="1424">
          <cell r="A1424">
            <v>189762882</v>
          </cell>
          <cell r="B1424">
            <v>2436</v>
          </cell>
          <cell r="C1424" t="str">
            <v>Theophylline Anh Tabs 200Mg (60'S)</v>
          </cell>
        </row>
        <row r="1425">
          <cell r="A1425">
            <v>180053598</v>
          </cell>
          <cell r="B1425">
            <v>2437</v>
          </cell>
          <cell r="C1425" t="str">
            <v>Lanzoprazole Caps 30Mg (14'S)</v>
          </cell>
        </row>
        <row r="1426">
          <cell r="A1426">
            <v>181839842</v>
          </cell>
          <cell r="B1426">
            <v>2438</v>
          </cell>
          <cell r="C1426" t="str">
            <v>Azithromycin 500Mg Injection</v>
          </cell>
        </row>
        <row r="1427">
          <cell r="A1427">
            <v>180099041</v>
          </cell>
          <cell r="B1427">
            <v>2439</v>
          </cell>
          <cell r="C1427" t="str">
            <v>~Halofantrine Tabs 250Mg</v>
          </cell>
        </row>
        <row r="1428">
          <cell r="A1428">
            <v>189712153</v>
          </cell>
          <cell r="B1428">
            <v>2440</v>
          </cell>
          <cell r="C1428" t="str">
            <v>~Triamcinolone Acetonide Inj 25Mg/ml 5Ml</v>
          </cell>
        </row>
        <row r="1429">
          <cell r="A1429" t="str">
            <v>PREPACK 28</v>
          </cell>
          <cell r="B1429">
            <v>2441</v>
          </cell>
          <cell r="C1429" t="str">
            <v>~Trifluoperazine Tabs 5Mg (28'S)</v>
          </cell>
        </row>
        <row r="1430">
          <cell r="A1430">
            <v>180187188</v>
          </cell>
          <cell r="B1430">
            <v>2442</v>
          </cell>
          <cell r="C1430" t="str">
            <v>~Valaciclovir 500Mg Tabs</v>
          </cell>
        </row>
        <row r="1431">
          <cell r="A1431" t="str">
            <v>QUOTE</v>
          </cell>
          <cell r="B1431">
            <v>2443</v>
          </cell>
          <cell r="C1431" t="str">
            <v>Aminosteril-N-Hepa 8% Dextrose 35% Fat 10% 2500Ml</v>
          </cell>
        </row>
        <row r="1432">
          <cell r="A1432">
            <v>180168725</v>
          </cell>
          <cell r="B1432">
            <v>2444</v>
          </cell>
          <cell r="C1432" t="str">
            <v>~Test Tuberculin P P D Lyop 0.1Ml</v>
          </cell>
        </row>
        <row r="1433">
          <cell r="A1433">
            <v>180142392</v>
          </cell>
          <cell r="B1433">
            <v>2445</v>
          </cell>
          <cell r="C1433" t="str">
            <v>~Teicoplanin Inj 200Mg</v>
          </cell>
        </row>
        <row r="1434">
          <cell r="A1434">
            <v>189715112</v>
          </cell>
          <cell r="B1434">
            <v>2446</v>
          </cell>
          <cell r="C1434" t="str">
            <v>Ultrasound Gel High Viscosity 250Ml</v>
          </cell>
        </row>
        <row r="1435">
          <cell r="A1435">
            <v>189709599</v>
          </cell>
          <cell r="B1435">
            <v>2447</v>
          </cell>
          <cell r="C1435" t="str">
            <v>Vaccine Hepatitis B Adult Single Dose 1Ml</v>
          </cell>
        </row>
        <row r="1436">
          <cell r="A1436">
            <v>180076998</v>
          </cell>
          <cell r="B1436">
            <v>2448</v>
          </cell>
          <cell r="C1436" t="str">
            <v>Verapamil Inj 2.5Mg/ml 2Ml</v>
          </cell>
        </row>
        <row r="1437">
          <cell r="A1437" t="str">
            <v>PREPACK 10ML</v>
          </cell>
          <cell r="B1437">
            <v>2449</v>
          </cell>
          <cell r="C1437" t="str">
            <v>Acetic Acid Ear Drops 1% In Normal Saline</v>
          </cell>
        </row>
        <row r="1438">
          <cell r="A1438">
            <v>180352238</v>
          </cell>
          <cell r="B1438">
            <v>2450</v>
          </cell>
          <cell r="C1438" t="str">
            <v>Haemosolvate Factor 9 Bypass (1000Iu)</v>
          </cell>
        </row>
        <row r="1439">
          <cell r="A1439">
            <v>181777604</v>
          </cell>
          <cell r="B1439">
            <v>2451</v>
          </cell>
          <cell r="C1439" t="str">
            <v>Laryngeal Mask Airway Size 2.5 Autoclavable Silicone</v>
          </cell>
        </row>
        <row r="1440">
          <cell r="A1440">
            <v>189700006</v>
          </cell>
          <cell r="B1440">
            <v>2452</v>
          </cell>
          <cell r="C1440" t="str">
            <v>Thiamine Inj 100Mg/ml 10Ml</v>
          </cell>
        </row>
        <row r="1441">
          <cell r="A1441">
            <v>180959227</v>
          </cell>
          <cell r="B1441">
            <v>2453</v>
          </cell>
          <cell r="C1441" t="str">
            <v>Methylprednisolone Ointment  20G</v>
          </cell>
        </row>
        <row r="1442">
          <cell r="A1442">
            <v>180948507</v>
          </cell>
          <cell r="B1442">
            <v>2454</v>
          </cell>
          <cell r="C1442" t="str">
            <v>Itn Paed 106/Tpn 1502A</v>
          </cell>
        </row>
        <row r="1443">
          <cell r="A1443">
            <v>180949032</v>
          </cell>
          <cell r="B1443">
            <v>2455</v>
          </cell>
          <cell r="C1443" t="str">
            <v>~Erythromycin Tabs 250Mg (20'S)</v>
          </cell>
        </row>
        <row r="1444">
          <cell r="A1444" t="str">
            <v>QUOTE</v>
          </cell>
          <cell r="B1444">
            <v>2456</v>
          </cell>
          <cell r="C1444" t="str">
            <v>Catheter Cholangio 16G X 15"</v>
          </cell>
        </row>
        <row r="1445">
          <cell r="A1445" t="str">
            <v>QUOTE</v>
          </cell>
          <cell r="B1445">
            <v>2457</v>
          </cell>
          <cell r="C1445" t="str">
            <v>Form Patient Referral</v>
          </cell>
        </row>
        <row r="1446">
          <cell r="A1446">
            <v>181922278</v>
          </cell>
          <cell r="B1446">
            <v>2458</v>
          </cell>
          <cell r="C1446" t="str">
            <v>Zidovudine Caps 100Mg (100'S)</v>
          </cell>
        </row>
        <row r="1447">
          <cell r="A1447">
            <v>181876058</v>
          </cell>
          <cell r="B1447">
            <v>2459</v>
          </cell>
          <cell r="C1447" t="str">
            <v>Darunavir 300Mg  Tablet(120's)</v>
          </cell>
        </row>
        <row r="1448">
          <cell r="A1448">
            <v>189715484</v>
          </cell>
          <cell r="B1448">
            <v>2460</v>
          </cell>
          <cell r="C1448" t="str">
            <v>~Zinc Undecenoate Powder 50G</v>
          </cell>
        </row>
        <row r="1449">
          <cell r="A1449">
            <v>189711118</v>
          </cell>
          <cell r="B1449">
            <v>2461</v>
          </cell>
          <cell r="C1449" t="str">
            <v>Salbutamol 1Mg/ml Injection</v>
          </cell>
        </row>
        <row r="1450">
          <cell r="A1450">
            <v>180031255</v>
          </cell>
          <cell r="B1450">
            <v>2462</v>
          </cell>
          <cell r="C1450" t="str">
            <v>~Test Tuberculin P P D Liquid 25</v>
          </cell>
        </row>
        <row r="1451">
          <cell r="A1451" t="str">
            <v>PREPACK 10ML</v>
          </cell>
          <cell r="B1451">
            <v>2463</v>
          </cell>
          <cell r="C1451" t="str">
            <v>Sodium Chl 0.9% Nose Drops</v>
          </cell>
        </row>
        <row r="1452">
          <cell r="A1452">
            <v>189715645</v>
          </cell>
          <cell r="B1452">
            <v>2464</v>
          </cell>
          <cell r="C1452" t="str">
            <v>~Test Strip Urine Glucose Protein Blood (Ecur-4-Test)</v>
          </cell>
        </row>
        <row r="1453">
          <cell r="A1453">
            <v>180075509</v>
          </cell>
          <cell r="B1453">
            <v>2465</v>
          </cell>
          <cell r="C1453" t="str">
            <v>Amiodarone Inj 50Mg/ml 3Ml</v>
          </cell>
        </row>
        <row r="1454">
          <cell r="A1454">
            <v>180279436</v>
          </cell>
          <cell r="B1454">
            <v>2466</v>
          </cell>
          <cell r="C1454" t="str">
            <v>~Temazepam Caps 10Mg</v>
          </cell>
        </row>
        <row r="1455">
          <cell r="A1455">
            <v>189715348</v>
          </cell>
          <cell r="B1455">
            <v>2467</v>
          </cell>
          <cell r="C1455" t="str">
            <v>~Diclofenac Supps 25Mg</v>
          </cell>
        </row>
        <row r="1456">
          <cell r="A1456">
            <v>181867269</v>
          </cell>
          <cell r="B1456">
            <v>2468</v>
          </cell>
          <cell r="C1456" t="str">
            <v>Quetiapine X R 200Mg Tabs (60'S)</v>
          </cell>
        </row>
        <row r="1457">
          <cell r="A1457">
            <v>180229107</v>
          </cell>
          <cell r="B1457">
            <v>2469</v>
          </cell>
          <cell r="C1457" t="str">
            <v>Glove Surgical Low Allergy Size 6.5</v>
          </cell>
        </row>
        <row r="1458">
          <cell r="A1458">
            <v>189711674</v>
          </cell>
          <cell r="B1458">
            <v>2470</v>
          </cell>
          <cell r="C1458" t="str">
            <v>~Streptokinase Inj 1500  00Iu Inj</v>
          </cell>
        </row>
        <row r="1459">
          <cell r="A1459">
            <v>181848636</v>
          </cell>
          <cell r="B1459">
            <v>2471</v>
          </cell>
          <cell r="C1459" t="str">
            <v>Needle Bonemarrow  11G X 100Mm</v>
          </cell>
        </row>
        <row r="1460">
          <cell r="A1460" t="str">
            <v>QUOTE SAVP</v>
          </cell>
          <cell r="B1460">
            <v>2472</v>
          </cell>
          <cell r="C1460" t="str">
            <v>Spider Antivenom 5Ml (050)</v>
          </cell>
        </row>
        <row r="1461">
          <cell r="A1461">
            <v>189712704</v>
          </cell>
          <cell r="B1461">
            <v>2473</v>
          </cell>
          <cell r="C1461" t="str">
            <v>Sodium Polystyrene Sulphonate Powder 454G</v>
          </cell>
        </row>
        <row r="1462">
          <cell r="A1462">
            <v>180270223</v>
          </cell>
          <cell r="B1462">
            <v>2474</v>
          </cell>
          <cell r="C1462" t="str">
            <v>Paclitaxel Inj 100Mg</v>
          </cell>
        </row>
        <row r="1463">
          <cell r="A1463">
            <v>189710516</v>
          </cell>
          <cell r="B1463">
            <v>2475</v>
          </cell>
          <cell r="C1463" t="str">
            <v>Hydrocortisone Tabs 10Mg (100'S)</v>
          </cell>
        </row>
        <row r="1464">
          <cell r="A1464">
            <v>189711434</v>
          </cell>
          <cell r="B1464">
            <v>2476</v>
          </cell>
          <cell r="C1464" t="str">
            <v>~Sodium Cromoglycate Inhaler 1Mg Complete</v>
          </cell>
        </row>
        <row r="1465">
          <cell r="A1465">
            <v>180034733</v>
          </cell>
          <cell r="B1465">
            <v>2477</v>
          </cell>
          <cell r="C1465" t="str">
            <v>~Sodium Cromoglycate Inhaler 5Mg Complete</v>
          </cell>
        </row>
        <row r="1466">
          <cell r="A1466">
            <v>189700087</v>
          </cell>
          <cell r="B1466">
            <v>2478</v>
          </cell>
          <cell r="C1466" t="str">
            <v>~Sodium Chloride 0.9% Inj 5Ml</v>
          </cell>
        </row>
        <row r="1467">
          <cell r="A1467">
            <v>181906772</v>
          </cell>
          <cell r="B1467">
            <v>2479</v>
          </cell>
          <cell r="C1467" t="str">
            <v>Vaccine Human Papillomavirus(hpv)</v>
          </cell>
        </row>
        <row r="1468">
          <cell r="A1468">
            <v>181896256</v>
          </cell>
          <cell r="B1468">
            <v>2480</v>
          </cell>
          <cell r="C1468" t="str">
            <v>Tenofovir Emitrici Efavirenz 300/200/600Mg Tablets</v>
          </cell>
        </row>
        <row r="1469">
          <cell r="A1469">
            <v>181854507</v>
          </cell>
          <cell r="B1469">
            <v>2481</v>
          </cell>
          <cell r="C1469" t="str">
            <v>Didanosine 250Mg Enteric Coated Beadlets Capsule 30S</v>
          </cell>
        </row>
        <row r="1470">
          <cell r="A1470">
            <v>181773382</v>
          </cell>
          <cell r="B1470">
            <v>2482</v>
          </cell>
          <cell r="C1470" t="str">
            <v>Budesonide M D I 200Mcg 300Dose</v>
          </cell>
        </row>
        <row r="1471">
          <cell r="A1471">
            <v>180350983</v>
          </cell>
          <cell r="B1471">
            <v>2483</v>
          </cell>
          <cell r="C1471" t="str">
            <v>~Quetiapine I R Tabs 25Mg (100'S)</v>
          </cell>
        </row>
        <row r="1472">
          <cell r="A1472">
            <v>181896191</v>
          </cell>
          <cell r="B1472">
            <v>2484</v>
          </cell>
          <cell r="C1472" t="str">
            <v>Abacavir 300Mg Tabs (60'S)</v>
          </cell>
        </row>
        <row r="1473">
          <cell r="A1473" t="str">
            <v>QUOTE</v>
          </cell>
          <cell r="B1473">
            <v>2485</v>
          </cell>
          <cell r="C1473" t="str">
            <v>Vaccine Hepatitis A Inactivated Paediatric</v>
          </cell>
        </row>
        <row r="1474">
          <cell r="A1474">
            <v>180772102</v>
          </cell>
          <cell r="B1474">
            <v>2486</v>
          </cell>
          <cell r="C1474" t="str">
            <v>Glove Surg Sterile Latex H/all 7.5</v>
          </cell>
        </row>
        <row r="1475">
          <cell r="A1475">
            <v>189711802</v>
          </cell>
          <cell r="B1475">
            <v>2487</v>
          </cell>
          <cell r="C1475" t="str">
            <v>Propranolol Tabs 40Mg (56'S)</v>
          </cell>
        </row>
        <row r="1476">
          <cell r="A1476" t="str">
            <v>PREPACK 28</v>
          </cell>
          <cell r="B1476">
            <v>2488</v>
          </cell>
          <cell r="C1476" t="str">
            <v>~Sulpiride Caps 50Mg (28'S)</v>
          </cell>
        </row>
        <row r="1477">
          <cell r="A1477">
            <v>181798184</v>
          </cell>
          <cell r="B1477">
            <v>2489</v>
          </cell>
          <cell r="C1477" t="str">
            <v>Spiranolactone Tabs  25Mg (28'S)</v>
          </cell>
        </row>
        <row r="1478">
          <cell r="A1478">
            <v>181781837</v>
          </cell>
          <cell r="B1478">
            <v>2490</v>
          </cell>
          <cell r="C1478" t="str">
            <v>~Pyrimethamine Sulfadoxine Tabs</v>
          </cell>
        </row>
        <row r="1479">
          <cell r="A1479">
            <v>189710277</v>
          </cell>
          <cell r="B1479">
            <v>2491</v>
          </cell>
          <cell r="C1479" t="str">
            <v>Pyridostigmine Tabs 60Mg (150'S)</v>
          </cell>
        </row>
        <row r="1480">
          <cell r="A1480">
            <v>180116028</v>
          </cell>
          <cell r="B1480">
            <v>2492</v>
          </cell>
          <cell r="C1480" t="str">
            <v>Budesonide M D I 100Mcg 300Dose</v>
          </cell>
        </row>
        <row r="1481">
          <cell r="A1481">
            <v>180383536</v>
          </cell>
          <cell r="B1481">
            <v>2493</v>
          </cell>
          <cell r="C1481" t="str">
            <v>Sut Polyest   1 1/2Tp 36-37Mm Gen.Closure</v>
          </cell>
        </row>
        <row r="1482">
          <cell r="A1482" t="str">
            <v>QUOTE</v>
          </cell>
          <cell r="B1482">
            <v>2494</v>
          </cell>
          <cell r="C1482" t="str">
            <v>Labels Yellow 52Mm X 23Mm (Aerosol Date)</v>
          </cell>
        </row>
        <row r="1483">
          <cell r="A1483">
            <v>189712345</v>
          </cell>
          <cell r="B1483">
            <v>2495</v>
          </cell>
          <cell r="C1483" t="str">
            <v>Prednisolone Acetate Eye Drops 1% 5Ml</v>
          </cell>
        </row>
        <row r="1484">
          <cell r="A1484">
            <v>180075808</v>
          </cell>
          <cell r="B1484">
            <v>2496</v>
          </cell>
          <cell r="C1484" t="str">
            <v>~Dimercaprol Inj 50Mg/ml</v>
          </cell>
        </row>
        <row r="1485">
          <cell r="A1485">
            <v>180348818</v>
          </cell>
          <cell r="B1485">
            <v>2497</v>
          </cell>
          <cell r="C1485" t="str">
            <v>Interferon Alfa 2A Inj 4.5Mill Units</v>
          </cell>
        </row>
        <row r="1486">
          <cell r="A1486">
            <v>189708272</v>
          </cell>
          <cell r="B1486">
            <v>2499</v>
          </cell>
          <cell r="C1486" t="str">
            <v>Sut Silk 1 Ligation 10X75cm Pre-Cut</v>
          </cell>
        </row>
        <row r="1487">
          <cell r="A1487">
            <v>181746097</v>
          </cell>
          <cell r="B1487">
            <v>2500</v>
          </cell>
          <cell r="C1487" t="str">
            <v>Lyophilised Plasma I.V Infusion 50Ml</v>
          </cell>
        </row>
        <row r="1488">
          <cell r="A1488">
            <v>180351552</v>
          </cell>
          <cell r="B1488">
            <v>2501</v>
          </cell>
          <cell r="C1488" t="str">
            <v>Lyophilised Plasma I.V Infusion 200Ml</v>
          </cell>
        </row>
        <row r="1489">
          <cell r="A1489">
            <v>181798190</v>
          </cell>
          <cell r="B1489">
            <v>2502</v>
          </cell>
          <cell r="C1489" t="str">
            <v>Campaign: Vitamin A Caps 200 000Iu (50'S)</v>
          </cell>
        </row>
        <row r="1490">
          <cell r="A1490" t="str">
            <v>QUOTE</v>
          </cell>
          <cell r="B1490">
            <v>2503</v>
          </cell>
          <cell r="C1490" t="str">
            <v>Cath Malecot 2 Wings Size 24</v>
          </cell>
        </row>
        <row r="1491">
          <cell r="A1491">
            <v>180075757</v>
          </cell>
          <cell r="B1491">
            <v>2504</v>
          </cell>
          <cell r="C1491" t="str">
            <v>Desmopressin I V 4Mcg/ml</v>
          </cell>
        </row>
        <row r="1492">
          <cell r="A1492">
            <v>180136947</v>
          </cell>
          <cell r="B1492">
            <v>2505</v>
          </cell>
          <cell r="C1492" t="str">
            <v>Tube Endotracheal Non Cuff Oral 3.0</v>
          </cell>
        </row>
        <row r="1493">
          <cell r="A1493" t="str">
            <v>QUOTE</v>
          </cell>
          <cell r="B1493">
            <v>2506</v>
          </cell>
          <cell r="C1493" t="str">
            <v>Cath Embolectomy 5Fg 80Cm</v>
          </cell>
        </row>
        <row r="1494">
          <cell r="A1494" t="str">
            <v>*</v>
          </cell>
          <cell r="B1494">
            <v>2507</v>
          </cell>
          <cell r="C1494" t="str">
            <v>~Baby Formula - Pelargon/ Melegi</v>
          </cell>
        </row>
        <row r="1495">
          <cell r="A1495">
            <v>180090442</v>
          </cell>
          <cell r="B1495">
            <v>2508</v>
          </cell>
          <cell r="C1495" t="str">
            <v>Cyproterone Inj 100Mg/ml</v>
          </cell>
        </row>
        <row r="1496">
          <cell r="A1496">
            <v>189712275</v>
          </cell>
          <cell r="B1496">
            <v>2509</v>
          </cell>
          <cell r="C1496" t="str">
            <v>Ophthalmic Irrigation Sol 15Ml</v>
          </cell>
        </row>
        <row r="1497">
          <cell r="A1497">
            <v>181817585</v>
          </cell>
          <cell r="B1497">
            <v>2510</v>
          </cell>
          <cell r="C1497" t="str">
            <v>Ofloxacin Tabs 400Mg (56'S)</v>
          </cell>
        </row>
        <row r="1498">
          <cell r="A1498">
            <v>181892392</v>
          </cell>
          <cell r="B1498">
            <v>2511</v>
          </cell>
          <cell r="C1498" t="str">
            <v>Conj. Oestrogens Tabs 0.625Mg (28'S)</v>
          </cell>
        </row>
        <row r="1499">
          <cell r="A1499">
            <v>180300085</v>
          </cell>
          <cell r="B1499">
            <v>2512</v>
          </cell>
          <cell r="C1499" t="str">
            <v>Mycophenolate Mofetil Caps 250Mg (100'S)</v>
          </cell>
        </row>
        <row r="1500">
          <cell r="A1500">
            <v>189706001</v>
          </cell>
          <cell r="B1500">
            <v>2513</v>
          </cell>
          <cell r="C1500" t="str">
            <v>Metronidazole Susp 200Mg/5ml 100Ml</v>
          </cell>
        </row>
        <row r="1501">
          <cell r="A1501">
            <v>181787184</v>
          </cell>
          <cell r="B1501">
            <v>2514</v>
          </cell>
          <cell r="C1501" t="str">
            <v>Ribavarin 200Mg Tablets</v>
          </cell>
        </row>
        <row r="1502">
          <cell r="A1502">
            <v>180320705</v>
          </cell>
          <cell r="B1502">
            <v>2515</v>
          </cell>
          <cell r="C1502" t="str">
            <v>Sut Polyprop 3/0 1/2Tp 26Mm Cardio</v>
          </cell>
        </row>
        <row r="1503">
          <cell r="A1503">
            <v>181897254</v>
          </cell>
          <cell r="B1503">
            <v>2516</v>
          </cell>
          <cell r="C1503" t="str">
            <v>Vaccine Measles 10 Dose (Measbio)</v>
          </cell>
        </row>
        <row r="1504">
          <cell r="A1504">
            <v>189704616</v>
          </cell>
          <cell r="B1504">
            <v>2517</v>
          </cell>
          <cell r="C1504" t="str">
            <v>Campaign: Syringe Hypodermic  5Ml Three-Part</v>
          </cell>
        </row>
        <row r="1505">
          <cell r="A1505">
            <v>189715224</v>
          </cell>
          <cell r="B1505">
            <v>2518</v>
          </cell>
          <cell r="C1505" t="str">
            <v>~Hydrogen Peroxide Sol 6% 2.5L (20 Vol)</v>
          </cell>
        </row>
        <row r="1506">
          <cell r="A1506">
            <v>180186078</v>
          </cell>
          <cell r="B1506">
            <v>2519</v>
          </cell>
          <cell r="C1506" t="str">
            <v>Sut Synthabs 5/0 1/4Sp 8.5Mm</v>
          </cell>
        </row>
        <row r="1507">
          <cell r="A1507">
            <v>189710253</v>
          </cell>
          <cell r="B1507">
            <v>2520</v>
          </cell>
          <cell r="C1507" t="str">
            <v>Hexoprenaline Tabs 0.5Mg</v>
          </cell>
        </row>
        <row r="1508">
          <cell r="A1508">
            <v>180076590</v>
          </cell>
          <cell r="B1508">
            <v>2521</v>
          </cell>
          <cell r="C1508" t="str">
            <v>Propofol Inj (1%)10Mg/ml 20Ml</v>
          </cell>
        </row>
        <row r="1509">
          <cell r="A1509">
            <v>189742497</v>
          </cell>
          <cell r="B1509">
            <v>2522</v>
          </cell>
          <cell r="C1509" t="str">
            <v>Sut Synthabs 2/0 5/8Tp 26-27Mm</v>
          </cell>
        </row>
        <row r="1510">
          <cell r="A1510">
            <v>180350988</v>
          </cell>
          <cell r="B1510">
            <v>2523</v>
          </cell>
          <cell r="C1510" t="str">
            <v>Sildenafil 50Mg Tablets (4'S)</v>
          </cell>
        </row>
        <row r="1511">
          <cell r="A1511">
            <v>180229118</v>
          </cell>
          <cell r="B1511">
            <v>2524</v>
          </cell>
          <cell r="C1511" t="str">
            <v>Gown Hospital Long Sleeves Large</v>
          </cell>
        </row>
        <row r="1512">
          <cell r="A1512" t="str">
            <v>QUOTE</v>
          </cell>
          <cell r="B1512">
            <v>2525</v>
          </cell>
          <cell r="C1512" t="str">
            <v>~Brilliant Green Powder</v>
          </cell>
        </row>
        <row r="1513">
          <cell r="A1513">
            <v>189742596</v>
          </cell>
          <cell r="B1513">
            <v>2526</v>
          </cell>
          <cell r="C1513" t="str">
            <v>Dressing Wound Absorbent Cavity 100Mm</v>
          </cell>
        </row>
        <row r="1514">
          <cell r="A1514" t="str">
            <v>QUOTE</v>
          </cell>
          <cell r="B1514">
            <v>2527</v>
          </cell>
          <cell r="C1514" t="str">
            <v>~Ubiquinone Tabs 30Mg</v>
          </cell>
        </row>
        <row r="1515">
          <cell r="A1515" t="str">
            <v>QUOTE RT 15</v>
          </cell>
          <cell r="B1515">
            <v>425</v>
          </cell>
          <cell r="C1515" t="str">
            <v>Needle Retrobulbar Adult (Opthalmic)</v>
          </cell>
        </row>
        <row r="1516">
          <cell r="A1516">
            <v>181891011</v>
          </cell>
          <cell r="B1516">
            <v>2529</v>
          </cell>
          <cell r="C1516" t="str">
            <v>Enoxaparin 60Mg Inj Prefilled Syringe</v>
          </cell>
        </row>
        <row r="1517">
          <cell r="A1517">
            <v>180968974</v>
          </cell>
          <cell r="B1517">
            <v>2530</v>
          </cell>
          <cell r="C1517" t="str">
            <v>~Fenoterol Ipratropium Inhaler Complete</v>
          </cell>
        </row>
        <row r="1518">
          <cell r="A1518">
            <v>189710313</v>
          </cell>
          <cell r="B1518">
            <v>2531</v>
          </cell>
          <cell r="C1518" t="str">
            <v>~Ergotamine Caffeine And Cyclizine Tabs 100Mg</v>
          </cell>
        </row>
        <row r="1519">
          <cell r="A1519">
            <v>189711429</v>
          </cell>
          <cell r="B1519">
            <v>2532</v>
          </cell>
          <cell r="C1519" t="str">
            <v>Cyclopentolate Phenylephrine Eye Drops</v>
          </cell>
        </row>
        <row r="1520">
          <cell r="A1520">
            <v>189714317</v>
          </cell>
          <cell r="B1520">
            <v>2533</v>
          </cell>
          <cell r="C1520" t="str">
            <v>~Cyanide Poisoning Antidote Kit</v>
          </cell>
        </row>
        <row r="1521">
          <cell r="A1521">
            <v>189707427</v>
          </cell>
          <cell r="B1521">
            <v>2534</v>
          </cell>
          <cell r="C1521" t="str">
            <v>~Codeine Phosphate Syrup 100Ml</v>
          </cell>
        </row>
        <row r="1522">
          <cell r="A1522">
            <v>189710836</v>
          </cell>
          <cell r="B1522">
            <v>2535</v>
          </cell>
          <cell r="C1522" t="str">
            <v>Clotrimazole Vag Tabs 500Mg (1'S)</v>
          </cell>
        </row>
        <row r="1523">
          <cell r="A1523">
            <v>180324917</v>
          </cell>
          <cell r="B1523">
            <v>2536</v>
          </cell>
          <cell r="C1523" t="str">
            <v>Anaesthetic Set, Jackson Reese/mapleson F.</v>
          </cell>
        </row>
        <row r="1524">
          <cell r="A1524">
            <v>189712262</v>
          </cell>
          <cell r="B1524">
            <v>2537</v>
          </cell>
          <cell r="C1524" t="str">
            <v>Chlorhexidine Sol 20%  500Ml</v>
          </cell>
        </row>
        <row r="1525">
          <cell r="A1525">
            <v>189705870</v>
          </cell>
          <cell r="B1525">
            <v>2538</v>
          </cell>
          <cell r="C1525" t="str">
            <v>~Chloramphenicol Eye Oint 2.5Mg Applicaps</v>
          </cell>
        </row>
        <row r="1526">
          <cell r="A1526">
            <v>181919423</v>
          </cell>
          <cell r="B1526">
            <v>2539</v>
          </cell>
          <cell r="C1526" t="str">
            <v>Tpn Multi Bag Adult Hp &amp; Hc W/out Electrolytes-(1.5-2L)</v>
          </cell>
        </row>
        <row r="1527">
          <cell r="A1527" t="str">
            <v>QUOTE</v>
          </cell>
          <cell r="B1527">
            <v>2540</v>
          </cell>
          <cell r="C1527" t="str">
            <v>~Boric Acid Powder 500Gm</v>
          </cell>
        </row>
        <row r="1528">
          <cell r="A1528">
            <v>189712126</v>
          </cell>
          <cell r="B1528">
            <v>2541</v>
          </cell>
          <cell r="C1528" t="str">
            <v>Bisacodyl Supps  5Mg Paediatric</v>
          </cell>
        </row>
        <row r="1529">
          <cell r="A1529">
            <v>189714844</v>
          </cell>
          <cell r="B1529">
            <v>2542</v>
          </cell>
          <cell r="C1529" t="str">
            <v>Benzoin Tincture Compund B.P 20Ml</v>
          </cell>
        </row>
        <row r="1530">
          <cell r="A1530">
            <v>180961919</v>
          </cell>
          <cell r="B1530">
            <v>2543</v>
          </cell>
          <cell r="C1530" t="str">
            <v>Syringe Safety 5Ml 22Gx40mm (0.7Mm) Needle</v>
          </cell>
        </row>
        <row r="1531">
          <cell r="A1531" t="str">
            <v>QUOTE</v>
          </cell>
          <cell r="B1531">
            <v>2544</v>
          </cell>
          <cell r="C1531" t="str">
            <v>Form Clinic Stock Control Card(2)</v>
          </cell>
        </row>
        <row r="1532">
          <cell r="A1532">
            <v>181922609</v>
          </cell>
          <cell r="B1532">
            <v>2545</v>
          </cell>
          <cell r="C1532" t="str">
            <v>Vaccine Hexaxim Single Dose</v>
          </cell>
        </row>
        <row r="1533">
          <cell r="A1533" t="str">
            <v>QUOTE</v>
          </cell>
          <cell r="B1533">
            <v>2546</v>
          </cell>
          <cell r="C1533" t="str">
            <v>Labels Eye Ear Nasal Ointment</v>
          </cell>
        </row>
        <row r="1534">
          <cell r="A1534">
            <v>180330417</v>
          </cell>
          <cell r="B1534">
            <v>2547</v>
          </cell>
          <cell r="C1534" t="str">
            <v>~Sut 2/0 1/2Tp 70Cm 26Mm Gi Monofil. Synthabs.</v>
          </cell>
        </row>
        <row r="1535">
          <cell r="A1535">
            <v>180256112</v>
          </cell>
          <cell r="B1535">
            <v>2548</v>
          </cell>
          <cell r="C1535" t="str">
            <v>Acyclovir Disp Tabs 200Mg (25'S)</v>
          </cell>
        </row>
        <row r="1536">
          <cell r="A1536">
            <v>180334471</v>
          </cell>
          <cell r="B1536">
            <v>2549</v>
          </cell>
          <cell r="C1536" t="str">
            <v>~Vaccine Pentaxim Single Dose</v>
          </cell>
        </row>
        <row r="1537">
          <cell r="A1537">
            <v>189711870</v>
          </cell>
          <cell r="B1537">
            <v>2550</v>
          </cell>
          <cell r="C1537" t="str">
            <v>Cover Bedpan Paper</v>
          </cell>
        </row>
        <row r="1538">
          <cell r="A1538">
            <v>181906447</v>
          </cell>
          <cell r="B1538">
            <v>2551</v>
          </cell>
          <cell r="C1538" t="str">
            <v>Bag Brown No 10</v>
          </cell>
        </row>
        <row r="1539">
          <cell r="A1539" t="str">
            <v>.</v>
          </cell>
          <cell r="B1539">
            <v>2552</v>
          </cell>
          <cell r="C1539" t="str">
            <v>Itn Baby 104/Tpn 1603A</v>
          </cell>
        </row>
        <row r="1540">
          <cell r="A1540">
            <v>181906446</v>
          </cell>
          <cell r="B1540">
            <v>2553</v>
          </cell>
          <cell r="C1540" t="str">
            <v>Bag Brown No  4</v>
          </cell>
        </row>
        <row r="1541">
          <cell r="A1541" t="str">
            <v>QUOTE EYE</v>
          </cell>
          <cell r="B1541">
            <v>2554</v>
          </cell>
          <cell r="C1541" t="str">
            <v>Cannula Visco Canalostomy (149-40)</v>
          </cell>
        </row>
        <row r="1542">
          <cell r="A1542">
            <v>180952970</v>
          </cell>
          <cell r="B1542">
            <v>2555</v>
          </cell>
          <cell r="C1542" t="str">
            <v>Bandage Cast Synthetic Non-Fibre Glass 125Mmx3.6M</v>
          </cell>
        </row>
        <row r="1543">
          <cell r="A1543">
            <v>181859999</v>
          </cell>
          <cell r="B1543">
            <v>2556</v>
          </cell>
          <cell r="C1543" t="str">
            <v>Naproxen 250Mg Tabs (56'S)</v>
          </cell>
        </row>
        <row r="1544">
          <cell r="A1544" t="str">
            <v>QUOTE</v>
          </cell>
          <cell r="B1544">
            <v>2559</v>
          </cell>
          <cell r="C1544" t="str">
            <v>Tube Endo Cuff Dual 5.5 Reinforced</v>
          </cell>
        </row>
        <row r="1545">
          <cell r="A1545" t="str">
            <v>QUOTE</v>
          </cell>
          <cell r="B1545">
            <v>2558</v>
          </cell>
          <cell r="C1545" t="str">
            <v>Tube Endo Cuff Dual 4.5 Reinforced</v>
          </cell>
        </row>
        <row r="1546">
          <cell r="A1546" t="str">
            <v>QUOTE</v>
          </cell>
          <cell r="B1546">
            <v>2560</v>
          </cell>
          <cell r="C1546" t="str">
            <v>Tube Endo Cuff Dual 4.0 Reinforced</v>
          </cell>
        </row>
        <row r="1547">
          <cell r="A1547">
            <v>180772046</v>
          </cell>
          <cell r="B1547">
            <v>2528</v>
          </cell>
          <cell r="C1547" t="str">
            <v>~Oestradiol/ Norethisterone Comb Tabs</v>
          </cell>
        </row>
        <row r="1548">
          <cell r="A1548">
            <v>180260242</v>
          </cell>
          <cell r="B1548">
            <v>2561</v>
          </cell>
          <cell r="C1548" t="str">
            <v>Cath.Ureth.Foley 2Way 10Fg  5Ml Coated</v>
          </cell>
        </row>
        <row r="1549">
          <cell r="A1549">
            <v>189717339</v>
          </cell>
          <cell r="B1549">
            <v>2562</v>
          </cell>
          <cell r="C1549" t="str">
            <v>Cath.Ureth.Foley 2Way 12Fg  5Ml Silicone</v>
          </cell>
        </row>
        <row r="1550">
          <cell r="A1550">
            <v>180031042</v>
          </cell>
          <cell r="B1550">
            <v>2563</v>
          </cell>
          <cell r="C1550" t="str">
            <v>Plasmalyte B  200Ml</v>
          </cell>
        </row>
        <row r="1551">
          <cell r="A1551" t="str">
            <v>QUOTE</v>
          </cell>
          <cell r="B1551">
            <v>2564</v>
          </cell>
          <cell r="C1551" t="str">
            <v>Tpn 107</v>
          </cell>
        </row>
        <row r="1552">
          <cell r="A1552" t="str">
            <v>QUOTE</v>
          </cell>
          <cell r="B1552">
            <v>2565</v>
          </cell>
          <cell r="C1552" t="str">
            <v>Form Clinic Stock Control Card(1)</v>
          </cell>
        </row>
        <row r="1553">
          <cell r="A1553" t="str">
            <v>MOTIVATION</v>
          </cell>
          <cell r="B1553">
            <v>2566</v>
          </cell>
          <cell r="C1553" t="str">
            <v>~Epoetin Alfa 150Mcg/0.3Ml</v>
          </cell>
        </row>
        <row r="1554">
          <cell r="A1554" t="str">
            <v>QUOTE</v>
          </cell>
          <cell r="B1554">
            <v>2557</v>
          </cell>
          <cell r="C1554" t="str">
            <v>Needle Bonemarrow 16G Aspiration</v>
          </cell>
        </row>
        <row r="1555">
          <cell r="A1555">
            <v>181854508</v>
          </cell>
          <cell r="B1555">
            <v>2567</v>
          </cell>
          <cell r="C1555" t="str">
            <v>Didanosine 400Mg Enteric Coated Tablet 30'S</v>
          </cell>
        </row>
        <row r="1556">
          <cell r="A1556">
            <v>180348815</v>
          </cell>
          <cell r="B1556">
            <v>2568</v>
          </cell>
          <cell r="C1556" t="str">
            <v>Interferon Alfa 2A Inj 3.0Mill Units</v>
          </cell>
        </row>
        <row r="1557">
          <cell r="A1557">
            <v>180051445</v>
          </cell>
          <cell r="B1557">
            <v>2569</v>
          </cell>
          <cell r="C1557" t="str">
            <v>Dressing Wound Adh Trans 280Mmx300mm</v>
          </cell>
        </row>
        <row r="1558">
          <cell r="A1558">
            <v>180051446</v>
          </cell>
          <cell r="B1558">
            <v>2570</v>
          </cell>
          <cell r="C1558" t="str">
            <v>Dressing Wound Adh Trans 280Mmx450mm</v>
          </cell>
        </row>
        <row r="1559">
          <cell r="A1559">
            <v>181919420</v>
          </cell>
          <cell r="B1559">
            <v>2571</v>
          </cell>
          <cell r="C1559" t="str">
            <v>Tpn Multi Bag Adult Sp &amp; Sc With Electrolyte 1.5L-2L</v>
          </cell>
        </row>
        <row r="1560">
          <cell r="A1560">
            <v>180254530</v>
          </cell>
          <cell r="B1560">
            <v>2572</v>
          </cell>
          <cell r="C1560" t="str">
            <v>Dressing Film Transparent I.V 60Mmx85mm</v>
          </cell>
        </row>
        <row r="1561">
          <cell r="A1561">
            <v>180090033</v>
          </cell>
          <cell r="B1561">
            <v>2573</v>
          </cell>
          <cell r="C1561" t="str">
            <v>Fenoterol U D V 1.25Mg/2ml</v>
          </cell>
        </row>
        <row r="1562">
          <cell r="A1562">
            <v>180339585</v>
          </cell>
          <cell r="B1562">
            <v>2574</v>
          </cell>
          <cell r="C1562" t="str">
            <v>Orphenadrine Tabs 50Mg (56'S)</v>
          </cell>
        </row>
        <row r="1563">
          <cell r="A1563">
            <v>180339586</v>
          </cell>
          <cell r="B1563">
            <v>2575</v>
          </cell>
          <cell r="C1563" t="str">
            <v>Orphenadrine Tabs 50Mg (84'S)</v>
          </cell>
        </row>
        <row r="1564">
          <cell r="A1564">
            <v>180948561</v>
          </cell>
          <cell r="B1564">
            <v>2576</v>
          </cell>
          <cell r="C1564" t="str">
            <v>Tpn 7002A</v>
          </cell>
        </row>
        <row r="1565">
          <cell r="A1565">
            <v>181781571</v>
          </cell>
          <cell r="B1565">
            <v>2577</v>
          </cell>
          <cell r="C1565" t="str">
            <v>Tpn 5002A</v>
          </cell>
        </row>
        <row r="1566">
          <cell r="A1566">
            <v>189710415</v>
          </cell>
          <cell r="B1566">
            <v>2578</v>
          </cell>
          <cell r="C1566" t="str">
            <v>Paracetamol Codeine (100'S)</v>
          </cell>
        </row>
        <row r="1567">
          <cell r="A1567" t="str">
            <v>QUOTE</v>
          </cell>
          <cell r="B1567">
            <v>2579</v>
          </cell>
          <cell r="C1567" t="str">
            <v>Dressing Hydrocolloid Ulcer 20Cmx30cm</v>
          </cell>
        </row>
        <row r="1568">
          <cell r="A1568">
            <v>181845923</v>
          </cell>
          <cell r="B1568">
            <v>2580</v>
          </cell>
          <cell r="C1568" t="str">
            <v>Gown Hospital Long Sleeve Extra Large</v>
          </cell>
        </row>
        <row r="1569">
          <cell r="A1569" t="str">
            <v>QUOTE</v>
          </cell>
          <cell r="B1569">
            <v>2581</v>
          </cell>
          <cell r="C1569" t="str">
            <v>Form Clinic Visit</v>
          </cell>
        </row>
        <row r="1570">
          <cell r="A1570">
            <v>181804849</v>
          </cell>
          <cell r="B1570">
            <v>2582</v>
          </cell>
          <cell r="C1570" t="str">
            <v>Oxaliplatin 50Mg/10ml</v>
          </cell>
        </row>
        <row r="1571">
          <cell r="A1571">
            <v>180358287</v>
          </cell>
          <cell r="B1571">
            <v>2583</v>
          </cell>
          <cell r="C1571" t="str">
            <v>Bupropion Xl 300Mg (60'S)</v>
          </cell>
        </row>
        <row r="1572">
          <cell r="A1572" t="str">
            <v>REPACKING</v>
          </cell>
          <cell r="B1572">
            <v>2584</v>
          </cell>
          <cell r="C1572" t="str">
            <v>~Thermal Transfer Ribbons 92Mm X 600M</v>
          </cell>
        </row>
        <row r="1573">
          <cell r="A1573" t="str">
            <v>MOT</v>
          </cell>
          <cell r="B1573">
            <v>2585</v>
          </cell>
          <cell r="C1573" t="str">
            <v>Pouch Urostomy One Piece (Convexity)</v>
          </cell>
        </row>
        <row r="1574">
          <cell r="A1574" t="str">
            <v>*</v>
          </cell>
          <cell r="B1574">
            <v>2587</v>
          </cell>
          <cell r="C1574" t="str">
            <v>~Filter Breath Intensive Care Anesth.</v>
          </cell>
        </row>
        <row r="1575">
          <cell r="A1575">
            <v>181849315</v>
          </cell>
          <cell r="B1575">
            <v>2588</v>
          </cell>
          <cell r="C1575" t="str">
            <v>Tube Trach Cuff + Inner Cannula 8.0</v>
          </cell>
        </row>
        <row r="1576">
          <cell r="A1576">
            <v>181892499</v>
          </cell>
          <cell r="B1576">
            <v>2589</v>
          </cell>
          <cell r="C1576" t="str">
            <v>Etravirine 100Mg Tablet(112/120)</v>
          </cell>
        </row>
        <row r="1577">
          <cell r="A1577">
            <v>180056296</v>
          </cell>
          <cell r="B1577">
            <v>2590</v>
          </cell>
          <cell r="C1577" t="str">
            <v>Injection Cap-Instopper (Bulls Eye)</v>
          </cell>
        </row>
        <row r="1578">
          <cell r="A1578">
            <v>181750139</v>
          </cell>
          <cell r="B1578">
            <v>2591</v>
          </cell>
          <cell r="C1578" t="str">
            <v>Glove Surgical Non Latex Size 7.5</v>
          </cell>
        </row>
        <row r="1579">
          <cell r="A1579">
            <v>180257846</v>
          </cell>
          <cell r="B1579">
            <v>2592</v>
          </cell>
          <cell r="C1579" t="str">
            <v>Benzydamine &amp; Chlorhexidine Gluconate - 200Ml</v>
          </cell>
        </row>
        <row r="1580">
          <cell r="A1580">
            <v>180185843</v>
          </cell>
          <cell r="B1580">
            <v>2594</v>
          </cell>
          <cell r="C1580" t="str">
            <v>Sut Synthabs 5/0 3/8Rc 12Mm</v>
          </cell>
        </row>
        <row r="1581">
          <cell r="A1581">
            <v>180229109</v>
          </cell>
          <cell r="B1581">
            <v>2595</v>
          </cell>
          <cell r="C1581" t="str">
            <v>Glove Surgical Low Allergy Size 7.0</v>
          </cell>
        </row>
        <row r="1582">
          <cell r="A1582">
            <v>189714425</v>
          </cell>
          <cell r="B1582">
            <v>2596</v>
          </cell>
          <cell r="C1582" t="str">
            <v>~Bumetanide 0.5Mg Tabs</v>
          </cell>
        </row>
        <row r="1583">
          <cell r="A1583">
            <v>180124272</v>
          </cell>
          <cell r="B1583">
            <v>2597</v>
          </cell>
          <cell r="C1583" t="str">
            <v>Glyceryl Trinitrate 1Mg/ml</v>
          </cell>
        </row>
        <row r="1584">
          <cell r="A1584">
            <v>181902532</v>
          </cell>
          <cell r="B1584">
            <v>2599</v>
          </cell>
          <cell r="C1584" t="str">
            <v>Subdermal Implant Etonogestrel 68Mg With Applicator</v>
          </cell>
        </row>
        <row r="1585">
          <cell r="A1585" t="str">
            <v>QUOTE</v>
          </cell>
          <cell r="B1585">
            <v>2600</v>
          </cell>
          <cell r="C1585" t="str">
            <v>~Dimethylsulfoxide Purim (99%)</v>
          </cell>
        </row>
        <row r="1586">
          <cell r="A1586" t="str">
            <v>QUOTE</v>
          </cell>
          <cell r="B1586">
            <v>2601</v>
          </cell>
          <cell r="C1586" t="str">
            <v>Breathing Filter 1944</v>
          </cell>
        </row>
        <row r="1587">
          <cell r="A1587">
            <v>189750639</v>
          </cell>
          <cell r="B1587">
            <v>2602</v>
          </cell>
          <cell r="C1587" t="str">
            <v>Inhaler Device Child Wth Mask &amp; Valve</v>
          </cell>
        </row>
        <row r="1588">
          <cell r="A1588" t="str">
            <v>.</v>
          </cell>
          <cell r="B1588">
            <v>2603</v>
          </cell>
          <cell r="C1588" t="str">
            <v>Tpn 8010A</v>
          </cell>
        </row>
        <row r="1589">
          <cell r="A1589" t="str">
            <v>QUOTE</v>
          </cell>
          <cell r="B1589">
            <v>2604</v>
          </cell>
          <cell r="C1589" t="str">
            <v>Sheath Introducer 8.5Fr No Heamolstasis Valve</v>
          </cell>
        </row>
        <row r="1590">
          <cell r="A1590" t="str">
            <v>RT  20</v>
          </cell>
          <cell r="B1590">
            <v>2605</v>
          </cell>
          <cell r="C1590" t="str">
            <v>Electrodes E.C.G Neonatal</v>
          </cell>
        </row>
        <row r="1591">
          <cell r="A1591">
            <v>181882892</v>
          </cell>
          <cell r="B1591">
            <v>2606</v>
          </cell>
          <cell r="C1591" t="str">
            <v>Pouch Ileostomy One Piece 19-64Mm Opague Drainable</v>
          </cell>
        </row>
        <row r="1592">
          <cell r="A1592" t="str">
            <v>QUOTE</v>
          </cell>
          <cell r="B1592">
            <v>2607</v>
          </cell>
          <cell r="C1592" t="str">
            <v>Labels White 68Mm X 35Mm (1 To View) (Dispensing)</v>
          </cell>
        </row>
        <row r="1593">
          <cell r="A1593">
            <v>181807310</v>
          </cell>
          <cell r="B1593">
            <v>2608</v>
          </cell>
          <cell r="C1593" t="str">
            <v>Aripiprazole 5Mg Tabs (30'S)</v>
          </cell>
        </row>
        <row r="1594">
          <cell r="A1594">
            <v>189713055</v>
          </cell>
          <cell r="B1594">
            <v>2609</v>
          </cell>
          <cell r="C1594" t="str">
            <v>Tube Sump Drain Fuller Elliot 3Way 28Fg</v>
          </cell>
        </row>
        <row r="1595">
          <cell r="A1595">
            <v>189714315</v>
          </cell>
          <cell r="B1595">
            <v>2610</v>
          </cell>
          <cell r="C1595" t="str">
            <v>Tube Sump Drain Fuller Elliot 3Way 30Fg</v>
          </cell>
        </row>
        <row r="1596">
          <cell r="A1596">
            <v>189714316</v>
          </cell>
          <cell r="B1596">
            <v>2611</v>
          </cell>
          <cell r="C1596" t="str">
            <v>Tube Sump Drain Fuller Elliot 3Way 32Fg</v>
          </cell>
        </row>
        <row r="1597">
          <cell r="A1597">
            <v>180286745</v>
          </cell>
          <cell r="B1597">
            <v>2612</v>
          </cell>
          <cell r="C1597" t="str">
            <v>Tube Sump Drain Fuller Elliot 3Way 36Fg</v>
          </cell>
        </row>
        <row r="1598">
          <cell r="A1598" t="str">
            <v>QUOTE</v>
          </cell>
          <cell r="B1598">
            <v>2613</v>
          </cell>
          <cell r="C1598" t="str">
            <v>Cath Drainage Hematuria Silicone</v>
          </cell>
        </row>
        <row r="1599">
          <cell r="A1599" t="str">
            <v>DONATION</v>
          </cell>
          <cell r="B1599">
            <v>2614</v>
          </cell>
          <cell r="C1599" t="str">
            <v>Fluconazole Susp 50Mg/5ml 35Ml</v>
          </cell>
        </row>
        <row r="1600">
          <cell r="A1600" t="str">
            <v>DONATION</v>
          </cell>
          <cell r="B1600">
            <v>2615</v>
          </cell>
          <cell r="C1600" t="str">
            <v>Fluconazole Tabs 200Mg</v>
          </cell>
        </row>
        <row r="1601">
          <cell r="A1601" t="str">
            <v>DONATION</v>
          </cell>
          <cell r="B1601">
            <v>2616</v>
          </cell>
          <cell r="C1601" t="str">
            <v>Fluconazole Inj 2Mg/ml I V Infusion</v>
          </cell>
        </row>
        <row r="1602">
          <cell r="A1602">
            <v>181871663</v>
          </cell>
          <cell r="B1602">
            <v>2617</v>
          </cell>
          <cell r="C1602" t="str">
            <v>Lopinavir 100Mg Ritonavir 25Mg Coated Tablet (56'S)</v>
          </cell>
        </row>
        <row r="1603">
          <cell r="A1603">
            <v>189712268</v>
          </cell>
          <cell r="B1603">
            <v>2618</v>
          </cell>
          <cell r="C1603" t="str">
            <v>Melphalan Tabs 2Mg (25'S)</v>
          </cell>
        </row>
        <row r="1604">
          <cell r="A1604">
            <v>180174034</v>
          </cell>
          <cell r="B1604">
            <v>2619</v>
          </cell>
          <cell r="C1604" t="str">
            <v>Bandage Retention Crepe  75Mm</v>
          </cell>
        </row>
        <row r="1605">
          <cell r="A1605">
            <v>189710765</v>
          </cell>
          <cell r="B1605">
            <v>2620</v>
          </cell>
          <cell r="C1605" t="str">
            <v>~Piperacillin 2G Inj</v>
          </cell>
        </row>
        <row r="1606">
          <cell r="A1606">
            <v>189742595</v>
          </cell>
          <cell r="B1606">
            <v>2621</v>
          </cell>
          <cell r="C1606" t="str">
            <v>Dressing Wound Abs. Non-Adh.&amp; Adh.Border 11X11cm</v>
          </cell>
        </row>
        <row r="1607">
          <cell r="A1607">
            <v>189712865</v>
          </cell>
          <cell r="B1607">
            <v>2622</v>
          </cell>
          <cell r="C1607" t="str">
            <v>Tube Drain Pensil Silicone 350Mmx14mm</v>
          </cell>
        </row>
        <row r="1608">
          <cell r="A1608">
            <v>180329825</v>
          </cell>
          <cell r="B1608">
            <v>2623</v>
          </cell>
          <cell r="C1608" t="str">
            <v>Resuscitator Neonatal Single Use</v>
          </cell>
        </row>
        <row r="1609">
          <cell r="A1609" t="str">
            <v>*</v>
          </cell>
          <cell r="B1609">
            <v>2624</v>
          </cell>
          <cell r="C1609" t="str">
            <v>Fluconazole Susp 50Mg/5ml</v>
          </cell>
        </row>
        <row r="1610">
          <cell r="A1610" t="str">
            <v>QUOTE STOMA</v>
          </cell>
          <cell r="B1610">
            <v>2625</v>
          </cell>
          <cell r="C1610" t="str">
            <v>Flange  70Mm (Cut To 57Mm)</v>
          </cell>
        </row>
        <row r="1611">
          <cell r="A1611">
            <v>180191876</v>
          </cell>
          <cell r="B1611">
            <v>2626</v>
          </cell>
          <cell r="C1611" t="str">
            <v>Dressing Hydrocolloid Ulcer 20Cmx20cm</v>
          </cell>
        </row>
        <row r="1612">
          <cell r="A1612">
            <v>180057770</v>
          </cell>
          <cell r="B1612">
            <v>2627</v>
          </cell>
          <cell r="C1612" t="str">
            <v>Bag Urine Drainage Double End S3</v>
          </cell>
        </row>
        <row r="1613">
          <cell r="A1613">
            <v>181882897</v>
          </cell>
          <cell r="B1613">
            <v>2628</v>
          </cell>
          <cell r="C1613" t="str">
            <v>Pouch Ostomy One Piece 20-60Mm Clear Drainable</v>
          </cell>
        </row>
        <row r="1614">
          <cell r="A1614">
            <v>180190436</v>
          </cell>
          <cell r="B1614">
            <v>2629</v>
          </cell>
          <cell r="C1614" t="str">
            <v>Phenobarbitone Tabs 30Mg (28'S)</v>
          </cell>
        </row>
        <row r="1615">
          <cell r="A1615">
            <v>189711831</v>
          </cell>
          <cell r="B1615">
            <v>2631</v>
          </cell>
          <cell r="C1615" t="str">
            <v>Amitriptyline Tabs 25Mg (84'S)</v>
          </cell>
        </row>
        <row r="1616">
          <cell r="A1616">
            <v>189714759</v>
          </cell>
          <cell r="B1616">
            <v>2632</v>
          </cell>
          <cell r="C1616" t="str">
            <v>Ethosuximide Syr 250Mg/5ml 200Ml</v>
          </cell>
        </row>
        <row r="1617">
          <cell r="A1617">
            <v>181779726</v>
          </cell>
          <cell r="B1617">
            <v>2633</v>
          </cell>
          <cell r="C1617" t="str">
            <v>Flexible Et Introd.Stylet 2-4Mm</v>
          </cell>
        </row>
        <row r="1618">
          <cell r="A1618">
            <v>180185678</v>
          </cell>
          <cell r="B1618">
            <v>2634</v>
          </cell>
          <cell r="C1618" t="str">
            <v>Iron Sucrose Inj 100Mg</v>
          </cell>
        </row>
        <row r="1619">
          <cell r="A1619">
            <v>180208630</v>
          </cell>
          <cell r="B1619">
            <v>2635</v>
          </cell>
          <cell r="C1619" t="str">
            <v>Mannitol Inj 25% 50Ml</v>
          </cell>
        </row>
        <row r="1620">
          <cell r="A1620">
            <v>189762536</v>
          </cell>
          <cell r="B1620">
            <v>2636</v>
          </cell>
          <cell r="C1620" t="str">
            <v>Vaccine Mening Meningitis A C  Vial + Dil</v>
          </cell>
        </row>
        <row r="1621">
          <cell r="A1621">
            <v>180959495</v>
          </cell>
          <cell r="B1621">
            <v>2637</v>
          </cell>
          <cell r="C1621" t="str">
            <v>Methylprednisolone Cream 20G Aceponate 1Mg/1g  (Deth</v>
          </cell>
        </row>
        <row r="1622">
          <cell r="A1622">
            <v>189710338</v>
          </cell>
          <cell r="B1622">
            <v>2638</v>
          </cell>
          <cell r="C1622" t="str">
            <v>Amoxycillin Caps 250Mg (100'S)</v>
          </cell>
        </row>
        <row r="1623">
          <cell r="A1623">
            <v>189712347</v>
          </cell>
          <cell r="B1623">
            <v>2639</v>
          </cell>
          <cell r="C1623" t="str">
            <v>Carbamazepine Susp 100Mg/5ml 250Ml</v>
          </cell>
        </row>
        <row r="1624">
          <cell r="A1624">
            <v>180955319</v>
          </cell>
          <cell r="B1624">
            <v>2640</v>
          </cell>
          <cell r="C1624" t="str">
            <v>~Pyrimethamine Sulfadoxine Tabs</v>
          </cell>
        </row>
        <row r="1625">
          <cell r="A1625">
            <v>189703385</v>
          </cell>
          <cell r="B1625">
            <v>2641</v>
          </cell>
          <cell r="C1625" t="str">
            <v>Betamethasone Valerate Oint 15Gm</v>
          </cell>
        </row>
        <row r="1626">
          <cell r="A1626">
            <v>189714984</v>
          </cell>
          <cell r="B1626">
            <v>2642</v>
          </cell>
          <cell r="C1626" t="str">
            <v>Spectinomycin Inj 400Mg/ml 2G</v>
          </cell>
        </row>
        <row r="1627">
          <cell r="A1627" t="str">
            <v>QUOTE</v>
          </cell>
          <cell r="B1627">
            <v>2643</v>
          </cell>
          <cell r="C1627" t="str">
            <v>Kaltostat Sheet 10Cm X 20Cm</v>
          </cell>
        </row>
        <row r="1628">
          <cell r="A1628" t="str">
            <v>ADHD</v>
          </cell>
          <cell r="B1628">
            <v>2644</v>
          </cell>
          <cell r="C1628" t="str">
            <v>Atomoxetine Caps 40Mg (28'S)</v>
          </cell>
        </row>
        <row r="1629">
          <cell r="A1629">
            <v>180256023</v>
          </cell>
          <cell r="B1629">
            <v>2645</v>
          </cell>
          <cell r="C1629" t="str">
            <v>Carvedilol 12.5Mg Scored Tabs (30'S)</v>
          </cell>
        </row>
        <row r="1630">
          <cell r="A1630">
            <v>181770198</v>
          </cell>
          <cell r="B1630">
            <v>2646</v>
          </cell>
          <cell r="C1630" t="str">
            <v>Bleomycin Inj 15 I.U</v>
          </cell>
        </row>
        <row r="1631">
          <cell r="A1631">
            <v>189711522</v>
          </cell>
          <cell r="B1631">
            <v>2647</v>
          </cell>
          <cell r="C1631" t="str">
            <v>Amino Acid  7 Nitrogen Dextrose 1000Ml</v>
          </cell>
        </row>
        <row r="1632">
          <cell r="A1632">
            <v>180079580</v>
          </cell>
          <cell r="B1632">
            <v>2648</v>
          </cell>
          <cell r="C1632" t="str">
            <v>Ferrous Gluconate Syr 100Ml</v>
          </cell>
        </row>
        <row r="1633">
          <cell r="A1633">
            <v>180358280</v>
          </cell>
          <cell r="B1633">
            <v>2649</v>
          </cell>
          <cell r="C1633" t="str">
            <v>Venlafaxine X R 75Mg Caps (30'S)</v>
          </cell>
        </row>
        <row r="1634">
          <cell r="A1634">
            <v>180073563</v>
          </cell>
          <cell r="B1634">
            <v>2650</v>
          </cell>
          <cell r="C1634" t="str">
            <v>Dacarbazine Inj 200Mg</v>
          </cell>
        </row>
        <row r="1635">
          <cell r="A1635" t="str">
            <v>MOTIVATION</v>
          </cell>
          <cell r="B1635">
            <v>2651</v>
          </cell>
          <cell r="C1635" t="str">
            <v>~Darbepoetin Alpha 40Ug Prefilled Syringe</v>
          </cell>
        </row>
        <row r="1636">
          <cell r="A1636" t="str">
            <v>RT  15</v>
          </cell>
          <cell r="B1636">
            <v>2652</v>
          </cell>
          <cell r="C1636" t="str">
            <v>Ophthalmic Cautery</v>
          </cell>
        </row>
        <row r="1637">
          <cell r="A1637">
            <v>189711677</v>
          </cell>
          <cell r="B1637">
            <v>2653</v>
          </cell>
          <cell r="C1637" t="str">
            <v>Medroxyprogesterone Tabs 100Mg (100'S)</v>
          </cell>
        </row>
        <row r="1638">
          <cell r="A1638">
            <v>180969693</v>
          </cell>
          <cell r="B1638">
            <v>2654</v>
          </cell>
          <cell r="C1638" t="str">
            <v>Vinblastine Sulphate Inj 10Mg</v>
          </cell>
        </row>
        <row r="1639">
          <cell r="A1639">
            <v>181848648</v>
          </cell>
          <cell r="B1639">
            <v>2655</v>
          </cell>
          <cell r="C1639" t="str">
            <v>Articulated Flexible Stylet.6.5Mm-7.5Mm</v>
          </cell>
        </row>
        <row r="1640">
          <cell r="A1640">
            <v>180018948</v>
          </cell>
          <cell r="B1640">
            <v>2656</v>
          </cell>
          <cell r="C1640" t="str">
            <v>Ringer Lactate 1000Ml</v>
          </cell>
        </row>
        <row r="1641">
          <cell r="A1641">
            <v>180113691</v>
          </cell>
          <cell r="B1641">
            <v>2657</v>
          </cell>
          <cell r="C1641" t="str">
            <v>Cefazolin Inj 1G</v>
          </cell>
        </row>
        <row r="1642">
          <cell r="A1642">
            <v>181769646</v>
          </cell>
          <cell r="B1642">
            <v>2658</v>
          </cell>
          <cell r="C1642" t="str">
            <v>Methylphenidate Caps 30Mg L A (30'S)</v>
          </cell>
        </row>
        <row r="1643">
          <cell r="A1643">
            <v>189710261</v>
          </cell>
          <cell r="B1643">
            <v>2659</v>
          </cell>
          <cell r="C1643" t="str">
            <v>Metenolone Tabs 25Mg</v>
          </cell>
        </row>
        <row r="1644">
          <cell r="A1644">
            <v>189714510</v>
          </cell>
          <cell r="B1644">
            <v>2660</v>
          </cell>
          <cell r="C1644" t="str">
            <v>~Mesterolone Tabs 25Mg</v>
          </cell>
        </row>
        <row r="1645">
          <cell r="A1645">
            <v>189710669</v>
          </cell>
          <cell r="B1645">
            <v>2661</v>
          </cell>
          <cell r="C1645" t="str">
            <v>Mercaptopurine Tabs 50Mg (25'S)</v>
          </cell>
        </row>
        <row r="1646">
          <cell r="A1646">
            <v>189710955</v>
          </cell>
          <cell r="B1646">
            <v>2662</v>
          </cell>
          <cell r="C1646" t="str">
            <v>Methylprednisolone Succinate Inj 500Mg</v>
          </cell>
        </row>
        <row r="1647">
          <cell r="A1647">
            <v>180152041</v>
          </cell>
          <cell r="B1647">
            <v>2663</v>
          </cell>
          <cell r="C1647" t="str">
            <v>Rifampicin Vial &amp; Diluent 300Mg</v>
          </cell>
        </row>
        <row r="1648">
          <cell r="A1648">
            <v>189760476</v>
          </cell>
          <cell r="B1648">
            <v>2664</v>
          </cell>
          <cell r="C1648" t="str">
            <v>Oral Contraceptive Biphasic High</v>
          </cell>
        </row>
        <row r="1649">
          <cell r="A1649">
            <v>181744809</v>
          </cell>
          <cell r="B1649">
            <v>2665</v>
          </cell>
          <cell r="C1649" t="str">
            <v>Carboplatin Inj 450Mg</v>
          </cell>
        </row>
        <row r="1650">
          <cell r="A1650">
            <v>180076418</v>
          </cell>
          <cell r="B1650">
            <v>2666</v>
          </cell>
          <cell r="C1650" t="str">
            <v>Nandrolone Decanoate Inj 25Mg/ml</v>
          </cell>
        </row>
        <row r="1651">
          <cell r="A1651" t="str">
            <v>QUOTE</v>
          </cell>
          <cell r="B1651">
            <v>2667</v>
          </cell>
          <cell r="C1651" t="str">
            <v>Neomycin Inj 500Mg 10Ml</v>
          </cell>
        </row>
        <row r="1652">
          <cell r="A1652">
            <v>180012708</v>
          </cell>
          <cell r="B1652">
            <v>2668</v>
          </cell>
          <cell r="C1652" t="str">
            <v>Nifedipine Tabs 30Mg S R (28/30'S)</v>
          </cell>
        </row>
        <row r="1653">
          <cell r="A1653">
            <v>180187764</v>
          </cell>
          <cell r="B1653">
            <v>2669</v>
          </cell>
          <cell r="C1653" t="str">
            <v>Tretinoin Caps 10Mg (100'S)</v>
          </cell>
        </row>
        <row r="1654">
          <cell r="A1654">
            <v>180146470</v>
          </cell>
          <cell r="B1654">
            <v>2670</v>
          </cell>
          <cell r="C1654" t="str">
            <v>Vitamin C Tabs 100Mg (28'S)</v>
          </cell>
        </row>
        <row r="1655">
          <cell r="A1655">
            <v>189712326</v>
          </cell>
          <cell r="B1655">
            <v>2671</v>
          </cell>
          <cell r="C1655" t="str">
            <v>Mitoxantrone Inj 2Mg/ml 10Ml</v>
          </cell>
        </row>
        <row r="1656">
          <cell r="A1656">
            <v>180348859</v>
          </cell>
          <cell r="B1656">
            <v>2672</v>
          </cell>
          <cell r="C1656" t="str">
            <v>Cisplatin Inj 10Mg I.V</v>
          </cell>
        </row>
        <row r="1657">
          <cell r="A1657">
            <v>180348860</v>
          </cell>
          <cell r="B1657">
            <v>2673</v>
          </cell>
          <cell r="C1657" t="str">
            <v>Cisplatin Inj 50Mg I.V</v>
          </cell>
        </row>
        <row r="1658">
          <cell r="A1658">
            <v>181814080</v>
          </cell>
          <cell r="B1658">
            <v>2674</v>
          </cell>
          <cell r="C1658" t="str">
            <v>Lansoprazole Caps 30Mg (30'S)</v>
          </cell>
        </row>
        <row r="1659">
          <cell r="A1659">
            <v>189760486</v>
          </cell>
          <cell r="B1659">
            <v>2675</v>
          </cell>
          <cell r="C1659" t="str">
            <v>Acyclovir Susp 200Mg/5ml  125Ml</v>
          </cell>
        </row>
        <row r="1660">
          <cell r="A1660" t="str">
            <v>DELETED</v>
          </cell>
          <cell r="B1660">
            <v>2676</v>
          </cell>
          <cell r="C1660" t="str">
            <v>~Darbepoetin Alpha 60Ug Pre-Filled Syringe</v>
          </cell>
        </row>
        <row r="1661">
          <cell r="A1661">
            <v>189710899</v>
          </cell>
          <cell r="B1661">
            <v>2677</v>
          </cell>
          <cell r="C1661" t="str">
            <v>~Sodium Aurothiomalate Inj 50Mg 0.5Ml</v>
          </cell>
        </row>
        <row r="1662">
          <cell r="A1662">
            <v>180356528</v>
          </cell>
          <cell r="B1662">
            <v>2678</v>
          </cell>
          <cell r="C1662" t="str">
            <v>Bag Plastic Tablet White 104Mm X 160Mm Unprinted</v>
          </cell>
        </row>
        <row r="1663">
          <cell r="A1663">
            <v>181872083</v>
          </cell>
          <cell r="B1663">
            <v>2679</v>
          </cell>
          <cell r="C1663" t="str">
            <v>Lamivudine Tabs 300Mg (30'S)</v>
          </cell>
        </row>
        <row r="1664">
          <cell r="A1664">
            <v>181898983</v>
          </cell>
          <cell r="B1664">
            <v>2680</v>
          </cell>
          <cell r="C1664" t="str">
            <v>Zinc Supplement 10Mg/5ml Syrup 150Ml</v>
          </cell>
        </row>
        <row r="1665">
          <cell r="A1665">
            <v>189715285</v>
          </cell>
          <cell r="B1665">
            <v>2681</v>
          </cell>
          <cell r="C1665" t="str">
            <v>Methotrexate Inj   50Mg</v>
          </cell>
        </row>
        <row r="1666">
          <cell r="A1666">
            <v>189752693</v>
          </cell>
          <cell r="B1666">
            <v>2682</v>
          </cell>
          <cell r="C1666" t="str">
            <v>Methotrexate Tabs 2.5Mg (100'S)</v>
          </cell>
        </row>
        <row r="1667">
          <cell r="A1667">
            <v>180190636</v>
          </cell>
          <cell r="B1667">
            <v>2683</v>
          </cell>
          <cell r="C1667" t="str">
            <v>~Cetylpyridinium Benzocaine Lozenges (16'S)</v>
          </cell>
        </row>
        <row r="1668">
          <cell r="A1668">
            <v>189710053</v>
          </cell>
          <cell r="B1668">
            <v>2684</v>
          </cell>
          <cell r="C1668" t="str">
            <v>Lithium Carbonate Tabs 400Mg (100'S)</v>
          </cell>
        </row>
        <row r="1669">
          <cell r="A1669">
            <v>189710363</v>
          </cell>
          <cell r="B1669">
            <v>2685</v>
          </cell>
          <cell r="C1669" t="str">
            <v>~Nicotinamide Tabs 100Mg (100'S)</v>
          </cell>
        </row>
        <row r="1670">
          <cell r="A1670">
            <v>180957667</v>
          </cell>
          <cell r="B1670">
            <v>2686</v>
          </cell>
          <cell r="C1670" t="str">
            <v>Capecitabine 150Mg (60'S)</v>
          </cell>
        </row>
        <row r="1671">
          <cell r="A1671">
            <v>189710025</v>
          </cell>
          <cell r="B1671">
            <v>2687</v>
          </cell>
          <cell r="C1671" t="str">
            <v>Clozapine Tabs 100Mg (84'S)</v>
          </cell>
        </row>
        <row r="1672">
          <cell r="A1672" t="str">
            <v>QUOTE</v>
          </cell>
          <cell r="B1672">
            <v>2688</v>
          </cell>
          <cell r="C1672" t="str">
            <v>Admin Set Volumetric Inf Ivac</v>
          </cell>
        </row>
        <row r="1673">
          <cell r="A1673">
            <v>180206550</v>
          </cell>
          <cell r="B1673">
            <v>2689</v>
          </cell>
          <cell r="C1673" t="str">
            <v>~N-Acetylcysteine Granules 200Mg</v>
          </cell>
        </row>
        <row r="1674">
          <cell r="A1674">
            <v>180323313</v>
          </cell>
          <cell r="B1674">
            <v>2690</v>
          </cell>
          <cell r="C1674" t="str">
            <v>Haemosolvate Factor 9 Bypass (500Iu)</v>
          </cell>
        </row>
        <row r="1675">
          <cell r="A1675" t="str">
            <v>MOTIVATION</v>
          </cell>
          <cell r="B1675">
            <v>2691</v>
          </cell>
          <cell r="C1675" t="str">
            <v>~Darbepoetin Alpha 100Ug Prefilled Syringe</v>
          </cell>
        </row>
        <row r="1676">
          <cell r="A1676" t="str">
            <v>QUOTE</v>
          </cell>
          <cell r="B1676">
            <v>2693</v>
          </cell>
          <cell r="C1676" t="str">
            <v>Syringe Disposable Luer Lock  2.5Ml</v>
          </cell>
        </row>
        <row r="1677">
          <cell r="A1677">
            <v>180973876</v>
          </cell>
          <cell r="B1677">
            <v>2694</v>
          </cell>
          <cell r="C1677" t="str">
            <v>Dressing Wound Abs. Non-Adh.&amp; Adh.Border 15X15cm</v>
          </cell>
        </row>
        <row r="1678">
          <cell r="A1678">
            <v>180222634</v>
          </cell>
          <cell r="B1678">
            <v>2630</v>
          </cell>
          <cell r="C1678" t="str">
            <v>Tubing Silicone Id 6.0Mm Od 11.0Mm</v>
          </cell>
        </row>
        <row r="1679">
          <cell r="A1679">
            <v>180057796</v>
          </cell>
          <cell r="B1679">
            <v>2696</v>
          </cell>
          <cell r="C1679" t="str">
            <v>Cath Thoracic With Trocar 12Fg</v>
          </cell>
        </row>
        <row r="1680">
          <cell r="A1680">
            <v>180057797</v>
          </cell>
          <cell r="B1680">
            <v>2697</v>
          </cell>
          <cell r="C1680" t="str">
            <v>Cath Thoracic With Trocar 20Fg</v>
          </cell>
        </row>
        <row r="1681">
          <cell r="A1681">
            <v>180057812</v>
          </cell>
          <cell r="B1681">
            <v>2698</v>
          </cell>
          <cell r="C1681" t="str">
            <v>Cath Thoracic With Trocar 28Fg</v>
          </cell>
        </row>
        <row r="1682">
          <cell r="A1682">
            <v>180057814</v>
          </cell>
          <cell r="B1682">
            <v>2699</v>
          </cell>
          <cell r="C1682" t="str">
            <v>Cath Thoracic With Trocar 32Fg</v>
          </cell>
        </row>
        <row r="1683">
          <cell r="A1683">
            <v>189712502</v>
          </cell>
          <cell r="B1683">
            <v>2700</v>
          </cell>
          <cell r="C1683" t="str">
            <v>Cath Thoracic W/out Trocar 32Fg</v>
          </cell>
        </row>
        <row r="1684">
          <cell r="A1684" t="str">
            <v>QUOTE</v>
          </cell>
          <cell r="B1684">
            <v>2701</v>
          </cell>
          <cell r="C1684" t="str">
            <v>Tube Silicone Drain 15Fr Trocar</v>
          </cell>
        </row>
        <row r="1685">
          <cell r="A1685" t="str">
            <v>QUOTE</v>
          </cell>
          <cell r="B1685">
            <v>2702</v>
          </cell>
          <cell r="C1685" t="str">
            <v>Tube Silicone Drain 10Fr Trocar</v>
          </cell>
        </row>
        <row r="1686">
          <cell r="A1686" t="str">
            <v>QUOTE</v>
          </cell>
          <cell r="B1686">
            <v>2703</v>
          </cell>
          <cell r="C1686" t="str">
            <v>Cath Malecot 2 Wings Size 14</v>
          </cell>
        </row>
        <row r="1687">
          <cell r="A1687" t="str">
            <v>PREPACK DEPT</v>
          </cell>
          <cell r="B1687">
            <v>2704</v>
          </cell>
          <cell r="C1687" t="str">
            <v>Labels Yellow 49Mm X 23Mm (Last Until)</v>
          </cell>
        </row>
        <row r="1688">
          <cell r="A1688" t="str">
            <v>QUOTE</v>
          </cell>
          <cell r="B1688">
            <v>2705</v>
          </cell>
          <cell r="C1688" t="str">
            <v>Labels White 75Mm X 50Mm (1 To View) (Semi Gloss)</v>
          </cell>
        </row>
        <row r="1689">
          <cell r="A1689">
            <v>18</v>
          </cell>
          <cell r="B1689">
            <v>2706</v>
          </cell>
          <cell r="C1689" t="str">
            <v>Closed Suction System 6Fr</v>
          </cell>
        </row>
        <row r="1690">
          <cell r="A1690">
            <v>180136949</v>
          </cell>
          <cell r="B1690">
            <v>2707</v>
          </cell>
          <cell r="C1690" t="str">
            <v>Tube Endotracheal Non Cuff Oral 4.0</v>
          </cell>
        </row>
        <row r="1691">
          <cell r="A1691">
            <v>180018990</v>
          </cell>
          <cell r="B1691">
            <v>2708</v>
          </cell>
          <cell r="C1691" t="str">
            <v>Dextrose5% Sol For Iv Infus 1000Ml Hospital</v>
          </cell>
        </row>
        <row r="1692">
          <cell r="A1692" t="str">
            <v>QUOTE</v>
          </cell>
          <cell r="B1692">
            <v>2709</v>
          </cell>
          <cell r="C1692" t="str">
            <v>Catheter Arterial Seldinger 20Ga X 8Cm</v>
          </cell>
        </row>
        <row r="1693">
          <cell r="A1693">
            <v>180339595</v>
          </cell>
          <cell r="B1693">
            <v>2710</v>
          </cell>
          <cell r="C1693" t="str">
            <v>Phenobarbitone Tabs 30Mg (56'S)</v>
          </cell>
        </row>
        <row r="1694">
          <cell r="A1694">
            <v>181808903</v>
          </cell>
          <cell r="B1694">
            <v>2711</v>
          </cell>
          <cell r="C1694" t="str">
            <v>Glove Exam Synt P/l Free Large</v>
          </cell>
        </row>
        <row r="1695">
          <cell r="A1695">
            <v>189705493</v>
          </cell>
          <cell r="B1695">
            <v>2712</v>
          </cell>
          <cell r="C1695" t="str">
            <v>Tube Duodenal Levin 16Fg</v>
          </cell>
        </row>
        <row r="1696">
          <cell r="A1696">
            <v>180147765</v>
          </cell>
          <cell r="B1696">
            <v>2713</v>
          </cell>
          <cell r="C1696" t="str">
            <v>Resuscitation Set Infant 3.0Mm</v>
          </cell>
        </row>
        <row r="1697">
          <cell r="A1697">
            <v>180179982</v>
          </cell>
          <cell r="B1697">
            <v>2714</v>
          </cell>
          <cell r="C1697" t="str">
            <v>Cath.Ureth.Foley 2Way 14Fg  5Ml Silicone</v>
          </cell>
        </row>
        <row r="1698">
          <cell r="A1698" t="str">
            <v>DELETED</v>
          </cell>
          <cell r="B1698">
            <v>2715</v>
          </cell>
          <cell r="C1698" t="str">
            <v>Labels White 49Mm X 20Mm (2 To View) (Semi Gloss)</v>
          </cell>
        </row>
        <row r="1699">
          <cell r="A1699">
            <v>180339395</v>
          </cell>
          <cell r="B1699">
            <v>2716</v>
          </cell>
          <cell r="C1699" t="str">
            <v>~Ciprofloxacin Tabs 500Mg (1'S)</v>
          </cell>
        </row>
        <row r="1700">
          <cell r="A1700" t="str">
            <v>QUOTE</v>
          </cell>
          <cell r="B1700">
            <v>2717</v>
          </cell>
          <cell r="C1700" t="str">
            <v>Handswitching Pencil And Blate Sterile</v>
          </cell>
        </row>
        <row r="1701">
          <cell r="A1701">
            <v>189701733</v>
          </cell>
          <cell r="B1701">
            <v>2718</v>
          </cell>
          <cell r="C1701" t="str">
            <v>Padding Orthopaedic Natural  200Mm</v>
          </cell>
        </row>
        <row r="1702">
          <cell r="A1702">
            <v>180118058</v>
          </cell>
          <cell r="B1702">
            <v>2719</v>
          </cell>
          <cell r="C1702" t="str">
            <v>Carton Dispensary Medium (Brazier Bin)</v>
          </cell>
        </row>
        <row r="1703">
          <cell r="A1703">
            <v>180118054</v>
          </cell>
          <cell r="B1703">
            <v>2720</v>
          </cell>
          <cell r="C1703" t="str">
            <v>Carton Dispensary Small (Brazier Bin)</v>
          </cell>
        </row>
        <row r="1704">
          <cell r="A1704">
            <v>189716025</v>
          </cell>
          <cell r="B1704">
            <v>2721</v>
          </cell>
          <cell r="C1704" t="str">
            <v>Carton Dispensary Large (Brazier Bin)</v>
          </cell>
        </row>
        <row r="1705">
          <cell r="A1705">
            <v>189705227</v>
          </cell>
          <cell r="B1705">
            <v>2722</v>
          </cell>
          <cell r="C1705" t="str">
            <v>~Cap Theatre Green (Bonnet)</v>
          </cell>
        </row>
        <row r="1706">
          <cell r="A1706">
            <v>180031653</v>
          </cell>
          <cell r="B1706">
            <v>2723</v>
          </cell>
          <cell r="C1706" t="str">
            <v>Enteral Feed Bottle 500Ml</v>
          </cell>
        </row>
        <row r="1707">
          <cell r="A1707">
            <v>180007007</v>
          </cell>
          <cell r="B1707">
            <v>2724</v>
          </cell>
          <cell r="C1707" t="str">
            <v>Enteral Feed Set 15 Drops</v>
          </cell>
        </row>
        <row r="1708">
          <cell r="A1708">
            <v>189712208</v>
          </cell>
          <cell r="B1708">
            <v>2725</v>
          </cell>
          <cell r="C1708" t="str">
            <v>Sut Polyest 2/0 1/2Dp 20Mm Cardio</v>
          </cell>
        </row>
        <row r="1709">
          <cell r="A1709">
            <v>181892378</v>
          </cell>
          <cell r="B1709">
            <v>2727</v>
          </cell>
          <cell r="C1709" t="str">
            <v>Ferrous Sulphate Co Tabs (Ward 100)</v>
          </cell>
        </row>
        <row r="1710">
          <cell r="A1710" t="str">
            <v>QUOTE</v>
          </cell>
          <cell r="B1710">
            <v>2728</v>
          </cell>
          <cell r="C1710" t="str">
            <v>Carton Corrugated Stk 4 Swb (Repacking Unit)</v>
          </cell>
        </row>
        <row r="1711">
          <cell r="A1711" t="str">
            <v>*</v>
          </cell>
          <cell r="B1711">
            <v>2729</v>
          </cell>
          <cell r="C1711" t="str">
            <v>Electrosurgical Loop Electrodes</v>
          </cell>
        </row>
        <row r="1712">
          <cell r="A1712">
            <v>180013911</v>
          </cell>
          <cell r="B1712">
            <v>2730</v>
          </cell>
          <cell r="C1712" t="str">
            <v>~Eye Shield Plastic With Elastic Band</v>
          </cell>
        </row>
        <row r="1713">
          <cell r="A1713">
            <v>11848645</v>
          </cell>
          <cell r="B1713">
            <v>2731</v>
          </cell>
          <cell r="C1713" t="str">
            <v>Bag Rebreathing 0,5L 15Mm Tape/neck</v>
          </cell>
        </row>
        <row r="1714">
          <cell r="A1714">
            <v>181779719</v>
          </cell>
          <cell r="B1714">
            <v>2732</v>
          </cell>
          <cell r="C1714" t="str">
            <v>Flexible Et.Introd.Stylet 7-10Mm</v>
          </cell>
        </row>
        <row r="1715">
          <cell r="A1715">
            <v>180238185</v>
          </cell>
          <cell r="B1715">
            <v>2733</v>
          </cell>
          <cell r="C1715" t="str">
            <v>Tube Endotracheal Non Cuff Nasal 4.0</v>
          </cell>
        </row>
        <row r="1716">
          <cell r="A1716">
            <v>189709047</v>
          </cell>
          <cell r="B1716">
            <v>2734</v>
          </cell>
          <cell r="C1716" t="str">
            <v>Tube Endobroncheal Double Lumen 35Ch Left</v>
          </cell>
        </row>
        <row r="1717">
          <cell r="A1717">
            <v>180384749</v>
          </cell>
          <cell r="B1717">
            <v>2735</v>
          </cell>
          <cell r="C1717" t="str">
            <v>Tube Endo Cuff Dual 9.0 Reinforced</v>
          </cell>
        </row>
        <row r="1718">
          <cell r="A1718">
            <v>189705494</v>
          </cell>
          <cell r="B1718">
            <v>2736</v>
          </cell>
          <cell r="C1718" t="str">
            <v>Tube Duodenal Levin 18Fg</v>
          </cell>
        </row>
        <row r="1719">
          <cell r="A1719">
            <v>180240822</v>
          </cell>
          <cell r="B1719">
            <v>2737</v>
          </cell>
          <cell r="C1719" t="str">
            <v>Tube Endotracheal Cuff Oral  5.5</v>
          </cell>
        </row>
        <row r="1720">
          <cell r="A1720">
            <v>180329820</v>
          </cell>
          <cell r="B1720">
            <v>2738</v>
          </cell>
          <cell r="C1720" t="str">
            <v>Tube Endotracheal Cuff Oral  6.0</v>
          </cell>
        </row>
        <row r="1721">
          <cell r="A1721">
            <v>180238181</v>
          </cell>
          <cell r="B1721">
            <v>2739</v>
          </cell>
          <cell r="C1721" t="str">
            <v>Tube Endotracheal Cuff Oral  7.0</v>
          </cell>
        </row>
        <row r="1722">
          <cell r="A1722">
            <v>180329822</v>
          </cell>
          <cell r="B1722">
            <v>2740</v>
          </cell>
          <cell r="C1722" t="str">
            <v>Tube Endotracheal Cuff Oral  7.5</v>
          </cell>
        </row>
        <row r="1723">
          <cell r="A1723">
            <v>180240824</v>
          </cell>
          <cell r="B1723">
            <v>2741</v>
          </cell>
          <cell r="C1723" t="str">
            <v>Tube Endotracheal Cuff Oral  8.0</v>
          </cell>
        </row>
        <row r="1724">
          <cell r="A1724">
            <v>180240714</v>
          </cell>
          <cell r="B1724">
            <v>2742</v>
          </cell>
          <cell r="C1724" t="str">
            <v>Tube Endotracheal Cuff Oral  8.5</v>
          </cell>
        </row>
        <row r="1725">
          <cell r="A1725">
            <v>180329821</v>
          </cell>
          <cell r="B1725">
            <v>2743</v>
          </cell>
          <cell r="C1725" t="str">
            <v>Tube Endotracheal Cuff Oral  6.5</v>
          </cell>
        </row>
        <row r="1726">
          <cell r="A1726">
            <v>181851266</v>
          </cell>
          <cell r="B1726">
            <v>2744</v>
          </cell>
          <cell r="C1726" t="str">
            <v>Dressing Wound Dispersion 20Cm X 1M Roll</v>
          </cell>
        </row>
        <row r="1727">
          <cell r="A1727">
            <v>181848611</v>
          </cell>
          <cell r="B1727">
            <v>2745</v>
          </cell>
          <cell r="C1727" t="str">
            <v>Filter Breath Viral Adult &amp; Cath 15Mm Id, 22Mm</v>
          </cell>
        </row>
        <row r="1728">
          <cell r="A1728">
            <v>181777612</v>
          </cell>
          <cell r="B1728">
            <v>2746</v>
          </cell>
          <cell r="C1728" t="str">
            <v>Adaptor, Aerosol, T, With Port 22Mm,22f</v>
          </cell>
        </row>
        <row r="1729">
          <cell r="A1729">
            <v>181802353</v>
          </cell>
          <cell r="B1729">
            <v>2747</v>
          </cell>
          <cell r="C1729" t="str">
            <v>Laryngeal Mask Airway Size 005 Autoclavable Silicone</v>
          </cell>
        </row>
        <row r="1730">
          <cell r="A1730">
            <v>180329823</v>
          </cell>
          <cell r="B1730">
            <v>2748</v>
          </cell>
          <cell r="C1730" t="str">
            <v>Tube Endotracheal Cuff Oral  4.0</v>
          </cell>
        </row>
        <row r="1731">
          <cell r="A1731">
            <v>189706155</v>
          </cell>
          <cell r="B1731">
            <v>2749</v>
          </cell>
          <cell r="C1731" t="str">
            <v>Tube Duodenal Ryles 18Fg</v>
          </cell>
        </row>
        <row r="1732">
          <cell r="A1732">
            <v>180208573</v>
          </cell>
          <cell r="B1732">
            <v>2750</v>
          </cell>
          <cell r="C1732" t="str">
            <v>Topiramate Tabs 100Mg (60'S)</v>
          </cell>
        </row>
        <row r="1733">
          <cell r="A1733" t="str">
            <v>QUOTE</v>
          </cell>
          <cell r="B1733">
            <v>2751</v>
          </cell>
          <cell r="C1733" t="str">
            <v>Mask Oxygen T-Tube Trach.28% Adult</v>
          </cell>
        </row>
        <row r="1734">
          <cell r="A1734" t="str">
            <v>QUOTE</v>
          </cell>
          <cell r="B1734">
            <v>2752</v>
          </cell>
          <cell r="C1734" t="str">
            <v>Mask Oxygen T-Tube Trach.35% Adult</v>
          </cell>
        </row>
        <row r="1735">
          <cell r="A1735" t="str">
            <v>QUOTE</v>
          </cell>
          <cell r="B1735">
            <v>2753</v>
          </cell>
          <cell r="C1735" t="str">
            <v>Mask Oxygen T-Tube Trach.40% Adult</v>
          </cell>
        </row>
        <row r="1736">
          <cell r="A1736" t="str">
            <v>QUOTE</v>
          </cell>
          <cell r="B1736">
            <v>2754</v>
          </cell>
          <cell r="C1736" t="str">
            <v>Mask Oxygen T-Tube Trach.24% Adult</v>
          </cell>
        </row>
        <row r="1737">
          <cell r="A1737">
            <v>180959231</v>
          </cell>
          <cell r="B1737">
            <v>2755</v>
          </cell>
          <cell r="C1737" t="str">
            <v>Methylprednisolone Fatty Oint  20G</v>
          </cell>
        </row>
        <row r="1738">
          <cell r="A1738">
            <v>189714812</v>
          </cell>
          <cell r="B1738">
            <v>2756</v>
          </cell>
          <cell r="C1738" t="str">
            <v>~Test Strip Litmus Paper Blue</v>
          </cell>
        </row>
        <row r="1739">
          <cell r="A1739">
            <v>180242421</v>
          </cell>
          <cell r="B1739">
            <v>2757</v>
          </cell>
          <cell r="C1739" t="str">
            <v>`Test Strip Litmus Paper Red</v>
          </cell>
        </row>
        <row r="1740">
          <cell r="A1740">
            <v>181777616</v>
          </cell>
          <cell r="B1740">
            <v>2758</v>
          </cell>
          <cell r="C1740" t="str">
            <v>Tube Endobroncheal Double Lumen 28Ch Left</v>
          </cell>
        </row>
        <row r="1741">
          <cell r="A1741" t="str">
            <v>QUOTE STOMA</v>
          </cell>
          <cell r="B1741">
            <v>2759</v>
          </cell>
          <cell r="C1741" t="str">
            <v>Belt Stoma Children Adjustable</v>
          </cell>
        </row>
        <row r="1742">
          <cell r="A1742">
            <v>189714350</v>
          </cell>
          <cell r="B1742">
            <v>2760</v>
          </cell>
          <cell r="C1742" t="str">
            <v>~Minoxidil Tabs 5Mg (100'S)</v>
          </cell>
        </row>
        <row r="1743">
          <cell r="A1743">
            <v>180120095</v>
          </cell>
          <cell r="B1743">
            <v>2761</v>
          </cell>
          <cell r="C1743" t="str">
            <v>Measure Medicine Tumbler 5-50Ml</v>
          </cell>
        </row>
        <row r="1744">
          <cell r="A1744" t="str">
            <v>QUOTE</v>
          </cell>
          <cell r="B1744">
            <v>2762</v>
          </cell>
          <cell r="C1744" t="str">
            <v>Tube Endo Microlaryngeal 4Mm Dual</v>
          </cell>
        </row>
        <row r="1745">
          <cell r="A1745" t="str">
            <v>QUOTE</v>
          </cell>
          <cell r="B1745">
            <v>2763</v>
          </cell>
          <cell r="C1745" t="str">
            <v>Tube Endo Microlaryngeal 5Mm Dual</v>
          </cell>
        </row>
        <row r="1746">
          <cell r="A1746">
            <v>180054282</v>
          </cell>
          <cell r="B1746">
            <v>2764</v>
          </cell>
          <cell r="C1746" t="str">
            <v>Skingraft Blades (158X18.5X0.25Mm)</v>
          </cell>
        </row>
        <row r="1747">
          <cell r="A1747">
            <v>189706080</v>
          </cell>
          <cell r="B1747">
            <v>2765</v>
          </cell>
          <cell r="C1747" t="str">
            <v>Sheath Incontinence 30-Medium Latex</v>
          </cell>
        </row>
        <row r="1748">
          <cell r="A1748">
            <v>189711804</v>
          </cell>
          <cell r="B1748">
            <v>2766</v>
          </cell>
          <cell r="C1748" t="str">
            <v>Phenytoin Caps/tabs 100Mg (84'S)</v>
          </cell>
        </row>
        <row r="1749">
          <cell r="A1749">
            <v>180229093</v>
          </cell>
          <cell r="B1749">
            <v>2767</v>
          </cell>
          <cell r="C1749" t="str">
            <v>Container Ointment S/cap 100G</v>
          </cell>
        </row>
        <row r="1750">
          <cell r="A1750">
            <v>189758109</v>
          </cell>
          <cell r="B1750">
            <v>2768</v>
          </cell>
          <cell r="C1750" t="str">
            <v>~Spigot Plastic Autocl Tapered 10.2Mm To 3.5Mm</v>
          </cell>
        </row>
        <row r="1751">
          <cell r="A1751">
            <v>180166912</v>
          </cell>
          <cell r="B1751">
            <v>2769</v>
          </cell>
          <cell r="C1751" t="str">
            <v>Cytarabine Inj 500Mg</v>
          </cell>
        </row>
        <row r="1752">
          <cell r="A1752">
            <v>181902529</v>
          </cell>
          <cell r="B1752">
            <v>2770</v>
          </cell>
          <cell r="C1752" t="str">
            <v>Subdermal Implants Levonorgestrel 75Mg 2 Implants</v>
          </cell>
        </row>
        <row r="1753">
          <cell r="A1753">
            <v>189711112</v>
          </cell>
          <cell r="B1753">
            <v>2771</v>
          </cell>
          <cell r="C1753" t="str">
            <v>Daunorubicin Inj 20Mg</v>
          </cell>
        </row>
        <row r="1754">
          <cell r="A1754">
            <v>189711605</v>
          </cell>
          <cell r="B1754">
            <v>2772</v>
          </cell>
          <cell r="C1754" t="str">
            <v>~Amoxycillin 125Mg/5ml Susp 75Ml</v>
          </cell>
        </row>
        <row r="1755">
          <cell r="A1755">
            <v>181907965</v>
          </cell>
          <cell r="B1755">
            <v>2773</v>
          </cell>
          <cell r="C1755" t="str">
            <v>Drainage Kit Suprapubic 12F</v>
          </cell>
        </row>
        <row r="1756">
          <cell r="A1756">
            <v>189712802</v>
          </cell>
          <cell r="B1756">
            <v>2774</v>
          </cell>
          <cell r="C1756" t="str">
            <v>Pouch Ostomy Two Piece 45Mm Opaque Drainable</v>
          </cell>
        </row>
        <row r="1757">
          <cell r="A1757">
            <v>181932197</v>
          </cell>
          <cell r="B1757">
            <v>2775</v>
          </cell>
          <cell r="C1757" t="str">
            <v>Syringe Disposable Tuberculin 1.0Ml</v>
          </cell>
        </row>
        <row r="1758">
          <cell r="A1758">
            <v>181798136</v>
          </cell>
          <cell r="B1758">
            <v>2776</v>
          </cell>
          <cell r="C1758" t="str">
            <v>Citalopram Tabs 20Mg (28/30'S)</v>
          </cell>
        </row>
        <row r="1759">
          <cell r="A1759">
            <v>180188832</v>
          </cell>
          <cell r="B1759">
            <v>2777</v>
          </cell>
          <cell r="C1759" t="str">
            <v>Gemcitabine 1G Powder For Inj</v>
          </cell>
        </row>
        <row r="1760">
          <cell r="A1760">
            <v>180296022</v>
          </cell>
          <cell r="B1760">
            <v>2778</v>
          </cell>
          <cell r="C1760" t="str">
            <v>Desmopressin Nasal Spray 100Mcg/ml (5Ml)</v>
          </cell>
        </row>
        <row r="1761">
          <cell r="A1761">
            <v>189742259</v>
          </cell>
          <cell r="B1761">
            <v>2779</v>
          </cell>
          <cell r="C1761" t="str">
            <v>Linen Savers 510Mmx650mm</v>
          </cell>
        </row>
        <row r="1762">
          <cell r="A1762">
            <v>181907966</v>
          </cell>
          <cell r="B1762">
            <v>2780</v>
          </cell>
          <cell r="C1762" t="str">
            <v>Drainage Kit Suprapubic 14F</v>
          </cell>
        </row>
        <row r="1763">
          <cell r="A1763">
            <v>181936075</v>
          </cell>
          <cell r="B1763">
            <v>2781</v>
          </cell>
          <cell r="C1763" t="str">
            <v>Amlodipine Tabs 5Mg (28'S)</v>
          </cell>
        </row>
        <row r="1764">
          <cell r="A1764">
            <v>180240860</v>
          </cell>
          <cell r="B1764">
            <v>3942</v>
          </cell>
          <cell r="C1764" t="str">
            <v>Tube Endotracheal Non Cuff Nasal 3.0</v>
          </cell>
        </row>
        <row r="1765">
          <cell r="A1765">
            <v>180190323</v>
          </cell>
          <cell r="B1765">
            <v>2783</v>
          </cell>
          <cell r="C1765" t="str">
            <v>Sevoflurane B.P 250Ml</v>
          </cell>
        </row>
        <row r="1766">
          <cell r="A1766">
            <v>181811056</v>
          </cell>
          <cell r="B1766">
            <v>2784</v>
          </cell>
          <cell r="C1766" t="str">
            <v>Tpn 8804A (8004A)</v>
          </cell>
        </row>
        <row r="1767">
          <cell r="A1767" t="str">
            <v>QUOTE</v>
          </cell>
          <cell r="B1767">
            <v>2785</v>
          </cell>
          <cell r="C1767" t="str">
            <v>Punch Biopsy 6Mm</v>
          </cell>
        </row>
        <row r="1768">
          <cell r="A1768">
            <v>180973884</v>
          </cell>
          <cell r="B1768">
            <v>2786</v>
          </cell>
          <cell r="C1768" t="str">
            <v>Dressing Wound Abs. Non-Adh. 17.5X17.5Cm</v>
          </cell>
        </row>
        <row r="1769">
          <cell r="A1769" t="str">
            <v>QUOTE</v>
          </cell>
          <cell r="B1769">
            <v>2787</v>
          </cell>
          <cell r="C1769" t="str">
            <v>Cath Malecot 2 Wings Size 16</v>
          </cell>
        </row>
        <row r="1770">
          <cell r="A1770">
            <v>189712489</v>
          </cell>
          <cell r="B1770">
            <v>2788</v>
          </cell>
          <cell r="C1770" t="str">
            <v>Cath Thoracic With Trocar 16Fg</v>
          </cell>
        </row>
        <row r="1771">
          <cell r="A1771">
            <v>181747103</v>
          </cell>
          <cell r="B1771">
            <v>2789</v>
          </cell>
          <cell r="C1771" t="str">
            <v>Filgastrim 300Mcg, 0,5Ml Prefilled</v>
          </cell>
        </row>
        <row r="1772">
          <cell r="A1772" t="str">
            <v>SECTION 21</v>
          </cell>
          <cell r="B1772">
            <v>2790</v>
          </cell>
          <cell r="C1772" t="str">
            <v>Primaquine Tabs 15Mg</v>
          </cell>
        </row>
        <row r="1773">
          <cell r="A1773" t="str">
            <v>QUOTE</v>
          </cell>
          <cell r="B1773">
            <v>2791</v>
          </cell>
          <cell r="C1773" t="str">
            <v>Adrenocorticotrophic Hormone 40Iu/ml Vial</v>
          </cell>
        </row>
        <row r="1774">
          <cell r="A1774">
            <v>181800243</v>
          </cell>
          <cell r="B1774">
            <v>2792</v>
          </cell>
          <cell r="C1774" t="str">
            <v>Set Pressure Monitoring Arterial With Flush Device</v>
          </cell>
        </row>
        <row r="1775">
          <cell r="A1775">
            <v>189701779</v>
          </cell>
          <cell r="B1775">
            <v>2793</v>
          </cell>
          <cell r="C1775" t="str">
            <v>Dressing Standard First Aid  50Mmx1m</v>
          </cell>
        </row>
        <row r="1776">
          <cell r="A1776">
            <v>180295179</v>
          </cell>
          <cell r="B1776">
            <v>2794</v>
          </cell>
          <cell r="C1776" t="str">
            <v>~Paper Sterilization Green 100X140cm</v>
          </cell>
        </row>
        <row r="1777">
          <cell r="A1777">
            <v>189705228</v>
          </cell>
          <cell r="B1777">
            <v>2795</v>
          </cell>
          <cell r="C1777" t="str">
            <v>Overshoes Single Use All Sizes</v>
          </cell>
        </row>
        <row r="1778">
          <cell r="A1778">
            <v>180329827</v>
          </cell>
          <cell r="B1778">
            <v>2796</v>
          </cell>
          <cell r="C1778" t="str">
            <v>Tube Endotracheal Cuff Nasal 6.5</v>
          </cell>
        </row>
        <row r="1779">
          <cell r="A1779" t="str">
            <v>QUOTE STOMA</v>
          </cell>
          <cell r="B1779">
            <v>2797</v>
          </cell>
          <cell r="C1779" t="str">
            <v>~Flange 70Mm Combihesive</v>
          </cell>
        </row>
        <row r="1780">
          <cell r="A1780">
            <v>189712803</v>
          </cell>
          <cell r="B1780">
            <v>2798</v>
          </cell>
          <cell r="C1780" t="str">
            <v>Pouch Ostomy  57Mm Opaque 3813J</v>
          </cell>
        </row>
        <row r="1781">
          <cell r="A1781">
            <v>180254416</v>
          </cell>
          <cell r="B1781">
            <v>2799</v>
          </cell>
          <cell r="C1781" t="str">
            <v>Carvedilol 6.25Mg Scored Tabs (30'S)</v>
          </cell>
        </row>
        <row r="1782">
          <cell r="A1782">
            <v>180229538</v>
          </cell>
          <cell r="B1782">
            <v>2800</v>
          </cell>
          <cell r="C1782" t="str">
            <v>Sut Chromic 1 1/2Tp 48Mm</v>
          </cell>
        </row>
        <row r="1783">
          <cell r="A1783" t="str">
            <v>QUOTE</v>
          </cell>
          <cell r="B1783">
            <v>2801</v>
          </cell>
          <cell r="C1783" t="str">
            <v>Band Circling 240 Style 2.5 Eye Specialist</v>
          </cell>
        </row>
        <row r="1784">
          <cell r="A1784" t="str">
            <v>3027310 DEL</v>
          </cell>
          <cell r="B1784">
            <v>2802</v>
          </cell>
          <cell r="C1784" t="str">
            <v>~Surgical Steel 4 Heavy Rc 48Mm 12  (2420-09)</v>
          </cell>
        </row>
        <row r="1785">
          <cell r="A1785" t="str">
            <v>PREPACK  50</v>
          </cell>
          <cell r="B1785">
            <v>2803</v>
          </cell>
          <cell r="C1785" t="str">
            <v>~Praziquantel Tabs 500Mg (Ward 50)</v>
          </cell>
        </row>
        <row r="1786">
          <cell r="A1786">
            <v>180320714</v>
          </cell>
          <cell r="B1786">
            <v>2804</v>
          </cell>
          <cell r="C1786" t="str">
            <v>Ligaclips Ligation Medium</v>
          </cell>
        </row>
        <row r="1787">
          <cell r="A1787">
            <v>180048823</v>
          </cell>
          <cell r="B1787">
            <v>2805</v>
          </cell>
          <cell r="C1787" t="str">
            <v>~Ligaclips Ligatation Medium/large</v>
          </cell>
        </row>
        <row r="1788">
          <cell r="A1788" t="str">
            <v>QUOTE</v>
          </cell>
          <cell r="B1788">
            <v>2806</v>
          </cell>
          <cell r="C1788" t="str">
            <v>Sleeve Silicone 270 Style 1.65 Eye Specialist</v>
          </cell>
        </row>
        <row r="1789">
          <cell r="A1789" t="str">
            <v>QUOTE</v>
          </cell>
          <cell r="B1789">
            <v>2807</v>
          </cell>
          <cell r="C1789" t="str">
            <v>Tire Silicone 277 Style 7X32mm</v>
          </cell>
        </row>
        <row r="1790">
          <cell r="A1790">
            <v>181808985</v>
          </cell>
          <cell r="B1790">
            <v>2808</v>
          </cell>
          <cell r="C1790" t="str">
            <v>Somatropin 15 Inj</v>
          </cell>
        </row>
        <row r="1791">
          <cell r="A1791" t="str">
            <v>3024800 DEL</v>
          </cell>
          <cell r="B1791">
            <v>2809</v>
          </cell>
          <cell r="C1791" t="str">
            <v>~Sut Silk 8/0 1/2Rc 8Mm Blue</v>
          </cell>
        </row>
        <row r="1792">
          <cell r="A1792">
            <v>180214054</v>
          </cell>
          <cell r="B1792">
            <v>2810</v>
          </cell>
          <cell r="C1792" t="str">
            <v>Oestradiol Transdermal B 25Ug(1.6Mg)</v>
          </cell>
        </row>
        <row r="1793">
          <cell r="A1793">
            <v>180966087</v>
          </cell>
          <cell r="B1793">
            <v>2811</v>
          </cell>
          <cell r="C1793" t="str">
            <v>~Rif  60 Inh 30 Pza 150 Sachet (56'S)</v>
          </cell>
        </row>
        <row r="1794">
          <cell r="A1794">
            <v>180320699</v>
          </cell>
          <cell r="B1794">
            <v>2812</v>
          </cell>
          <cell r="C1794" t="str">
            <v>Sut Silk 3/0 3/8Rc 19Mm</v>
          </cell>
        </row>
        <row r="1795">
          <cell r="A1795">
            <v>180144073</v>
          </cell>
          <cell r="B1795">
            <v>2813</v>
          </cell>
          <cell r="C1795" t="str">
            <v>Botulinum Toxin Type A (I M Use)</v>
          </cell>
        </row>
        <row r="1796">
          <cell r="A1796">
            <v>189707139</v>
          </cell>
          <cell r="B1796">
            <v>2814</v>
          </cell>
          <cell r="C1796" t="str">
            <v>Stitch Cutter Long</v>
          </cell>
        </row>
        <row r="1797">
          <cell r="A1797" t="str">
            <v>QUOTE</v>
          </cell>
          <cell r="B1797">
            <v>2815</v>
          </cell>
          <cell r="C1797" t="str">
            <v>Tube Endo Microlaryngeal 6Mm Dual</v>
          </cell>
        </row>
        <row r="1798">
          <cell r="A1798" t="str">
            <v>RT  13 031</v>
          </cell>
          <cell r="B1798">
            <v>2816</v>
          </cell>
          <cell r="C1798" t="str">
            <v>Connector Swivel Male &amp; Female 15Mm</v>
          </cell>
        </row>
        <row r="1799">
          <cell r="A1799">
            <v>181813595</v>
          </cell>
          <cell r="B1799">
            <v>2817</v>
          </cell>
          <cell r="C1799" t="str">
            <v>Pemetrexed Disodium 500Mg Powder For Solution Vial</v>
          </cell>
        </row>
        <row r="1800">
          <cell r="A1800" t="str">
            <v>QUOTE STOMA</v>
          </cell>
          <cell r="B1800">
            <v>2818</v>
          </cell>
          <cell r="C1800" t="str">
            <v>Adaptor For Pouch Night Drain</v>
          </cell>
        </row>
        <row r="1801">
          <cell r="A1801">
            <v>189761385</v>
          </cell>
          <cell r="B1801">
            <v>2819</v>
          </cell>
          <cell r="C1801" t="str">
            <v>Hydroxyurea Caps 500Mg (100'S)</v>
          </cell>
        </row>
        <row r="1802">
          <cell r="A1802" t="str">
            <v>QUOTE</v>
          </cell>
          <cell r="B1802">
            <v>2820</v>
          </cell>
          <cell r="C1802" t="str">
            <v>Dialysis G.F.E 11</v>
          </cell>
        </row>
        <row r="1803">
          <cell r="A1803" t="str">
            <v>QUOTE</v>
          </cell>
          <cell r="B1803">
            <v>2821</v>
          </cell>
          <cell r="C1803" t="str">
            <v>Dialysis G.F.E  9</v>
          </cell>
        </row>
        <row r="1804">
          <cell r="A1804" t="str">
            <v>QUOTE 14075</v>
          </cell>
          <cell r="B1804">
            <v>2822</v>
          </cell>
          <cell r="C1804" t="str">
            <v>Fistula &amp; Wound Management System</v>
          </cell>
        </row>
        <row r="1805">
          <cell r="A1805">
            <v>189702735</v>
          </cell>
          <cell r="B1805">
            <v>3943</v>
          </cell>
          <cell r="C1805" t="str">
            <v>Capreomycin 1G Injection</v>
          </cell>
        </row>
        <row r="1806">
          <cell r="A1806" t="str">
            <v>QUOTE STOMA</v>
          </cell>
          <cell r="B1806">
            <v>2824</v>
          </cell>
          <cell r="C1806" t="str">
            <v>Pouch Ostomy 102Mm Transparent Sterile</v>
          </cell>
        </row>
        <row r="1807">
          <cell r="A1807" t="str">
            <v>QUOTE 14065</v>
          </cell>
          <cell r="B1807">
            <v>2825</v>
          </cell>
          <cell r="C1807" t="str">
            <v>Fistula And System Management Midi</v>
          </cell>
        </row>
        <row r="1808">
          <cell r="A1808">
            <v>181790514</v>
          </cell>
          <cell r="B1808">
            <v>2826</v>
          </cell>
          <cell r="C1808" t="str">
            <v>Tpn 8003A</v>
          </cell>
        </row>
        <row r="1809">
          <cell r="A1809">
            <v>189706340</v>
          </cell>
          <cell r="B1809">
            <v>2827</v>
          </cell>
          <cell r="C1809" t="str">
            <v>Amoxycillin 250Mg/5ml Susp 100Ml</v>
          </cell>
        </row>
        <row r="1810">
          <cell r="A1810">
            <v>189712510</v>
          </cell>
          <cell r="B1810">
            <v>2828</v>
          </cell>
          <cell r="C1810" t="str">
            <v>Cath Thoracic W/out Trocar 24Fg</v>
          </cell>
        </row>
        <row r="1811">
          <cell r="A1811">
            <v>180056681</v>
          </cell>
          <cell r="B1811">
            <v>2829</v>
          </cell>
          <cell r="C1811" t="str">
            <v>Cath Suction Respiratory  5Fg (Control Airport) 350Mm</v>
          </cell>
        </row>
        <row r="1812">
          <cell r="A1812" t="str">
            <v>DELETED</v>
          </cell>
          <cell r="B1812">
            <v>2830</v>
          </cell>
          <cell r="C1812" t="str">
            <v>~Sut Synthabs 1 1/2Rc 48Mm 90Cm</v>
          </cell>
        </row>
        <row r="1813">
          <cell r="A1813">
            <v>189707813</v>
          </cell>
          <cell r="B1813">
            <v>2831</v>
          </cell>
          <cell r="C1813" t="str">
            <v>Sut Nylon 1 3/8Cc 90Mm 2X75mm With Vinyl Tubing</v>
          </cell>
        </row>
        <row r="1814">
          <cell r="A1814" t="str">
            <v>QUOTE</v>
          </cell>
          <cell r="B1814">
            <v>2832</v>
          </cell>
          <cell r="C1814" t="str">
            <v>Sut Ethicon 5.0 11Mm 3/8</v>
          </cell>
        </row>
        <row r="1815">
          <cell r="A1815" t="str">
            <v>QUOTE</v>
          </cell>
          <cell r="B1815">
            <v>2833</v>
          </cell>
          <cell r="C1815" t="str">
            <v>Sut Synthabs 3.0 Vicryl</v>
          </cell>
        </row>
        <row r="1816">
          <cell r="A1816">
            <v>180350719</v>
          </cell>
          <cell r="B1816">
            <v>2834</v>
          </cell>
          <cell r="C1816" t="str">
            <v>Cycloserine Caps 250Mg (100'S)</v>
          </cell>
        </row>
        <row r="1817">
          <cell r="A1817">
            <v>180330424</v>
          </cell>
          <cell r="B1817">
            <v>2835</v>
          </cell>
          <cell r="C1817" t="str">
            <v>~Sut 6/0 3/8Rc 11Mm  Monofilament</v>
          </cell>
        </row>
        <row r="1818">
          <cell r="A1818" t="str">
            <v>QUOTE</v>
          </cell>
          <cell r="B1818">
            <v>2836</v>
          </cell>
          <cell r="C1818" t="str">
            <v>Suction Reservoir 450Ml</v>
          </cell>
        </row>
        <row r="1819">
          <cell r="A1819">
            <v>180157321</v>
          </cell>
          <cell r="B1819">
            <v>2837</v>
          </cell>
          <cell r="C1819" t="str">
            <v>Clarithromycin Inj 500Mg</v>
          </cell>
        </row>
        <row r="1820">
          <cell r="A1820">
            <v>181776079</v>
          </cell>
          <cell r="B1820">
            <v>2838</v>
          </cell>
          <cell r="C1820" t="str">
            <v>Catheter Mount 90Mm Right Angled Swived</v>
          </cell>
        </row>
        <row r="1821">
          <cell r="A1821">
            <v>180132386</v>
          </cell>
          <cell r="B1821">
            <v>2839</v>
          </cell>
          <cell r="C1821" t="str">
            <v>Pantoprazole Sodium 40Mg Tablets</v>
          </cell>
        </row>
        <row r="1822">
          <cell r="A1822">
            <v>189704603</v>
          </cell>
          <cell r="B1822">
            <v>2840</v>
          </cell>
          <cell r="C1822" t="str">
            <v>~Tape Surgical Synthetic  25Mm</v>
          </cell>
        </row>
        <row r="1823">
          <cell r="A1823">
            <v>189704605</v>
          </cell>
          <cell r="B1823">
            <v>2841</v>
          </cell>
          <cell r="C1823" t="str">
            <v>Tape Surgical Adhesive Synthetic Film 75Mm X5m</v>
          </cell>
        </row>
        <row r="1824">
          <cell r="A1824">
            <v>189704606</v>
          </cell>
          <cell r="B1824">
            <v>2842</v>
          </cell>
          <cell r="C1824" t="str">
            <v>~Tape Surgical Synthetic 100Mm</v>
          </cell>
        </row>
        <row r="1825">
          <cell r="A1825">
            <v>181906552</v>
          </cell>
          <cell r="B1825">
            <v>2843</v>
          </cell>
          <cell r="C1825" t="str">
            <v>Glove Exam Obs &amp; Gynae Small</v>
          </cell>
        </row>
        <row r="1826">
          <cell r="A1826">
            <v>181906553</v>
          </cell>
          <cell r="B1826">
            <v>2844</v>
          </cell>
          <cell r="C1826" t="str">
            <v>Glove Exam Obs &amp; Gynae Medium</v>
          </cell>
        </row>
        <row r="1827">
          <cell r="A1827">
            <v>181906554</v>
          </cell>
          <cell r="B1827">
            <v>2845</v>
          </cell>
          <cell r="C1827" t="str">
            <v>Glove Exam Obs &amp; Gynae Large</v>
          </cell>
        </row>
        <row r="1828">
          <cell r="A1828" t="str">
            <v>MOTIVATION</v>
          </cell>
          <cell r="B1828">
            <v>2846</v>
          </cell>
          <cell r="C1828" t="str">
            <v>Pov-Iodine Non-Adherent Dressing 50Mmx50mm</v>
          </cell>
        </row>
        <row r="1829">
          <cell r="A1829" t="str">
            <v>MOTIVATION</v>
          </cell>
          <cell r="B1829">
            <v>2847</v>
          </cell>
          <cell r="C1829" t="str">
            <v>Pov-Iodine Non-Adherent Dressing 95Mmx 95 Mm</v>
          </cell>
        </row>
        <row r="1830">
          <cell r="A1830" t="str">
            <v>QUOTE</v>
          </cell>
          <cell r="B1830">
            <v>2848</v>
          </cell>
          <cell r="C1830" t="str">
            <v>Loop Electrode 15 X 10Mm</v>
          </cell>
        </row>
        <row r="1831">
          <cell r="A1831">
            <v>180295040</v>
          </cell>
          <cell r="B1831">
            <v>2849</v>
          </cell>
          <cell r="C1831" t="str">
            <v>Vial Tablet Amber 100Ml</v>
          </cell>
        </row>
        <row r="1832">
          <cell r="A1832">
            <v>180158734</v>
          </cell>
          <cell r="B1832">
            <v>2850</v>
          </cell>
          <cell r="C1832" t="str">
            <v>Bag Sterilization  No  1</v>
          </cell>
        </row>
        <row r="1833">
          <cell r="A1833" t="str">
            <v>DELETED</v>
          </cell>
          <cell r="B1833">
            <v>2851</v>
          </cell>
          <cell r="C1833" t="str">
            <v>~Mask Anaesthetic Black 22Mm Sz 5</v>
          </cell>
        </row>
        <row r="1834">
          <cell r="A1834">
            <v>180156448</v>
          </cell>
          <cell r="B1834">
            <v>2852</v>
          </cell>
          <cell r="C1834" t="str">
            <v>Ganciclovir Inj 500Mg</v>
          </cell>
        </row>
        <row r="1835">
          <cell r="A1835" t="str">
            <v>QUOTE</v>
          </cell>
          <cell r="B1835">
            <v>2853</v>
          </cell>
          <cell r="C1835" t="str">
            <v>Tube Tracheostomy Non Cuff  3.0</v>
          </cell>
        </row>
        <row r="1836">
          <cell r="A1836">
            <v>180108134</v>
          </cell>
          <cell r="B1836">
            <v>2854</v>
          </cell>
          <cell r="C1836" t="str">
            <v>Lamotrigine Tabs  25Mg (60'S-Dispersible)</v>
          </cell>
        </row>
        <row r="1837">
          <cell r="A1837">
            <v>180183286</v>
          </cell>
          <cell r="B1837">
            <v>2855</v>
          </cell>
          <cell r="C1837" t="str">
            <v>Lamotrigine Tabs   5Mg (100'S-Dispersible)</v>
          </cell>
        </row>
        <row r="1838">
          <cell r="A1838" t="str">
            <v>QUOTE</v>
          </cell>
          <cell r="B1838">
            <v>2856</v>
          </cell>
          <cell r="C1838" t="str">
            <v>Sut Synthabs 2/0 1/2Tp 22Mm</v>
          </cell>
        </row>
        <row r="1839">
          <cell r="A1839">
            <v>180329942</v>
          </cell>
          <cell r="B1839">
            <v>2857</v>
          </cell>
          <cell r="C1839" t="str">
            <v>Sut Synthabs 1 1/2Tp 40Mm</v>
          </cell>
        </row>
        <row r="1840">
          <cell r="A1840" t="str">
            <v>QUOTE</v>
          </cell>
          <cell r="B1840">
            <v>2858</v>
          </cell>
          <cell r="C1840" t="str">
            <v>Sut Synthabs 1 1/2Tp 45Mm</v>
          </cell>
        </row>
        <row r="1841">
          <cell r="A1841">
            <v>180229111</v>
          </cell>
          <cell r="B1841">
            <v>2859</v>
          </cell>
          <cell r="C1841" t="str">
            <v>Glove Surgical Low Allergy Size 8.0</v>
          </cell>
        </row>
        <row r="1842">
          <cell r="A1842" t="str">
            <v>QUOTE EYE</v>
          </cell>
          <cell r="B1842">
            <v>2860</v>
          </cell>
          <cell r="C1842" t="str">
            <v>Tubing Silicone Id 0.3Mm Od 0.64Mm</v>
          </cell>
        </row>
        <row r="1843">
          <cell r="A1843">
            <v>180352435</v>
          </cell>
          <cell r="B1843">
            <v>2861</v>
          </cell>
          <cell r="C1843" t="str">
            <v>Cannula Nasal Infant #1 Low Flow Oxygen</v>
          </cell>
        </row>
        <row r="1844">
          <cell r="A1844" t="str">
            <v>QUOTE</v>
          </cell>
          <cell r="B1844">
            <v>2862</v>
          </cell>
          <cell r="C1844" t="str">
            <v>~Hydrocortisone Susp 10Mg/5ml</v>
          </cell>
        </row>
        <row r="1845">
          <cell r="A1845">
            <v>180153248</v>
          </cell>
          <cell r="B1845">
            <v>2863</v>
          </cell>
          <cell r="C1845" t="str">
            <v>Syringe Disposable Insulin 0.5Ml</v>
          </cell>
        </row>
        <row r="1846">
          <cell r="A1846">
            <v>180228896</v>
          </cell>
          <cell r="B1846">
            <v>2864</v>
          </cell>
          <cell r="C1846" t="str">
            <v>Sodium Carboxymethyl Cellulose 25G</v>
          </cell>
        </row>
        <row r="1847">
          <cell r="A1847">
            <v>189700483</v>
          </cell>
          <cell r="B1847">
            <v>2935</v>
          </cell>
          <cell r="C1847" t="str">
            <v>Vitamin Multiple Drops</v>
          </cell>
        </row>
        <row r="1848">
          <cell r="A1848" t="str">
            <v>QUOTE</v>
          </cell>
          <cell r="B1848">
            <v>2907</v>
          </cell>
          <cell r="C1848" t="str">
            <v>Silicone Pessary Ring Size 3</v>
          </cell>
        </row>
        <row r="1849">
          <cell r="A1849">
            <v>181843154</v>
          </cell>
          <cell r="B1849">
            <v>2865</v>
          </cell>
          <cell r="C1849" t="str">
            <v>Pouch Ostomy One Piece 20-60Mm Opague Drainable</v>
          </cell>
        </row>
        <row r="1850">
          <cell r="A1850" t="str">
            <v>QUOTE</v>
          </cell>
          <cell r="B1850">
            <v>2866</v>
          </cell>
          <cell r="C1850" t="str">
            <v>Nalbuphine Inj 20Mg/2ml</v>
          </cell>
        </row>
        <row r="1851">
          <cell r="A1851">
            <v>189704685</v>
          </cell>
          <cell r="B1851">
            <v>2867</v>
          </cell>
          <cell r="C1851" t="str">
            <v>Amoxycillin 125Mg/5ml Susp 100Ml</v>
          </cell>
        </row>
        <row r="1852">
          <cell r="A1852" t="str">
            <v>PREPACK  56</v>
          </cell>
          <cell r="B1852">
            <v>2868</v>
          </cell>
          <cell r="C1852" t="str">
            <v>~Phenytoin Caps 100Mg (56'S)</v>
          </cell>
        </row>
        <row r="1853">
          <cell r="A1853">
            <v>181932141</v>
          </cell>
          <cell r="B1853">
            <v>2869</v>
          </cell>
          <cell r="C1853" t="str">
            <v>Cath.Ureth.Nelaton 14Fg 400Mm Pvc 2 Eye</v>
          </cell>
        </row>
        <row r="1854">
          <cell r="A1854">
            <v>180968975</v>
          </cell>
          <cell r="B1854">
            <v>2870</v>
          </cell>
          <cell r="C1854" t="str">
            <v>Risperidone Oral Solution  30Ml</v>
          </cell>
        </row>
        <row r="1855">
          <cell r="A1855" t="str">
            <v>QUOTE</v>
          </cell>
          <cell r="B1855">
            <v>2871</v>
          </cell>
          <cell r="C1855" t="str">
            <v>~Copper Sulphate 500G</v>
          </cell>
        </row>
        <row r="1856">
          <cell r="A1856">
            <v>189703226</v>
          </cell>
          <cell r="B1856">
            <v>2872</v>
          </cell>
          <cell r="C1856" t="str">
            <v>Sut Nylon 4/0 3/8Cc 20Mm</v>
          </cell>
        </row>
        <row r="1857">
          <cell r="A1857">
            <v>189704897</v>
          </cell>
          <cell r="B1857">
            <v>2873</v>
          </cell>
          <cell r="C1857" t="str">
            <v>Sut Silk 4/0 3/8Rc 19Mm</v>
          </cell>
        </row>
        <row r="1858">
          <cell r="A1858">
            <v>180073819</v>
          </cell>
          <cell r="B1858">
            <v>2874</v>
          </cell>
          <cell r="C1858" t="str">
            <v>Ondansetron Inj For I.V 8Mg/4ml</v>
          </cell>
        </row>
        <row r="1859">
          <cell r="A1859">
            <v>189710735</v>
          </cell>
          <cell r="B1859">
            <v>2875</v>
          </cell>
          <cell r="C1859" t="str">
            <v>Epirubicin Inj 50Mg</v>
          </cell>
        </row>
        <row r="1860">
          <cell r="A1860">
            <v>189714271</v>
          </cell>
          <cell r="B1860">
            <v>2876</v>
          </cell>
          <cell r="C1860" t="str">
            <v>Mitomycin Inj 10Mg</v>
          </cell>
        </row>
        <row r="1861">
          <cell r="A1861">
            <v>180046827</v>
          </cell>
          <cell r="B1861">
            <v>2877</v>
          </cell>
          <cell r="C1861" t="str">
            <v>Sut Silk 5/0 3/8Rc 19Mm</v>
          </cell>
        </row>
        <row r="1862">
          <cell r="A1862">
            <v>180346281</v>
          </cell>
          <cell r="B1862">
            <v>2878</v>
          </cell>
          <cell r="C1862" t="str">
            <v>Sodium Alginate (Nu Gel) 25G</v>
          </cell>
        </row>
        <row r="1863">
          <cell r="A1863">
            <v>180047868</v>
          </cell>
          <cell r="B1863">
            <v>2879</v>
          </cell>
          <cell r="C1863" t="str">
            <v>~Sut Polyest 0 1/2Tp 36Mm Cardio</v>
          </cell>
        </row>
        <row r="1864">
          <cell r="A1864" t="str">
            <v>3025120 DEL</v>
          </cell>
          <cell r="B1864">
            <v>2880</v>
          </cell>
          <cell r="C1864" t="str">
            <v>~Sut Polyest 6/0 1/2Tp 13Mm</v>
          </cell>
        </row>
        <row r="1865">
          <cell r="A1865">
            <v>180139013</v>
          </cell>
          <cell r="B1865">
            <v>2881</v>
          </cell>
          <cell r="C1865" t="str">
            <v>~Sut Nylon 1 1/2Tp 50Mm</v>
          </cell>
        </row>
        <row r="1866">
          <cell r="A1866">
            <v>180212762</v>
          </cell>
          <cell r="B1866">
            <v>2882</v>
          </cell>
          <cell r="C1866" t="str">
            <v>Sut Plain 2/0 1/2Tp 50Mm</v>
          </cell>
        </row>
        <row r="1867">
          <cell r="A1867" t="str">
            <v>QUOTE</v>
          </cell>
          <cell r="B1867">
            <v>2883</v>
          </cell>
          <cell r="C1867" t="str">
            <v>Sut Synthabs 1 1/2Tp 36Mm</v>
          </cell>
        </row>
        <row r="1868">
          <cell r="A1868">
            <v>180329843</v>
          </cell>
          <cell r="B1868">
            <v>2884</v>
          </cell>
          <cell r="C1868" t="str">
            <v>Sut Synthabs 2/0 1/2Rc 37Mm</v>
          </cell>
        </row>
        <row r="1869">
          <cell r="A1869" t="str">
            <v>DELETED</v>
          </cell>
          <cell r="B1869">
            <v>2885</v>
          </cell>
          <cell r="C1869" t="str">
            <v>~Sut Synthabs 4/0 3/8Rc 17.6Mm</v>
          </cell>
        </row>
        <row r="1870">
          <cell r="A1870" t="str">
            <v>QUOTE</v>
          </cell>
          <cell r="B1870">
            <v>2886</v>
          </cell>
          <cell r="C1870" t="str">
            <v>Sut Monosynth Pds 6.0 11Mm</v>
          </cell>
        </row>
        <row r="1871">
          <cell r="A1871" t="str">
            <v>QUOTE</v>
          </cell>
          <cell r="B1871">
            <v>2887</v>
          </cell>
          <cell r="C1871" t="str">
            <v>Sut Synthabs 3/0 Vicryl</v>
          </cell>
        </row>
        <row r="1872">
          <cell r="A1872">
            <v>189713782</v>
          </cell>
          <cell r="B1872">
            <v>2888</v>
          </cell>
          <cell r="C1872" t="str">
            <v>Sut Synthabs 0 Ligation</v>
          </cell>
        </row>
        <row r="1873">
          <cell r="A1873" t="str">
            <v>QUOTE</v>
          </cell>
          <cell r="B1873">
            <v>2889</v>
          </cell>
          <cell r="C1873" t="str">
            <v>Sut Polyprop 6/0 3/8Tp 13Mm Cardio Black Needle</v>
          </cell>
        </row>
        <row r="1874">
          <cell r="A1874">
            <v>180211862</v>
          </cell>
          <cell r="B1874">
            <v>2890</v>
          </cell>
          <cell r="C1874" t="str">
            <v>Sut Silk 2/0 1/2Tp 30Mm</v>
          </cell>
        </row>
        <row r="1875">
          <cell r="A1875" t="str">
            <v>DELETED</v>
          </cell>
          <cell r="B1875">
            <v>2891</v>
          </cell>
          <cell r="C1875" t="str">
            <v>Sut Polyprop 0 1/2Tc 35Mm</v>
          </cell>
        </row>
        <row r="1876">
          <cell r="A1876" t="str">
            <v>DELETED</v>
          </cell>
          <cell r="B1876">
            <v>2892</v>
          </cell>
          <cell r="C1876" t="str">
            <v>Sut Silk 5/0 3/8Rc 12Mm</v>
          </cell>
        </row>
        <row r="1877">
          <cell r="A1877">
            <v>181823313</v>
          </cell>
          <cell r="B1877">
            <v>2893</v>
          </cell>
          <cell r="C1877" t="str">
            <v>~Sut Plain 0 1/2Tp 40Mm</v>
          </cell>
        </row>
        <row r="1878">
          <cell r="A1878">
            <v>180029296</v>
          </cell>
          <cell r="B1878">
            <v>2894</v>
          </cell>
          <cell r="C1878" t="str">
            <v>Sut Polyprop 1 1/2Tp 40Mm</v>
          </cell>
        </row>
        <row r="1879">
          <cell r="A1879">
            <v>180138729</v>
          </cell>
          <cell r="B1879">
            <v>2895</v>
          </cell>
          <cell r="C1879" t="str">
            <v>Sut Silk 0 3/8Rc 45Mm</v>
          </cell>
        </row>
        <row r="1880">
          <cell r="A1880">
            <v>180173380</v>
          </cell>
          <cell r="B1880">
            <v>2896</v>
          </cell>
          <cell r="C1880" t="str">
            <v>Bandage Compression Porous Elastic Low Allergy 75Mm</v>
          </cell>
        </row>
        <row r="1881">
          <cell r="A1881">
            <v>181817626</v>
          </cell>
          <cell r="B1881">
            <v>2897</v>
          </cell>
          <cell r="C1881" t="str">
            <v>Rif 150 Pza 400 Inh 75 Eth 275  (56'S)</v>
          </cell>
        </row>
        <row r="1882">
          <cell r="A1882">
            <v>180319916</v>
          </cell>
          <cell r="B1882">
            <v>2898</v>
          </cell>
          <cell r="C1882" t="str">
            <v>Sut Chromic 1 3/8Bp 63Mm</v>
          </cell>
        </row>
        <row r="1883">
          <cell r="A1883">
            <v>189711414</v>
          </cell>
          <cell r="B1883">
            <v>2899</v>
          </cell>
          <cell r="C1883" t="str">
            <v>Chlorpheniramine Syr 2Mg/5ml 50Ml</v>
          </cell>
        </row>
        <row r="1884">
          <cell r="A1884" t="str">
            <v>QUOTE</v>
          </cell>
          <cell r="B1884">
            <v>2901</v>
          </cell>
          <cell r="C1884" t="str">
            <v>Needle Disposable Epidural 18G X 80Mm</v>
          </cell>
        </row>
        <row r="1885">
          <cell r="A1885">
            <v>189717351</v>
          </cell>
          <cell r="B1885">
            <v>2902</v>
          </cell>
          <cell r="C1885" t="str">
            <v>~Cath.Ureth.Nelaton  6Fg 400Mm Pvc. 2 Eye</v>
          </cell>
        </row>
        <row r="1886">
          <cell r="A1886" t="str">
            <v>QUOTE</v>
          </cell>
          <cell r="B1886">
            <v>2903</v>
          </cell>
          <cell r="C1886" t="str">
            <v>Cath Thoracic With Trocar  8Fg</v>
          </cell>
        </row>
        <row r="1887">
          <cell r="A1887">
            <v>181817608</v>
          </cell>
          <cell r="B1887">
            <v>2904</v>
          </cell>
          <cell r="C1887" t="str">
            <v>Rif 150 Pza 400 Inh 75 Eth 275  (112'S)</v>
          </cell>
        </row>
        <row r="1888">
          <cell r="A1888">
            <v>189703494</v>
          </cell>
          <cell r="B1888">
            <v>2905</v>
          </cell>
          <cell r="C1888" t="str">
            <v>~Swabs Padded Non-Woven 100Mmx100mm 8Ply</v>
          </cell>
        </row>
        <row r="1889">
          <cell r="A1889" t="str">
            <v>QUOTE</v>
          </cell>
          <cell r="B1889">
            <v>2906</v>
          </cell>
          <cell r="C1889" t="str">
            <v>Dermacarrier Size 1.5</v>
          </cell>
        </row>
        <row r="1890">
          <cell r="A1890">
            <v>180027864</v>
          </cell>
          <cell r="B1890">
            <v>2908</v>
          </cell>
          <cell r="C1890" t="str">
            <v>Campaign: Vaccine Oral Polio Bivalent 20 Dose Vial</v>
          </cell>
        </row>
        <row r="1891">
          <cell r="A1891">
            <v>181817575</v>
          </cell>
          <cell r="B1891">
            <v>2909</v>
          </cell>
          <cell r="C1891" t="str">
            <v>Rif 300 Inh 150 (56'S)</v>
          </cell>
        </row>
        <row r="1892">
          <cell r="A1892">
            <v>181817413</v>
          </cell>
          <cell r="B1892">
            <v>2910</v>
          </cell>
          <cell r="C1892" t="str">
            <v>Ethambutol Tabs 400Mg (56'S)</v>
          </cell>
        </row>
        <row r="1893">
          <cell r="A1893">
            <v>189705431</v>
          </cell>
          <cell r="B1893">
            <v>2911</v>
          </cell>
          <cell r="C1893" t="str">
            <v>~Tape Surgical Microporous  25Mm</v>
          </cell>
        </row>
        <row r="1894">
          <cell r="A1894">
            <v>180295037</v>
          </cell>
          <cell r="B1894">
            <v>2912</v>
          </cell>
          <cell r="C1894" t="str">
            <v>Vial Tablet Amber  75Ml</v>
          </cell>
        </row>
        <row r="1895">
          <cell r="A1895">
            <v>181817634</v>
          </cell>
          <cell r="B1895">
            <v>2913</v>
          </cell>
          <cell r="C1895" t="str">
            <v>Rif 150 Inh  75 (84'S)</v>
          </cell>
        </row>
        <row r="1896">
          <cell r="A1896">
            <v>180059344</v>
          </cell>
          <cell r="B1896">
            <v>2914</v>
          </cell>
          <cell r="C1896" t="str">
            <v>Bandage Compression Sustained 100Mm</v>
          </cell>
        </row>
        <row r="1897">
          <cell r="A1897">
            <v>180363934</v>
          </cell>
          <cell r="B1897">
            <v>2915</v>
          </cell>
          <cell r="C1897" t="str">
            <v>Epidural System (Cath 16G)</v>
          </cell>
        </row>
        <row r="1898">
          <cell r="A1898">
            <v>180281798</v>
          </cell>
          <cell r="B1898">
            <v>2916</v>
          </cell>
          <cell r="C1898" t="str">
            <v>Stopcock Three Way  3 Ports</v>
          </cell>
        </row>
        <row r="1899">
          <cell r="A1899">
            <v>189704309</v>
          </cell>
          <cell r="B1899">
            <v>2917</v>
          </cell>
          <cell r="C1899" t="str">
            <v>Syringe Disposable  2Ml Three Part</v>
          </cell>
        </row>
        <row r="1900">
          <cell r="A1900">
            <v>180034619</v>
          </cell>
          <cell r="B1900">
            <v>2918</v>
          </cell>
          <cell r="C1900" t="str">
            <v>Winged Infusion Set Continuous 25G</v>
          </cell>
        </row>
        <row r="1901">
          <cell r="A1901">
            <v>181804852</v>
          </cell>
          <cell r="B1901">
            <v>2919</v>
          </cell>
          <cell r="C1901" t="str">
            <v>Oxaliplatin 100Mg/20ml</v>
          </cell>
        </row>
        <row r="1902">
          <cell r="A1902">
            <v>180155245</v>
          </cell>
          <cell r="B1902">
            <v>2920</v>
          </cell>
          <cell r="C1902" t="str">
            <v>Propranolol Tabs 10Mg  (56'S)</v>
          </cell>
        </row>
        <row r="1903">
          <cell r="A1903" t="str">
            <v>QUOTE</v>
          </cell>
          <cell r="B1903">
            <v>2921</v>
          </cell>
          <cell r="C1903" t="str">
            <v>Needle Disposable Epidural 16G X 80Mm</v>
          </cell>
        </row>
        <row r="1904">
          <cell r="A1904">
            <v>189714887</v>
          </cell>
          <cell r="B1904">
            <v>2922</v>
          </cell>
          <cell r="C1904" t="str">
            <v>Needle Biopsy Single 14G X 152Mm</v>
          </cell>
        </row>
        <row r="1905">
          <cell r="A1905">
            <v>180295299</v>
          </cell>
          <cell r="B1905">
            <v>2923</v>
          </cell>
          <cell r="C1905" t="str">
            <v>Glove Surgical Latex Long Size 9.0</v>
          </cell>
        </row>
        <row r="1906">
          <cell r="A1906">
            <v>181837484</v>
          </cell>
          <cell r="B1906">
            <v>2924</v>
          </cell>
          <cell r="C1906" t="str">
            <v>Fluorescein Inj 100Mg/ml-5Ml Ampoule</v>
          </cell>
        </row>
        <row r="1907">
          <cell r="A1907" t="str">
            <v>3026880 DEL</v>
          </cell>
          <cell r="B1907">
            <v>2925</v>
          </cell>
          <cell r="C1907" t="str">
            <v>~Sut Nylon 10 3/8C Spatula 6.5Mm Black</v>
          </cell>
        </row>
        <row r="1908">
          <cell r="A1908" t="str">
            <v>3024832 DEL</v>
          </cell>
          <cell r="B1908">
            <v>2926</v>
          </cell>
          <cell r="C1908" t="str">
            <v>~Sut Silk 8/0 3/8Sp 7Mm</v>
          </cell>
        </row>
        <row r="1909">
          <cell r="A1909">
            <v>189701809</v>
          </cell>
          <cell r="B1909">
            <v>2927</v>
          </cell>
          <cell r="C1909" t="str">
            <v>Gauze Ribbon Absorbent Cotton 50Mmx10m</v>
          </cell>
        </row>
        <row r="1910">
          <cell r="A1910">
            <v>189701811</v>
          </cell>
          <cell r="B1910">
            <v>2928</v>
          </cell>
          <cell r="C1910" t="str">
            <v>Gauze Ribbon Absorbent Cotton 75Mmx10m</v>
          </cell>
        </row>
        <row r="1911">
          <cell r="A1911" t="str">
            <v>QUOTE</v>
          </cell>
          <cell r="B1911">
            <v>2929</v>
          </cell>
          <cell r="C1911" t="str">
            <v>~Gestrinone Caps 2.5Mg</v>
          </cell>
        </row>
        <row r="1912">
          <cell r="A1912">
            <v>189712859</v>
          </cell>
          <cell r="B1912">
            <v>2930</v>
          </cell>
          <cell r="C1912" t="str">
            <v>Resuscitation Set Infant 2.0Mm</v>
          </cell>
        </row>
        <row r="1913">
          <cell r="A1913">
            <v>189712860</v>
          </cell>
          <cell r="B1913">
            <v>2931</v>
          </cell>
          <cell r="C1913" t="str">
            <v>Resuscitation Set Infant 2.5Mm</v>
          </cell>
        </row>
        <row r="1914">
          <cell r="A1914" t="str">
            <v>QUOTE</v>
          </cell>
          <cell r="B1914">
            <v>2932</v>
          </cell>
          <cell r="C1914" t="str">
            <v>Diagnostic Peritoneal Lavage Set</v>
          </cell>
        </row>
        <row r="1915">
          <cell r="A1915">
            <v>180177782</v>
          </cell>
          <cell r="B1915">
            <v>2933</v>
          </cell>
          <cell r="C1915" t="str">
            <v>Sut Polyprop 7/0 3/8Tp  8Mm Cardio</v>
          </cell>
        </row>
        <row r="1916">
          <cell r="A1916">
            <v>180080354</v>
          </cell>
          <cell r="B1916">
            <v>2934</v>
          </cell>
          <cell r="C1916" t="str">
            <v>Sut Polyprop 6/0 3/8Tp 12-13Mm Cardio Double Armed</v>
          </cell>
        </row>
        <row r="1917">
          <cell r="A1917">
            <v>180157308</v>
          </cell>
          <cell r="B1917">
            <v>2936</v>
          </cell>
          <cell r="C1917" t="str">
            <v>Clarithromycin 125Mg/5ml Susp 50Ml</v>
          </cell>
        </row>
        <row r="1918">
          <cell r="A1918">
            <v>180040765</v>
          </cell>
          <cell r="B1918">
            <v>2937</v>
          </cell>
          <cell r="C1918" t="str">
            <v>Set T U R Irrigation Y-Type</v>
          </cell>
        </row>
        <row r="1919">
          <cell r="A1919" t="str">
            <v>DELETED</v>
          </cell>
          <cell r="B1919">
            <v>2938</v>
          </cell>
          <cell r="C1919" t="str">
            <v>~Paper Sterilization Green 120X120cm</v>
          </cell>
        </row>
        <row r="1920">
          <cell r="A1920">
            <v>189701384</v>
          </cell>
          <cell r="B1920">
            <v>2939</v>
          </cell>
          <cell r="C1920" t="str">
            <v>Mask Oxygen Rebreather Adult</v>
          </cell>
        </row>
        <row r="1921">
          <cell r="A1921">
            <v>180370098</v>
          </cell>
          <cell r="B1921">
            <v>2940</v>
          </cell>
          <cell r="C1921" t="str">
            <v>Tube Endotracheal Cuff Nasal 7.0</v>
          </cell>
        </row>
        <row r="1922">
          <cell r="A1922">
            <v>180034789</v>
          </cell>
          <cell r="B1922">
            <v>2941</v>
          </cell>
          <cell r="C1922" t="str">
            <v>Set Monitoring Venous Pressure</v>
          </cell>
        </row>
        <row r="1923">
          <cell r="A1923">
            <v>180017038</v>
          </cell>
          <cell r="B1923">
            <v>2942</v>
          </cell>
          <cell r="C1923" t="str">
            <v>Collar &amp; Cuff 50Mmx10mm</v>
          </cell>
        </row>
        <row r="1924">
          <cell r="A1924">
            <v>180286747</v>
          </cell>
          <cell r="B1924">
            <v>2943</v>
          </cell>
          <cell r="C1924" t="str">
            <v>~Cath.Ureth.Nelaton 18Fg 400Mm Pvc. 2 Eye</v>
          </cell>
        </row>
        <row r="1925">
          <cell r="A1925" t="str">
            <v>DELETED</v>
          </cell>
          <cell r="B1925">
            <v>2944</v>
          </cell>
          <cell r="C1925" t="str">
            <v>Connector Endotrach Tube Cobbs 6.5-8.0Mm (Nc 7411)</v>
          </cell>
        </row>
        <row r="1926">
          <cell r="A1926">
            <v>189762945</v>
          </cell>
          <cell r="B1926">
            <v>2945</v>
          </cell>
          <cell r="C1926" t="str">
            <v>~Cefuroxime 250Mg Tabs (10'S)</v>
          </cell>
        </row>
        <row r="1927">
          <cell r="A1927">
            <v>189717394</v>
          </cell>
          <cell r="B1927">
            <v>2946</v>
          </cell>
          <cell r="C1927" t="str">
            <v>Connector Plastic Autoclave Double Tape  7-11Mm</v>
          </cell>
        </row>
        <row r="1928">
          <cell r="A1928" t="str">
            <v>*</v>
          </cell>
          <cell r="B1928">
            <v>2947</v>
          </cell>
          <cell r="C1928" t="str">
            <v>Tpn 3314Xa</v>
          </cell>
        </row>
        <row r="1929">
          <cell r="A1929">
            <v>181827784</v>
          </cell>
          <cell r="B1929">
            <v>2948</v>
          </cell>
          <cell r="C1929" t="str">
            <v>Tpn 5003A</v>
          </cell>
        </row>
        <row r="1930">
          <cell r="A1930">
            <v>189705296</v>
          </cell>
          <cell r="B1930">
            <v>2949</v>
          </cell>
          <cell r="C1930" t="str">
            <v>Swabs Gauze Absorbent Sterile 100Mmx100mm  8Ply</v>
          </cell>
        </row>
        <row r="1931">
          <cell r="A1931">
            <v>189705285</v>
          </cell>
          <cell r="B1931">
            <v>2950</v>
          </cell>
          <cell r="C1931" t="str">
            <v>Pad Surgical Absorbent Sterile 100Mmx200mm</v>
          </cell>
        </row>
        <row r="1932">
          <cell r="A1932">
            <v>180957018</v>
          </cell>
          <cell r="B1932">
            <v>2985</v>
          </cell>
          <cell r="C1932" t="str">
            <v>Sut Polyest 2/0 1/2Tc 17,4Mm 5X75cm Cardio</v>
          </cell>
        </row>
        <row r="1933">
          <cell r="A1933">
            <v>180211818</v>
          </cell>
          <cell r="B1933">
            <v>2951</v>
          </cell>
          <cell r="C1933" t="str">
            <v>Sut Polyest 3/0 1/2Tc 17,4Mm</v>
          </cell>
        </row>
        <row r="1934">
          <cell r="A1934">
            <v>189713878</v>
          </cell>
          <cell r="B1934">
            <v>2952</v>
          </cell>
          <cell r="C1934" t="str">
            <v>~Surgical Steel 0 1/2T     20Mm 12  (2593-63)</v>
          </cell>
        </row>
        <row r="1935">
          <cell r="A1935">
            <v>181848334</v>
          </cell>
          <cell r="B1935">
            <v>2953</v>
          </cell>
          <cell r="C1935" t="str">
            <v>Surgical Tape 25Mx3mm Umbilical Non.Abs</v>
          </cell>
        </row>
        <row r="1936">
          <cell r="A1936">
            <v>180211721</v>
          </cell>
          <cell r="B1936">
            <v>2954</v>
          </cell>
          <cell r="C1936" t="str">
            <v>Surgical Steel 5 Heavy Rc 57Mm 12  (2424-89)</v>
          </cell>
        </row>
        <row r="1937">
          <cell r="A1937">
            <v>180212804</v>
          </cell>
          <cell r="B1937">
            <v>2955</v>
          </cell>
          <cell r="C1937" t="str">
            <v>Sut Polyest 2/0 1/2Tp 26Mm</v>
          </cell>
        </row>
        <row r="1938">
          <cell r="A1938">
            <v>189708274</v>
          </cell>
          <cell r="B1938">
            <v>2956</v>
          </cell>
          <cell r="C1938" t="str">
            <v>~Sut Polyest 3/0 1/2Tp 20Mm</v>
          </cell>
        </row>
        <row r="1939">
          <cell r="A1939">
            <v>180320521</v>
          </cell>
          <cell r="B1939">
            <v>2957</v>
          </cell>
          <cell r="C1939" t="str">
            <v>Sut Polyest 2/0 1/2Tc 16Mm</v>
          </cell>
        </row>
        <row r="1940">
          <cell r="A1940" t="str">
            <v>*</v>
          </cell>
          <cell r="B1940">
            <v>2958</v>
          </cell>
          <cell r="C1940" t="str">
            <v>Sut Polyest 1/2Bp 66Mm Mersiline Shirodkar</v>
          </cell>
        </row>
        <row r="1941">
          <cell r="A1941" t="str">
            <v>3025900 DEL</v>
          </cell>
          <cell r="B1941">
            <v>2959</v>
          </cell>
          <cell r="C1941" t="str">
            <v>~Sut Polyprop 2/0 3/8Rc 39Mm</v>
          </cell>
        </row>
        <row r="1942">
          <cell r="A1942">
            <v>180028558</v>
          </cell>
          <cell r="B1942">
            <v>2960</v>
          </cell>
          <cell r="C1942" t="str">
            <v>~Sut Polyprop 6/0 3/8Rc 16Mm</v>
          </cell>
        </row>
        <row r="1943">
          <cell r="A1943">
            <v>189713850</v>
          </cell>
          <cell r="B1943">
            <v>2961</v>
          </cell>
          <cell r="C1943" t="str">
            <v>Sut Polyprop 3/0 1/2Tc 26Mm</v>
          </cell>
        </row>
        <row r="1944">
          <cell r="A1944">
            <v>180232966</v>
          </cell>
          <cell r="B1944">
            <v>2962</v>
          </cell>
          <cell r="C1944" t="str">
            <v>Sut Polyprop 2/0 1/2Tc 26Mm</v>
          </cell>
        </row>
        <row r="1945">
          <cell r="A1945" t="str">
            <v>3021955 DEL</v>
          </cell>
          <cell r="B1945">
            <v>2963</v>
          </cell>
          <cell r="C1945" t="str">
            <v>~Sut Synthabs 1/0 1/2Bp 40Mm 90Cm</v>
          </cell>
        </row>
        <row r="1946">
          <cell r="A1946">
            <v>180390272</v>
          </cell>
          <cell r="B1946">
            <v>2964</v>
          </cell>
          <cell r="C1946" t="str">
            <v>Scalpel Surgical Blades No. 12</v>
          </cell>
        </row>
        <row r="1947">
          <cell r="A1947">
            <v>189713805</v>
          </cell>
          <cell r="B1947">
            <v>2965</v>
          </cell>
          <cell r="C1947" t="str">
            <v>~Sut Monosyn 4/0 3/8Rc 19Mm Violet</v>
          </cell>
        </row>
        <row r="1948">
          <cell r="A1948">
            <v>180045320</v>
          </cell>
          <cell r="B1948">
            <v>2966</v>
          </cell>
          <cell r="C1948" t="str">
            <v>~Sut Chromic 0 3/8Bp 64Mm Soft Tissue</v>
          </cell>
        </row>
        <row r="1949">
          <cell r="A1949" t="str">
            <v>3023950 DEL</v>
          </cell>
          <cell r="B1949">
            <v>2967</v>
          </cell>
          <cell r="C1949" t="str">
            <v>~Sut Monosyn 4 1/2Rc 48Mm Violet</v>
          </cell>
        </row>
        <row r="1950">
          <cell r="A1950">
            <v>189758109</v>
          </cell>
          <cell r="B1950">
            <v>2969</v>
          </cell>
          <cell r="C1950" t="str">
            <v>Spigot Plastic Autocl Tapered 10Mm</v>
          </cell>
        </row>
        <row r="1951">
          <cell r="A1951">
            <v>180240853</v>
          </cell>
          <cell r="B1951">
            <v>2970</v>
          </cell>
          <cell r="C1951" t="str">
            <v>~Spigot Plastic Autocl Tapered  7Mm</v>
          </cell>
        </row>
        <row r="1952">
          <cell r="A1952">
            <v>189714369</v>
          </cell>
          <cell r="B1952">
            <v>2971</v>
          </cell>
          <cell r="C1952" t="str">
            <v>Eucalyptus Oil  B.P</v>
          </cell>
        </row>
        <row r="1953">
          <cell r="A1953" t="str">
            <v>MOTIVATION</v>
          </cell>
          <cell r="B1953">
            <v>2972</v>
          </cell>
          <cell r="C1953" t="str">
            <v>Tube Endo Micropharyngeal 3Mm Dual</v>
          </cell>
        </row>
        <row r="1954">
          <cell r="A1954">
            <v>181777089</v>
          </cell>
          <cell r="B1954">
            <v>2973</v>
          </cell>
          <cell r="C1954" t="str">
            <v>Bag Rebreathing 1L Straight Neck 22F 1L Latex Free</v>
          </cell>
        </row>
        <row r="1955">
          <cell r="A1955">
            <v>189715108</v>
          </cell>
          <cell r="B1955">
            <v>2974</v>
          </cell>
          <cell r="C1955" t="str">
            <v>~Erythromycin Tabs 250Mg (100'S)</v>
          </cell>
        </row>
        <row r="1956">
          <cell r="A1956" t="str">
            <v>DELETED</v>
          </cell>
          <cell r="B1956">
            <v>2975</v>
          </cell>
          <cell r="C1956" t="str">
            <v>~Swabs Padded Non-Woven  50Mmx50mm 4Ply</v>
          </cell>
        </row>
        <row r="1957">
          <cell r="A1957" t="str">
            <v>DELETED</v>
          </cell>
          <cell r="B1957">
            <v>2976</v>
          </cell>
          <cell r="C1957" t="str">
            <v>~Swabs Padded Non-Woven  75Mmx75mm 4Ply</v>
          </cell>
        </row>
        <row r="1958">
          <cell r="A1958">
            <v>189706087</v>
          </cell>
          <cell r="B1958">
            <v>2977</v>
          </cell>
          <cell r="C1958" t="str">
            <v>Paper Sterilization Green  90Cmx90cm</v>
          </cell>
        </row>
        <row r="1959">
          <cell r="A1959">
            <v>181897255</v>
          </cell>
          <cell r="B1959">
            <v>2978</v>
          </cell>
          <cell r="C1959" t="str">
            <v>Measles 10 Dose Diluent</v>
          </cell>
        </row>
        <row r="1960">
          <cell r="A1960">
            <v>1811813057</v>
          </cell>
          <cell r="B1960">
            <v>2979</v>
          </cell>
          <cell r="C1960" t="str">
            <v>Tampon Vaginal Autoclavable</v>
          </cell>
        </row>
        <row r="1961">
          <cell r="A1961">
            <v>181817499</v>
          </cell>
          <cell r="B1961">
            <v>2980</v>
          </cell>
          <cell r="C1961" t="str">
            <v>Pyrazinamide 500Mg Tablet 56'S</v>
          </cell>
        </row>
        <row r="1962">
          <cell r="A1962">
            <v>180208565</v>
          </cell>
          <cell r="B1962">
            <v>2981</v>
          </cell>
          <cell r="C1962" t="str">
            <v>Topiramate Tabs  25Mg (60'S)</v>
          </cell>
        </row>
        <row r="1963">
          <cell r="A1963" t="str">
            <v>QUOTE</v>
          </cell>
          <cell r="B1963">
            <v>2982</v>
          </cell>
          <cell r="C1963" t="str">
            <v>Tube Ats Interphase Luer Line E36601</v>
          </cell>
        </row>
        <row r="1964">
          <cell r="A1964">
            <v>180059773</v>
          </cell>
          <cell r="B1964">
            <v>2983</v>
          </cell>
          <cell r="C1964" t="str">
            <v>Syringe Disposable Luer Lock 50Ml</v>
          </cell>
        </row>
        <row r="1965">
          <cell r="A1965">
            <v>189705492</v>
          </cell>
          <cell r="B1965">
            <v>2984</v>
          </cell>
          <cell r="C1965" t="str">
            <v>Tube Duodenal Levin 14Fg</v>
          </cell>
        </row>
        <row r="1966">
          <cell r="A1966">
            <v>181848647</v>
          </cell>
          <cell r="B1966">
            <v>2986</v>
          </cell>
          <cell r="C1966" t="str">
            <v>Articulated Flexible Stylet.7.5Mm-8Mm</v>
          </cell>
        </row>
        <row r="1967">
          <cell r="A1967">
            <v>181916240</v>
          </cell>
          <cell r="B1967">
            <v>2987</v>
          </cell>
          <cell r="C1967" t="str">
            <v>Test H I V Confirmation</v>
          </cell>
        </row>
        <row r="1968">
          <cell r="A1968" t="str">
            <v>QUOTE</v>
          </cell>
          <cell r="B1968">
            <v>2988</v>
          </cell>
          <cell r="C1968" t="str">
            <v>Suction Reservoir 150Ml</v>
          </cell>
        </row>
        <row r="1969">
          <cell r="A1969">
            <v>180290835</v>
          </cell>
          <cell r="B1969">
            <v>2989</v>
          </cell>
          <cell r="C1969" t="str">
            <v>Tube Endotracheal Non Cuff Nasal 3.5</v>
          </cell>
        </row>
        <row r="1970">
          <cell r="A1970" t="str">
            <v>MOTIVATION</v>
          </cell>
          <cell r="B1970">
            <v>2992</v>
          </cell>
          <cell r="C1970" t="str">
            <v>Irbesartan 150Mg, Hydrochlorothiazide 12,5Mg</v>
          </cell>
        </row>
        <row r="1971">
          <cell r="A1971" t="str">
            <v>QUOTE</v>
          </cell>
          <cell r="B1971">
            <v>2990</v>
          </cell>
          <cell r="C1971" t="str">
            <v>Labels Parenteral Infusion Control</v>
          </cell>
        </row>
        <row r="1972">
          <cell r="A1972">
            <v>181813972</v>
          </cell>
          <cell r="B1972">
            <v>2991</v>
          </cell>
          <cell r="C1972" t="str">
            <v>Valproate / Valproic Acid Tabs 300Mg (56'S)</v>
          </cell>
        </row>
        <row r="1973">
          <cell r="A1973">
            <v>189762943</v>
          </cell>
          <cell r="B1973">
            <v>2993</v>
          </cell>
          <cell r="C1973" t="str">
            <v>~Cefuroxime Tabs 500Mg (10'S)</v>
          </cell>
        </row>
        <row r="1974">
          <cell r="A1974">
            <v>180000607</v>
          </cell>
          <cell r="B1974">
            <v>2994</v>
          </cell>
          <cell r="C1974" t="str">
            <v>Pyridostigmine Tabs 10Mg (50'S)</v>
          </cell>
        </row>
        <row r="1975">
          <cell r="A1975">
            <v>180205026</v>
          </cell>
          <cell r="B1975">
            <v>2995</v>
          </cell>
          <cell r="C1975" t="str">
            <v>Lamivudine 10Mg/ml Oral Sol - 240Ml</v>
          </cell>
        </row>
        <row r="1976">
          <cell r="A1976">
            <v>180327940</v>
          </cell>
          <cell r="B1976">
            <v>2996</v>
          </cell>
          <cell r="C1976" t="str">
            <v>~Sodium Cromoglycate Nasal Spray 20Mg/ml 26Ml</v>
          </cell>
        </row>
        <row r="1977">
          <cell r="A1977">
            <v>189710589</v>
          </cell>
          <cell r="B1977">
            <v>2997</v>
          </cell>
          <cell r="C1977" t="str">
            <v>~Insulin Humelin L 10Ml</v>
          </cell>
        </row>
        <row r="1978">
          <cell r="A1978">
            <v>189710724</v>
          </cell>
          <cell r="B1978">
            <v>2998</v>
          </cell>
          <cell r="C1978" t="str">
            <v>Methotrexate Inj  500Mg</v>
          </cell>
        </row>
        <row r="1979">
          <cell r="A1979">
            <v>181827542</v>
          </cell>
          <cell r="B1979">
            <v>2999</v>
          </cell>
          <cell r="C1979" t="str">
            <v>Cefixime 400Mg Tabs (1'S)</v>
          </cell>
        </row>
        <row r="1980">
          <cell r="A1980">
            <v>181936179</v>
          </cell>
          <cell r="B1980">
            <v>3000</v>
          </cell>
          <cell r="C1980" t="str">
            <v>Campaign: Mebendazole 500Mg Tablet (1'S)</v>
          </cell>
        </row>
        <row r="1981">
          <cell r="A1981" t="str">
            <v>QUOTE STOMA</v>
          </cell>
          <cell r="B1981">
            <v>3001</v>
          </cell>
          <cell r="C1981" t="str">
            <v>Paste Sealant Stomahesive</v>
          </cell>
        </row>
        <row r="1982">
          <cell r="A1982">
            <v>189710066</v>
          </cell>
          <cell r="B1982">
            <v>3002</v>
          </cell>
          <cell r="C1982" t="str">
            <v>Flucloxacillin Caps 250Mg (100'S)</v>
          </cell>
        </row>
        <row r="1983">
          <cell r="A1983">
            <v>180954155</v>
          </cell>
          <cell r="B1983">
            <v>3003</v>
          </cell>
          <cell r="C1983" t="str">
            <v>Ondansetron Tabs 4Mg (10'S)</v>
          </cell>
        </row>
        <row r="1984">
          <cell r="A1984">
            <v>189710642</v>
          </cell>
          <cell r="B1984">
            <v>3004</v>
          </cell>
          <cell r="C1984" t="str">
            <v>Busulphan Tablets 2Mg (100'S)</v>
          </cell>
        </row>
        <row r="1985">
          <cell r="A1985">
            <v>180250272</v>
          </cell>
          <cell r="B1985">
            <v>3005</v>
          </cell>
          <cell r="C1985" t="str">
            <v>Erythropoietin Inj 4000Iu/ml</v>
          </cell>
        </row>
        <row r="1986">
          <cell r="A1986" t="str">
            <v>QUOTE</v>
          </cell>
          <cell r="B1986">
            <v>3006</v>
          </cell>
          <cell r="C1986" t="str">
            <v>~Probanthine Tabs 15Mg (100'S)</v>
          </cell>
        </row>
        <row r="1987">
          <cell r="A1987">
            <v>181896235</v>
          </cell>
          <cell r="B1987">
            <v>3007</v>
          </cell>
          <cell r="C1987" t="str">
            <v>Stavudine Caps 15Mg (60'S)</v>
          </cell>
        </row>
        <row r="1988">
          <cell r="A1988">
            <v>180027608</v>
          </cell>
          <cell r="B1988">
            <v>3008</v>
          </cell>
          <cell r="C1988" t="str">
            <v>Test Strip Blood Glucose (Glucometer)</v>
          </cell>
        </row>
        <row r="1989">
          <cell r="A1989">
            <v>181900500</v>
          </cell>
          <cell r="B1989">
            <v>3944</v>
          </cell>
          <cell r="C1989" t="str">
            <v>Needle Localiser Nerve (Stimuplex A100)</v>
          </cell>
        </row>
        <row r="1990">
          <cell r="A1990" t="str">
            <v>QUOTE</v>
          </cell>
          <cell r="B1990">
            <v>3009</v>
          </cell>
          <cell r="C1990" t="str">
            <v>Register For S6-S7 Medicines</v>
          </cell>
        </row>
        <row r="1991">
          <cell r="A1991" t="str">
            <v>PREPACK 28</v>
          </cell>
          <cell r="B1991">
            <v>3010</v>
          </cell>
          <cell r="C1991" t="str">
            <v>Clozapine Tabs 100Mg (28'S)</v>
          </cell>
        </row>
        <row r="1992">
          <cell r="A1992" t="str">
            <v>MOTIVATION</v>
          </cell>
          <cell r="B1992">
            <v>3015</v>
          </cell>
          <cell r="C1992" t="str">
            <v>Glove Surgical Non Latex Size 8.0</v>
          </cell>
        </row>
        <row r="1993">
          <cell r="A1993">
            <v>180035474</v>
          </cell>
          <cell r="B1993">
            <v>3012</v>
          </cell>
          <cell r="C1993" t="str">
            <v>Citric Acid Monohydrate Crystals 500G</v>
          </cell>
        </row>
        <row r="1994">
          <cell r="A1994">
            <v>189715099</v>
          </cell>
          <cell r="B1994">
            <v>3013</v>
          </cell>
          <cell r="C1994" t="str">
            <v>Sodium Citrate Powder 500G</v>
          </cell>
        </row>
        <row r="1995">
          <cell r="A1995">
            <v>180030909</v>
          </cell>
          <cell r="B1995">
            <v>3014</v>
          </cell>
          <cell r="C1995" t="str">
            <v>Sut Silk 6/0 3/8Rc 13Mm</v>
          </cell>
        </row>
        <row r="1996">
          <cell r="A1996">
            <v>189714705</v>
          </cell>
          <cell r="B1996">
            <v>3016</v>
          </cell>
          <cell r="C1996" t="str">
            <v>Buffered Cream 500Gm</v>
          </cell>
        </row>
        <row r="1997">
          <cell r="A1997">
            <v>181923856</v>
          </cell>
          <cell r="B1997">
            <v>3017</v>
          </cell>
          <cell r="C1997" t="str">
            <v>Bedaquiline 100Mg Tabs  (188'S)</v>
          </cell>
        </row>
        <row r="1998">
          <cell r="A1998" t="str">
            <v>QUOTE SAVP</v>
          </cell>
          <cell r="B1998">
            <v>3018</v>
          </cell>
          <cell r="C1998" t="str">
            <v>Scorpion Antivenom 5Ml</v>
          </cell>
        </row>
        <row r="1999">
          <cell r="A1999">
            <v>189705299</v>
          </cell>
          <cell r="B1999">
            <v>3019</v>
          </cell>
          <cell r="C1999" t="str">
            <v>Swabs Abdominal Sterile 370Mmx450mm 36G</v>
          </cell>
        </row>
        <row r="2000">
          <cell r="A2000">
            <v>189712052</v>
          </cell>
          <cell r="B2000">
            <v>3020</v>
          </cell>
          <cell r="C2000" t="str">
            <v>Bandage Cast P.O.P Slab  75Mm</v>
          </cell>
        </row>
        <row r="2001">
          <cell r="A2001" t="str">
            <v>QUOTE</v>
          </cell>
          <cell r="B2001">
            <v>3021</v>
          </cell>
          <cell r="C2001" t="str">
            <v>Labels Red 75Mm X 30Mm (2 To View)</v>
          </cell>
        </row>
        <row r="2002">
          <cell r="A2002" t="str">
            <v>QUOTE</v>
          </cell>
          <cell r="B2002">
            <v>3022</v>
          </cell>
          <cell r="C2002" t="str">
            <v>Labels White 75Mm X 50Mm (2 To View)</v>
          </cell>
        </row>
        <row r="2003">
          <cell r="A2003">
            <v>189714795</v>
          </cell>
          <cell r="B2003">
            <v>3023</v>
          </cell>
          <cell r="C2003" t="str">
            <v>~Theophylline Syr 500Ml Alcohol Free</v>
          </cell>
        </row>
        <row r="2004">
          <cell r="A2004">
            <v>181902207</v>
          </cell>
          <cell r="B2004">
            <v>3033</v>
          </cell>
          <cell r="C2004" t="str">
            <v>Tpn Multi Bag Adult Basal W/out Electrolytes -P C F E</v>
          </cell>
        </row>
        <row r="2005">
          <cell r="A2005">
            <v>180327841</v>
          </cell>
          <cell r="B2005">
            <v>3025</v>
          </cell>
          <cell r="C2005" t="str">
            <v>~Potassium Iodide B P Crystals</v>
          </cell>
        </row>
        <row r="2006">
          <cell r="A2006">
            <v>189712669</v>
          </cell>
          <cell r="B2006">
            <v>3026</v>
          </cell>
          <cell r="C2006" t="str">
            <v>Carbamazepine Tabs 400Mg C R (30'S)</v>
          </cell>
        </row>
        <row r="2007">
          <cell r="A2007">
            <v>189703003</v>
          </cell>
          <cell r="B2007">
            <v>3027</v>
          </cell>
          <cell r="C2007" t="str">
            <v>Campaign: Needle Hypodermic 18G</v>
          </cell>
        </row>
        <row r="2008">
          <cell r="A2008">
            <v>180250265</v>
          </cell>
          <cell r="B2008">
            <v>3028</v>
          </cell>
          <cell r="C2008" t="str">
            <v>Erythropoietin Inj 2000Iu, 0.5Ml</v>
          </cell>
        </row>
        <row r="2009">
          <cell r="A2009">
            <v>180185866</v>
          </cell>
          <cell r="B2009">
            <v>3029</v>
          </cell>
          <cell r="C2009" t="str">
            <v>Sut Synthabs 4/0 3/8Rc 18Mm</v>
          </cell>
        </row>
        <row r="2010">
          <cell r="A2010">
            <v>189713937</v>
          </cell>
          <cell r="B2010">
            <v>3030</v>
          </cell>
          <cell r="C2010" t="str">
            <v>Catheter Mount 140Mm Right Angled 15F (Pat) 22F (Mach)</v>
          </cell>
        </row>
        <row r="2011">
          <cell r="A2011">
            <v>180227222</v>
          </cell>
          <cell r="B2011">
            <v>3031</v>
          </cell>
          <cell r="C2011" t="str">
            <v>Mianserin Tabs 30Mg</v>
          </cell>
        </row>
        <row r="2012">
          <cell r="A2012" t="str">
            <v>QUOTE STOMA</v>
          </cell>
          <cell r="B2012">
            <v>3032</v>
          </cell>
          <cell r="C2012" t="str">
            <v>Belt Stoma Adult Adjustable</v>
          </cell>
        </row>
        <row r="2013">
          <cell r="A2013">
            <v>189706302</v>
          </cell>
          <cell r="B2013">
            <v>3034</v>
          </cell>
          <cell r="C2013" t="str">
            <v>Mask Oxygen Rebreather Peadiatric</v>
          </cell>
        </row>
        <row r="2014">
          <cell r="A2014">
            <v>181848796</v>
          </cell>
          <cell r="B2014">
            <v>3035</v>
          </cell>
          <cell r="C2014" t="str">
            <v>Speculum Vaginal Non Ster Small (75Mm X 25Mm)</v>
          </cell>
        </row>
        <row r="2015">
          <cell r="A2015">
            <v>180329824</v>
          </cell>
          <cell r="B2015">
            <v>3036</v>
          </cell>
          <cell r="C2015" t="str">
            <v>Tube Endotracheal Cuff Oral  4.5</v>
          </cell>
        </row>
        <row r="2016">
          <cell r="A2016">
            <v>180258105</v>
          </cell>
          <cell r="B2016">
            <v>3037</v>
          </cell>
          <cell r="C2016" t="str">
            <v>Tpn 3003A</v>
          </cell>
        </row>
        <row r="2017">
          <cell r="A2017" t="str">
            <v>INJ</v>
          </cell>
          <cell r="B2017">
            <v>3038</v>
          </cell>
          <cell r="C2017" t="str">
            <v>Adrenaline 0.3Mg/0.3Ml Auto Injector</v>
          </cell>
        </row>
        <row r="2018">
          <cell r="A2018" t="str">
            <v>PREPACK 28</v>
          </cell>
          <cell r="B2018">
            <v>3039</v>
          </cell>
          <cell r="C2018" t="str">
            <v>~Clozapine Tabs 25Mg (28'S)</v>
          </cell>
        </row>
        <row r="2019">
          <cell r="A2019">
            <v>180295217</v>
          </cell>
          <cell r="B2019">
            <v>3040</v>
          </cell>
          <cell r="C2019" t="str">
            <v>Bottle Amber Round Glass 100Ml</v>
          </cell>
        </row>
        <row r="2020">
          <cell r="A2020" t="str">
            <v>NATIONAL STOC</v>
          </cell>
          <cell r="B2020">
            <v>3041</v>
          </cell>
          <cell r="C2020" t="str">
            <v>Oseltamivir 75Mg (10'S)</v>
          </cell>
        </row>
        <row r="2021">
          <cell r="A2021" t="str">
            <v>3026550 DEL</v>
          </cell>
          <cell r="B2021">
            <v>3042</v>
          </cell>
          <cell r="C2021" t="str">
            <v>~Sut Nylon 2/0 3/8Rc 24Mm 45Cm</v>
          </cell>
        </row>
        <row r="2022">
          <cell r="A2022">
            <v>180057795</v>
          </cell>
          <cell r="B2022">
            <v>3043</v>
          </cell>
          <cell r="C2022" t="str">
            <v>Cath Thoracic With Trocar 10Fg</v>
          </cell>
        </row>
        <row r="2023">
          <cell r="A2023">
            <v>189708681</v>
          </cell>
          <cell r="B2023">
            <v>3044</v>
          </cell>
          <cell r="C2023" t="str">
            <v>~Tobramycin Eye Oint 3.5G</v>
          </cell>
        </row>
        <row r="2024">
          <cell r="A2024">
            <v>181756696</v>
          </cell>
          <cell r="B2024">
            <v>3045</v>
          </cell>
          <cell r="C2024" t="str">
            <v>Linezolid 600Mg Tabs (10'S)</v>
          </cell>
        </row>
        <row r="2025">
          <cell r="A2025" t="str">
            <v>QUOTE</v>
          </cell>
          <cell r="B2025">
            <v>3046</v>
          </cell>
          <cell r="C2025" t="str">
            <v>Drape Universal Set Large</v>
          </cell>
        </row>
        <row r="2026">
          <cell r="A2026" t="str">
            <v>QUOTE EYE</v>
          </cell>
          <cell r="B2026">
            <v>3047</v>
          </cell>
          <cell r="C2026" t="str">
            <v>Drape Surgical Adhesive 400Mm X 600Mm</v>
          </cell>
        </row>
        <row r="2027">
          <cell r="A2027" t="str">
            <v>QUOTE EYE</v>
          </cell>
          <cell r="B2027">
            <v>3048</v>
          </cell>
          <cell r="C2027" t="str">
            <v>Cleaner Optical Lens (Volk)</v>
          </cell>
        </row>
        <row r="2028">
          <cell r="A2028">
            <v>181776079</v>
          </cell>
          <cell r="B2028">
            <v>3049</v>
          </cell>
          <cell r="C2028" t="str">
            <v>Catheter Mount Right Angled 15F And 22F Machine Side</v>
          </cell>
        </row>
        <row r="2029">
          <cell r="A2029">
            <v>180955508</v>
          </cell>
          <cell r="B2029">
            <v>3050</v>
          </cell>
          <cell r="C2029" t="str">
            <v>Aprotinin Inj Iv 10 000Iu 100Ml</v>
          </cell>
        </row>
        <row r="2030">
          <cell r="A2030" t="str">
            <v>QUOTE EYE</v>
          </cell>
          <cell r="B2030">
            <v>3051</v>
          </cell>
          <cell r="C2030" t="str">
            <v>~Strips Sno (Shirmer Strips)</v>
          </cell>
        </row>
        <row r="2031">
          <cell r="A2031">
            <v>180057805</v>
          </cell>
          <cell r="B2031">
            <v>3052</v>
          </cell>
          <cell r="C2031" t="str">
            <v>Cath Thoracic With Trocar 24Fg</v>
          </cell>
        </row>
        <row r="2032">
          <cell r="A2032" t="str">
            <v>MOTIVATION</v>
          </cell>
          <cell r="B2032">
            <v>3053</v>
          </cell>
          <cell r="C2032" t="str">
            <v>Dermacarrier 3 To 1</v>
          </cell>
        </row>
        <row r="2033">
          <cell r="A2033">
            <v>189714103</v>
          </cell>
          <cell r="B2033">
            <v>3054</v>
          </cell>
          <cell r="C2033" t="str">
            <v>Pouch Urostomy Two Piece 45Mm Clear Drainable</v>
          </cell>
        </row>
        <row r="2034">
          <cell r="A2034">
            <v>181908022</v>
          </cell>
          <cell r="B2034">
            <v>3055</v>
          </cell>
          <cell r="C2034" t="str">
            <v>Needle Disposable Spinal 22G X 1.5"(38Mm)</v>
          </cell>
        </row>
        <row r="2035">
          <cell r="A2035" t="str">
            <v>*</v>
          </cell>
          <cell r="B2035">
            <v>3056</v>
          </cell>
          <cell r="C2035" t="str">
            <v>Haemorrhagic Fever Pack</v>
          </cell>
        </row>
        <row r="2036">
          <cell r="A2036">
            <v>180047969</v>
          </cell>
          <cell r="B2036">
            <v>3057</v>
          </cell>
          <cell r="C2036" t="str">
            <v>Sut Nylon 6/0 3/8Rc 16Mm</v>
          </cell>
        </row>
        <row r="2037">
          <cell r="A2037" t="str">
            <v>DELETED</v>
          </cell>
          <cell r="B2037">
            <v>3058</v>
          </cell>
          <cell r="C2037" t="str">
            <v>~Medicine Measure Dropper  1/2-1Ml 12</v>
          </cell>
        </row>
        <row r="2038">
          <cell r="A2038">
            <v>180185901</v>
          </cell>
          <cell r="B2038">
            <v>3059</v>
          </cell>
          <cell r="C2038" t="str">
            <v>Sut Synthabs 3/0 1/2Tp 37Mm</v>
          </cell>
        </row>
        <row r="2039">
          <cell r="A2039">
            <v>180339583</v>
          </cell>
          <cell r="B2039">
            <v>3060</v>
          </cell>
          <cell r="C2039" t="str">
            <v>Orphenadrine Tabs 50Mg (28'S)</v>
          </cell>
        </row>
        <row r="2040">
          <cell r="A2040">
            <v>189716040</v>
          </cell>
          <cell r="B2040">
            <v>3061</v>
          </cell>
          <cell r="C2040" t="str">
            <v>~Tube Natural Rubber Latex Id 4.76Mm W2.38Mm</v>
          </cell>
        </row>
        <row r="2041">
          <cell r="A2041">
            <v>189712456</v>
          </cell>
          <cell r="B2041">
            <v>3062</v>
          </cell>
          <cell r="C2041" t="str">
            <v>Bag Urine Drainage + Anti-Reflux Valve</v>
          </cell>
        </row>
        <row r="2042">
          <cell r="A2042" t="str">
            <v>QUOTE</v>
          </cell>
          <cell r="B2042">
            <v>3063</v>
          </cell>
          <cell r="C2042" t="str">
            <v>Cath Triple Lumen 7Fg 20Cm Cvc</v>
          </cell>
        </row>
        <row r="2043">
          <cell r="A2043" t="str">
            <v>QUOTE</v>
          </cell>
          <cell r="B2043">
            <v>3064</v>
          </cell>
          <cell r="C2043" t="str">
            <v>~Dutasteride 0.5Mg Tabs</v>
          </cell>
        </row>
        <row r="2044">
          <cell r="A2044">
            <v>180217840</v>
          </cell>
          <cell r="B2044">
            <v>3065</v>
          </cell>
          <cell r="C2044" t="str">
            <v>Pouch Ostomy One Piece 19-50Mm Baby Size Clear Drainabl</v>
          </cell>
        </row>
        <row r="2045">
          <cell r="A2045">
            <v>181821881</v>
          </cell>
          <cell r="B2045">
            <v>3066</v>
          </cell>
          <cell r="C2045" t="str">
            <v>Co-Trimoxazole Tabs 960Mg (28'S)</v>
          </cell>
        </row>
        <row r="2046">
          <cell r="A2046" t="str">
            <v>QUOTE</v>
          </cell>
          <cell r="B2046">
            <v>3067</v>
          </cell>
          <cell r="C2046" t="str">
            <v>Sut Synthabs 3/0 3/8Tp 24Mm</v>
          </cell>
        </row>
        <row r="2047">
          <cell r="A2047" t="str">
            <v>*</v>
          </cell>
          <cell r="B2047">
            <v>3068</v>
          </cell>
          <cell r="C2047" t="str">
            <v>Test Kit Rhesus Rapid (Rh)</v>
          </cell>
        </row>
        <row r="2048">
          <cell r="A2048" t="str">
            <v>DELETED</v>
          </cell>
          <cell r="B2048">
            <v>3069</v>
          </cell>
          <cell r="C2048" t="str">
            <v>~Mask Oxygen + Tube Adult Fix % Da00012</v>
          </cell>
        </row>
        <row r="2049">
          <cell r="A2049" t="str">
            <v>QUOTE</v>
          </cell>
          <cell r="B2049">
            <v>3070</v>
          </cell>
          <cell r="C2049" t="str">
            <v>~D-Biotin Tablets</v>
          </cell>
        </row>
        <row r="2050">
          <cell r="A2050">
            <v>189711671</v>
          </cell>
          <cell r="B2050">
            <v>3071</v>
          </cell>
          <cell r="C2050" t="str">
            <v>Calcium Folinate Tab 15Mg (10'S)</v>
          </cell>
        </row>
        <row r="2051">
          <cell r="A2051" t="str">
            <v>DELETED</v>
          </cell>
          <cell r="B2051">
            <v>3072</v>
          </cell>
          <cell r="C2051" t="str">
            <v>~Sut Polyprop 4/0 3/8Rc 24Mm 45Cm</v>
          </cell>
        </row>
        <row r="2052">
          <cell r="A2052" t="str">
            <v>DELETED</v>
          </cell>
          <cell r="B2052">
            <v>3073</v>
          </cell>
          <cell r="C2052" t="str">
            <v>~Sut Synthabs 1 1/2Rc 48Mm</v>
          </cell>
        </row>
        <row r="2053">
          <cell r="A2053">
            <v>180069353</v>
          </cell>
          <cell r="B2053">
            <v>3074</v>
          </cell>
          <cell r="C2053" t="str">
            <v>~Prednisolone Sodium Phosphate Enema 20Mg/100ml</v>
          </cell>
        </row>
        <row r="2054">
          <cell r="A2054">
            <v>180258223</v>
          </cell>
          <cell r="B2054">
            <v>3075</v>
          </cell>
          <cell r="C2054" t="str">
            <v>Amino Acid 18 Dextrose 35 Fat 20  2530Ml</v>
          </cell>
        </row>
        <row r="2055">
          <cell r="A2055" t="str">
            <v>QOUTE</v>
          </cell>
          <cell r="B2055">
            <v>3076</v>
          </cell>
          <cell r="C2055" t="str">
            <v>~Leuprolide Inj Depot 11.25Mg</v>
          </cell>
        </row>
        <row r="2056">
          <cell r="A2056">
            <v>181803368</v>
          </cell>
          <cell r="B2056">
            <v>3077</v>
          </cell>
          <cell r="C2056" t="str">
            <v>Risperidone Inj 37.5Mg</v>
          </cell>
        </row>
        <row r="2057">
          <cell r="A2057">
            <v>180114760</v>
          </cell>
          <cell r="B2057">
            <v>3078</v>
          </cell>
          <cell r="C2057" t="str">
            <v>Ipratropium Udv 0.25Mg/2ml (60'S)</v>
          </cell>
        </row>
        <row r="2058">
          <cell r="A2058">
            <v>180136965</v>
          </cell>
          <cell r="B2058">
            <v>3079</v>
          </cell>
          <cell r="C2058" t="str">
            <v>Tube Endotracheal Non Cuff Oral 7.0</v>
          </cell>
        </row>
        <row r="2059">
          <cell r="A2059">
            <v>180034548</v>
          </cell>
          <cell r="B2059">
            <v>3080</v>
          </cell>
          <cell r="C2059" t="str">
            <v>Admin Set Blood 20 Drops Paediatric</v>
          </cell>
        </row>
        <row r="2060">
          <cell r="A2060">
            <v>189712992</v>
          </cell>
          <cell r="B2060">
            <v>3081</v>
          </cell>
          <cell r="C2060" t="str">
            <v>Tube Endotracheal Non Cuff Dual 2.0</v>
          </cell>
        </row>
        <row r="2061">
          <cell r="A2061">
            <v>180212807</v>
          </cell>
          <cell r="B2061">
            <v>3082</v>
          </cell>
          <cell r="C2061" t="str">
            <v>Tube Endotracheal Non Cuff Dual 4.0</v>
          </cell>
        </row>
        <row r="2062">
          <cell r="A2062">
            <v>180212808</v>
          </cell>
          <cell r="B2062">
            <v>3083</v>
          </cell>
          <cell r="C2062" t="str">
            <v>Tube Endotracheal Non Cuff Dual 4.5</v>
          </cell>
        </row>
        <row r="2063">
          <cell r="A2063">
            <v>180212810</v>
          </cell>
          <cell r="B2063">
            <v>3084</v>
          </cell>
          <cell r="C2063" t="str">
            <v>Tube Endotracheal Non Cuff Dual 5.0</v>
          </cell>
        </row>
        <row r="2064">
          <cell r="A2064">
            <v>180212811</v>
          </cell>
          <cell r="B2064">
            <v>3085</v>
          </cell>
          <cell r="C2064" t="str">
            <v>Tube Endotracheal Non Cuff Dual 5.5</v>
          </cell>
        </row>
        <row r="2065">
          <cell r="A2065">
            <v>189713970</v>
          </cell>
          <cell r="B2065">
            <v>3086</v>
          </cell>
          <cell r="C2065" t="str">
            <v>Tube Endotracheal Non Cuff Dual 6.0</v>
          </cell>
        </row>
        <row r="2066">
          <cell r="A2066">
            <v>181848634</v>
          </cell>
          <cell r="B2066">
            <v>3087</v>
          </cell>
          <cell r="C2066" t="str">
            <v>Needle Bonemarrow  8G X 100Mm</v>
          </cell>
        </row>
        <row r="2067">
          <cell r="A2067">
            <v>189712804</v>
          </cell>
          <cell r="B2067">
            <v>3088</v>
          </cell>
          <cell r="C2067" t="str">
            <v>Pouch Ostomy  70Mm Opaque Two-Piece</v>
          </cell>
        </row>
        <row r="2068">
          <cell r="A2068">
            <v>189710677</v>
          </cell>
          <cell r="B2068">
            <v>3089</v>
          </cell>
          <cell r="C2068" t="str">
            <v>~Pentifylline Tabs 400Mg Nicotinic Acid 100Mg</v>
          </cell>
        </row>
        <row r="2069">
          <cell r="A2069">
            <v>180351619</v>
          </cell>
          <cell r="B2069">
            <v>3090</v>
          </cell>
          <cell r="C2069" t="str">
            <v>~Acarbose Tabs 50Mg</v>
          </cell>
        </row>
        <row r="2070">
          <cell r="A2070">
            <v>189761174</v>
          </cell>
          <cell r="B2070">
            <v>3091</v>
          </cell>
          <cell r="C2070" t="str">
            <v>~Danazol Caps 200Mg (60'S)</v>
          </cell>
        </row>
        <row r="2071">
          <cell r="A2071">
            <v>189703221</v>
          </cell>
          <cell r="B2071">
            <v>3092</v>
          </cell>
          <cell r="C2071" t="str">
            <v>Benzylpenicillin Inj 5Mu</v>
          </cell>
        </row>
        <row r="2072">
          <cell r="A2072">
            <v>189712267</v>
          </cell>
          <cell r="B2072">
            <v>3093</v>
          </cell>
          <cell r="C2072" t="str">
            <v>Albumin Solution 20%  100Ml</v>
          </cell>
        </row>
        <row r="2073">
          <cell r="A2073">
            <v>180329839</v>
          </cell>
          <cell r="B2073">
            <v>3095</v>
          </cell>
          <cell r="C2073" t="str">
            <v>Tube Endotracheal Cuff Nasal 7.5</v>
          </cell>
        </row>
        <row r="2074">
          <cell r="A2074">
            <v>180210841</v>
          </cell>
          <cell r="B2074">
            <v>3096</v>
          </cell>
          <cell r="C2074" t="str">
            <v>Sut Chromic 4/0 3/8Rc 19Mm</v>
          </cell>
        </row>
        <row r="2075">
          <cell r="A2075">
            <v>180319918</v>
          </cell>
          <cell r="B2075">
            <v>3097</v>
          </cell>
          <cell r="C2075" t="str">
            <v>Sut Chromic 1 1/2Tc 35Mm Heavy</v>
          </cell>
        </row>
        <row r="2076">
          <cell r="A2076">
            <v>181915188</v>
          </cell>
          <cell r="B2076">
            <v>3098</v>
          </cell>
          <cell r="C2076" t="str">
            <v>N-Acetylcysteine Inj 200Mg/ml 10Ml</v>
          </cell>
        </row>
        <row r="2077">
          <cell r="A2077">
            <v>180145945</v>
          </cell>
          <cell r="B2077">
            <v>3099</v>
          </cell>
          <cell r="C2077" t="str">
            <v>Ring Fallopian Tube</v>
          </cell>
        </row>
        <row r="2078">
          <cell r="A2078" t="str">
            <v>QUOTE</v>
          </cell>
          <cell r="B2078">
            <v>3100</v>
          </cell>
          <cell r="C2078" t="str">
            <v>Sut Polyprop 1 3/8C 90Cm</v>
          </cell>
        </row>
        <row r="2079">
          <cell r="A2079">
            <v>189713806</v>
          </cell>
          <cell r="B2079">
            <v>3101</v>
          </cell>
          <cell r="C2079" t="str">
            <v>Sut Monosyn 1 1/2Tp 65Mm Loop</v>
          </cell>
        </row>
        <row r="2080">
          <cell r="A2080">
            <v>189753243</v>
          </cell>
          <cell r="B2080">
            <v>3102</v>
          </cell>
          <cell r="C2080" t="str">
            <v>Zuclopenthixol Acetate Inj 50Mg 1Ml</v>
          </cell>
        </row>
        <row r="2081">
          <cell r="A2081" t="str">
            <v>QUOTE</v>
          </cell>
          <cell r="B2081">
            <v>3103</v>
          </cell>
          <cell r="C2081" t="str">
            <v>Cath Single Lumen Pead 20G 12.7Cm Cvc Set</v>
          </cell>
        </row>
        <row r="2082">
          <cell r="A2082">
            <v>180211858</v>
          </cell>
          <cell r="B2082">
            <v>3104</v>
          </cell>
          <cell r="C2082" t="str">
            <v>Sut Chromic 3/0 1/2Tp 20Mm</v>
          </cell>
        </row>
        <row r="2083">
          <cell r="A2083">
            <v>180046830</v>
          </cell>
          <cell r="B2083">
            <v>3105</v>
          </cell>
          <cell r="C2083" t="str">
            <v>Sut Silk 4/0 3/8Cc 25Mm</v>
          </cell>
        </row>
        <row r="2084">
          <cell r="A2084">
            <v>180956882</v>
          </cell>
          <cell r="B2084">
            <v>3106</v>
          </cell>
          <cell r="C2084" t="str">
            <v>Sut Polyest   2 1/2Tc 40Mm</v>
          </cell>
        </row>
        <row r="2085">
          <cell r="A2085">
            <v>189710243</v>
          </cell>
          <cell r="B2085">
            <v>3107</v>
          </cell>
          <cell r="C2085" t="str">
            <v>~Sotalol Tabs 80Mg (100'S)</v>
          </cell>
        </row>
        <row r="2086">
          <cell r="A2086">
            <v>180961893</v>
          </cell>
          <cell r="B2086">
            <v>3108</v>
          </cell>
          <cell r="C2086" t="str">
            <v>Syringe Safety 3Ml 22Gx40mm (0.7Mm) Needle</v>
          </cell>
        </row>
        <row r="2087">
          <cell r="A2087" t="str">
            <v>QUOTE</v>
          </cell>
          <cell r="B2087">
            <v>3109</v>
          </cell>
          <cell r="C2087" t="str">
            <v>Syringe Disposable Luer Lock  5Ml</v>
          </cell>
        </row>
        <row r="2088">
          <cell r="A2088">
            <v>180356526</v>
          </cell>
          <cell r="B2088">
            <v>3110</v>
          </cell>
          <cell r="C2088" t="str">
            <v>Bag Plastic Tablet White 110Mm X 100Mm Top Feed Unprint</v>
          </cell>
        </row>
        <row r="2089">
          <cell r="A2089" t="str">
            <v>QUOTE</v>
          </cell>
          <cell r="B2089">
            <v>3111</v>
          </cell>
          <cell r="C2089" t="str">
            <v>Syringe Disposable Luer Lock 10Ml</v>
          </cell>
        </row>
        <row r="2090">
          <cell r="A2090" t="str">
            <v>QUOTATION</v>
          </cell>
          <cell r="B2090">
            <v>3112</v>
          </cell>
          <cell r="C2090" t="str">
            <v>Gore-Tex Dualmesh Sutures Ptfe Cv-0912Cm Thx-25.</v>
          </cell>
        </row>
        <row r="2091">
          <cell r="A2091">
            <v>180289232</v>
          </cell>
          <cell r="B2091">
            <v>3113</v>
          </cell>
          <cell r="C2091" t="str">
            <v>Disodium Pamidronate Inj 15Mg</v>
          </cell>
        </row>
        <row r="2092">
          <cell r="A2092">
            <v>180229110</v>
          </cell>
          <cell r="B2092">
            <v>3114</v>
          </cell>
          <cell r="C2092" t="str">
            <v>Glove Surgical Low Allergy Size 7.5</v>
          </cell>
        </row>
        <row r="2093">
          <cell r="A2093">
            <v>180083912</v>
          </cell>
          <cell r="B2093">
            <v>3115</v>
          </cell>
          <cell r="C2093" t="str">
            <v>Etoposide Caps  50Mg</v>
          </cell>
        </row>
        <row r="2094">
          <cell r="A2094">
            <v>189711688</v>
          </cell>
          <cell r="B2094">
            <v>3116</v>
          </cell>
          <cell r="C2094" t="str">
            <v>Mesna Inj 400Mg</v>
          </cell>
        </row>
        <row r="2095">
          <cell r="A2095">
            <v>180103949</v>
          </cell>
          <cell r="B2095">
            <v>3117</v>
          </cell>
          <cell r="C2095" t="str">
            <v>Clindamycin Caps 150Mg (20'S)</v>
          </cell>
        </row>
        <row r="2096">
          <cell r="A2096">
            <v>189714259</v>
          </cell>
          <cell r="B2096">
            <v>3118</v>
          </cell>
          <cell r="C2096" t="str">
            <v>Ifosfamide Inj 2000Mg</v>
          </cell>
        </row>
        <row r="2097">
          <cell r="A2097">
            <v>189714258</v>
          </cell>
          <cell r="B2097">
            <v>3119</v>
          </cell>
          <cell r="C2097" t="str">
            <v>Ifosfamide Inj 1000Mg</v>
          </cell>
        </row>
        <row r="2098">
          <cell r="A2098" t="str">
            <v>QUOTE</v>
          </cell>
          <cell r="B2098">
            <v>3120</v>
          </cell>
          <cell r="C2098" t="str">
            <v>Admin Set Peritoneal Dialysis 12Fg 30Cm Adult</v>
          </cell>
        </row>
        <row r="2099">
          <cell r="A2099">
            <v>180280762</v>
          </cell>
          <cell r="B2099">
            <v>3121</v>
          </cell>
          <cell r="C2099" t="str">
            <v>~Minocycline Tabs 50Mg</v>
          </cell>
        </row>
        <row r="2100">
          <cell r="A2100">
            <v>189762972</v>
          </cell>
          <cell r="B2100">
            <v>3122</v>
          </cell>
          <cell r="C2100" t="str">
            <v>Ciprofloxacin 250Mg Tabs (10'S)</v>
          </cell>
        </row>
        <row r="2101">
          <cell r="A2101">
            <v>180076001</v>
          </cell>
          <cell r="B2101">
            <v>3123</v>
          </cell>
          <cell r="C2101" t="str">
            <v>~Haloperidol Inj 10Mg/ml 2Ml</v>
          </cell>
        </row>
        <row r="2102">
          <cell r="A2102">
            <v>180075755</v>
          </cell>
          <cell r="B2102">
            <v>3124</v>
          </cell>
          <cell r="C2102" t="str">
            <v>Desferrioxamine Mesylate Inj 500Mg/vial</v>
          </cell>
        </row>
        <row r="2103">
          <cell r="A2103">
            <v>180145713</v>
          </cell>
          <cell r="B2103">
            <v>3125</v>
          </cell>
          <cell r="C2103" t="str">
            <v>Clarithromycin Tabs 500Mg (14'S)</v>
          </cell>
        </row>
        <row r="2104">
          <cell r="A2104">
            <v>189714222</v>
          </cell>
          <cell r="B2104">
            <v>3126</v>
          </cell>
          <cell r="C2104" t="str">
            <v>Methylprednisolone Acetate Inj 80Mg</v>
          </cell>
        </row>
        <row r="2105">
          <cell r="A2105">
            <v>180076476</v>
          </cell>
          <cell r="B2105">
            <v>3127</v>
          </cell>
          <cell r="C2105" t="str">
            <v>Pancuronium Inj 2Mg/ml 2Ml</v>
          </cell>
        </row>
        <row r="2106">
          <cell r="A2106">
            <v>180079726</v>
          </cell>
          <cell r="B2106">
            <v>3128</v>
          </cell>
          <cell r="C2106" t="str">
            <v>~Morphine, Papaverine &amp; Codeine 15.68Mg/ml - 1Ml</v>
          </cell>
        </row>
        <row r="2107">
          <cell r="A2107" t="str">
            <v>DELETED</v>
          </cell>
          <cell r="B2107">
            <v>3129</v>
          </cell>
          <cell r="C2107" t="str">
            <v>~Sodium Bicarb Inj 4% 20Ml</v>
          </cell>
        </row>
        <row r="2108">
          <cell r="A2108">
            <v>181867272</v>
          </cell>
          <cell r="B2108">
            <v>3130</v>
          </cell>
          <cell r="C2108" t="str">
            <v>Quetiapine X R 300Mg Tabs (60'S)</v>
          </cell>
        </row>
        <row r="2109">
          <cell r="A2109" t="str">
            <v>QUOTE</v>
          </cell>
          <cell r="B2109">
            <v>3131</v>
          </cell>
          <cell r="C2109" t="str">
            <v>Labels Rectal Vaginal</v>
          </cell>
        </row>
        <row r="2110">
          <cell r="A2110">
            <v>180074564</v>
          </cell>
          <cell r="B2110">
            <v>3132</v>
          </cell>
          <cell r="C2110" t="str">
            <v>~Fenoterol Syr 2.5Mg/5ml 50Ml</v>
          </cell>
        </row>
        <row r="2111">
          <cell r="A2111">
            <v>181867216</v>
          </cell>
          <cell r="B2111">
            <v>3133</v>
          </cell>
          <cell r="C2111" t="str">
            <v>Quetiapine X R 400Mg Tabs (60'S)</v>
          </cell>
        </row>
        <row r="2112">
          <cell r="A2112">
            <v>189755058</v>
          </cell>
          <cell r="B2112">
            <v>3134</v>
          </cell>
          <cell r="C2112" t="str">
            <v>Vitamin B Complex Syrup 100Ml</v>
          </cell>
        </row>
        <row r="2113">
          <cell r="A2113" t="str">
            <v>QUOTE</v>
          </cell>
          <cell r="B2113">
            <v>3135</v>
          </cell>
          <cell r="C2113" t="str">
            <v>~Levocarnitine Powder 2Kg</v>
          </cell>
        </row>
        <row r="2114">
          <cell r="A2114" t="str">
            <v>QUOTE</v>
          </cell>
          <cell r="B2114">
            <v>3136</v>
          </cell>
          <cell r="C2114" t="str">
            <v>~Levocarnitine Caps 500Mg</v>
          </cell>
        </row>
        <row r="2115">
          <cell r="A2115" t="str">
            <v>QUOTE</v>
          </cell>
          <cell r="B2115">
            <v>3137</v>
          </cell>
          <cell r="C2115" t="str">
            <v>Labels I V-Additive</v>
          </cell>
        </row>
        <row r="2116">
          <cell r="A2116">
            <v>181810590</v>
          </cell>
          <cell r="B2116">
            <v>3138</v>
          </cell>
          <cell r="C2116" t="str">
            <v>Para-Amino Salicylic Acid Granules</v>
          </cell>
        </row>
        <row r="2117">
          <cell r="A2117">
            <v>180046796</v>
          </cell>
          <cell r="B2117">
            <v>3139</v>
          </cell>
          <cell r="C2117" t="str">
            <v>Collagenase Clostridiopeptidase Oint 30G</v>
          </cell>
        </row>
        <row r="2118">
          <cell r="A2118">
            <v>180185834</v>
          </cell>
          <cell r="B2118">
            <v>3140</v>
          </cell>
          <cell r="C2118" t="str">
            <v>Sut Synthabs 6/0 3/8Rc 11-11.2Mm 45Cm</v>
          </cell>
        </row>
        <row r="2119">
          <cell r="A2119">
            <v>181936078</v>
          </cell>
          <cell r="B2119">
            <v>3141</v>
          </cell>
          <cell r="C2119" t="str">
            <v>Omeprazole 10Mg Capsule (30'S)</v>
          </cell>
        </row>
        <row r="2120">
          <cell r="A2120">
            <v>189707997</v>
          </cell>
          <cell r="B2120">
            <v>3142</v>
          </cell>
          <cell r="C2120" t="str">
            <v>~Indomethacin Gel 1% 25G</v>
          </cell>
        </row>
        <row r="2121">
          <cell r="A2121">
            <v>189712316</v>
          </cell>
          <cell r="B2121">
            <v>3143</v>
          </cell>
          <cell r="C2121" t="str">
            <v>Ispaghula Husk Sachets 3.5G</v>
          </cell>
        </row>
        <row r="2122">
          <cell r="A2122" t="str">
            <v>QUOTE</v>
          </cell>
          <cell r="B2122">
            <v>3144</v>
          </cell>
          <cell r="C2122" t="str">
            <v>~Doxapram Inj 20Mg/ml</v>
          </cell>
        </row>
        <row r="2123">
          <cell r="A2123">
            <v>180108130</v>
          </cell>
          <cell r="B2123">
            <v>3145</v>
          </cell>
          <cell r="C2123" t="str">
            <v>Lamotrigine Tabs 100Mg (60'S)</v>
          </cell>
        </row>
        <row r="2124">
          <cell r="A2124">
            <v>189708111</v>
          </cell>
          <cell r="B2124">
            <v>3146</v>
          </cell>
          <cell r="C2124" t="str">
            <v>~Miconazole Nitrate Cream 30G</v>
          </cell>
        </row>
        <row r="2125">
          <cell r="A2125">
            <v>180211998</v>
          </cell>
          <cell r="B2125">
            <v>3147</v>
          </cell>
          <cell r="C2125" t="str">
            <v>Sut Synthabs 3/0 3/8Rc 19Mm</v>
          </cell>
        </row>
        <row r="2126">
          <cell r="A2126">
            <v>180221925</v>
          </cell>
          <cell r="B2126">
            <v>3148</v>
          </cell>
          <cell r="C2126" t="str">
            <v>Fludarabine Inj 50Mg</v>
          </cell>
        </row>
        <row r="2127">
          <cell r="A2127">
            <v>181823255</v>
          </cell>
          <cell r="B2127">
            <v>3149</v>
          </cell>
          <cell r="C2127" t="str">
            <v>Albendazole Tabs 400Mg (1'S)</v>
          </cell>
        </row>
        <row r="2128">
          <cell r="A2128">
            <v>189710390</v>
          </cell>
          <cell r="B2128">
            <v>3150</v>
          </cell>
          <cell r="C2128" t="str">
            <v>~Amantadine Caps 100Mg (20'S)</v>
          </cell>
        </row>
        <row r="2129">
          <cell r="A2129">
            <v>181821872</v>
          </cell>
          <cell r="B2129">
            <v>3151</v>
          </cell>
          <cell r="C2129" t="str">
            <v>~Cimetidine Tabs 400Mg (56'S)</v>
          </cell>
        </row>
        <row r="2130">
          <cell r="A2130">
            <v>189710378</v>
          </cell>
          <cell r="B2130">
            <v>3152</v>
          </cell>
          <cell r="C2130" t="str">
            <v>~Dexamethasone Tabs 0.5Mg</v>
          </cell>
        </row>
        <row r="2131">
          <cell r="A2131">
            <v>189710188</v>
          </cell>
          <cell r="B2131">
            <v>3153</v>
          </cell>
          <cell r="C2131" t="str">
            <v>Enalapril Tabs  5Mg (28'S)</v>
          </cell>
        </row>
        <row r="2132">
          <cell r="A2132">
            <v>189708531</v>
          </cell>
          <cell r="B2132">
            <v>3154</v>
          </cell>
          <cell r="C2132" t="str">
            <v>Enalapril Tabs 10Mg (28'S)</v>
          </cell>
        </row>
        <row r="2133">
          <cell r="A2133">
            <v>189710466</v>
          </cell>
          <cell r="B2133">
            <v>3155</v>
          </cell>
          <cell r="C2133" t="str">
            <v>~Ergotamine Caffeine Tabs 1Mg/100mg</v>
          </cell>
        </row>
        <row r="2134">
          <cell r="A2134">
            <v>181817488</v>
          </cell>
          <cell r="B2134">
            <v>3156</v>
          </cell>
          <cell r="C2134" t="str">
            <v>Ethionamide Tabs 250Mg (28'S)</v>
          </cell>
        </row>
        <row r="2135">
          <cell r="A2135" t="str">
            <v>QUOTE</v>
          </cell>
          <cell r="B2135">
            <v>3157</v>
          </cell>
          <cell r="C2135" t="str">
            <v>~Clip Suture Von Petz Kd500/10</v>
          </cell>
        </row>
        <row r="2136">
          <cell r="A2136">
            <v>189710233</v>
          </cell>
          <cell r="B2136">
            <v>3158</v>
          </cell>
          <cell r="C2136" t="str">
            <v>Metformin Tabs 850Mg (300'S)</v>
          </cell>
        </row>
        <row r="2137">
          <cell r="A2137">
            <v>181769645</v>
          </cell>
          <cell r="B2137">
            <v>3159</v>
          </cell>
          <cell r="C2137" t="str">
            <v>~Methylphenidate Tabs 20Mg Slow Release</v>
          </cell>
        </row>
        <row r="2138">
          <cell r="A2138">
            <v>189710067</v>
          </cell>
          <cell r="B2138">
            <v>3160</v>
          </cell>
          <cell r="C2138" t="str">
            <v>`Nicotinic Acid Tabs 100Mg</v>
          </cell>
        </row>
        <row r="2139">
          <cell r="A2139">
            <v>189710148</v>
          </cell>
          <cell r="B2139">
            <v>3161</v>
          </cell>
          <cell r="C2139" t="str">
            <v>Conj. Oestrogens Tabs 0.3Mg (28'S)</v>
          </cell>
        </row>
        <row r="2140">
          <cell r="A2140">
            <v>189710156</v>
          </cell>
          <cell r="B2140">
            <v>3162</v>
          </cell>
          <cell r="C2140" t="str">
            <v>~Oxazepam Tabs 15Mg</v>
          </cell>
        </row>
        <row r="2141">
          <cell r="A2141">
            <v>189754112</v>
          </cell>
          <cell r="B2141">
            <v>3163</v>
          </cell>
          <cell r="C2141" t="str">
            <v>~Propafenone 150Mg Tablets</v>
          </cell>
        </row>
        <row r="2142">
          <cell r="A2142">
            <v>180073825</v>
          </cell>
          <cell r="B2142">
            <v>3164</v>
          </cell>
          <cell r="C2142" t="str">
            <v>Ciclosporin Inj 50Mg</v>
          </cell>
        </row>
        <row r="2143">
          <cell r="A2143">
            <v>189714159</v>
          </cell>
          <cell r="B2143">
            <v>3165</v>
          </cell>
          <cell r="C2143" t="str">
            <v>~Pimozide Tabs 4Mg</v>
          </cell>
        </row>
        <row r="2144">
          <cell r="A2144" t="str">
            <v>PREPACK 28</v>
          </cell>
          <cell r="B2144">
            <v>3166</v>
          </cell>
          <cell r="C2144" t="str">
            <v>Propranolol Tabs 40Mg (28'S)</v>
          </cell>
        </row>
        <row r="2145">
          <cell r="A2145">
            <v>189710349</v>
          </cell>
          <cell r="B2145">
            <v>3167</v>
          </cell>
          <cell r="C2145" t="str">
            <v>~Trihexyphenidyl Tabs 5Mg</v>
          </cell>
        </row>
        <row r="2146">
          <cell r="A2146">
            <v>180339611</v>
          </cell>
          <cell r="B2146">
            <v>3168</v>
          </cell>
          <cell r="C2146" t="str">
            <v>Vitamin B Co Strong Tabs (28'S)</v>
          </cell>
        </row>
        <row r="2147">
          <cell r="A2147">
            <v>181817416</v>
          </cell>
          <cell r="B2147">
            <v>3169</v>
          </cell>
          <cell r="C2147" t="str">
            <v>Ethambutol Tabs 400Mg (84'S)</v>
          </cell>
        </row>
        <row r="2148">
          <cell r="A2148">
            <v>180106500</v>
          </cell>
          <cell r="B2148">
            <v>3170</v>
          </cell>
          <cell r="C2148" t="str">
            <v>Sodium Bicarb  4.2% 200Ml (Glass)</v>
          </cell>
        </row>
        <row r="2149">
          <cell r="A2149" t="str">
            <v>MOTIVATION</v>
          </cell>
          <cell r="B2149">
            <v>3171</v>
          </cell>
          <cell r="C2149" t="str">
            <v>Darifenacin 15Mg Tablet</v>
          </cell>
        </row>
        <row r="2150">
          <cell r="A2150">
            <v>180319729</v>
          </cell>
          <cell r="B2150">
            <v>3172</v>
          </cell>
          <cell r="C2150" t="str">
            <v>Succinylated Gelatin 20G, Nacl 3.51G, Naoh0.68G</v>
          </cell>
        </row>
        <row r="2151">
          <cell r="A2151">
            <v>180001335</v>
          </cell>
          <cell r="B2151">
            <v>3173</v>
          </cell>
          <cell r="C2151" t="str">
            <v>Ipratropium Inhaler 40Mcg  200 M.D.I</v>
          </cell>
        </row>
        <row r="2152">
          <cell r="A2152">
            <v>189708890</v>
          </cell>
          <cell r="B2152">
            <v>3174</v>
          </cell>
          <cell r="C2152" t="str">
            <v>Benzathine Penicillin G Inj 1.2Mu</v>
          </cell>
        </row>
        <row r="2153">
          <cell r="A2153">
            <v>180076777</v>
          </cell>
          <cell r="B2153">
            <v>3175</v>
          </cell>
          <cell r="C2153" t="str">
            <v>Sufentanil Citrate Inj  5Mcg 2Ml</v>
          </cell>
        </row>
        <row r="2154">
          <cell r="A2154">
            <v>180035013</v>
          </cell>
          <cell r="B2154">
            <v>3176</v>
          </cell>
          <cell r="C2154" t="str">
            <v>Salmeterol Xinafoate 25Mcg Per Metered Inhalation</v>
          </cell>
        </row>
        <row r="2155">
          <cell r="A2155">
            <v>180090032</v>
          </cell>
          <cell r="B2155">
            <v>3177</v>
          </cell>
          <cell r="C2155" t="str">
            <v>Fenoterol Udv 0.5Mg/2ml</v>
          </cell>
        </row>
        <row r="2156">
          <cell r="A2156">
            <v>180076782</v>
          </cell>
          <cell r="B2156">
            <v>3178</v>
          </cell>
          <cell r="C2156" t="str">
            <v>~Sufentanil Citrate Inj 50Mcg/ml 5Ml Amp</v>
          </cell>
        </row>
        <row r="2157">
          <cell r="A2157">
            <v>180314014</v>
          </cell>
          <cell r="B2157">
            <v>3179</v>
          </cell>
          <cell r="C2157" t="str">
            <v>~Stavudine Caps 40Mg</v>
          </cell>
        </row>
        <row r="2158">
          <cell r="A2158">
            <v>189762856</v>
          </cell>
          <cell r="B2158">
            <v>3180</v>
          </cell>
          <cell r="C2158" t="str">
            <v>Simvastatin Tabs 10Mg (28'S)</v>
          </cell>
        </row>
        <row r="2159">
          <cell r="A2159" t="str">
            <v>QUOTE</v>
          </cell>
          <cell r="B2159">
            <v>3181</v>
          </cell>
          <cell r="C2159" t="str">
            <v>Calcipotriol Scalp Solution 30Ml (Code 693113)</v>
          </cell>
        </row>
        <row r="2160">
          <cell r="A2160" t="str">
            <v>QUOTE</v>
          </cell>
          <cell r="B2160">
            <v>3182</v>
          </cell>
          <cell r="C2160" t="str">
            <v>~Lumiracoxib Tabs 100Mg</v>
          </cell>
        </row>
        <row r="2161">
          <cell r="A2161" t="str">
            <v>QUOTE</v>
          </cell>
          <cell r="B2161">
            <v>3183</v>
          </cell>
          <cell r="C2161" t="str">
            <v>~Lumiracoxib Tabs 400Mg</v>
          </cell>
        </row>
        <row r="2162">
          <cell r="A2162">
            <v>189762952</v>
          </cell>
          <cell r="B2162">
            <v>3184</v>
          </cell>
          <cell r="C2162" t="str">
            <v>~Isradipine Tabs 2.5Mg</v>
          </cell>
        </row>
        <row r="2163">
          <cell r="A2163">
            <v>180217841</v>
          </cell>
          <cell r="B2163">
            <v>3185</v>
          </cell>
          <cell r="C2163" t="str">
            <v>Pouch Urostomy 10-35Mm Children</v>
          </cell>
        </row>
        <row r="2164">
          <cell r="A2164" t="str">
            <v>QUOTE STOMA</v>
          </cell>
          <cell r="B2164">
            <v>3186</v>
          </cell>
          <cell r="C2164" t="str">
            <v>Pouch Urostomy One Piece 28Mm Clear Drainable</v>
          </cell>
        </row>
        <row r="2165">
          <cell r="A2165">
            <v>189710587</v>
          </cell>
          <cell r="B2165">
            <v>3187</v>
          </cell>
          <cell r="C2165" t="str">
            <v>~Insulin Humulin N 10Ml</v>
          </cell>
        </row>
        <row r="2166">
          <cell r="A2166">
            <v>189710585</v>
          </cell>
          <cell r="B2166">
            <v>3188</v>
          </cell>
          <cell r="C2166" t="str">
            <v>~Insulin Humulin R 10Ml</v>
          </cell>
        </row>
        <row r="2167">
          <cell r="A2167" t="str">
            <v>QUOTE</v>
          </cell>
          <cell r="B2167">
            <v>3189</v>
          </cell>
          <cell r="C2167" t="str">
            <v>Zinc Sulphate Powder B P</v>
          </cell>
        </row>
        <row r="2168">
          <cell r="A2168">
            <v>189714875</v>
          </cell>
          <cell r="B2168">
            <v>3190</v>
          </cell>
          <cell r="C2168" t="str">
            <v>~Povidone Iodine Vaginal Cleanser 250Ml</v>
          </cell>
        </row>
        <row r="2169">
          <cell r="A2169">
            <v>189711634</v>
          </cell>
          <cell r="B2169">
            <v>3191</v>
          </cell>
          <cell r="C2169" t="str">
            <v>~Insulin Humulin 30/70 10Ml</v>
          </cell>
        </row>
        <row r="2170">
          <cell r="A2170">
            <v>181774099</v>
          </cell>
          <cell r="B2170">
            <v>3192</v>
          </cell>
          <cell r="C2170" t="str">
            <v>Mask Surgical With Eye Shield</v>
          </cell>
        </row>
        <row r="2171">
          <cell r="A2171">
            <v>181817627</v>
          </cell>
          <cell r="B2171">
            <v>3193</v>
          </cell>
          <cell r="C2171" t="str">
            <v>Rif 150 Pza 400 Inh 75 Eth 275  (84'S)</v>
          </cell>
        </row>
        <row r="2172">
          <cell r="A2172">
            <v>180292357</v>
          </cell>
          <cell r="B2172">
            <v>3194</v>
          </cell>
          <cell r="C2172" t="str">
            <v>Phenoxymethyl Penicillin Tabs 250Mg (40'S)</v>
          </cell>
        </row>
        <row r="2173">
          <cell r="A2173">
            <v>180155482</v>
          </cell>
          <cell r="B2173">
            <v>3195</v>
          </cell>
          <cell r="C2173" t="str">
            <v>Paracetamol Tabs 500Mg (10'S)</v>
          </cell>
        </row>
        <row r="2174">
          <cell r="A2174">
            <v>180292354</v>
          </cell>
          <cell r="B2174">
            <v>3196</v>
          </cell>
          <cell r="C2174" t="str">
            <v>Amoxycillin Caps 500Mg (15'S)</v>
          </cell>
        </row>
        <row r="2175">
          <cell r="A2175">
            <v>189715654</v>
          </cell>
          <cell r="B2175">
            <v>3197</v>
          </cell>
          <cell r="C2175" t="str">
            <v>Dantrolene Inj 20Mg</v>
          </cell>
        </row>
        <row r="2176">
          <cell r="A2176">
            <v>180075911</v>
          </cell>
          <cell r="B2176">
            <v>3198</v>
          </cell>
          <cell r="C2176" t="str">
            <v>~Esmolol Inj 10Mg 10Ml</v>
          </cell>
        </row>
        <row r="2177">
          <cell r="A2177">
            <v>180342029</v>
          </cell>
          <cell r="B2177">
            <v>3199</v>
          </cell>
          <cell r="C2177" t="str">
            <v>Flucloxacillin Caps 250Mg (20'S)</v>
          </cell>
        </row>
        <row r="2178">
          <cell r="A2178">
            <v>180075516</v>
          </cell>
          <cell r="B2178">
            <v>3200</v>
          </cell>
          <cell r="C2178" t="str">
            <v>Atenolol Inj 0.5Mg/ml 10Ml</v>
          </cell>
        </row>
        <row r="2179">
          <cell r="A2179">
            <v>180261210</v>
          </cell>
          <cell r="B2179">
            <v>3201</v>
          </cell>
          <cell r="C2179" t="str">
            <v>Valproate Sodium 400Mg/4ml Injection</v>
          </cell>
        </row>
        <row r="2180">
          <cell r="A2180">
            <v>180075562</v>
          </cell>
          <cell r="B2180">
            <v>3202</v>
          </cell>
          <cell r="C2180" t="str">
            <v>Calcium Chloride Inj 10% Mv 10Ml</v>
          </cell>
        </row>
        <row r="2181">
          <cell r="A2181" t="str">
            <v>QUOTE</v>
          </cell>
          <cell r="B2181">
            <v>3203</v>
          </cell>
          <cell r="C2181" t="str">
            <v>Labels Oral Liquids</v>
          </cell>
        </row>
        <row r="2182">
          <cell r="A2182">
            <v>180075700</v>
          </cell>
          <cell r="B2182">
            <v>3204</v>
          </cell>
          <cell r="C2182" t="str">
            <v>Ciprofloxacin Inj For I.V.Inf 2Mg/ml 50Ml</v>
          </cell>
        </row>
        <row r="2183">
          <cell r="A2183">
            <v>189710043</v>
          </cell>
          <cell r="B2183">
            <v>3205</v>
          </cell>
          <cell r="C2183" t="str">
            <v>Clobazam Tabs 10Mg (100'S)</v>
          </cell>
        </row>
        <row r="2184">
          <cell r="A2184">
            <v>189710893</v>
          </cell>
          <cell r="B2184">
            <v>3206</v>
          </cell>
          <cell r="C2184" t="str">
            <v>Co-Trimoxazole Inj For I.V.Inf. 480Mg 5Ml</v>
          </cell>
        </row>
        <row r="2185">
          <cell r="A2185">
            <v>180075759</v>
          </cell>
          <cell r="B2185">
            <v>3207</v>
          </cell>
          <cell r="C2185" t="str">
            <v>~Dexamethasone Inj 4Mg/ml 1Ml</v>
          </cell>
        </row>
        <row r="2186">
          <cell r="A2186">
            <v>180188801</v>
          </cell>
          <cell r="B2186">
            <v>3208</v>
          </cell>
          <cell r="C2186" t="str">
            <v>Gemcitabine 200Mg Powder For Inj</v>
          </cell>
        </row>
        <row r="2187">
          <cell r="A2187">
            <v>180077964</v>
          </cell>
          <cell r="B2187">
            <v>3209</v>
          </cell>
          <cell r="C2187" t="str">
            <v>Enoxaparin 40Mg/0.4Ml Prefilled Syringe</v>
          </cell>
        </row>
        <row r="2188">
          <cell r="A2188">
            <v>181753528</v>
          </cell>
          <cell r="B2188">
            <v>3210</v>
          </cell>
          <cell r="C2188" t="str">
            <v>Pantoprazole 40Mg Inj 10Ml</v>
          </cell>
        </row>
        <row r="2189">
          <cell r="A2189" t="str">
            <v>QUOTE</v>
          </cell>
          <cell r="B2189">
            <v>3211</v>
          </cell>
          <cell r="C2189" t="str">
            <v>Labels White 75Mm X 30Mm (1 To View)(semi Gloss)</v>
          </cell>
        </row>
        <row r="2190">
          <cell r="A2190">
            <v>189711196</v>
          </cell>
          <cell r="B2190">
            <v>3212</v>
          </cell>
          <cell r="C2190" t="str">
            <v>~Glyceryl Trinitrate Inj 5Mg/ml  5Ml (Intravenous)</v>
          </cell>
        </row>
        <row r="2191">
          <cell r="A2191">
            <v>189714920</v>
          </cell>
          <cell r="B2191">
            <v>3213</v>
          </cell>
          <cell r="C2191" t="str">
            <v>~Glyceryl Trinitrate Inj 5Mg/ml 10Ml (Intravenous)</v>
          </cell>
        </row>
        <row r="2192">
          <cell r="A2192">
            <v>180339461</v>
          </cell>
          <cell r="B2192">
            <v>3214</v>
          </cell>
          <cell r="C2192" t="str">
            <v>Ibuprofen Tabs 200Mg (84'S)</v>
          </cell>
        </row>
        <row r="2193">
          <cell r="A2193" t="str">
            <v>DELETED</v>
          </cell>
          <cell r="B2193">
            <v>3215</v>
          </cell>
          <cell r="C2193" t="str">
            <v>~Paracetamol Paediatric Inj 10Mg/ml</v>
          </cell>
        </row>
        <row r="2194">
          <cell r="A2194">
            <v>180075998</v>
          </cell>
          <cell r="B2194">
            <v>3216</v>
          </cell>
          <cell r="C2194" t="str">
            <v>Glycopyrrolate Inj 0.2Mg/ml 2Ml</v>
          </cell>
        </row>
        <row r="2195">
          <cell r="A2195">
            <v>189715772</v>
          </cell>
          <cell r="B2195">
            <v>3217</v>
          </cell>
          <cell r="C2195" t="str">
            <v>Heparin Inj  1000Iu/ml 5Ml</v>
          </cell>
        </row>
        <row r="2196">
          <cell r="A2196">
            <v>180076106</v>
          </cell>
          <cell r="B2196">
            <v>3218</v>
          </cell>
          <cell r="C2196" t="str">
            <v>Insulin Humulin N 3Ml Penfill  Cartridge</v>
          </cell>
        </row>
        <row r="2197">
          <cell r="A2197">
            <v>180076106</v>
          </cell>
          <cell r="B2197">
            <v>3219</v>
          </cell>
          <cell r="C2197" t="str">
            <v>~Insulin Protaphane Hm  3Ml Cartridge</v>
          </cell>
        </row>
        <row r="2198">
          <cell r="A2198">
            <v>180076135</v>
          </cell>
          <cell r="B2198">
            <v>3220</v>
          </cell>
          <cell r="C2198" t="str">
            <v>~Insulin Actrapid Hm  1.5Ml Penset</v>
          </cell>
        </row>
        <row r="2199">
          <cell r="A2199">
            <v>180214250</v>
          </cell>
          <cell r="B2199">
            <v>3221</v>
          </cell>
          <cell r="C2199" t="str">
            <v>Insulin Humulin R Penfill Cartrige</v>
          </cell>
        </row>
        <row r="2200">
          <cell r="A2200">
            <v>180309129</v>
          </cell>
          <cell r="B2200">
            <v>3222</v>
          </cell>
          <cell r="C2200" t="str">
            <v>Insulin Humulin 30/70 Penfill Cartridge</v>
          </cell>
        </row>
        <row r="2201">
          <cell r="A2201">
            <v>180309129</v>
          </cell>
          <cell r="B2201">
            <v>3223</v>
          </cell>
          <cell r="C2201" t="str">
            <v>Insulin Humulin 30/70 3Ml Penset</v>
          </cell>
        </row>
        <row r="2202">
          <cell r="A2202" t="str">
            <v>DELETED</v>
          </cell>
          <cell r="B2202">
            <v>3224</v>
          </cell>
          <cell r="C2202" t="str">
            <v>~Lignocaine Inj 20% 5Ml (W/out Preservative)</v>
          </cell>
        </row>
        <row r="2203">
          <cell r="A2203">
            <v>180076367</v>
          </cell>
          <cell r="B2203">
            <v>3225</v>
          </cell>
          <cell r="C2203" t="str">
            <v>Lorazepam Inj 4Mg/ml 1Ml</v>
          </cell>
        </row>
        <row r="2204">
          <cell r="A2204">
            <v>189710961</v>
          </cell>
          <cell r="B2204">
            <v>3226</v>
          </cell>
          <cell r="C2204" t="str">
            <v>~Methohexital Inj 500Mg</v>
          </cell>
        </row>
        <row r="2205">
          <cell r="A2205">
            <v>189759249</v>
          </cell>
          <cell r="B2205">
            <v>3227</v>
          </cell>
          <cell r="C2205" t="str">
            <v>~Methylprednisolone Succinate Inj 125Mg</v>
          </cell>
        </row>
        <row r="2206">
          <cell r="A2206">
            <v>180083918</v>
          </cell>
          <cell r="B2206">
            <v>3228</v>
          </cell>
          <cell r="C2206" t="str">
            <v>Nitroglycerin Spray 0.4Mg/dose</v>
          </cell>
        </row>
        <row r="2207">
          <cell r="A2207">
            <v>180190409</v>
          </cell>
          <cell r="B2207">
            <v>3229</v>
          </cell>
          <cell r="C2207" t="str">
            <v>Midazolam 15Mg Tabs (20'S)</v>
          </cell>
        </row>
        <row r="2208">
          <cell r="A2208">
            <v>189763129</v>
          </cell>
          <cell r="B2208">
            <v>3230</v>
          </cell>
          <cell r="C2208" t="str">
            <v>Nimodipine Inj For I.V.10Mg/50ml 50Ml</v>
          </cell>
        </row>
        <row r="2209">
          <cell r="A2209">
            <v>181858212</v>
          </cell>
          <cell r="B2209">
            <v>3231</v>
          </cell>
          <cell r="C2209" t="str">
            <v>~Calcium Folinate Inj 200Mg/20ml</v>
          </cell>
        </row>
        <row r="2210">
          <cell r="A2210">
            <v>180076556</v>
          </cell>
          <cell r="B2210">
            <v>3232</v>
          </cell>
          <cell r="C2210" t="str">
            <v>Phenylephrine Inj 10Mg/ml 1Ml</v>
          </cell>
        </row>
        <row r="2211">
          <cell r="A2211" t="str">
            <v>DELETED</v>
          </cell>
          <cell r="B2211">
            <v>3233</v>
          </cell>
          <cell r="C2211" t="str">
            <v>~Denepesil 5Mg Tabs (28'S)</v>
          </cell>
        </row>
        <row r="2212">
          <cell r="A2212">
            <v>180076573</v>
          </cell>
          <cell r="B2212">
            <v>3234</v>
          </cell>
          <cell r="C2212" t="str">
            <v>Potassium Phosphate Monobasic Anhydrous 1.09G&amp;1.05G/1</v>
          </cell>
        </row>
        <row r="2213">
          <cell r="A2213">
            <v>180076594</v>
          </cell>
          <cell r="B2213">
            <v>3235</v>
          </cell>
          <cell r="C2213" t="str">
            <v>Ranitidine Inj 25Mg/ml 2Ml</v>
          </cell>
        </row>
        <row r="2214">
          <cell r="A2214" t="str">
            <v>QUOTE</v>
          </cell>
          <cell r="B2214">
            <v>3236</v>
          </cell>
          <cell r="C2214" t="str">
            <v>~Cath Double Lumen Adult 16Fg  Cvc</v>
          </cell>
        </row>
        <row r="2215">
          <cell r="A2215">
            <v>180208570</v>
          </cell>
          <cell r="B2215">
            <v>3237</v>
          </cell>
          <cell r="C2215" t="str">
            <v>Topiramate Tabs  50Mg (60'S)</v>
          </cell>
        </row>
        <row r="2216">
          <cell r="A2216">
            <v>181806369</v>
          </cell>
          <cell r="B2216">
            <v>3238</v>
          </cell>
          <cell r="C2216" t="str">
            <v>Oxcarbazepine Tabs 600Mg (50)</v>
          </cell>
        </row>
        <row r="2217">
          <cell r="A2217">
            <v>180076993</v>
          </cell>
          <cell r="B2217">
            <v>3239</v>
          </cell>
          <cell r="C2217" t="str">
            <v>Vecuronium Bromide Inj  4Mg 2Ml</v>
          </cell>
        </row>
        <row r="2218">
          <cell r="A2218" t="str">
            <v>REGIONAL</v>
          </cell>
          <cell r="B2218">
            <v>3240</v>
          </cell>
          <cell r="C2218" t="str">
            <v>Insulin Glargine(solostar)100iu 3Ml Penset</v>
          </cell>
        </row>
        <row r="2219">
          <cell r="A2219">
            <v>181771853</v>
          </cell>
          <cell r="B2219">
            <v>3241</v>
          </cell>
          <cell r="C2219" t="str">
            <v>Rif 150 Pza 400 Inh 75 Eth 275 (100'S)</v>
          </cell>
        </row>
        <row r="2220">
          <cell r="A2220">
            <v>189710862</v>
          </cell>
          <cell r="B2220">
            <v>3242</v>
          </cell>
          <cell r="C2220" t="str">
            <v>Water For Inj   20Ml (Plastic)</v>
          </cell>
        </row>
        <row r="2221">
          <cell r="A2221">
            <v>181788549</v>
          </cell>
          <cell r="B2221">
            <v>3243</v>
          </cell>
          <cell r="C2221" t="str">
            <v>Ertapenem Sodium 1G/20ml</v>
          </cell>
        </row>
        <row r="2222">
          <cell r="A2222">
            <v>180075518</v>
          </cell>
          <cell r="B2222">
            <v>3244</v>
          </cell>
          <cell r="C2222" t="str">
            <v>Atracurium Inj 10Mg/ml 2.5Ml</v>
          </cell>
        </row>
        <row r="2223">
          <cell r="A2223">
            <v>180075646</v>
          </cell>
          <cell r="B2223">
            <v>3245</v>
          </cell>
          <cell r="C2223" t="str">
            <v>Chorionic Gonadotropin  5 000Iu/amp</v>
          </cell>
        </row>
        <row r="2224">
          <cell r="A2224">
            <v>180076739</v>
          </cell>
          <cell r="B2224">
            <v>3246</v>
          </cell>
          <cell r="C2224" t="str">
            <v>~Sodium Nitroprusside Inj For I.V. Inf 100Mg/vial</v>
          </cell>
        </row>
        <row r="2225">
          <cell r="A2225">
            <v>189714840</v>
          </cell>
          <cell r="B2225">
            <v>3247</v>
          </cell>
          <cell r="C2225" t="str">
            <v>Acetic Acid Glacial B.P. 500Ml</v>
          </cell>
        </row>
        <row r="2226">
          <cell r="A2226" t="str">
            <v>QUOTE</v>
          </cell>
          <cell r="B2226">
            <v>3248</v>
          </cell>
          <cell r="C2226" t="str">
            <v>~Sodium Bicarb 2.55G Citric Acid 0.823G/5g</v>
          </cell>
        </row>
        <row r="2227">
          <cell r="A2227">
            <v>180009225</v>
          </cell>
          <cell r="B2227">
            <v>3249</v>
          </cell>
          <cell r="C2227" t="str">
            <v>Albendazole Susp 100Mg/5ml 20Ml</v>
          </cell>
        </row>
        <row r="2228">
          <cell r="A2228">
            <v>189703005</v>
          </cell>
          <cell r="B2228">
            <v>3250</v>
          </cell>
          <cell r="C2228" t="str">
            <v>~Aromatic Ammonia Spirit Bp 100Ml</v>
          </cell>
        </row>
        <row r="2229">
          <cell r="A2229">
            <v>180961908</v>
          </cell>
          <cell r="B2229">
            <v>3251</v>
          </cell>
          <cell r="C2229" t="str">
            <v>Syringe Safety 3Ml 20Gx40mm (0.9Mm) Needle</v>
          </cell>
        </row>
        <row r="2230">
          <cell r="A2230">
            <v>189703384</v>
          </cell>
          <cell r="B2230">
            <v>3252</v>
          </cell>
          <cell r="C2230" t="str">
            <v>Betamethasone Valerate Lotion 30Ml</v>
          </cell>
        </row>
        <row r="2231">
          <cell r="A2231">
            <v>189708050</v>
          </cell>
          <cell r="B2231">
            <v>3253</v>
          </cell>
          <cell r="C2231" t="str">
            <v>~Betamethasone Valerate Scalp 30Ml</v>
          </cell>
        </row>
        <row r="2232">
          <cell r="A2232">
            <v>180961966</v>
          </cell>
          <cell r="B2232">
            <v>3254</v>
          </cell>
          <cell r="C2232" t="str">
            <v>Syringe Safety 10Ml 21Gx25mm (0.8Mm) Needle</v>
          </cell>
        </row>
        <row r="2233">
          <cell r="A2233">
            <v>181798227</v>
          </cell>
          <cell r="B2233">
            <v>3255</v>
          </cell>
          <cell r="C2233" t="str">
            <v>Chlorhexidine Gluconate 0.2% Mouthwash 100Ml</v>
          </cell>
        </row>
        <row r="2234">
          <cell r="A2234">
            <v>180076237</v>
          </cell>
          <cell r="B2234">
            <v>3256</v>
          </cell>
          <cell r="C2234" t="str">
            <v>~Molgramostim Inj 150Mcg</v>
          </cell>
        </row>
        <row r="2235">
          <cell r="A2235">
            <v>180327500</v>
          </cell>
          <cell r="B2235">
            <v>3257</v>
          </cell>
          <cell r="C2235" t="str">
            <v>Antithymocyte Immunoglohulin 250Mg</v>
          </cell>
        </row>
        <row r="2236">
          <cell r="A2236" t="str">
            <v>QUOTE</v>
          </cell>
          <cell r="B2236">
            <v>3258</v>
          </cell>
          <cell r="C2236" t="str">
            <v>~Extr.Rhei 0.05G, Salicylic Acid 0.01G/ml</v>
          </cell>
        </row>
        <row r="2237">
          <cell r="A2237">
            <v>181848888</v>
          </cell>
          <cell r="B2237">
            <v>3259</v>
          </cell>
          <cell r="C2237" t="str">
            <v>Calcium Folinate Inj 300Mg/30ml</v>
          </cell>
        </row>
        <row r="2238">
          <cell r="A2238" t="str">
            <v>*</v>
          </cell>
          <cell r="B2238">
            <v>3260</v>
          </cell>
          <cell r="C2238" t="str">
            <v>Hydroxyethyl Starch 130/0,42 60G &amp; Nacl 9G/l</v>
          </cell>
        </row>
        <row r="2239">
          <cell r="A2239">
            <v>180199767</v>
          </cell>
          <cell r="B2239">
            <v>3261</v>
          </cell>
          <cell r="C2239" t="str">
            <v>Isoflurane Liquid 250Ml</v>
          </cell>
        </row>
        <row r="2240">
          <cell r="A2240">
            <v>180965107</v>
          </cell>
          <cell r="B2240">
            <v>3262</v>
          </cell>
          <cell r="C2240" t="str">
            <v>Risperidone Tabs 2Mg (30'S)</v>
          </cell>
        </row>
        <row r="2241">
          <cell r="A2241">
            <v>189711793</v>
          </cell>
          <cell r="B2241">
            <v>3263</v>
          </cell>
          <cell r="C2241" t="str">
            <v>Vitamin B Co Strong Tabs (84'S)</v>
          </cell>
        </row>
        <row r="2242">
          <cell r="A2242">
            <v>180301660</v>
          </cell>
          <cell r="B2242">
            <v>3264</v>
          </cell>
          <cell r="C2242" t="str">
            <v>Hyaluronidase 1500 Iu Ampoules</v>
          </cell>
        </row>
        <row r="2243">
          <cell r="A2243">
            <v>181783747</v>
          </cell>
          <cell r="B2243">
            <v>3265</v>
          </cell>
          <cell r="C2243" t="str">
            <v>Paracetamol Syr 120Mg/5ml  500Ml</v>
          </cell>
        </row>
        <row r="2244">
          <cell r="A2244" t="str">
            <v>QUOTE</v>
          </cell>
          <cell r="B2244">
            <v>3266</v>
          </cell>
          <cell r="C2244" t="str">
            <v>Cath Umbilical Artery Size 3.5</v>
          </cell>
        </row>
        <row r="2245">
          <cell r="A2245">
            <v>189712111</v>
          </cell>
          <cell r="B2245">
            <v>3267</v>
          </cell>
          <cell r="C2245" t="str">
            <v>~Povidone Iodine Surgical Scrub 1L</v>
          </cell>
        </row>
        <row r="2246">
          <cell r="A2246">
            <v>180187762</v>
          </cell>
          <cell r="B2246">
            <v>3268</v>
          </cell>
          <cell r="C2246" t="str">
            <v>Prednisolone Syrup 15Mg/5ml 50Ml</v>
          </cell>
        </row>
        <row r="2247">
          <cell r="A2247">
            <v>180952833</v>
          </cell>
          <cell r="B2247">
            <v>3269</v>
          </cell>
          <cell r="C2247" t="str">
            <v>Sucralfate Susp 1Gm/5ml 600Ml</v>
          </cell>
        </row>
        <row r="2248">
          <cell r="A2248" t="str">
            <v>VIALS</v>
          </cell>
          <cell r="B2248">
            <v>3270</v>
          </cell>
          <cell r="C2248" t="str">
            <v>Aztreonam 1G</v>
          </cell>
        </row>
        <row r="2249">
          <cell r="A2249">
            <v>181789501</v>
          </cell>
          <cell r="B2249">
            <v>3271</v>
          </cell>
          <cell r="C2249" t="str">
            <v>~Ibandronic Acid 2Mg/2ml Inj</v>
          </cell>
        </row>
        <row r="2250">
          <cell r="A2250" t="str">
            <v>PREPACK   4</v>
          </cell>
          <cell r="B2250">
            <v>3272</v>
          </cell>
          <cell r="C2250" t="str">
            <v>Rifampicin Tabs 600Mg (4'S)</v>
          </cell>
        </row>
        <row r="2251">
          <cell r="A2251">
            <v>181785231</v>
          </cell>
          <cell r="B2251">
            <v>4004</v>
          </cell>
          <cell r="C2251" t="str">
            <v>Exemestane Tabs 25Mg</v>
          </cell>
        </row>
        <row r="2252">
          <cell r="A2252">
            <v>189712166</v>
          </cell>
          <cell r="B2252">
            <v>3274</v>
          </cell>
          <cell r="C2252" t="str">
            <v>Alfacalcidol Caps 0.25Mcg (30'S)</v>
          </cell>
        </row>
        <row r="2253">
          <cell r="A2253">
            <v>189714139</v>
          </cell>
          <cell r="B2253">
            <v>3275</v>
          </cell>
          <cell r="C2253" t="str">
            <v>Alfacalcidol Caps 1.0Mcg (30'S)</v>
          </cell>
        </row>
        <row r="2254">
          <cell r="A2254">
            <v>180339396</v>
          </cell>
          <cell r="B2254">
            <v>3276</v>
          </cell>
          <cell r="C2254" t="str">
            <v>Allopurinol Tabs 300Mg (28'S)</v>
          </cell>
        </row>
        <row r="2255">
          <cell r="A2255">
            <v>189742595</v>
          </cell>
          <cell r="B2255">
            <v>3277</v>
          </cell>
          <cell r="C2255" t="str">
            <v>Dressing Wound Absorbent Cavity  50Mm</v>
          </cell>
        </row>
        <row r="2256">
          <cell r="A2256">
            <v>189710641</v>
          </cell>
          <cell r="B2256">
            <v>3278</v>
          </cell>
          <cell r="C2256" t="str">
            <v>Amiodarone Tabs 200Mg (30'S)</v>
          </cell>
        </row>
        <row r="2257">
          <cell r="A2257" t="str">
            <v>QUOTE</v>
          </cell>
          <cell r="B2257">
            <v>3279</v>
          </cell>
          <cell r="C2257" t="str">
            <v>~Sut Monosyn Loop Double Thread 12</v>
          </cell>
        </row>
        <row r="2258">
          <cell r="A2258">
            <v>180093261</v>
          </cell>
          <cell r="B2258">
            <v>3280</v>
          </cell>
          <cell r="C2258" t="str">
            <v>~Isoniazid Thiacetazone Tabs 133Mg/50mg</v>
          </cell>
        </row>
        <row r="2259">
          <cell r="A2259">
            <v>180018948</v>
          </cell>
          <cell r="B2259">
            <v>3281</v>
          </cell>
          <cell r="C2259" t="str">
            <v>Ringer Lactate 1000Ml Hospital Ddv</v>
          </cell>
        </row>
        <row r="2260">
          <cell r="A2260">
            <v>180000649</v>
          </cell>
          <cell r="B2260">
            <v>3282</v>
          </cell>
          <cell r="C2260" t="str">
            <v>Bezafibrate Tabs 400Mg (30'S)</v>
          </cell>
        </row>
        <row r="2261">
          <cell r="A2261" t="str">
            <v>QUOTE</v>
          </cell>
          <cell r="B2261">
            <v>3283</v>
          </cell>
          <cell r="C2261" t="str">
            <v>Labels Respiratory Aerosols</v>
          </cell>
        </row>
        <row r="2262">
          <cell r="A2262">
            <v>189714420</v>
          </cell>
          <cell r="B2262">
            <v>3284</v>
          </cell>
          <cell r="C2262" t="str">
            <v>Bromocriptine Mesylate Caps 5Mg</v>
          </cell>
        </row>
        <row r="2263">
          <cell r="A2263">
            <v>189711839</v>
          </cell>
          <cell r="B2263">
            <v>3285</v>
          </cell>
          <cell r="C2263" t="str">
            <v>~Buspirone Tabs 10Mg (60'S)</v>
          </cell>
        </row>
        <row r="2264">
          <cell r="A2264">
            <v>180958744</v>
          </cell>
          <cell r="B2264">
            <v>3286</v>
          </cell>
          <cell r="C2264" t="str">
            <v>Capecitabine 500Mg (120'S)</v>
          </cell>
        </row>
        <row r="2265">
          <cell r="A2265">
            <v>189710113</v>
          </cell>
          <cell r="B2265">
            <v>3287</v>
          </cell>
          <cell r="C2265" t="str">
            <v>~Calcium Carbonate &amp; Glycine (300'S)</v>
          </cell>
        </row>
        <row r="2266">
          <cell r="A2266" t="str">
            <v>QUOTE</v>
          </cell>
          <cell r="B2266">
            <v>3288</v>
          </cell>
          <cell r="C2266" t="str">
            <v>Diethylcarbamazine Tabs 50Mg</v>
          </cell>
        </row>
        <row r="2267">
          <cell r="A2267" t="str">
            <v>QUOTE</v>
          </cell>
          <cell r="B2267">
            <v>3289</v>
          </cell>
          <cell r="C2267" t="str">
            <v>Labels External Use Ointment/cream</v>
          </cell>
        </row>
        <row r="2268">
          <cell r="A2268" t="str">
            <v>QUOTE</v>
          </cell>
          <cell r="B2268">
            <v>3290</v>
          </cell>
          <cell r="C2268" t="str">
            <v>Labels Tablets Capsules</v>
          </cell>
        </row>
        <row r="2269">
          <cell r="A2269" t="str">
            <v>*</v>
          </cell>
          <cell r="B2269">
            <v>3291</v>
          </cell>
          <cell r="C2269" t="str">
            <v>Campaign: Vaccine Pneumococcal (Pcv)</v>
          </cell>
        </row>
        <row r="2270">
          <cell r="A2270">
            <v>180670485</v>
          </cell>
          <cell r="B2270">
            <v>3292</v>
          </cell>
          <cell r="C2270" t="str">
            <v>Fluoxetine Tabs 20Mg Dispersible</v>
          </cell>
        </row>
        <row r="2271">
          <cell r="A2271" t="str">
            <v>QUOTE</v>
          </cell>
          <cell r="B2271">
            <v>3293</v>
          </cell>
          <cell r="C2271" t="str">
            <v>Triamcinolone 40Mg Injection</v>
          </cell>
        </row>
        <row r="2272">
          <cell r="A2272">
            <v>189762971</v>
          </cell>
          <cell r="B2272">
            <v>3294</v>
          </cell>
          <cell r="C2272" t="str">
            <v>Ciprofloxacin Tabs 750Mg</v>
          </cell>
        </row>
        <row r="2273">
          <cell r="A2273">
            <v>189763021</v>
          </cell>
          <cell r="B2273">
            <v>3295</v>
          </cell>
          <cell r="C2273" t="str">
            <v>~Cisapride Tabs 10Mg</v>
          </cell>
        </row>
        <row r="2274">
          <cell r="A2274">
            <v>189711825</v>
          </cell>
          <cell r="B2274">
            <v>3296</v>
          </cell>
          <cell r="C2274" t="str">
            <v>Chlorpromazine Tabs 100Mg (28'S)</v>
          </cell>
        </row>
        <row r="2275">
          <cell r="A2275">
            <v>189759809</v>
          </cell>
          <cell r="B2275">
            <v>3297</v>
          </cell>
          <cell r="C2275" t="str">
            <v>Codeine Phosphate Tabs 30Mg (100'S)</v>
          </cell>
        </row>
        <row r="2276">
          <cell r="A2276">
            <v>181927637</v>
          </cell>
          <cell r="B2276">
            <v>3298</v>
          </cell>
          <cell r="C2276" t="str">
            <v>Acyclovir Disp Tabs 400Mg (70'S)</v>
          </cell>
        </row>
        <row r="2277">
          <cell r="A2277">
            <v>180073825</v>
          </cell>
          <cell r="B2277">
            <v>3299</v>
          </cell>
          <cell r="C2277" t="str">
            <v>Dressing Hydrocolloid Transparent  9Cmx14cm</v>
          </cell>
        </row>
        <row r="2278">
          <cell r="A2278">
            <v>180007916</v>
          </cell>
          <cell r="B2278">
            <v>3300</v>
          </cell>
          <cell r="C2278" t="str">
            <v>Set Peritoneal Dialysis Y-Type With Drain Tubing</v>
          </cell>
        </row>
        <row r="2279">
          <cell r="A2279">
            <v>189707439</v>
          </cell>
          <cell r="B2279">
            <v>3301</v>
          </cell>
          <cell r="C2279" t="str">
            <v>Cyproterone Ethinyloest Tabs 2Mg/0.035Mg</v>
          </cell>
        </row>
        <row r="2280">
          <cell r="A2280">
            <v>189710375</v>
          </cell>
          <cell r="B2280">
            <v>3302</v>
          </cell>
          <cell r="C2280" t="str">
            <v>Digoxin Tabs 0.0625Mg Paediatric</v>
          </cell>
        </row>
        <row r="2281">
          <cell r="A2281">
            <v>189710373</v>
          </cell>
          <cell r="B2281">
            <v>3303</v>
          </cell>
          <cell r="C2281" t="str">
            <v>Diltiazem Tabs 60Mg (60'S)</v>
          </cell>
        </row>
        <row r="2282">
          <cell r="A2282">
            <v>189709184</v>
          </cell>
          <cell r="B2282">
            <v>3304</v>
          </cell>
          <cell r="C2282" t="str">
            <v>~Diltiazem Tabs 90Mg (Slow Release)</v>
          </cell>
        </row>
        <row r="2283">
          <cell r="A2283">
            <v>189710379</v>
          </cell>
          <cell r="B2283">
            <v>3305</v>
          </cell>
          <cell r="C2283" t="str">
            <v>~Dothiepin Caps 25Mg</v>
          </cell>
        </row>
        <row r="2284">
          <cell r="A2284">
            <v>189710371</v>
          </cell>
          <cell r="B2284">
            <v>3306</v>
          </cell>
          <cell r="C2284" t="str">
            <v>~Dothiepin Tabs 75Mg (30'S)</v>
          </cell>
        </row>
        <row r="2285">
          <cell r="A2285">
            <v>189763013</v>
          </cell>
          <cell r="B2285">
            <v>3307</v>
          </cell>
          <cell r="C2285" t="str">
            <v>Doxazosin Tabs 4Mg (30'S)</v>
          </cell>
        </row>
        <row r="2286">
          <cell r="A2286" t="str">
            <v>PREPACK 28</v>
          </cell>
          <cell r="B2286">
            <v>3308</v>
          </cell>
          <cell r="C2286" t="str">
            <v>Lithium Carbonate Tabs 250Mg (28'S)</v>
          </cell>
        </row>
        <row r="2287">
          <cell r="A2287" t="str">
            <v>.</v>
          </cell>
          <cell r="B2287">
            <v>3309</v>
          </cell>
          <cell r="C2287" t="str">
            <v>~Fentanyl Transdermal Patch 5Mg</v>
          </cell>
        </row>
        <row r="2288">
          <cell r="A2288">
            <v>180157316</v>
          </cell>
          <cell r="B2288">
            <v>3310</v>
          </cell>
          <cell r="C2288" t="str">
            <v>~Fentanyl Transdermal Patch 2.5Mg</v>
          </cell>
        </row>
        <row r="2289">
          <cell r="A2289">
            <v>180155533</v>
          </cell>
          <cell r="B2289">
            <v>3311</v>
          </cell>
          <cell r="C2289" t="str">
            <v>Ibuprofen Tabs 400Mg (Ward 100)</v>
          </cell>
        </row>
        <row r="2290">
          <cell r="A2290">
            <v>180177460</v>
          </cell>
          <cell r="B2290">
            <v>3312</v>
          </cell>
          <cell r="C2290" t="str">
            <v>~Flavoxate Tabs 200Mg (90'S)</v>
          </cell>
        </row>
        <row r="2291">
          <cell r="A2291">
            <v>189710316</v>
          </cell>
          <cell r="B2291">
            <v>3313</v>
          </cell>
          <cell r="C2291" t="str">
            <v>Fludrocortisone Tabs 0.1Mg</v>
          </cell>
        </row>
        <row r="2292">
          <cell r="A2292">
            <v>189710019</v>
          </cell>
          <cell r="B2292">
            <v>3314</v>
          </cell>
          <cell r="C2292" t="str">
            <v>Furosemide Tabs 500Mg (100'S)</v>
          </cell>
        </row>
        <row r="2293">
          <cell r="A2293" t="str">
            <v>PREPACK DEPT</v>
          </cell>
          <cell r="B2293">
            <v>3315</v>
          </cell>
          <cell r="C2293" t="str">
            <v>Bag Plastic Overwrapper</v>
          </cell>
        </row>
        <row r="2294">
          <cell r="A2294">
            <v>189710207</v>
          </cell>
          <cell r="B2294">
            <v>3316</v>
          </cell>
          <cell r="C2294" t="str">
            <v>~Glipizide Tabs 5Mg</v>
          </cell>
        </row>
        <row r="2295">
          <cell r="A2295" t="str">
            <v>PREPACK DEPT</v>
          </cell>
          <cell r="B2295">
            <v>3317</v>
          </cell>
          <cell r="C2295" t="str">
            <v>Ribbon Thermal For Use With Tec Printer</v>
          </cell>
        </row>
        <row r="2296">
          <cell r="A2296">
            <v>189762906</v>
          </cell>
          <cell r="B2296">
            <v>3318</v>
          </cell>
          <cell r="C2296" t="str">
            <v>~Gentamycin Beads 4.5Mg 10</v>
          </cell>
        </row>
        <row r="2297">
          <cell r="A2297">
            <v>180103511</v>
          </cell>
          <cell r="B2297">
            <v>3319</v>
          </cell>
          <cell r="C2297" t="str">
            <v>Gabapentin 300Mg Caps (100'S)</v>
          </cell>
        </row>
        <row r="2298">
          <cell r="A2298">
            <v>180198245</v>
          </cell>
          <cell r="B2298">
            <v>3320</v>
          </cell>
          <cell r="C2298" t="str">
            <v>Amoxycillin Caps 250Mg (15'S)</v>
          </cell>
        </row>
        <row r="2299">
          <cell r="A2299">
            <v>180124495</v>
          </cell>
          <cell r="B2299">
            <v>3321</v>
          </cell>
          <cell r="C2299" t="str">
            <v>Tramadol Inj 100Mg/2ml</v>
          </cell>
        </row>
        <row r="2300">
          <cell r="A2300">
            <v>1800964948</v>
          </cell>
          <cell r="B2300">
            <v>3322</v>
          </cell>
          <cell r="C2300" t="str">
            <v>Amino Acid  5.5 Dextrose 20 Fat 20  2530Ml</v>
          </cell>
        </row>
        <row r="2301">
          <cell r="A2301">
            <v>189710174</v>
          </cell>
          <cell r="B2301">
            <v>3323</v>
          </cell>
          <cell r="C2301" t="str">
            <v>Isosorbide Dinitrate Tabs 30Mg (50'S)</v>
          </cell>
        </row>
        <row r="2302">
          <cell r="A2302">
            <v>180001500</v>
          </cell>
          <cell r="B2302">
            <v>3324</v>
          </cell>
          <cell r="C2302" t="str">
            <v>~Isradipine Caps 5Mg S.R.O</v>
          </cell>
        </row>
        <row r="2303">
          <cell r="A2303">
            <v>189710408</v>
          </cell>
          <cell r="B2303">
            <v>3325</v>
          </cell>
          <cell r="C2303" t="str">
            <v>~Levodopa/benzerazide Tabs 200Mg/50mg (50'S)</v>
          </cell>
        </row>
        <row r="2304">
          <cell r="A2304">
            <v>189710345</v>
          </cell>
          <cell r="B2304">
            <v>3326</v>
          </cell>
          <cell r="C2304" t="str">
            <v>~Liothyronine Tabs 20Mcg</v>
          </cell>
        </row>
        <row r="2305">
          <cell r="A2305">
            <v>189711820</v>
          </cell>
          <cell r="B2305">
            <v>3327</v>
          </cell>
          <cell r="C2305" t="str">
            <v>Hyoscine-N-Butylbrom Tabs 10Mg (10'S)</v>
          </cell>
        </row>
        <row r="2306">
          <cell r="A2306" t="str">
            <v>QUOTE</v>
          </cell>
          <cell r="B2306">
            <v>3328</v>
          </cell>
          <cell r="C2306" t="str">
            <v>~Fentanyl Transdermal Patches 10Mcg</v>
          </cell>
        </row>
        <row r="2307">
          <cell r="A2307">
            <v>189763053</v>
          </cell>
          <cell r="B2307">
            <v>3329</v>
          </cell>
          <cell r="C2307" t="str">
            <v>~Loratadine Tabs 10Mg</v>
          </cell>
        </row>
        <row r="2308">
          <cell r="A2308" t="str">
            <v>PREPACK 28</v>
          </cell>
          <cell r="B2308">
            <v>3330</v>
          </cell>
          <cell r="C2308" t="str">
            <v>Imipramine Tabs 25Mg (28'S)</v>
          </cell>
        </row>
        <row r="2309">
          <cell r="A2309" t="str">
            <v>PREPACK 28</v>
          </cell>
          <cell r="B2309">
            <v>3331</v>
          </cell>
          <cell r="C2309" t="str">
            <v>Haloperidol Tabs 1.5Mg (28'S)</v>
          </cell>
        </row>
        <row r="2310">
          <cell r="A2310">
            <v>180339623</v>
          </cell>
          <cell r="B2310">
            <v>3332</v>
          </cell>
          <cell r="C2310" t="str">
            <v>~Methenamine Hippurate Tabs 1.0G</v>
          </cell>
        </row>
        <row r="2311">
          <cell r="A2311" t="str">
            <v>PREPACK 100</v>
          </cell>
          <cell r="B2311">
            <v>3333</v>
          </cell>
          <cell r="C2311" t="str">
            <v>~Methyldopa Tabs 250Mg (Ward 100'S)</v>
          </cell>
        </row>
        <row r="2312">
          <cell r="A2312">
            <v>181789567</v>
          </cell>
          <cell r="B2312">
            <v>3334</v>
          </cell>
          <cell r="C2312" t="str">
            <v>Indicator Biological For Steam + Gas Sterilization</v>
          </cell>
        </row>
        <row r="2313">
          <cell r="A2313">
            <v>181769645</v>
          </cell>
          <cell r="B2313">
            <v>3335</v>
          </cell>
          <cell r="C2313" t="str">
            <v>Methylphenidate Caps 20Mg L A (30'S)</v>
          </cell>
        </row>
        <row r="2314">
          <cell r="A2314">
            <v>180059554</v>
          </cell>
          <cell r="B2314">
            <v>3336</v>
          </cell>
          <cell r="C2314" t="str">
            <v>Dressing Burn First Aid 20Cmx20cm</v>
          </cell>
        </row>
        <row r="2315">
          <cell r="A2315">
            <v>180282750</v>
          </cell>
          <cell r="B2315">
            <v>3337</v>
          </cell>
          <cell r="C2315" t="str">
            <v>Metronidazole Tabs 400Mg (5'S)</v>
          </cell>
        </row>
        <row r="2316">
          <cell r="A2316">
            <v>189714604</v>
          </cell>
          <cell r="B2316">
            <v>3338</v>
          </cell>
          <cell r="C2316" t="str">
            <v>~Mianserin Tabs 10Mg (30'S)</v>
          </cell>
        </row>
        <row r="2317">
          <cell r="A2317">
            <v>180339642</v>
          </cell>
          <cell r="B2317">
            <v>3339</v>
          </cell>
          <cell r="C2317" t="str">
            <v>Misoprostol Tabs 200Mcg (60'S)</v>
          </cell>
        </row>
        <row r="2318">
          <cell r="A2318">
            <v>180344234</v>
          </cell>
          <cell r="B2318">
            <v>3340</v>
          </cell>
          <cell r="C2318" t="str">
            <v>Montelukast Chew Tabs 5Mg (28'S)</v>
          </cell>
        </row>
        <row r="2319">
          <cell r="A2319">
            <v>189759676</v>
          </cell>
          <cell r="B2319">
            <v>3341</v>
          </cell>
          <cell r="C2319" t="str">
            <v>Nadolol Tabs 80Mg</v>
          </cell>
        </row>
        <row r="2320">
          <cell r="A2320" t="str">
            <v>DELETED</v>
          </cell>
          <cell r="B2320">
            <v>3342</v>
          </cell>
          <cell r="C2320" t="str">
            <v>Dressing Wound Non-Adhes Self-Adher Meshed 210X310mm</v>
          </cell>
        </row>
        <row r="2321">
          <cell r="A2321">
            <v>189711051</v>
          </cell>
          <cell r="B2321">
            <v>3343</v>
          </cell>
          <cell r="C2321" t="str">
            <v>Metronidazole Tabs 400Mg (100'S)</v>
          </cell>
        </row>
        <row r="2322">
          <cell r="A2322">
            <v>189763128</v>
          </cell>
          <cell r="B2322">
            <v>3344</v>
          </cell>
          <cell r="C2322" t="str">
            <v>Nimodipine Tabs 30Mg (100'S)</v>
          </cell>
        </row>
        <row r="2323">
          <cell r="A2323">
            <v>180343367</v>
          </cell>
          <cell r="B2323">
            <v>3345</v>
          </cell>
          <cell r="C2323" t="str">
            <v>Pouch Urostomy One Piece 10-55Mm Clear Drainable</v>
          </cell>
        </row>
        <row r="2324">
          <cell r="A2324" t="str">
            <v>QUOTE</v>
          </cell>
          <cell r="B2324">
            <v>3346</v>
          </cell>
          <cell r="C2324" t="str">
            <v>Cath Embolectomy 3Fg 80Cm</v>
          </cell>
        </row>
        <row r="2325">
          <cell r="A2325" t="str">
            <v>QUOTE</v>
          </cell>
          <cell r="B2325">
            <v>3347</v>
          </cell>
          <cell r="C2325" t="str">
            <v>Cath Embolectomy 4Fg 80Cm</v>
          </cell>
        </row>
        <row r="2326">
          <cell r="A2326">
            <v>189762968</v>
          </cell>
          <cell r="B2326">
            <v>3348</v>
          </cell>
          <cell r="C2326" t="str">
            <v>~Ofloxacin Tabs 200Mg (10'S)</v>
          </cell>
        </row>
        <row r="2327">
          <cell r="A2327">
            <v>181747919</v>
          </cell>
          <cell r="B2327">
            <v>3349</v>
          </cell>
          <cell r="C2327" t="str">
            <v>Omeprazole Caps 20Mg (28'S)</v>
          </cell>
        </row>
        <row r="2328">
          <cell r="A2328">
            <v>189712225</v>
          </cell>
          <cell r="B2328">
            <v>3350</v>
          </cell>
          <cell r="C2328" t="str">
            <v>Oxazepam Tabs 10Mg (100'S)</v>
          </cell>
        </row>
        <row r="2329">
          <cell r="A2329">
            <v>189714612</v>
          </cell>
          <cell r="B2329">
            <v>3351</v>
          </cell>
          <cell r="C2329" t="str">
            <v>Oxazepam Tabs 30Mg (100'S)</v>
          </cell>
        </row>
        <row r="2330">
          <cell r="A2330">
            <v>180956819</v>
          </cell>
          <cell r="B2330">
            <v>3352</v>
          </cell>
          <cell r="C2330" t="str">
            <v>Sut Monosyn 0 1/2Tp 40Mm Obs.Gyn Monof. Synthabs</v>
          </cell>
        </row>
        <row r="2331">
          <cell r="A2331">
            <v>189715731</v>
          </cell>
          <cell r="B2331">
            <v>3353</v>
          </cell>
          <cell r="C2331" t="str">
            <v>~Pancrelipase Caps 234.2Mg</v>
          </cell>
        </row>
        <row r="2332">
          <cell r="A2332">
            <v>180382593</v>
          </cell>
          <cell r="B2332">
            <v>3354</v>
          </cell>
          <cell r="C2332" t="str">
            <v>Tube Endotracheal Cuff Nasal 6.0</v>
          </cell>
        </row>
        <row r="2333">
          <cell r="A2333">
            <v>181936086</v>
          </cell>
          <cell r="B2333">
            <v>3355</v>
          </cell>
          <cell r="C2333" t="str">
            <v>Losartan Tabs 50Mg (30'S)</v>
          </cell>
        </row>
        <row r="2334">
          <cell r="A2334">
            <v>189712251</v>
          </cell>
          <cell r="B2334">
            <v>3356</v>
          </cell>
          <cell r="C2334" t="str">
            <v>D-Penicillamine Tabs 300Mg</v>
          </cell>
        </row>
        <row r="2335">
          <cell r="A2335">
            <v>180034031</v>
          </cell>
          <cell r="B2335">
            <v>3357</v>
          </cell>
          <cell r="C2335" t="str">
            <v>~Pergolide Tabs 0.05Mg</v>
          </cell>
        </row>
        <row r="2336">
          <cell r="A2336">
            <v>180034033</v>
          </cell>
          <cell r="B2336">
            <v>3358</v>
          </cell>
          <cell r="C2336" t="str">
            <v>~Pergolide Tabs 0.25Mg (30'S)</v>
          </cell>
        </row>
        <row r="2337">
          <cell r="A2337">
            <v>180034034</v>
          </cell>
          <cell r="B2337">
            <v>3359</v>
          </cell>
          <cell r="C2337" t="str">
            <v>~Pergolide Tabs 1Mg (30'S)</v>
          </cell>
        </row>
        <row r="2338">
          <cell r="A2338">
            <v>180136961</v>
          </cell>
          <cell r="B2338">
            <v>3360</v>
          </cell>
          <cell r="C2338" t="str">
            <v>Tube Endotracheal Non Cuff Oral 6.5</v>
          </cell>
        </row>
        <row r="2339">
          <cell r="A2339">
            <v>189710195</v>
          </cell>
          <cell r="B2339">
            <v>3361</v>
          </cell>
          <cell r="C2339" t="str">
            <v>~Piroxicam Caps 10Mg</v>
          </cell>
        </row>
        <row r="2340">
          <cell r="A2340">
            <v>189710194</v>
          </cell>
          <cell r="B2340">
            <v>3362</v>
          </cell>
          <cell r="C2340" t="str">
            <v>~Piroxicam Caps 20Mg (30'S)</v>
          </cell>
        </row>
        <row r="2341">
          <cell r="A2341">
            <v>180960252</v>
          </cell>
          <cell r="B2341">
            <v>3363</v>
          </cell>
          <cell r="C2341" t="str">
            <v>Rocuronium Inj 50Mg</v>
          </cell>
        </row>
        <row r="2342">
          <cell r="A2342">
            <v>180054601</v>
          </cell>
          <cell r="B2342">
            <v>3364</v>
          </cell>
          <cell r="C2342" t="str">
            <v>~Potassium Bicarbonate 675Mg Betaine Hcl 1035Mg</v>
          </cell>
        </row>
        <row r="2343">
          <cell r="A2343">
            <v>180230824</v>
          </cell>
          <cell r="B2343">
            <v>3365</v>
          </cell>
          <cell r="C2343" t="str">
            <v>Pravastatin Tabs 20Mg (30'S)</v>
          </cell>
        </row>
        <row r="2344">
          <cell r="A2344" t="str">
            <v>QUOTE STOMA</v>
          </cell>
          <cell r="B2344">
            <v>3366</v>
          </cell>
          <cell r="C2344" t="str">
            <v>Pouch Ostomy  70Mm Opaque</v>
          </cell>
        </row>
        <row r="2345">
          <cell r="A2345">
            <v>180948497</v>
          </cell>
          <cell r="B2345">
            <v>3367</v>
          </cell>
          <cell r="C2345" t="str">
            <v>Itn Baby 100/Tpn 1006N</v>
          </cell>
        </row>
        <row r="2346">
          <cell r="A2346">
            <v>189710436</v>
          </cell>
          <cell r="B2346">
            <v>3368</v>
          </cell>
          <cell r="C2346" t="str">
            <v>Prednisone Tabs 1Mg</v>
          </cell>
        </row>
        <row r="2347">
          <cell r="A2347">
            <v>180074002</v>
          </cell>
          <cell r="B2347">
            <v>3369</v>
          </cell>
          <cell r="C2347" t="str">
            <v>~Zuclopenthixol Tabs 25Mg</v>
          </cell>
        </row>
        <row r="2348">
          <cell r="A2348">
            <v>189714175</v>
          </cell>
          <cell r="B2348">
            <v>3370</v>
          </cell>
          <cell r="C2348" t="str">
            <v>Propoxyphene 65Mg Paracetamol 250Mg Caps</v>
          </cell>
        </row>
        <row r="2349">
          <cell r="A2349">
            <v>181821891</v>
          </cell>
          <cell r="B2349">
            <v>3371</v>
          </cell>
          <cell r="C2349" t="str">
            <v>~Ramipril Tabs 2.5Mg (28'S)</v>
          </cell>
        </row>
        <row r="2350">
          <cell r="A2350">
            <v>181821892</v>
          </cell>
          <cell r="B2350">
            <v>3372</v>
          </cell>
          <cell r="C2350" t="str">
            <v>~Ramipril Tabs 5Mg (28'S)</v>
          </cell>
        </row>
        <row r="2351">
          <cell r="A2351">
            <v>189712314</v>
          </cell>
          <cell r="B2351">
            <v>3373</v>
          </cell>
          <cell r="C2351" t="str">
            <v>Ranitidine Tabs 150Mg (56'S)</v>
          </cell>
        </row>
        <row r="2352">
          <cell r="A2352">
            <v>189758936</v>
          </cell>
          <cell r="B2352">
            <v>3374</v>
          </cell>
          <cell r="C2352" t="str">
            <v>~Sut Chromic 6/0 3/8Rc 11.5Mm 45Cm</v>
          </cell>
        </row>
        <row r="2353">
          <cell r="A2353">
            <v>180956773</v>
          </cell>
          <cell r="B2353">
            <v>3375</v>
          </cell>
          <cell r="C2353" t="str">
            <v>Sut Synthabs 3/0 5/8Tp 27Mm</v>
          </cell>
        </row>
        <row r="2354">
          <cell r="A2354">
            <v>189762969</v>
          </cell>
          <cell r="B2354">
            <v>3376</v>
          </cell>
          <cell r="C2354" t="str">
            <v>~Selegiline Tabs 5Mg (30'S)</v>
          </cell>
        </row>
        <row r="2355">
          <cell r="A2355">
            <v>180329828</v>
          </cell>
          <cell r="B2355">
            <v>3377</v>
          </cell>
          <cell r="C2355" t="str">
            <v>Tube Endobroncheal Double Lumen 37Ch Left</v>
          </cell>
        </row>
        <row r="2356">
          <cell r="A2356">
            <v>189762970</v>
          </cell>
          <cell r="B2356">
            <v>3378</v>
          </cell>
          <cell r="C2356" t="str">
            <v>Simvastatin Tabs 20Mg (28'S)</v>
          </cell>
        </row>
        <row r="2357">
          <cell r="A2357">
            <v>189710421</v>
          </cell>
          <cell r="B2357">
            <v>3379</v>
          </cell>
          <cell r="C2357" t="str">
            <v>~Sotalol Tabs 160Mg</v>
          </cell>
        </row>
        <row r="2358">
          <cell r="A2358">
            <v>180358282</v>
          </cell>
          <cell r="B2358">
            <v>3380</v>
          </cell>
          <cell r="C2358" t="str">
            <v>Venlafaxine X R 150Mg Caps (30'S)</v>
          </cell>
        </row>
        <row r="2359">
          <cell r="A2359" t="str">
            <v>MOTIVATION</v>
          </cell>
          <cell r="B2359">
            <v>3381</v>
          </cell>
          <cell r="C2359" t="str">
            <v>~Ezetimibe 10Mg Tabs</v>
          </cell>
        </row>
        <row r="2360">
          <cell r="A2360">
            <v>181747912</v>
          </cell>
          <cell r="B2360">
            <v>3382</v>
          </cell>
          <cell r="C2360" t="str">
            <v>Spiranolactone Tabs  25Mg (56'S)</v>
          </cell>
        </row>
        <row r="2361">
          <cell r="A2361">
            <v>180190550</v>
          </cell>
          <cell r="B2361">
            <v>3383</v>
          </cell>
          <cell r="C2361" t="str">
            <v>Theophylline Anh Tabs 250Mg (60'S)</v>
          </cell>
        </row>
        <row r="2362">
          <cell r="A2362">
            <v>181774577</v>
          </cell>
          <cell r="B2362">
            <v>3384</v>
          </cell>
          <cell r="C2362" t="str">
            <v>Terizidone Caps 250Mg (100'S)</v>
          </cell>
        </row>
        <row r="2363">
          <cell r="A2363" t="str">
            <v>QUOTE</v>
          </cell>
          <cell r="B2363">
            <v>3385</v>
          </cell>
          <cell r="C2363" t="str">
            <v>Trypan Blue Inj 0,06%</v>
          </cell>
        </row>
        <row r="2364">
          <cell r="A2364" t="str">
            <v>QUOTE</v>
          </cell>
          <cell r="B2364">
            <v>3386</v>
          </cell>
          <cell r="C2364" t="str">
            <v>Ligaclip Applier Med To Large Lc307</v>
          </cell>
        </row>
        <row r="2365">
          <cell r="A2365">
            <v>189713865</v>
          </cell>
          <cell r="B2365">
            <v>3387</v>
          </cell>
          <cell r="C2365" t="str">
            <v>Tonsil Snare Wire 0.2Mm  35G</v>
          </cell>
        </row>
        <row r="2366">
          <cell r="A2366">
            <v>189714141</v>
          </cell>
          <cell r="B2366">
            <v>3388</v>
          </cell>
          <cell r="C2366" t="str">
            <v>~Triazolam Tabs 0.25Mg</v>
          </cell>
        </row>
        <row r="2367">
          <cell r="A2367">
            <v>180046795</v>
          </cell>
          <cell r="B2367">
            <v>3389</v>
          </cell>
          <cell r="C2367" t="str">
            <v>Finasteride Tabs 5Mg</v>
          </cell>
        </row>
        <row r="2368">
          <cell r="A2368">
            <v>189710429</v>
          </cell>
          <cell r="B2368">
            <v>3390</v>
          </cell>
          <cell r="C2368" t="str">
            <v>~Trimipramine Tabs 10Mg</v>
          </cell>
        </row>
        <row r="2369">
          <cell r="A2369" t="str">
            <v>QUOTE STOMA</v>
          </cell>
          <cell r="B2369">
            <v>3391</v>
          </cell>
          <cell r="C2369" t="str">
            <v>Pouch Illeastomy 15-43Mm Transparent</v>
          </cell>
        </row>
        <row r="2370">
          <cell r="A2370">
            <v>189712699</v>
          </cell>
          <cell r="B2370">
            <v>3392</v>
          </cell>
          <cell r="C2370" t="str">
            <v>Trazodone Caps 50Mg (100'S)</v>
          </cell>
        </row>
        <row r="2371">
          <cell r="A2371">
            <v>180279431</v>
          </cell>
          <cell r="B2371">
            <v>3393</v>
          </cell>
          <cell r="C2371" t="str">
            <v>Itraconazole Caps 100Mg (14'S)</v>
          </cell>
        </row>
        <row r="2372">
          <cell r="A2372">
            <v>180969777</v>
          </cell>
          <cell r="B2372">
            <v>3394</v>
          </cell>
          <cell r="C2372" t="str">
            <v>Calcium Folinate Inj 50Mg Vial</v>
          </cell>
        </row>
        <row r="2373">
          <cell r="A2373">
            <v>180223205</v>
          </cell>
          <cell r="B2373">
            <v>3395</v>
          </cell>
          <cell r="C2373" t="str">
            <v>Valproate / Valproic Acid Tabs 500Mg (100'S)</v>
          </cell>
        </row>
        <row r="2374">
          <cell r="A2374">
            <v>180145716</v>
          </cell>
          <cell r="B2374">
            <v>3396</v>
          </cell>
          <cell r="C2374" t="str">
            <v>Valproate / Valproic Acid Tabs 300Mg (100'S)</v>
          </cell>
        </row>
        <row r="2375">
          <cell r="A2375">
            <v>180145714</v>
          </cell>
          <cell r="B2375">
            <v>3397</v>
          </cell>
          <cell r="C2375" t="str">
            <v>Valproate / Valproic Acid Tabs 200Mg (100'S)</v>
          </cell>
        </row>
        <row r="2376">
          <cell r="A2376">
            <v>180073549</v>
          </cell>
          <cell r="B2376">
            <v>3398</v>
          </cell>
          <cell r="C2376" t="str">
            <v>~Calcium Folinate Inj 3Mg/ml 1Ml</v>
          </cell>
        </row>
        <row r="2377">
          <cell r="A2377" t="str">
            <v>QUOTE</v>
          </cell>
          <cell r="B2377">
            <v>3399</v>
          </cell>
          <cell r="C2377" t="str">
            <v>Sut Silk 4/0 1/4Sp 8.9Mm Saberloc Needle</v>
          </cell>
        </row>
        <row r="2378">
          <cell r="A2378" t="str">
            <v>PREPACK   1</v>
          </cell>
          <cell r="B2378">
            <v>3400</v>
          </cell>
          <cell r="C2378" t="str">
            <v>~Nevirapine Tabs 200Mg (Prp 1)</v>
          </cell>
        </row>
        <row r="2379">
          <cell r="A2379" t="str">
            <v>QUOTE</v>
          </cell>
          <cell r="B2379">
            <v>3401</v>
          </cell>
          <cell r="C2379" t="str">
            <v>Cath Double Lumen Adult 7Fg  Cvc</v>
          </cell>
        </row>
        <row r="2380">
          <cell r="A2380" t="str">
            <v>*</v>
          </cell>
          <cell r="B2380">
            <v>3402</v>
          </cell>
          <cell r="C2380" t="str">
            <v>Caffeine Powder 100G</v>
          </cell>
        </row>
        <row r="2381">
          <cell r="A2381">
            <v>181871672</v>
          </cell>
          <cell r="B2381">
            <v>3403</v>
          </cell>
          <cell r="C2381" t="str">
            <v>Nevirapine Susp 50Mg/5ml (100Ml)</v>
          </cell>
        </row>
        <row r="2382">
          <cell r="A2382" t="str">
            <v>DELETED</v>
          </cell>
          <cell r="B2382">
            <v>3404</v>
          </cell>
          <cell r="C2382" t="str">
            <v>Dressing Wound Non-Adhes Self-Adher Transp 180 X 100Mm</v>
          </cell>
        </row>
        <row r="2383">
          <cell r="A2383">
            <v>180029269</v>
          </cell>
          <cell r="B2383">
            <v>3405</v>
          </cell>
          <cell r="C2383" t="str">
            <v>Sut Silk 4/0 Ligation 180Cm</v>
          </cell>
        </row>
        <row r="2384">
          <cell r="A2384">
            <v>189716005</v>
          </cell>
          <cell r="B2384">
            <v>3406</v>
          </cell>
          <cell r="C2384" t="str">
            <v>~Dextrose Powder   75G</v>
          </cell>
        </row>
        <row r="2385">
          <cell r="A2385" t="str">
            <v>PPP09</v>
          </cell>
          <cell r="B2385">
            <v>3407</v>
          </cell>
          <cell r="C2385" t="str">
            <v>Vaccine Pneumococcal(pcv) Single Dose</v>
          </cell>
        </row>
        <row r="2386">
          <cell r="A2386">
            <v>189714638</v>
          </cell>
          <cell r="B2386">
            <v>3408</v>
          </cell>
          <cell r="C2386" t="str">
            <v>Diflucortolone Valerate Fatty Oint 0.1% 15G</v>
          </cell>
        </row>
        <row r="2387">
          <cell r="A2387">
            <v>189711199</v>
          </cell>
          <cell r="B2387">
            <v>3409</v>
          </cell>
          <cell r="C2387" t="str">
            <v>Aqueous Cream 100G</v>
          </cell>
        </row>
        <row r="2388">
          <cell r="A2388" t="str">
            <v>QUOTE</v>
          </cell>
          <cell r="B2388">
            <v>3410</v>
          </cell>
          <cell r="C2388" t="str">
            <v>Needle Disposable Luer Lock 18Gx1.5"</v>
          </cell>
        </row>
        <row r="2389">
          <cell r="A2389">
            <v>189714455</v>
          </cell>
          <cell r="B2389">
            <v>3411</v>
          </cell>
          <cell r="C2389" t="str">
            <v>~Econazole Nitrate Vaginal Ovule 150Mg</v>
          </cell>
        </row>
        <row r="2390">
          <cell r="A2390" t="str">
            <v>MOTIVATION</v>
          </cell>
          <cell r="B2390">
            <v>3412</v>
          </cell>
          <cell r="C2390" t="str">
            <v>Anaculet Hydrochloride 60Mg Tablets</v>
          </cell>
        </row>
        <row r="2391">
          <cell r="A2391">
            <v>181867213</v>
          </cell>
          <cell r="B2391">
            <v>3413</v>
          </cell>
          <cell r="C2391" t="str">
            <v>Quetiapine X R 50Mg Tabs (100'S)</v>
          </cell>
        </row>
        <row r="2392">
          <cell r="A2392" t="str">
            <v>QUOTATION</v>
          </cell>
          <cell r="B2392">
            <v>3414</v>
          </cell>
          <cell r="C2392" t="str">
            <v>Darifenacin Tabs 7.5Mg</v>
          </cell>
        </row>
        <row r="2393">
          <cell r="A2393">
            <v>181837639</v>
          </cell>
          <cell r="B2393">
            <v>3415</v>
          </cell>
          <cell r="C2393" t="str">
            <v>Travoprost 40Ug Timolo 5Mg/ml Eye Drops</v>
          </cell>
        </row>
        <row r="2394">
          <cell r="A2394">
            <v>189711449</v>
          </cell>
          <cell r="B2394">
            <v>3416</v>
          </cell>
          <cell r="C2394" t="str">
            <v>Lanolin Liquid Anhydrous Eye Oint</v>
          </cell>
        </row>
        <row r="2395">
          <cell r="A2395" t="str">
            <v>DELETED</v>
          </cell>
          <cell r="B2395">
            <v>3417</v>
          </cell>
          <cell r="C2395" t="str">
            <v>~Magnesium Trisilicate Pdr 500G</v>
          </cell>
        </row>
        <row r="2396">
          <cell r="A2396">
            <v>189707399</v>
          </cell>
          <cell r="B2396">
            <v>3418</v>
          </cell>
          <cell r="C2396" t="str">
            <v>~Miconazole Nitrate Vag Cream 40G</v>
          </cell>
        </row>
        <row r="2397">
          <cell r="A2397">
            <v>189708213</v>
          </cell>
          <cell r="B2397">
            <v>3419</v>
          </cell>
          <cell r="C2397" t="str">
            <v>Povidone Iodine Cream 500G</v>
          </cell>
        </row>
        <row r="2398">
          <cell r="A2398">
            <v>189712257</v>
          </cell>
          <cell r="B2398">
            <v>3420</v>
          </cell>
          <cell r="C2398" t="str">
            <v>~Povidone Iodine Vaginal Gel  90G</v>
          </cell>
        </row>
        <row r="2399">
          <cell r="A2399">
            <v>181813970</v>
          </cell>
          <cell r="B2399">
            <v>3421</v>
          </cell>
          <cell r="C2399" t="str">
            <v>Valproate / Valproic Acid Tabs 200Mg (56'S)</v>
          </cell>
        </row>
        <row r="2400">
          <cell r="A2400">
            <v>189704616</v>
          </cell>
          <cell r="B2400">
            <v>3422</v>
          </cell>
          <cell r="C2400" t="str">
            <v>Syringe Disposable  5Ml Three Part</v>
          </cell>
        </row>
        <row r="2401">
          <cell r="A2401" t="str">
            <v>DELETED</v>
          </cell>
          <cell r="B2401">
            <v>3423</v>
          </cell>
          <cell r="C2401" t="str">
            <v>Dressing Wound Non-Adhes Self-Adher Transp 210 X 310Mm</v>
          </cell>
        </row>
        <row r="2402">
          <cell r="A2402" t="str">
            <v>MOTIVATION</v>
          </cell>
          <cell r="B2402">
            <v>3424</v>
          </cell>
          <cell r="C2402" t="str">
            <v>~Darbepoetin Alpha 30Ug Prefilled Syringe</v>
          </cell>
        </row>
        <row r="2403">
          <cell r="A2403" t="str">
            <v>DELETED</v>
          </cell>
          <cell r="B2403">
            <v>3425</v>
          </cell>
          <cell r="C2403" t="str">
            <v>~Darbepoetin Alpha 20Ug Pre-Filled Syringe</v>
          </cell>
        </row>
        <row r="2404">
          <cell r="A2404">
            <v>189715481</v>
          </cell>
          <cell r="B2404">
            <v>3426</v>
          </cell>
          <cell r="C2404" t="str">
            <v>~Talc Dusting Powder Unmedicated Perforated Lid. 200G</v>
          </cell>
        </row>
        <row r="2405">
          <cell r="A2405">
            <v>189708790</v>
          </cell>
          <cell r="B2405">
            <v>3427</v>
          </cell>
          <cell r="C2405" t="str">
            <v>Amikacin Inj 100Mg/2ml 2Ml</v>
          </cell>
        </row>
        <row r="2406">
          <cell r="A2406">
            <v>180961856</v>
          </cell>
          <cell r="B2406">
            <v>3428</v>
          </cell>
          <cell r="C2406" t="str">
            <v>Syringe Safety 3Ml 25Gx16mm (0.5Mm) Needle</v>
          </cell>
        </row>
        <row r="2407">
          <cell r="A2407">
            <v>180057867</v>
          </cell>
          <cell r="B2407">
            <v>3429</v>
          </cell>
          <cell r="C2407" t="str">
            <v>Amoxycillin Clavulan Inj 1000Mg/200mg</v>
          </cell>
        </row>
        <row r="2408">
          <cell r="A2408">
            <v>180002781</v>
          </cell>
          <cell r="B2408">
            <v>3430</v>
          </cell>
          <cell r="C2408" t="str">
            <v>Amoxycillin Clavulan Susp 125Mg/31.25Mg 100Ml</v>
          </cell>
        </row>
        <row r="2409">
          <cell r="A2409">
            <v>189714965</v>
          </cell>
          <cell r="B2409">
            <v>3431</v>
          </cell>
          <cell r="C2409" t="str">
            <v>Amoxycillin Clavulan Tabs 250Mg/125mg</v>
          </cell>
        </row>
        <row r="2410">
          <cell r="A2410" t="str">
            <v>QUOTE</v>
          </cell>
          <cell r="B2410">
            <v>3432</v>
          </cell>
          <cell r="C2410" t="str">
            <v>Varicella Zoster Vaccine &amp; Diluent</v>
          </cell>
        </row>
        <row r="2411">
          <cell r="A2411">
            <v>180158719</v>
          </cell>
          <cell r="B2411">
            <v>3433</v>
          </cell>
          <cell r="C2411" t="str">
            <v>Amoxycillin Clavulan Inj 500Mg/100mg</v>
          </cell>
        </row>
        <row r="2412">
          <cell r="A2412">
            <v>189708784</v>
          </cell>
          <cell r="B2412">
            <v>3434</v>
          </cell>
          <cell r="C2412" t="str">
            <v>Cefazolin Inj 500Mg</v>
          </cell>
        </row>
        <row r="2413">
          <cell r="A2413">
            <v>181775872</v>
          </cell>
          <cell r="B2413">
            <v>3435</v>
          </cell>
          <cell r="C2413" t="str">
            <v>Ceftriaxone Inj  250Mg</v>
          </cell>
        </row>
        <row r="2414">
          <cell r="A2414" t="str">
            <v>.</v>
          </cell>
          <cell r="B2414">
            <v>3436</v>
          </cell>
          <cell r="C2414" t="str">
            <v>~Cefuroxime Inj 1.5G</v>
          </cell>
        </row>
        <row r="2415">
          <cell r="A2415">
            <v>189708895</v>
          </cell>
          <cell r="B2415">
            <v>3437</v>
          </cell>
          <cell r="C2415" t="str">
            <v>Cefuroxime Inj 750Mg</v>
          </cell>
        </row>
        <row r="2416">
          <cell r="A2416">
            <v>189708785</v>
          </cell>
          <cell r="B2416">
            <v>3438</v>
          </cell>
          <cell r="C2416" t="str">
            <v>Ceftazidime Inj 2G</v>
          </cell>
        </row>
        <row r="2417">
          <cell r="A2417">
            <v>189712686</v>
          </cell>
          <cell r="B2417">
            <v>3439</v>
          </cell>
          <cell r="C2417" t="str">
            <v>Etoposide Caps 100Mg</v>
          </cell>
        </row>
        <row r="2418">
          <cell r="A2418">
            <v>180280770</v>
          </cell>
          <cell r="B2418">
            <v>3440</v>
          </cell>
          <cell r="C2418" t="str">
            <v>~Danazol Caps 100Mg (60'S)</v>
          </cell>
        </row>
        <row r="2419">
          <cell r="A2419">
            <v>189708683</v>
          </cell>
          <cell r="B2419">
            <v>3441</v>
          </cell>
          <cell r="C2419" t="str">
            <v>~Fusidic Acid Susp 250Mg/5ml 50Ml</v>
          </cell>
        </row>
        <row r="2420">
          <cell r="A2420">
            <v>180001203</v>
          </cell>
          <cell r="B2420">
            <v>3442</v>
          </cell>
          <cell r="C2420" t="str">
            <v>Fusidate Tabs 250Mg (100'S)</v>
          </cell>
        </row>
        <row r="2421">
          <cell r="A2421">
            <v>189762902</v>
          </cell>
          <cell r="B2421">
            <v>3443</v>
          </cell>
          <cell r="C2421" t="str">
            <v>Mupirocin 2% Nasal Oint 3G</v>
          </cell>
        </row>
        <row r="2422">
          <cell r="A2422">
            <v>189706020</v>
          </cell>
          <cell r="B2422">
            <v>3444</v>
          </cell>
          <cell r="C2422" t="str">
            <v>Phenoxymethyl Penicillin Susp 250Mg/5ml 100Ml</v>
          </cell>
        </row>
        <row r="2423">
          <cell r="A2423">
            <v>180134072</v>
          </cell>
          <cell r="B2423">
            <v>3445</v>
          </cell>
          <cell r="C2423" t="str">
            <v>Autoclave Steam Sterilisation Indicator</v>
          </cell>
        </row>
        <row r="2424">
          <cell r="A2424">
            <v>189708689</v>
          </cell>
          <cell r="B2424">
            <v>3446</v>
          </cell>
          <cell r="C2424" t="str">
            <v>~Polymyxin B Zinc Bacitracin Oint</v>
          </cell>
        </row>
        <row r="2425">
          <cell r="A2425">
            <v>180043893</v>
          </cell>
          <cell r="B2425">
            <v>3447</v>
          </cell>
          <cell r="C2425" t="str">
            <v>~Roxithromycin Tabs 150Mg</v>
          </cell>
        </row>
        <row r="2426">
          <cell r="A2426">
            <v>189763082</v>
          </cell>
          <cell r="B2426">
            <v>3448</v>
          </cell>
          <cell r="C2426" t="str">
            <v>~Cisapride Tabs 5Mg</v>
          </cell>
        </row>
        <row r="2427">
          <cell r="A2427">
            <v>180257996</v>
          </cell>
          <cell r="B2427">
            <v>3449</v>
          </cell>
          <cell r="C2427" t="str">
            <v>Itn Baby 103/Tpn 1601A</v>
          </cell>
        </row>
        <row r="2428">
          <cell r="A2428">
            <v>189708893</v>
          </cell>
          <cell r="B2428">
            <v>3450</v>
          </cell>
          <cell r="C2428" t="str">
            <v>Tobramycin Inj 20Mg</v>
          </cell>
        </row>
        <row r="2429">
          <cell r="A2429">
            <v>189712163</v>
          </cell>
          <cell r="B2429">
            <v>3451</v>
          </cell>
          <cell r="C2429" t="str">
            <v>Tobramycin Inj 80Mg</v>
          </cell>
        </row>
        <row r="2430">
          <cell r="A2430">
            <v>180076160</v>
          </cell>
          <cell r="B2430">
            <v>3452</v>
          </cell>
          <cell r="C2430" t="str">
            <v>Etoposide Inj 100Mg/5ml</v>
          </cell>
        </row>
        <row r="2431">
          <cell r="A2431">
            <v>181779525</v>
          </cell>
          <cell r="B2431">
            <v>3453</v>
          </cell>
          <cell r="C2431" t="str">
            <v>~Didanosine Tabs 50Mg (60'S)</v>
          </cell>
        </row>
        <row r="2432">
          <cell r="A2432">
            <v>180073995</v>
          </cell>
          <cell r="B2432">
            <v>3454</v>
          </cell>
          <cell r="C2432" t="str">
            <v>Ciprofloxacin Eye Drops 3Mg/ml 5Ml</v>
          </cell>
        </row>
        <row r="2433">
          <cell r="A2433">
            <v>189711251</v>
          </cell>
          <cell r="B2433">
            <v>3455</v>
          </cell>
          <cell r="C2433" t="str">
            <v>Fluorometholone Eye Drops 0.1% 5Ml</v>
          </cell>
        </row>
        <row r="2434">
          <cell r="A2434" t="str">
            <v>DELETED</v>
          </cell>
          <cell r="B2434">
            <v>3456</v>
          </cell>
          <cell r="C2434" t="str">
            <v>Medrysone Eye Drops 5Ml</v>
          </cell>
        </row>
        <row r="2435">
          <cell r="A2435">
            <v>180139716</v>
          </cell>
          <cell r="B2435">
            <v>3457</v>
          </cell>
          <cell r="C2435" t="str">
            <v>~Fluticasone Disks 250Mcg</v>
          </cell>
        </row>
        <row r="2436">
          <cell r="A2436">
            <v>180075543</v>
          </cell>
          <cell r="B2436">
            <v>3458</v>
          </cell>
          <cell r="C2436" t="str">
            <v>Betamethasone Disodium Phosphate 3Mg/ml</v>
          </cell>
        </row>
        <row r="2437">
          <cell r="A2437">
            <v>180327939</v>
          </cell>
          <cell r="B2437">
            <v>3459</v>
          </cell>
          <cell r="C2437" t="str">
            <v>Beclomethasone M.D.I 200Mcg 200 Doses</v>
          </cell>
        </row>
        <row r="2438">
          <cell r="A2438">
            <v>180388822</v>
          </cell>
          <cell r="B2438">
            <v>3460</v>
          </cell>
          <cell r="C2438" t="str">
            <v>Beclomethasone M.D.I 50Mcg 200 Doses</v>
          </cell>
        </row>
        <row r="2439">
          <cell r="A2439">
            <v>189717344</v>
          </cell>
          <cell r="B2439">
            <v>3461</v>
          </cell>
          <cell r="C2439" t="str">
            <v>Cath Ureth  8Fg Plastic Disp Atraumatic Tip</v>
          </cell>
        </row>
        <row r="2440">
          <cell r="A2440">
            <v>189716012</v>
          </cell>
          <cell r="B2440">
            <v>3462</v>
          </cell>
          <cell r="C2440" t="str">
            <v>~Fenoterol Inhalator</v>
          </cell>
        </row>
        <row r="2441">
          <cell r="A2441">
            <v>189705990</v>
          </cell>
          <cell r="B2441">
            <v>3463</v>
          </cell>
          <cell r="C2441" t="str">
            <v>Sut Nylon 3/0 3/8Rc 24Mm</v>
          </cell>
        </row>
        <row r="2442">
          <cell r="A2442">
            <v>180948509</v>
          </cell>
          <cell r="B2442">
            <v>3464</v>
          </cell>
          <cell r="C2442" t="str">
            <v>Itn Paed 107/Tpn 1502A</v>
          </cell>
        </row>
        <row r="2443">
          <cell r="A2443">
            <v>180006487</v>
          </cell>
          <cell r="B2443">
            <v>3465</v>
          </cell>
          <cell r="C2443" t="str">
            <v>Salbutamol Udv 5Mg/2.5Ml</v>
          </cell>
        </row>
        <row r="2444">
          <cell r="A2444" t="str">
            <v>DELETED</v>
          </cell>
          <cell r="B2444">
            <v>3466</v>
          </cell>
          <cell r="C2444" t="str">
            <v>~Salbutamol Rotacaps 400Mcg</v>
          </cell>
        </row>
        <row r="2445">
          <cell r="A2445">
            <v>180146017</v>
          </cell>
          <cell r="B2445">
            <v>3467</v>
          </cell>
          <cell r="C2445" t="str">
            <v>Ipratropium Bromide &amp; Salbutamol 0.5 &amp; 2.5Mg/2.5Ml</v>
          </cell>
        </row>
        <row r="2446">
          <cell r="A2446" t="str">
            <v>QUOTE</v>
          </cell>
          <cell r="B2446">
            <v>3468</v>
          </cell>
          <cell r="C2446" t="str">
            <v>Needle Biopsy Liver Set 18Gx70mm According To Menghini</v>
          </cell>
        </row>
        <row r="2447">
          <cell r="A2447">
            <v>189703733</v>
          </cell>
          <cell r="B2447">
            <v>3469</v>
          </cell>
          <cell r="C2447" t="str">
            <v>Needle Disposable Spinal 20G X 3.5"(90Mm)</v>
          </cell>
        </row>
        <row r="2448">
          <cell r="A2448">
            <v>189717362</v>
          </cell>
          <cell r="B2448">
            <v>3470</v>
          </cell>
          <cell r="C2448" t="str">
            <v>Needle Disposable Spinal 20G X 2"(50Mm)</v>
          </cell>
        </row>
        <row r="2449">
          <cell r="A2449">
            <v>180329958</v>
          </cell>
          <cell r="B2449">
            <v>3471</v>
          </cell>
          <cell r="C2449" t="str">
            <v>Manometer Set Spinal Tray,3 Way Stopcock</v>
          </cell>
        </row>
        <row r="2450">
          <cell r="A2450">
            <v>189713024</v>
          </cell>
          <cell r="B2450">
            <v>3472</v>
          </cell>
          <cell r="C2450" t="str">
            <v>Lancets For Autolet Blood Sampling Set; 200</v>
          </cell>
        </row>
        <row r="2451">
          <cell r="A2451">
            <v>180948941</v>
          </cell>
          <cell r="B2451">
            <v>3473</v>
          </cell>
          <cell r="C2451" t="str">
            <v>Syringe B C G Intradermal</v>
          </cell>
        </row>
        <row r="2452">
          <cell r="A2452">
            <v>181777212</v>
          </cell>
          <cell r="B2452">
            <v>3474</v>
          </cell>
          <cell r="C2452" t="str">
            <v>Syringe Disposable 20Ml Three Part</v>
          </cell>
        </row>
        <row r="2453">
          <cell r="A2453">
            <v>181834131</v>
          </cell>
          <cell r="B2453">
            <v>3475</v>
          </cell>
          <cell r="C2453" t="str">
            <v>Syringe Catheter Tip 60Ml 3Part</v>
          </cell>
        </row>
        <row r="2454">
          <cell r="A2454">
            <v>189753842</v>
          </cell>
          <cell r="B2454">
            <v>3476</v>
          </cell>
          <cell r="C2454" t="str">
            <v>~Sut Polyest 2/0 1/2Tp 26Mm 75Cm Cardio</v>
          </cell>
        </row>
        <row r="2455">
          <cell r="A2455">
            <v>180041592</v>
          </cell>
          <cell r="B2455">
            <v>3477</v>
          </cell>
          <cell r="C2455" t="str">
            <v>Needle Disposable 15G X 1.5" Blue Grey</v>
          </cell>
        </row>
        <row r="2456">
          <cell r="A2456">
            <v>180211843</v>
          </cell>
          <cell r="B2456">
            <v>3478</v>
          </cell>
          <cell r="C2456" t="str">
            <v>~Sut Silk 1 1/2Tp 38Mm 75Cm</v>
          </cell>
        </row>
        <row r="2457">
          <cell r="A2457">
            <v>189761557</v>
          </cell>
          <cell r="B2457">
            <v>3479</v>
          </cell>
          <cell r="C2457" t="str">
            <v>Dextrose  5% Sol For Iv Infus   50Ml</v>
          </cell>
        </row>
        <row r="2458">
          <cell r="A2458">
            <v>189761558</v>
          </cell>
          <cell r="B2458">
            <v>3480</v>
          </cell>
          <cell r="C2458" t="str">
            <v>Dextrose  5% Sol For Iv Infus  100Ml</v>
          </cell>
        </row>
        <row r="2459">
          <cell r="A2459">
            <v>189703042</v>
          </cell>
          <cell r="B2459">
            <v>3481</v>
          </cell>
          <cell r="C2459" t="str">
            <v>Dextrose 10% Sol For Iv Infus 1000Ml</v>
          </cell>
        </row>
        <row r="2460">
          <cell r="A2460">
            <v>180031377</v>
          </cell>
          <cell r="B2460">
            <v>3482</v>
          </cell>
          <cell r="C2460" t="str">
            <v>~Dextrose 20% Sol For Infus 1000Ml</v>
          </cell>
        </row>
        <row r="2461">
          <cell r="A2461">
            <v>180055591</v>
          </cell>
          <cell r="B2461">
            <v>3483</v>
          </cell>
          <cell r="C2461" t="str">
            <v>~Dextrose 35% Sol For Infus 1000Ml</v>
          </cell>
        </row>
        <row r="2462">
          <cell r="A2462">
            <v>189711855</v>
          </cell>
          <cell r="B2462">
            <v>3484</v>
          </cell>
          <cell r="C2462" t="str">
            <v>Dextrose 50% Sol For Iv Infus  500Ml</v>
          </cell>
        </row>
        <row r="2463">
          <cell r="A2463">
            <v>180019342</v>
          </cell>
          <cell r="B2463">
            <v>3485</v>
          </cell>
          <cell r="C2463" t="str">
            <v>Sodium Chl 0.9%    50Ml</v>
          </cell>
        </row>
        <row r="2464">
          <cell r="A2464">
            <v>189761560</v>
          </cell>
          <cell r="B2464">
            <v>3486</v>
          </cell>
          <cell r="C2464" t="str">
            <v>Sodium Chl 0.9%   100Ml</v>
          </cell>
        </row>
        <row r="2465">
          <cell r="A2465">
            <v>180229547</v>
          </cell>
          <cell r="B2465">
            <v>3487</v>
          </cell>
          <cell r="C2465" t="str">
            <v>Sodium Chl 0.9%   200Ml (Glass)</v>
          </cell>
        </row>
        <row r="2466">
          <cell r="A2466">
            <v>181932688</v>
          </cell>
          <cell r="B2466">
            <v>3488</v>
          </cell>
          <cell r="C2466" t="str">
            <v>Sodium Chl 5%  200Ml (Glass)</v>
          </cell>
        </row>
        <row r="2467">
          <cell r="A2467">
            <v>189761513</v>
          </cell>
          <cell r="B2467">
            <v>3489</v>
          </cell>
          <cell r="C2467" t="str">
            <v>Sodium Chl 0.2% &amp; Glucose 5%  200Ml</v>
          </cell>
        </row>
        <row r="2468">
          <cell r="A2468">
            <v>189761525</v>
          </cell>
          <cell r="B2468">
            <v>3490</v>
          </cell>
          <cell r="C2468" t="str">
            <v>Sodium Chl 0.45% &amp; Glucose 5% 1000Ml</v>
          </cell>
        </row>
        <row r="2469">
          <cell r="A2469">
            <v>189761515</v>
          </cell>
          <cell r="B2469">
            <v>3491</v>
          </cell>
          <cell r="C2469" t="str">
            <v>Sodium Chl 0.9% &amp; Glucose 5%  200Ml</v>
          </cell>
        </row>
        <row r="2470">
          <cell r="A2470">
            <v>189711189</v>
          </cell>
          <cell r="B2470">
            <v>3492</v>
          </cell>
          <cell r="C2470" t="str">
            <v>Half Darrows + Glucose 5% 500Ml</v>
          </cell>
        </row>
        <row r="2471">
          <cell r="A2471">
            <v>180005302</v>
          </cell>
          <cell r="B2471">
            <v>3493</v>
          </cell>
          <cell r="C2471" t="str">
            <v>General Replacement Solution With Glucose 5% 1000Ml</v>
          </cell>
        </row>
        <row r="2472">
          <cell r="A2472">
            <v>189714368</v>
          </cell>
          <cell r="B2472">
            <v>3494</v>
          </cell>
          <cell r="C2472" t="str">
            <v>Dextran 40 In Sodium Chl 0.9%  500Ml</v>
          </cell>
        </row>
        <row r="2473">
          <cell r="A2473">
            <v>180122685</v>
          </cell>
          <cell r="B2473">
            <v>3495</v>
          </cell>
          <cell r="C2473" t="str">
            <v>~Hydroxyethyl Starch 10% Sodium Chl Inj Iv Sol 500Ml</v>
          </cell>
        </row>
        <row r="2474">
          <cell r="A2474">
            <v>181774492</v>
          </cell>
          <cell r="B2474">
            <v>3496</v>
          </cell>
          <cell r="C2474" t="str">
            <v>Hydroxyethyl Starch 130/0.4 6% And Sodium Chloride 9G/</v>
          </cell>
        </row>
        <row r="2475">
          <cell r="A2475">
            <v>189761520</v>
          </cell>
          <cell r="B2475">
            <v>3497</v>
          </cell>
          <cell r="C2475" t="str">
            <v>Water For Inj  200Ml (Glass)</v>
          </cell>
        </row>
        <row r="2476">
          <cell r="A2476">
            <v>189700110</v>
          </cell>
          <cell r="B2476">
            <v>3498</v>
          </cell>
          <cell r="C2476" t="str">
            <v>Water For Inj 1000Ml (Glass)</v>
          </cell>
        </row>
        <row r="2477">
          <cell r="A2477">
            <v>181813537</v>
          </cell>
          <cell r="B2477">
            <v>3499</v>
          </cell>
          <cell r="C2477" t="str">
            <v>Tpn 5004A</v>
          </cell>
        </row>
        <row r="2478">
          <cell r="A2478">
            <v>180019350</v>
          </cell>
          <cell r="B2478">
            <v>3500</v>
          </cell>
          <cell r="C2478" t="str">
            <v>Amino Acid  8.5 Nitrogen 1000Ml</v>
          </cell>
        </row>
        <row r="2479">
          <cell r="A2479">
            <v>180948563</v>
          </cell>
          <cell r="B2479">
            <v>3501</v>
          </cell>
          <cell r="C2479" t="str">
            <v>Tpn 7003A</v>
          </cell>
        </row>
        <row r="2480">
          <cell r="A2480">
            <v>180005585</v>
          </cell>
          <cell r="B2480">
            <v>3502</v>
          </cell>
          <cell r="C2480" t="str">
            <v>Emulsion Of Soyabean I.V 10% 500Ml</v>
          </cell>
        </row>
        <row r="2481">
          <cell r="A2481">
            <v>189711518</v>
          </cell>
          <cell r="B2481">
            <v>3503</v>
          </cell>
          <cell r="C2481" t="str">
            <v>Emulsion Of Soyabean I.V 20% 100Ml</v>
          </cell>
        </row>
        <row r="2482">
          <cell r="A2482">
            <v>180005597</v>
          </cell>
          <cell r="B2482">
            <v>3504</v>
          </cell>
          <cell r="C2482" t="str">
            <v>Emulsion Of Soyabean I.V 20% 500Ml</v>
          </cell>
        </row>
        <row r="2483">
          <cell r="A2483">
            <v>180055616</v>
          </cell>
          <cell r="B2483">
            <v>3505</v>
          </cell>
          <cell r="C2483" t="str">
            <v>~Amino Acid 7 Dextrose 10 Fat 20</v>
          </cell>
        </row>
        <row r="2484">
          <cell r="A2484">
            <v>180192775</v>
          </cell>
          <cell r="B2484">
            <v>3506</v>
          </cell>
          <cell r="C2484" t="str">
            <v>Trace Elements &amp; Electrolytes For Inj Iv Sol</v>
          </cell>
        </row>
        <row r="2485">
          <cell r="A2485">
            <v>180192703</v>
          </cell>
          <cell r="B2485">
            <v>3507</v>
          </cell>
          <cell r="C2485" t="str">
            <v>Vitamins Fat Soluble I.V. Adult 10Ml</v>
          </cell>
        </row>
        <row r="2486">
          <cell r="A2486">
            <v>180055706</v>
          </cell>
          <cell r="B2486">
            <v>3508</v>
          </cell>
          <cell r="C2486" t="str">
            <v>Vitamins Water Soluble I.V. 10Ml</v>
          </cell>
        </row>
        <row r="2487">
          <cell r="A2487">
            <v>180258017</v>
          </cell>
          <cell r="B2487">
            <v>3509</v>
          </cell>
          <cell r="C2487" t="str">
            <v>Tpn 2000A</v>
          </cell>
        </row>
        <row r="2488">
          <cell r="A2488">
            <v>180258025</v>
          </cell>
          <cell r="B2488">
            <v>3510</v>
          </cell>
          <cell r="C2488" t="str">
            <v>Tpn 2001A</v>
          </cell>
        </row>
        <row r="2489">
          <cell r="A2489">
            <v>180238165</v>
          </cell>
          <cell r="B2489">
            <v>3511</v>
          </cell>
          <cell r="C2489" t="str">
            <v>Sodium Chl 0.9% Irrigation 1000Ml</v>
          </cell>
        </row>
        <row r="2490">
          <cell r="A2490">
            <v>189761562</v>
          </cell>
          <cell r="B2490">
            <v>3512</v>
          </cell>
          <cell r="C2490" t="str">
            <v>Water For Irrigation 1000Ml (Bag)</v>
          </cell>
        </row>
        <row r="2491">
          <cell r="A2491">
            <v>189761563</v>
          </cell>
          <cell r="B2491">
            <v>3513</v>
          </cell>
          <cell r="C2491" t="str">
            <v>Water For Irrigation 3000Ml (Bag)</v>
          </cell>
        </row>
        <row r="2492">
          <cell r="A2492">
            <v>180007958</v>
          </cell>
          <cell r="B2492">
            <v>3514</v>
          </cell>
          <cell r="C2492" t="str">
            <v>Set Transfer C A P D Solution</v>
          </cell>
        </row>
        <row r="2493">
          <cell r="A2493">
            <v>181779132</v>
          </cell>
          <cell r="B2493">
            <v>3515</v>
          </cell>
          <cell r="C2493" t="str">
            <v>Lopinavir / Ritonavir Liq 80/20Mg//ml - (5X60ml)</v>
          </cell>
        </row>
        <row r="2494">
          <cell r="A2494">
            <v>181747805</v>
          </cell>
          <cell r="B2494">
            <v>3516</v>
          </cell>
          <cell r="C2494" t="str">
            <v>Admin Set Fluid 20 Drops Mini Bag</v>
          </cell>
        </row>
        <row r="2495">
          <cell r="A2495">
            <v>180377619</v>
          </cell>
          <cell r="B2495">
            <v>3517</v>
          </cell>
          <cell r="C2495" t="str">
            <v>Admin Set Fluid 20 Drops Mini Bag 18G Needle</v>
          </cell>
        </row>
        <row r="2496">
          <cell r="A2496">
            <v>181896251</v>
          </cell>
          <cell r="B2496">
            <v>3518</v>
          </cell>
          <cell r="C2496" t="str">
            <v>Lopinavir / Ritonavir Caps 200 / 50Mg (120'S)</v>
          </cell>
        </row>
        <row r="2497">
          <cell r="A2497">
            <v>181779524</v>
          </cell>
          <cell r="B2497">
            <v>3519</v>
          </cell>
          <cell r="C2497" t="str">
            <v>Efavirenz 200Mg Caps (90'S)</v>
          </cell>
        </row>
        <row r="2498">
          <cell r="A2498">
            <v>180034767</v>
          </cell>
          <cell r="B2498">
            <v>3520</v>
          </cell>
          <cell r="C2498" t="str">
            <v>Bag Blood Warming</v>
          </cell>
        </row>
        <row r="2499">
          <cell r="A2499">
            <v>189712211</v>
          </cell>
          <cell r="B2499">
            <v>3521</v>
          </cell>
          <cell r="C2499" t="str">
            <v>Sut Polyest 2/0 1/2Dp 17Mm Cardio</v>
          </cell>
        </row>
        <row r="2500">
          <cell r="A2500">
            <v>189715623</v>
          </cell>
          <cell r="B2500">
            <v>3522</v>
          </cell>
          <cell r="C2500" t="str">
            <v>Admin Set Blood 10 Drops &amp; Pump High Capacity</v>
          </cell>
        </row>
        <row r="2501">
          <cell r="A2501">
            <v>180034752</v>
          </cell>
          <cell r="B2501">
            <v>3523</v>
          </cell>
          <cell r="C2501" t="str">
            <v>Admin Set Blood Recipient 15 Drops</v>
          </cell>
        </row>
        <row r="2502">
          <cell r="A2502">
            <v>180034774</v>
          </cell>
          <cell r="B2502">
            <v>3524</v>
          </cell>
          <cell r="C2502" t="str">
            <v>~Set Transfer Rsa 532Sc</v>
          </cell>
        </row>
        <row r="2503">
          <cell r="A2503">
            <v>180005125</v>
          </cell>
          <cell r="B2503">
            <v>3525</v>
          </cell>
          <cell r="C2503" t="str">
            <v>Stopcock Three Way 50Cm Extension Tubing</v>
          </cell>
        </row>
        <row r="2504">
          <cell r="A2504">
            <v>189707185</v>
          </cell>
          <cell r="B2504">
            <v>3526</v>
          </cell>
          <cell r="C2504" t="str">
            <v>~Set Infusion Continouos W/o Wings Needle 23Gx40mm Ext</v>
          </cell>
        </row>
        <row r="2505">
          <cell r="A2505">
            <v>180046807</v>
          </cell>
          <cell r="B2505">
            <v>3527</v>
          </cell>
          <cell r="C2505" t="str">
            <v>Sut Monosyn 3/0 1/2Tp 20-22Mm Gi</v>
          </cell>
        </row>
        <row r="2506">
          <cell r="A2506">
            <v>180034846</v>
          </cell>
          <cell r="B2506">
            <v>3529</v>
          </cell>
          <cell r="C2506" t="str">
            <v>Set Cysto Irrigation</v>
          </cell>
        </row>
        <row r="2507">
          <cell r="A2507">
            <v>180001702</v>
          </cell>
          <cell r="B2507">
            <v>3530</v>
          </cell>
          <cell r="C2507" t="str">
            <v>Sodium Hyaluronate 30Mg/ml 0,5Ml Syringe</v>
          </cell>
        </row>
        <row r="2508">
          <cell r="A2508" t="str">
            <v>RT13-02-02</v>
          </cell>
          <cell r="B2508">
            <v>3531</v>
          </cell>
          <cell r="C2508" t="str">
            <v>Bag Rebreathing 0,5L Antistat Latex Free</v>
          </cell>
        </row>
        <row r="2509">
          <cell r="A2509" t="str">
            <v>RT13-02-07</v>
          </cell>
          <cell r="B2509">
            <v>3532</v>
          </cell>
          <cell r="C2509" t="str">
            <v>Bag Rebreathing 0,5L Antistat 22Mm Tape/neck</v>
          </cell>
        </row>
        <row r="2510">
          <cell r="A2510" t="str">
            <v>RT13-02-08</v>
          </cell>
          <cell r="B2510">
            <v>3533</v>
          </cell>
          <cell r="C2510" t="str">
            <v>Bag Rebreathing 1L Antistat 22Mm Tape/neck</v>
          </cell>
        </row>
        <row r="2511">
          <cell r="A2511" t="str">
            <v>RT13-02-09</v>
          </cell>
          <cell r="B2511">
            <v>3534</v>
          </cell>
          <cell r="C2511" t="str">
            <v>Bag Rebreathing 2L Antistat 22Mm Tape/neck</v>
          </cell>
        </row>
        <row r="2512">
          <cell r="A2512">
            <v>181917243</v>
          </cell>
          <cell r="B2512">
            <v>3535</v>
          </cell>
          <cell r="C2512" t="str">
            <v>Calcium Carbonate 500Mg Tabs (30'S)</v>
          </cell>
        </row>
        <row r="2513">
          <cell r="A2513">
            <v>180235815</v>
          </cell>
          <cell r="B2513">
            <v>3536</v>
          </cell>
          <cell r="C2513" t="str">
            <v>Cannula Nasal Neonate Low Flow Oxygen</v>
          </cell>
        </row>
        <row r="2514">
          <cell r="A2514">
            <v>180365894</v>
          </cell>
          <cell r="B2514">
            <v>3537</v>
          </cell>
          <cell r="C2514" t="str">
            <v>Epidural System (Cath 18G)</v>
          </cell>
        </row>
        <row r="2515">
          <cell r="A2515" t="str">
            <v>RT13-08-01</v>
          </cell>
          <cell r="B2515">
            <v>3538</v>
          </cell>
          <cell r="C2515" t="str">
            <v>Harness Anaesthetic Connell</v>
          </cell>
        </row>
        <row r="2516">
          <cell r="A2516">
            <v>189713945</v>
          </cell>
          <cell r="B2516">
            <v>3539</v>
          </cell>
          <cell r="C2516" t="str">
            <v>Harness Anaesthetic Laerdal Ring Only</v>
          </cell>
        </row>
        <row r="2517">
          <cell r="A2517">
            <v>181777317</v>
          </cell>
          <cell r="B2517">
            <v>3540</v>
          </cell>
          <cell r="C2517" t="str">
            <v>Mask Anaesthetic Clear Sz 2</v>
          </cell>
        </row>
        <row r="2518">
          <cell r="A2518" t="str">
            <v>DELETED</v>
          </cell>
          <cell r="B2518">
            <v>3541</v>
          </cell>
          <cell r="C2518" t="str">
            <v>~Mask Anaesthetic Black 22Mm Sz 3</v>
          </cell>
        </row>
        <row r="2519">
          <cell r="A2519" t="str">
            <v>DELETED</v>
          </cell>
          <cell r="B2519">
            <v>3542</v>
          </cell>
          <cell r="C2519" t="str">
            <v>~Mask Anaesthetic Black 22Mm Sz 4</v>
          </cell>
        </row>
        <row r="2520">
          <cell r="A2520">
            <v>181777318</v>
          </cell>
          <cell r="B2520">
            <v>3543</v>
          </cell>
          <cell r="C2520" t="str">
            <v>Mask Anaesthetic Clear Sz 3</v>
          </cell>
        </row>
        <row r="2521">
          <cell r="A2521">
            <v>181777319</v>
          </cell>
          <cell r="B2521">
            <v>3544</v>
          </cell>
          <cell r="C2521" t="str">
            <v>Mask Anaesthetic Clear Sz 4</v>
          </cell>
        </row>
        <row r="2522">
          <cell r="A2522">
            <v>181777320</v>
          </cell>
          <cell r="B2522">
            <v>3545</v>
          </cell>
          <cell r="C2522" t="str">
            <v>Mask Anaesthetic Clear Sz 5</v>
          </cell>
        </row>
        <row r="2523">
          <cell r="A2523" t="str">
            <v>RT  13 028</v>
          </cell>
          <cell r="B2523">
            <v>3546</v>
          </cell>
          <cell r="C2523" t="str">
            <v>Catheter Mount Antistatic  90Mm</v>
          </cell>
        </row>
        <row r="2524">
          <cell r="A2524" t="str">
            <v>RT  13 029</v>
          </cell>
          <cell r="B2524">
            <v>3547</v>
          </cell>
          <cell r="C2524" t="str">
            <v>Catheter Mount Antistatic 140Mm</v>
          </cell>
        </row>
        <row r="2525">
          <cell r="A2525" t="str">
            <v>RT13-20-04</v>
          </cell>
          <cell r="B2525">
            <v>3548</v>
          </cell>
          <cell r="C2525" t="str">
            <v>Tube Corrugated Antis Rubber Id 22Mm Od 28Mm Lg 107Cm</v>
          </cell>
        </row>
        <row r="2526">
          <cell r="A2526">
            <v>180381893</v>
          </cell>
          <cell r="B2526">
            <v>3549</v>
          </cell>
          <cell r="C2526" t="str">
            <v>Tube Endotracheal Cuff Dual 10.0</v>
          </cell>
        </row>
        <row r="2527">
          <cell r="A2527">
            <v>180371686</v>
          </cell>
          <cell r="B2527">
            <v>3550</v>
          </cell>
          <cell r="C2527" t="str">
            <v>Tube Endo Cuff Dual 8.0 Reinforced</v>
          </cell>
        </row>
        <row r="2528">
          <cell r="A2528">
            <v>180059590</v>
          </cell>
          <cell r="B2528">
            <v>3551</v>
          </cell>
          <cell r="C2528" t="str">
            <v>Fluconazole Caps 150Mg</v>
          </cell>
        </row>
        <row r="2529">
          <cell r="A2529">
            <v>180179725</v>
          </cell>
          <cell r="B2529">
            <v>3552</v>
          </cell>
          <cell r="C2529" t="str">
            <v>Acitretin Caps 25Mg (30'S)</v>
          </cell>
        </row>
        <row r="2530">
          <cell r="A2530">
            <v>189716026</v>
          </cell>
          <cell r="B2530">
            <v>3553</v>
          </cell>
          <cell r="C2530" t="str">
            <v>Apron Plastic Full Body White Single Use 110Cm</v>
          </cell>
        </row>
        <row r="2531">
          <cell r="A2531" t="str">
            <v>*</v>
          </cell>
          <cell r="B2531">
            <v>3554</v>
          </cell>
          <cell r="C2531" t="str">
            <v>~Cefradoxil Susp 250Mg/5ml</v>
          </cell>
        </row>
        <row r="2532">
          <cell r="A2532" t="str">
            <v>*</v>
          </cell>
          <cell r="B2532">
            <v>3555</v>
          </cell>
          <cell r="C2532" t="str">
            <v>~Cefradoxil Susp 500Mg/5ml</v>
          </cell>
        </row>
        <row r="2533">
          <cell r="A2533" t="str">
            <v>DELETED</v>
          </cell>
          <cell r="B2533">
            <v>3556</v>
          </cell>
          <cell r="C2533" t="str">
            <v>Sut Monosyn 1 1/2Tp 26Mm</v>
          </cell>
        </row>
        <row r="2534">
          <cell r="A2534">
            <v>180158788</v>
          </cell>
          <cell r="B2534">
            <v>3557</v>
          </cell>
          <cell r="C2534" t="str">
            <v>Bottle Round Amber + Screw Cap 25Ml</v>
          </cell>
        </row>
        <row r="2535">
          <cell r="A2535">
            <v>180158794</v>
          </cell>
          <cell r="B2535">
            <v>3558</v>
          </cell>
          <cell r="C2535" t="str">
            <v>Bottle Amber Round Plastic 50Ml</v>
          </cell>
        </row>
        <row r="2536">
          <cell r="A2536">
            <v>189709363</v>
          </cell>
          <cell r="B2536">
            <v>3559</v>
          </cell>
          <cell r="C2536" t="str">
            <v>Skin Stapler Remover</v>
          </cell>
        </row>
        <row r="2537">
          <cell r="A2537" t="str">
            <v>QUOTE</v>
          </cell>
          <cell r="B2537">
            <v>3560</v>
          </cell>
          <cell r="C2537" t="str">
            <v>Catheter Stylet Adult For Peritoneal Dialysis</v>
          </cell>
        </row>
        <row r="2538">
          <cell r="A2538">
            <v>180158817</v>
          </cell>
          <cell r="B2538">
            <v>3561</v>
          </cell>
          <cell r="C2538" t="str">
            <v>Bottle Plastic 2.5L</v>
          </cell>
        </row>
        <row r="2539">
          <cell r="A2539">
            <v>180031142</v>
          </cell>
          <cell r="B2539">
            <v>3562</v>
          </cell>
          <cell r="C2539" t="str">
            <v>Sodium Chlo 0.9% 1000Ml Hospital Stock</v>
          </cell>
        </row>
        <row r="2540">
          <cell r="A2540">
            <v>180029081</v>
          </cell>
          <cell r="B2540">
            <v>3563</v>
          </cell>
          <cell r="C2540" t="str">
            <v>Sut Monosyn 4/0 3/8Rc 67-70Cm 24Mm</v>
          </cell>
        </row>
        <row r="2541">
          <cell r="A2541">
            <v>180351239</v>
          </cell>
          <cell r="B2541">
            <v>3564</v>
          </cell>
          <cell r="C2541" t="str">
            <v>~Quetiapine I R Tabs 200Mg (60'S)</v>
          </cell>
        </row>
        <row r="2542">
          <cell r="A2542">
            <v>180330417</v>
          </cell>
          <cell r="B2542">
            <v>3565</v>
          </cell>
          <cell r="C2542" t="str">
            <v>Sut Monosyn 2/0 1/2Tp 26Mm</v>
          </cell>
        </row>
        <row r="2543">
          <cell r="A2543">
            <v>180009344</v>
          </cell>
          <cell r="B2543">
            <v>3566</v>
          </cell>
          <cell r="C2543" t="str">
            <v>Connector Plastic Autoclave Double Tape  4-7Mm</v>
          </cell>
        </row>
        <row r="2544">
          <cell r="A2544">
            <v>189717395</v>
          </cell>
          <cell r="B2544">
            <v>3567</v>
          </cell>
          <cell r="C2544" t="str">
            <v>Connector Plastic Autoclave Double Tape 10-14Mm</v>
          </cell>
        </row>
        <row r="2545">
          <cell r="A2545">
            <v>180009780</v>
          </cell>
          <cell r="B2545">
            <v>3568</v>
          </cell>
          <cell r="C2545" t="str">
            <v>Connector Plastic Autoclave Y-Shaped 4-6Mm</v>
          </cell>
        </row>
        <row r="2546">
          <cell r="A2546">
            <v>180953394</v>
          </cell>
          <cell r="B2546">
            <v>3569</v>
          </cell>
          <cell r="C2546" t="str">
            <v>Connector Plastic Autoclave Y-Shaped 8-10Mm</v>
          </cell>
        </row>
        <row r="2547">
          <cell r="A2547">
            <v>189717425</v>
          </cell>
          <cell r="B2547">
            <v>3570</v>
          </cell>
          <cell r="C2547" t="str">
            <v>Container Oint Pvc  50G</v>
          </cell>
        </row>
        <row r="2548">
          <cell r="A2548">
            <v>180142463</v>
          </cell>
          <cell r="B2548">
            <v>3571</v>
          </cell>
          <cell r="C2548" t="str">
            <v>Dressing Hydrocolloid Transparent 15Cmx20cm</v>
          </cell>
        </row>
        <row r="2549">
          <cell r="A2549">
            <v>180295330</v>
          </cell>
          <cell r="B2549">
            <v>3572</v>
          </cell>
          <cell r="C2549" t="str">
            <v>Container Oint Pvc 500G</v>
          </cell>
        </row>
        <row r="2550">
          <cell r="A2550">
            <v>180012360</v>
          </cell>
          <cell r="B2550">
            <v>3573</v>
          </cell>
          <cell r="C2550" t="str">
            <v>Cord Orthopaedic</v>
          </cell>
        </row>
        <row r="2551">
          <cell r="A2551" t="str">
            <v>QUOTE</v>
          </cell>
          <cell r="B2551">
            <v>3574</v>
          </cell>
          <cell r="C2551" t="str">
            <v>Cath Silicone 8.1Fr Low Profile Radiopaque</v>
          </cell>
        </row>
        <row r="2552">
          <cell r="A2552" t="str">
            <v>QUOTE</v>
          </cell>
          <cell r="B2552">
            <v>3575</v>
          </cell>
          <cell r="C2552" t="str">
            <v>Cath Silicone 5.4Fr Low Profile Radiopaque</v>
          </cell>
        </row>
        <row r="2553">
          <cell r="A2553" t="str">
            <v>QUOTE</v>
          </cell>
          <cell r="B2553">
            <v>3576</v>
          </cell>
          <cell r="C2553" t="str">
            <v>Cath Sil Prostatectomy 3-Way 24Ch</v>
          </cell>
        </row>
        <row r="2554">
          <cell r="A2554" t="str">
            <v>QOUTE</v>
          </cell>
          <cell r="B2554">
            <v>3577</v>
          </cell>
          <cell r="C2554" t="str">
            <v>Bag Urine Turp (With Lumen)</v>
          </cell>
        </row>
        <row r="2555">
          <cell r="A2555">
            <v>189712739</v>
          </cell>
          <cell r="B2555">
            <v>3578</v>
          </cell>
          <cell r="C2555" t="str">
            <v>Sut Monosyn 6/0 3/8Tp 11.2Mm Urology</v>
          </cell>
        </row>
        <row r="2556">
          <cell r="A2556">
            <v>180212294</v>
          </cell>
          <cell r="B2556">
            <v>3579</v>
          </cell>
          <cell r="C2556" t="str">
            <v>Oestradiol 2Mg/nerethisterone Ace 1Mg</v>
          </cell>
        </row>
        <row r="2557">
          <cell r="A2557">
            <v>1</v>
          </cell>
          <cell r="B2557">
            <v>3580</v>
          </cell>
          <cell r="C2557" t="str">
            <v>Sut Synthabs 2 1/2Tp 45Mm Obs.Gyn</v>
          </cell>
        </row>
        <row r="2558">
          <cell r="A2558">
            <v>180164451</v>
          </cell>
          <cell r="B2558">
            <v>3581</v>
          </cell>
          <cell r="C2558" t="str">
            <v>Sut Plain 3/0 3/8Rc 19Mm</v>
          </cell>
        </row>
        <row r="2559">
          <cell r="A2559">
            <v>180211309</v>
          </cell>
          <cell r="B2559">
            <v>3582</v>
          </cell>
          <cell r="C2559" t="str">
            <v>Sut Nylon 4/0 3/8Rc 13Mm</v>
          </cell>
        </row>
        <row r="2560">
          <cell r="A2560">
            <v>180320710</v>
          </cell>
          <cell r="B2560">
            <v>3583</v>
          </cell>
          <cell r="C2560" t="str">
            <v>Sut Nylon 3/0 3/8Cc 25Mm</v>
          </cell>
        </row>
        <row r="2561">
          <cell r="A2561">
            <v>180047971</v>
          </cell>
          <cell r="B2561">
            <v>3584</v>
          </cell>
          <cell r="C2561" t="str">
            <v>Sut Nylon 5/0 3/8Cc 15Mm</v>
          </cell>
        </row>
        <row r="2562">
          <cell r="A2562">
            <v>189702797</v>
          </cell>
          <cell r="B2562">
            <v>3585</v>
          </cell>
          <cell r="C2562" t="str">
            <v>Fluocinolone Acetonide 0.025% Oint</v>
          </cell>
        </row>
        <row r="2563">
          <cell r="A2563">
            <v>181930750</v>
          </cell>
          <cell r="B2563">
            <v>3586</v>
          </cell>
          <cell r="C2563" t="str">
            <v>Eye Shield Left Cartella</v>
          </cell>
        </row>
        <row r="2564">
          <cell r="A2564">
            <v>181930751</v>
          </cell>
          <cell r="B2564">
            <v>3587</v>
          </cell>
          <cell r="C2564" t="str">
            <v>Eye Shield Right Cartella</v>
          </cell>
        </row>
        <row r="2565">
          <cell r="A2565">
            <v>180103509</v>
          </cell>
          <cell r="B2565">
            <v>3588</v>
          </cell>
          <cell r="C2565" t="str">
            <v>Gabapentin 100Mg Caps (100'S)</v>
          </cell>
        </row>
        <row r="2566">
          <cell r="A2566">
            <v>180090331</v>
          </cell>
          <cell r="B2566">
            <v>3589</v>
          </cell>
          <cell r="C2566" t="str">
            <v>Tape Indicator Ethylene Oxide 12Mm</v>
          </cell>
        </row>
        <row r="2567">
          <cell r="A2567">
            <v>181863977</v>
          </cell>
          <cell r="B2567">
            <v>3590</v>
          </cell>
          <cell r="C2567" t="str">
            <v>Thermometer Non-Mercury Babies &amp; Children</v>
          </cell>
        </row>
        <row r="2568">
          <cell r="A2568">
            <v>180152110</v>
          </cell>
          <cell r="B2568">
            <v>3591</v>
          </cell>
          <cell r="C2568" t="str">
            <v>Tape Masking 24Mm</v>
          </cell>
        </row>
        <row r="2569">
          <cell r="A2569">
            <v>181854786</v>
          </cell>
          <cell r="B2569">
            <v>3592</v>
          </cell>
          <cell r="C2569" t="str">
            <v>Thermometer Non-Mercury</v>
          </cell>
        </row>
        <row r="2570">
          <cell r="A2570">
            <v>189702845</v>
          </cell>
          <cell r="B2570">
            <v>3593</v>
          </cell>
          <cell r="C2570" t="str">
            <v>~Sut Plain 1 1/2Rc 40Mm 68Cm Uro</v>
          </cell>
        </row>
        <row r="2571">
          <cell r="A2571">
            <v>180009501</v>
          </cell>
          <cell r="B2571">
            <v>3594</v>
          </cell>
          <cell r="C2571" t="str">
            <v>~Thermometer Lotion Celcius Range 0-110</v>
          </cell>
        </row>
        <row r="2572">
          <cell r="A2572">
            <v>181790514</v>
          </cell>
          <cell r="B2572">
            <v>3595</v>
          </cell>
          <cell r="C2572" t="str">
            <v>~Tpn 8003Xa (Itn8003xa)</v>
          </cell>
        </row>
        <row r="2573">
          <cell r="A2573">
            <v>181777175</v>
          </cell>
          <cell r="B2573">
            <v>3596</v>
          </cell>
          <cell r="C2573" t="str">
            <v>Tube Endo T Cuffed Intub L/mask 7Mm</v>
          </cell>
        </row>
        <row r="2574">
          <cell r="A2574">
            <v>181777176</v>
          </cell>
          <cell r="B2574">
            <v>3597</v>
          </cell>
          <cell r="C2574" t="str">
            <v>Tube Endo T Cuffed Intub L/mask 7.5Mm</v>
          </cell>
        </row>
        <row r="2575">
          <cell r="A2575">
            <v>181777172</v>
          </cell>
          <cell r="B2575">
            <v>3598</v>
          </cell>
          <cell r="C2575" t="str">
            <v>Tube Endo T Cuffed Intub L/mask 6.5Mm</v>
          </cell>
        </row>
        <row r="2576">
          <cell r="A2576">
            <v>180211159</v>
          </cell>
          <cell r="B2576">
            <v>3599</v>
          </cell>
          <cell r="C2576" t="str">
            <v>Oestradiol Val 2Mg/ Cyproterone Ace 1Mg Tabs</v>
          </cell>
        </row>
        <row r="2577">
          <cell r="A2577">
            <v>181798197</v>
          </cell>
          <cell r="B2577">
            <v>3600</v>
          </cell>
          <cell r="C2577" t="str">
            <v>~Vitamin Multiple Caps Children</v>
          </cell>
        </row>
        <row r="2578">
          <cell r="A2578">
            <v>181798198</v>
          </cell>
          <cell r="B2578">
            <v>3601</v>
          </cell>
          <cell r="C2578" t="str">
            <v>~Vitamin Multiple Caps Adults</v>
          </cell>
        </row>
        <row r="2579">
          <cell r="A2579" t="str">
            <v>.</v>
          </cell>
          <cell r="B2579">
            <v>3602</v>
          </cell>
          <cell r="C2579" t="str">
            <v>Vaccine Meningitis Acw 135Y Vial 10 Dose</v>
          </cell>
        </row>
        <row r="2580">
          <cell r="A2580" t="str">
            <v>QUOTE</v>
          </cell>
          <cell r="B2580">
            <v>3603</v>
          </cell>
          <cell r="C2580" t="str">
            <v>Winged Infus Set 20G Non Coring</v>
          </cell>
        </row>
        <row r="2581">
          <cell r="A2581" t="str">
            <v>QUOTE</v>
          </cell>
          <cell r="B2581">
            <v>3604</v>
          </cell>
          <cell r="C2581" t="str">
            <v>Winged Infus Set 22G Non Coring</v>
          </cell>
        </row>
        <row r="2582">
          <cell r="A2582">
            <v>180954640</v>
          </cell>
          <cell r="B2582">
            <v>3605</v>
          </cell>
          <cell r="C2582" t="str">
            <v>Test Strip Blood Glucose (Accu-Check Active)</v>
          </cell>
        </row>
        <row r="2583">
          <cell r="A2583">
            <v>180070238</v>
          </cell>
          <cell r="B2583">
            <v>3606</v>
          </cell>
          <cell r="C2583" t="str">
            <v>Tramadol Caps 50Mg (20'S)</v>
          </cell>
        </row>
        <row r="2584">
          <cell r="A2584" t="str">
            <v>QUOTE</v>
          </cell>
          <cell r="B2584">
            <v>3607</v>
          </cell>
          <cell r="C2584" t="str">
            <v>~Fluoxetine Susp 20Mg/5ml 70Ml</v>
          </cell>
        </row>
        <row r="2585">
          <cell r="A2585">
            <v>189702018</v>
          </cell>
          <cell r="B2585">
            <v>3608</v>
          </cell>
          <cell r="C2585" t="str">
            <v>Brush Surgical Scrub Sterile Single</v>
          </cell>
        </row>
        <row r="2586">
          <cell r="A2586" t="str">
            <v>QUOTE</v>
          </cell>
          <cell r="B2586">
            <v>3609</v>
          </cell>
          <cell r="C2586" t="str">
            <v>Calcipotriol Cream 100G Tube</v>
          </cell>
        </row>
        <row r="2587">
          <cell r="A2587">
            <v>189704674</v>
          </cell>
          <cell r="B2587">
            <v>3610</v>
          </cell>
          <cell r="C2587" t="str">
            <v>Forceps Dressing Plastic 125Mm</v>
          </cell>
        </row>
        <row r="2588">
          <cell r="A2588">
            <v>181798147</v>
          </cell>
          <cell r="B2588">
            <v>3611</v>
          </cell>
          <cell r="C2588" t="str">
            <v>Co-Trimoxazole Tabs 480Mg (56'S)</v>
          </cell>
        </row>
        <row r="2589">
          <cell r="A2589">
            <v>189763034</v>
          </cell>
          <cell r="B2589">
            <v>3612</v>
          </cell>
          <cell r="C2589" t="str">
            <v>Ciprofloxacin Tabs 500Mg (10'S)</v>
          </cell>
        </row>
        <row r="2590">
          <cell r="A2590">
            <v>189710219</v>
          </cell>
          <cell r="B2590">
            <v>3613</v>
          </cell>
          <cell r="C2590" t="str">
            <v>Carbamazepine Tabs 200Mg (Ward 100)</v>
          </cell>
        </row>
        <row r="2591">
          <cell r="A2591">
            <v>180206558</v>
          </cell>
          <cell r="B2591">
            <v>3614</v>
          </cell>
          <cell r="C2591" t="str">
            <v>~Enalapril Tabs 2.5Mg</v>
          </cell>
        </row>
        <row r="2592">
          <cell r="A2592">
            <v>180340162</v>
          </cell>
          <cell r="B2592">
            <v>3615</v>
          </cell>
          <cell r="C2592" t="str">
            <v>Glibenclamide Tabs 5Mg (56'S)</v>
          </cell>
        </row>
        <row r="2593">
          <cell r="A2593">
            <v>180340166</v>
          </cell>
          <cell r="B2593">
            <v>3616</v>
          </cell>
          <cell r="C2593" t="str">
            <v>Glibenclamide Tabs 5Mg (84'S)</v>
          </cell>
        </row>
        <row r="2594">
          <cell r="A2594">
            <v>189710395</v>
          </cell>
          <cell r="B2594">
            <v>3617</v>
          </cell>
          <cell r="C2594" t="str">
            <v>Glibenclamide Tabs 5Mg (Ward 100)</v>
          </cell>
        </row>
        <row r="2595">
          <cell r="A2595">
            <v>180339463</v>
          </cell>
          <cell r="B2595">
            <v>3618</v>
          </cell>
          <cell r="C2595" t="str">
            <v>~Indomethacin Caps 25Mg (15'S)</v>
          </cell>
        </row>
        <row r="2596">
          <cell r="A2596">
            <v>180155491</v>
          </cell>
          <cell r="B2596">
            <v>3619</v>
          </cell>
          <cell r="C2596" t="str">
            <v>~Indomethacin Caps 25Mg (84'S)</v>
          </cell>
        </row>
        <row r="2597">
          <cell r="A2597" t="str">
            <v>HEDP 088/09</v>
          </cell>
          <cell r="B2597">
            <v>3620</v>
          </cell>
          <cell r="C2597" t="str">
            <v>Gown Hospital Short Sleeves Large - Navy Blue</v>
          </cell>
        </row>
        <row r="2598">
          <cell r="A2598">
            <v>189714494</v>
          </cell>
          <cell r="B2598">
            <v>3621</v>
          </cell>
          <cell r="C2598" t="str">
            <v>Indomethacin Caps 25Mg (Ward 100)</v>
          </cell>
        </row>
        <row r="2599">
          <cell r="A2599">
            <v>181930611</v>
          </cell>
          <cell r="B2599">
            <v>3622</v>
          </cell>
          <cell r="C2599" t="str">
            <v>Mask N95 M.D.R-Tb Small</v>
          </cell>
        </row>
        <row r="2600">
          <cell r="A2600">
            <v>180118185</v>
          </cell>
          <cell r="B2600">
            <v>3623</v>
          </cell>
          <cell r="C2600" t="str">
            <v>~Shield Full Face Protection</v>
          </cell>
        </row>
        <row r="2601">
          <cell r="A2601">
            <v>180158771</v>
          </cell>
          <cell r="B2601">
            <v>3624</v>
          </cell>
          <cell r="C2601" t="str">
            <v>Bag Sterilization  No 1020</v>
          </cell>
        </row>
        <row r="2602">
          <cell r="A2602">
            <v>180174140</v>
          </cell>
          <cell r="B2602">
            <v>3625</v>
          </cell>
          <cell r="C2602" t="str">
            <v>Bandage Retention Crepe  50Mm</v>
          </cell>
        </row>
        <row r="2603">
          <cell r="A2603">
            <v>180174037</v>
          </cell>
          <cell r="B2603">
            <v>3626</v>
          </cell>
          <cell r="C2603" t="str">
            <v>Bandage Retention Crepe 100Mm</v>
          </cell>
        </row>
        <row r="2604">
          <cell r="A2604">
            <v>180174038</v>
          </cell>
          <cell r="B2604">
            <v>3627</v>
          </cell>
          <cell r="C2604" t="str">
            <v>Bandage Retention Crepe 150Mm</v>
          </cell>
        </row>
        <row r="2605">
          <cell r="A2605">
            <v>180961952</v>
          </cell>
          <cell r="B2605">
            <v>3628</v>
          </cell>
          <cell r="C2605" t="str">
            <v>Syringe Safety 10Ml 22Gx40mm (0.7Mm) Needle</v>
          </cell>
        </row>
        <row r="2606">
          <cell r="A2606">
            <v>180057310</v>
          </cell>
          <cell r="B2606">
            <v>3629</v>
          </cell>
          <cell r="C2606" t="str">
            <v>Bandage Heavy Support/compression Cotton 75Mm X 4.5M</v>
          </cell>
        </row>
        <row r="2607">
          <cell r="A2607">
            <v>180173370</v>
          </cell>
          <cell r="B2607">
            <v>3630</v>
          </cell>
          <cell r="C2607" t="str">
            <v>Bandage Compression Porous Elastic Adhe 50Mm</v>
          </cell>
        </row>
        <row r="2608">
          <cell r="A2608" t="str">
            <v>*</v>
          </cell>
          <cell r="B2608">
            <v>3631</v>
          </cell>
          <cell r="C2608" t="str">
            <v>Cath Ureth 10Fg Plastic Disp Atraumatic Tip</v>
          </cell>
        </row>
        <row r="2609">
          <cell r="A2609">
            <v>189714663</v>
          </cell>
          <cell r="B2609">
            <v>3632</v>
          </cell>
          <cell r="C2609" t="str">
            <v>Vaccine Influenza (H1n1): Campaign</v>
          </cell>
        </row>
        <row r="2610">
          <cell r="A2610">
            <v>180087339</v>
          </cell>
          <cell r="B2610">
            <v>3633</v>
          </cell>
          <cell r="C2610" t="str">
            <v>Sodium Hyaluronate 14Mg/ml 0.55Ml Syringe</v>
          </cell>
        </row>
        <row r="2611">
          <cell r="A2611">
            <v>180973899</v>
          </cell>
          <cell r="B2611">
            <v>3635</v>
          </cell>
          <cell r="C2611" t="str">
            <v>Dressing Wound Abs. Adhesive</v>
          </cell>
        </row>
        <row r="2612">
          <cell r="A2612">
            <v>180175053</v>
          </cell>
          <cell r="B2612">
            <v>3636</v>
          </cell>
          <cell r="C2612" t="str">
            <v>Bandage Retention Tubular Orthopaedic  50Mm</v>
          </cell>
        </row>
        <row r="2613">
          <cell r="A2613">
            <v>180175061</v>
          </cell>
          <cell r="B2613">
            <v>3637</v>
          </cell>
          <cell r="C2613" t="str">
            <v>Bandage Retention Tubular Orthopaedic  80Mm</v>
          </cell>
        </row>
        <row r="2614">
          <cell r="A2614" t="str">
            <v>*</v>
          </cell>
          <cell r="B2614">
            <v>3638</v>
          </cell>
          <cell r="C2614" t="str">
            <v>Bud Cotton Autoclavable Double Tipped</v>
          </cell>
        </row>
        <row r="2615">
          <cell r="A2615">
            <v>189704611</v>
          </cell>
          <cell r="B2615">
            <v>3639</v>
          </cell>
          <cell r="C2615" t="str">
            <v>Campaign: Cotton Wool</v>
          </cell>
        </row>
        <row r="2616">
          <cell r="A2616">
            <v>189702850</v>
          </cell>
          <cell r="B2616">
            <v>3640</v>
          </cell>
          <cell r="C2616" t="str">
            <v>~Cotton Wool Absorbent  50G  Non-Interleaved</v>
          </cell>
        </row>
        <row r="2617">
          <cell r="A2617">
            <v>180175240</v>
          </cell>
          <cell r="B2617">
            <v>3641</v>
          </cell>
          <cell r="C2617" t="str">
            <v>Dressing Burn First Aid 60Cmx40cm</v>
          </cell>
        </row>
        <row r="2618">
          <cell r="A2618">
            <v>9632</v>
          </cell>
          <cell r="B2618">
            <v>3642</v>
          </cell>
          <cell r="C2618" t="str">
            <v>Dressing Contreet Foam Adhesive 12.5X12.5Cm</v>
          </cell>
        </row>
        <row r="2619">
          <cell r="A2619">
            <v>9635</v>
          </cell>
          <cell r="B2619">
            <v>3643</v>
          </cell>
          <cell r="C2619" t="str">
            <v>Dressing Contreet Foam Adhesive 18X18cm</v>
          </cell>
        </row>
        <row r="2620">
          <cell r="A2620">
            <v>189701780</v>
          </cell>
          <cell r="B2620">
            <v>3644</v>
          </cell>
          <cell r="C2620" t="str">
            <v>Dressing Standard First Aid  75Mmx2m</v>
          </cell>
        </row>
        <row r="2621">
          <cell r="A2621">
            <v>189701781</v>
          </cell>
          <cell r="B2621">
            <v>3645</v>
          </cell>
          <cell r="C2621" t="str">
            <v>Dressing Standard First Aid 100Mmx4m</v>
          </cell>
        </row>
        <row r="2622">
          <cell r="A2622">
            <v>180057903</v>
          </cell>
          <cell r="B2622">
            <v>3646</v>
          </cell>
          <cell r="C2622" t="str">
            <v>Dressing Standard First Aid 200Mmx6.5M</v>
          </cell>
        </row>
        <row r="2623">
          <cell r="A2623">
            <v>180973826</v>
          </cell>
          <cell r="B2623">
            <v>3647</v>
          </cell>
          <cell r="C2623" t="str">
            <v>Dressing Tulle Gras 100Mmx400mm</v>
          </cell>
        </row>
        <row r="2624">
          <cell r="A2624">
            <v>181931745</v>
          </cell>
          <cell r="B2624">
            <v>3648</v>
          </cell>
          <cell r="C2624" t="str">
            <v>Dressing Wound Abs. 100Mmx100mm 2Ply</v>
          </cell>
        </row>
        <row r="2625">
          <cell r="A2625">
            <v>180349938</v>
          </cell>
          <cell r="B2625">
            <v>3649</v>
          </cell>
          <cell r="C2625" t="str">
            <v>Eye Patch Adhesive Edge Oval</v>
          </cell>
        </row>
        <row r="2626">
          <cell r="A2626">
            <v>181894394</v>
          </cell>
          <cell r="B2626">
            <v>3650</v>
          </cell>
          <cell r="C2626" t="str">
            <v>Factor Viia 2Mg (100Kiu)</v>
          </cell>
        </row>
        <row r="2627">
          <cell r="A2627">
            <v>189715777</v>
          </cell>
          <cell r="B2627">
            <v>3651</v>
          </cell>
          <cell r="C2627" t="str">
            <v>Gauze Plugging Absorbent X-Ray 38Mmx700mm 12Ply</v>
          </cell>
        </row>
        <row r="2628">
          <cell r="A2628">
            <v>189701807</v>
          </cell>
          <cell r="B2628">
            <v>3652</v>
          </cell>
          <cell r="C2628" t="str">
            <v>Gauze Ribbon Absorbent Cotton 12Mmx10m</v>
          </cell>
        </row>
        <row r="2629">
          <cell r="A2629">
            <v>189715778</v>
          </cell>
          <cell r="B2629">
            <v>3653</v>
          </cell>
          <cell r="C2629" t="str">
            <v>~Skin Traction Kit Adult Full Foam</v>
          </cell>
        </row>
        <row r="2630">
          <cell r="A2630">
            <v>180120113</v>
          </cell>
          <cell r="B2630">
            <v>3654</v>
          </cell>
          <cell r="C2630" t="str">
            <v>Sponge Gelatin Absorbable 70Mmx50mmx10mm</v>
          </cell>
        </row>
        <row r="2631">
          <cell r="A2631">
            <v>180058831</v>
          </cell>
          <cell r="B2631">
            <v>3655</v>
          </cell>
          <cell r="C2631" t="str">
            <v>Spongette Triangular + Pliable Handle</v>
          </cell>
        </row>
        <row r="2632">
          <cell r="A2632">
            <v>189701824</v>
          </cell>
          <cell r="B2632">
            <v>3656</v>
          </cell>
          <cell r="C2632" t="str">
            <v>Support Scrotal Suspensory Medium</v>
          </cell>
        </row>
        <row r="2633">
          <cell r="A2633">
            <v>189701825</v>
          </cell>
          <cell r="B2633">
            <v>3657</v>
          </cell>
          <cell r="C2633" t="str">
            <v>Support Scrotal Suspensory Large</v>
          </cell>
        </row>
        <row r="2634">
          <cell r="A2634">
            <v>189705301</v>
          </cell>
          <cell r="B2634">
            <v>3658</v>
          </cell>
          <cell r="C2634" t="str">
            <v>Swabs Abdominal Sterile 170Mmx200mm  8G</v>
          </cell>
        </row>
        <row r="2635">
          <cell r="A2635">
            <v>189712075</v>
          </cell>
          <cell r="B2635">
            <v>3659</v>
          </cell>
          <cell r="C2635" t="str">
            <v>Swabs Gauze Absorbent X-Ray 100Mmx100mm 12Ply</v>
          </cell>
        </row>
        <row r="2636">
          <cell r="A2636">
            <v>189712663</v>
          </cell>
          <cell r="B2636">
            <v>3660</v>
          </cell>
          <cell r="C2636" t="str">
            <v>Swabs Cleansing   30Mm</v>
          </cell>
        </row>
        <row r="2637">
          <cell r="A2637">
            <v>180148951</v>
          </cell>
          <cell r="B2637">
            <v>3661</v>
          </cell>
          <cell r="C2637" t="str">
            <v>Dressing Film Transparent Adhesive 100 X 140</v>
          </cell>
        </row>
        <row r="2638">
          <cell r="A2638">
            <v>180057664</v>
          </cell>
          <cell r="B2638">
            <v>3662</v>
          </cell>
          <cell r="C2638" t="str">
            <v>Drape Surg Incise Adhesive  900Mmx450mm</v>
          </cell>
        </row>
        <row r="2639">
          <cell r="A2639">
            <v>180057660</v>
          </cell>
          <cell r="B2639">
            <v>3663</v>
          </cell>
          <cell r="C2639" t="str">
            <v>Drape Surg Incise Adhesive  600Mmx350mm</v>
          </cell>
        </row>
        <row r="2640">
          <cell r="A2640">
            <v>180057710</v>
          </cell>
          <cell r="B2640">
            <v>3664</v>
          </cell>
          <cell r="C2640" t="str">
            <v>Drape Surgical Adhesive &amp; Circle 400Mmx400mm</v>
          </cell>
        </row>
        <row r="2641">
          <cell r="A2641">
            <v>180057711</v>
          </cell>
          <cell r="B2641">
            <v>3665</v>
          </cell>
          <cell r="C2641" t="str">
            <v>Drape Surgical Adhesive &amp; Oval 800Mmx1300mm</v>
          </cell>
        </row>
        <row r="2642">
          <cell r="A2642">
            <v>181857282</v>
          </cell>
          <cell r="B2642">
            <v>3666</v>
          </cell>
          <cell r="C2642" t="str">
            <v>Drape Surgical Adhesive Strip  300Mmx450mm</v>
          </cell>
        </row>
        <row r="2643">
          <cell r="A2643">
            <v>180059523</v>
          </cell>
          <cell r="B2643">
            <v>3667</v>
          </cell>
          <cell r="C2643" t="str">
            <v>Drape Surgical Adhesive U Slot 1200Mmx1300mm</v>
          </cell>
        </row>
        <row r="2644">
          <cell r="A2644">
            <v>180174318</v>
          </cell>
          <cell r="B2644">
            <v>3668</v>
          </cell>
          <cell r="C2644" t="str">
            <v>Dressing Wound Adh Trans + Grid  100Mmx120mm</v>
          </cell>
        </row>
        <row r="2645">
          <cell r="A2645">
            <v>180312719</v>
          </cell>
          <cell r="B2645">
            <v>3669</v>
          </cell>
          <cell r="C2645" t="str">
            <v>Dressing Post-Op Wound  83Mmx 60Mm</v>
          </cell>
        </row>
        <row r="2646">
          <cell r="A2646">
            <v>4120</v>
          </cell>
          <cell r="B2646">
            <v>3670</v>
          </cell>
          <cell r="C2646" t="str">
            <v>Dressing Biatain-Ibu Softhold 20X20cm</v>
          </cell>
        </row>
        <row r="2647">
          <cell r="A2647">
            <v>181762518</v>
          </cell>
          <cell r="B2647">
            <v>3671</v>
          </cell>
          <cell r="C2647" t="str">
            <v>Salmeterol 25Ug &amp; Fluticasone 125Ug</v>
          </cell>
        </row>
        <row r="2648">
          <cell r="A2648">
            <v>189706252</v>
          </cell>
          <cell r="B2648">
            <v>3672</v>
          </cell>
          <cell r="C2648" t="str">
            <v>Tube Nasal Feeding 10Fg 100Cm</v>
          </cell>
        </row>
        <row r="2649">
          <cell r="A2649" t="str">
            <v>*</v>
          </cell>
          <cell r="B2649">
            <v>3673</v>
          </cell>
          <cell r="C2649" t="str">
            <v>~Filter Breath Viral Neonatal Straight 15Mm, Id 22Mm</v>
          </cell>
        </row>
        <row r="2650">
          <cell r="A2650">
            <v>181936066</v>
          </cell>
          <cell r="B2650">
            <v>3674</v>
          </cell>
          <cell r="C2650" t="str">
            <v>Immunoglobulin Equine Anti-Rabies 1000Iu 5Ml</v>
          </cell>
        </row>
        <row r="2651">
          <cell r="A2651" t="str">
            <v>QUOTE</v>
          </cell>
          <cell r="B2651">
            <v>3675</v>
          </cell>
          <cell r="C2651" t="str">
            <v>Connector Universal Urology</v>
          </cell>
        </row>
        <row r="2652">
          <cell r="A2652" t="str">
            <v>*</v>
          </cell>
          <cell r="B2652">
            <v>3676</v>
          </cell>
          <cell r="C2652" t="str">
            <v>~Filter Breath Viral Paed Angled 15Mm, Id 22Mm</v>
          </cell>
        </row>
        <row r="2653">
          <cell r="A2653">
            <v>180229543</v>
          </cell>
          <cell r="B2653">
            <v>3677</v>
          </cell>
          <cell r="C2653" t="str">
            <v>Tube Endotracheal Non Cuff Nasal 4.5</v>
          </cell>
        </row>
        <row r="2654">
          <cell r="A2654">
            <v>180141728</v>
          </cell>
          <cell r="B2654">
            <v>3678</v>
          </cell>
          <cell r="C2654" t="str">
            <v>Test Tuberculin P P D Liquid T.R/23</v>
          </cell>
        </row>
        <row r="2655">
          <cell r="A2655">
            <v>180141704</v>
          </cell>
          <cell r="B2655">
            <v>3679</v>
          </cell>
          <cell r="C2655" t="str">
            <v>Vaccine Yellow Fever Single Dose + Diluent</v>
          </cell>
        </row>
        <row r="2656">
          <cell r="A2656">
            <v>189752154</v>
          </cell>
          <cell r="B2656">
            <v>3680</v>
          </cell>
          <cell r="C2656" t="str">
            <v>Immunoglobulin Varicella Zoster 2Ml</v>
          </cell>
        </row>
        <row r="2657">
          <cell r="A2657">
            <v>181777088</v>
          </cell>
          <cell r="B2657">
            <v>3681</v>
          </cell>
          <cell r="C2657" t="str">
            <v>Bag Rebreathing 0,5L Double Ended Latex Free</v>
          </cell>
        </row>
        <row r="2658">
          <cell r="A2658">
            <v>180971052</v>
          </cell>
          <cell r="B2658">
            <v>3682</v>
          </cell>
          <cell r="C2658" t="str">
            <v>Dressing Wound Non-Adh  75Mm X 75Mm</v>
          </cell>
        </row>
        <row r="2659">
          <cell r="A2659">
            <v>180971043</v>
          </cell>
          <cell r="B2659">
            <v>3683</v>
          </cell>
          <cell r="C2659" t="str">
            <v>Dressing Wound Non-Adh  75Mm X 200Mm</v>
          </cell>
        </row>
        <row r="2660">
          <cell r="A2660" t="str">
            <v>MOTIVATION</v>
          </cell>
          <cell r="B2660">
            <v>3684</v>
          </cell>
          <cell r="C2660" t="str">
            <v>Dressing Wound Non-Adh  75Mm X 400Mm</v>
          </cell>
        </row>
        <row r="2661">
          <cell r="A2661">
            <v>180971050</v>
          </cell>
          <cell r="B2661">
            <v>3685</v>
          </cell>
          <cell r="C2661" t="str">
            <v>Dressing Wound Non-Adh  75Mm X 1500Mm Roll</v>
          </cell>
        </row>
        <row r="2662">
          <cell r="A2662">
            <v>180971053</v>
          </cell>
          <cell r="B2662">
            <v>3686</v>
          </cell>
          <cell r="C2662" t="str">
            <v>Dressing Wound Non-Adh 125Mm X 225Mm</v>
          </cell>
        </row>
        <row r="2663">
          <cell r="A2663">
            <v>180212813</v>
          </cell>
          <cell r="B2663">
            <v>3687</v>
          </cell>
          <cell r="C2663" t="str">
            <v>Tube Endotracheal Non Cuff Dual 7.0</v>
          </cell>
        </row>
        <row r="2664">
          <cell r="A2664">
            <v>180238184</v>
          </cell>
          <cell r="B2664">
            <v>3688</v>
          </cell>
          <cell r="C2664" t="str">
            <v>Tube Endotracheal Cuff Oral  5.0</v>
          </cell>
        </row>
        <row r="2665">
          <cell r="A2665">
            <v>181777092</v>
          </cell>
          <cell r="B2665">
            <v>3689</v>
          </cell>
          <cell r="C2665" t="str">
            <v>Bag Rebreathing 2L Stra/neck 22F Latex Free</v>
          </cell>
        </row>
        <row r="2666">
          <cell r="A2666">
            <v>189713970</v>
          </cell>
          <cell r="B2666">
            <v>3690</v>
          </cell>
          <cell r="C2666" t="str">
            <v>Tube Endotracheal Non Cuff Dual 6.5</v>
          </cell>
        </row>
        <row r="2667">
          <cell r="A2667" t="str">
            <v>QUOTE</v>
          </cell>
          <cell r="B2667">
            <v>3691</v>
          </cell>
          <cell r="C2667" t="str">
            <v>Tube Endotracheal Cuff Nasal 3.0</v>
          </cell>
        </row>
        <row r="2668">
          <cell r="A2668" t="str">
            <v>QUOTE</v>
          </cell>
          <cell r="B2668">
            <v>3692</v>
          </cell>
          <cell r="C2668" t="str">
            <v>Tube Endotracheal Cuff Nasal 4.0</v>
          </cell>
        </row>
        <row r="2669">
          <cell r="A2669" t="str">
            <v>QUOTE</v>
          </cell>
          <cell r="B2669">
            <v>3693</v>
          </cell>
          <cell r="C2669" t="str">
            <v>Tube Endotracheal Cuff Nasal 4.5</v>
          </cell>
        </row>
        <row r="2670">
          <cell r="A2670">
            <v>180382081</v>
          </cell>
          <cell r="B2670">
            <v>3694</v>
          </cell>
          <cell r="C2670" t="str">
            <v>Airway Pharyngeal(guedel) 5</v>
          </cell>
        </row>
        <row r="2671">
          <cell r="A2671" t="str">
            <v>QUOTE</v>
          </cell>
          <cell r="B2671">
            <v>3695</v>
          </cell>
          <cell r="C2671" t="str">
            <v>Tube Endotracheal Cuff Oral  3.0</v>
          </cell>
        </row>
        <row r="2672">
          <cell r="A2672" t="str">
            <v>QUOTE</v>
          </cell>
          <cell r="B2672">
            <v>3696</v>
          </cell>
          <cell r="C2672" t="str">
            <v>Tube Endotracheal Cuff Oral  3.5</v>
          </cell>
        </row>
        <row r="2673">
          <cell r="A2673">
            <v>180136950</v>
          </cell>
          <cell r="B2673">
            <v>3697</v>
          </cell>
          <cell r="C2673" t="str">
            <v>Tube Endotracheal Non Cuff Oral 4.5</v>
          </cell>
        </row>
        <row r="2674">
          <cell r="A2674">
            <v>180136952</v>
          </cell>
          <cell r="B2674">
            <v>3698</v>
          </cell>
          <cell r="C2674" t="str">
            <v>Tube Endotracheal Non Cuff Oral 5.0</v>
          </cell>
        </row>
        <row r="2675">
          <cell r="A2675">
            <v>180136953</v>
          </cell>
          <cell r="B2675">
            <v>3699</v>
          </cell>
          <cell r="C2675" t="str">
            <v>Tube Endotracheal Non Cuff Oral 5.5</v>
          </cell>
        </row>
        <row r="2676">
          <cell r="A2676">
            <v>180136956</v>
          </cell>
          <cell r="B2676">
            <v>3700</v>
          </cell>
          <cell r="C2676" t="str">
            <v>Tube Endotracheal Non Cuff Oral 6.0</v>
          </cell>
        </row>
        <row r="2677">
          <cell r="A2677">
            <v>181777602</v>
          </cell>
          <cell r="B2677">
            <v>3701</v>
          </cell>
          <cell r="C2677" t="str">
            <v>Laryngeal Mask Airway Size 001 Autoclavable Silicone</v>
          </cell>
        </row>
        <row r="2678">
          <cell r="A2678">
            <v>181777603</v>
          </cell>
          <cell r="B2678">
            <v>3702</v>
          </cell>
          <cell r="C2678" t="str">
            <v>Laryngeal Mask Airway Size 002 Autoclavable Silicone</v>
          </cell>
        </row>
        <row r="2679">
          <cell r="A2679" t="str">
            <v>QUOTE STOMA</v>
          </cell>
          <cell r="B2679">
            <v>3703</v>
          </cell>
          <cell r="C2679" t="str">
            <v>Pouch Ostomy One Piece 10-100Mm</v>
          </cell>
        </row>
        <row r="2680">
          <cell r="A2680" t="str">
            <v>QUOTE STOMA</v>
          </cell>
          <cell r="B2680">
            <v>3704</v>
          </cell>
          <cell r="C2680" t="str">
            <v>Flange  70Mm (Cut To 51Mm) 3724K Convex</v>
          </cell>
        </row>
        <row r="2681">
          <cell r="A2681" t="str">
            <v>QUOTE STOMA</v>
          </cell>
          <cell r="B2681">
            <v>3705</v>
          </cell>
          <cell r="C2681" t="str">
            <v>Pouch Ostomy  70Mm Opague 3814K</v>
          </cell>
        </row>
        <row r="2682">
          <cell r="A2682" t="str">
            <v>QUOTE STOMA</v>
          </cell>
          <cell r="B2682">
            <v>3706</v>
          </cell>
          <cell r="C2682" t="str">
            <v>Pouch Ostomy 70Mm 401604 Convatec Colostomy</v>
          </cell>
        </row>
        <row r="2683">
          <cell r="A2683" t="str">
            <v>QUOTE STOMA</v>
          </cell>
          <cell r="B2683">
            <v>3707</v>
          </cell>
          <cell r="C2683" t="str">
            <v>~Pouch Urostomy One Piece 44Mm Transparent Drainable</v>
          </cell>
        </row>
        <row r="2684">
          <cell r="A2684">
            <v>181897255</v>
          </cell>
          <cell r="B2684">
            <v>3708</v>
          </cell>
          <cell r="C2684" t="str">
            <v>Campaign: Measles 10 Dose Diluent</v>
          </cell>
        </row>
        <row r="2685">
          <cell r="A2685" t="str">
            <v>QUOTE STOMA</v>
          </cell>
          <cell r="B2685">
            <v>3709</v>
          </cell>
          <cell r="C2685" t="str">
            <v>Paste Protective Karaya</v>
          </cell>
        </row>
        <row r="2686">
          <cell r="A2686" t="str">
            <v>QUOTE STOMA</v>
          </cell>
          <cell r="B2686">
            <v>3710</v>
          </cell>
          <cell r="C2686" t="str">
            <v>Flange  45Mm Flexible Urostomy Use</v>
          </cell>
        </row>
        <row r="2687">
          <cell r="A2687">
            <v>189712310</v>
          </cell>
          <cell r="B2687">
            <v>3711</v>
          </cell>
          <cell r="C2687" t="str">
            <v>Fusidate I.V Infusion &amp; Diluent 500Mg</v>
          </cell>
        </row>
        <row r="2688">
          <cell r="A2688">
            <v>181817507</v>
          </cell>
          <cell r="B2688">
            <v>3712</v>
          </cell>
          <cell r="C2688" t="str">
            <v>~Rif 60 Inh 30 Disp Tabs (56'S)</v>
          </cell>
        </row>
        <row r="2689">
          <cell r="A2689">
            <v>181850577</v>
          </cell>
          <cell r="B2689">
            <v>3713</v>
          </cell>
          <cell r="C2689" t="str">
            <v>Drape Ophthalmic Double Pouch Adh:125x125mm Ov:150x275</v>
          </cell>
        </row>
        <row r="2690">
          <cell r="A2690">
            <v>189717345</v>
          </cell>
          <cell r="B2690">
            <v>3714</v>
          </cell>
          <cell r="C2690" t="str">
            <v>~Cath Thoracic 120/36Fg Drainage Straight;6 Eyes;</v>
          </cell>
        </row>
        <row r="2691">
          <cell r="A2691">
            <v>189705608</v>
          </cell>
          <cell r="B2691">
            <v>3715</v>
          </cell>
          <cell r="C2691" t="str">
            <v>Half Darrows + Glucose 5%  200Ml Hospital</v>
          </cell>
        </row>
        <row r="2692">
          <cell r="A2692">
            <v>189761566</v>
          </cell>
          <cell r="B2692">
            <v>3716</v>
          </cell>
          <cell r="C2692" t="str">
            <v>Sodium Chlo 0.9% Irrigation 1L Hospital</v>
          </cell>
        </row>
        <row r="2693">
          <cell r="A2693">
            <v>180006415</v>
          </cell>
          <cell r="B2693">
            <v>3717</v>
          </cell>
          <cell r="C2693" t="str">
            <v>Water For Irrigation 1L (Pour)  Hospital Stock</v>
          </cell>
        </row>
        <row r="2694">
          <cell r="A2694" t="str">
            <v>DELETED</v>
          </cell>
          <cell r="B2694">
            <v>3718</v>
          </cell>
          <cell r="C2694" t="str">
            <v>~Cath Thoracic Trocar Replacement 28Fg 9.3Mm</v>
          </cell>
        </row>
        <row r="2695">
          <cell r="A2695" t="str">
            <v>DELETED</v>
          </cell>
          <cell r="B2695">
            <v>3719</v>
          </cell>
          <cell r="C2695" t="str">
            <v>~Cath Thoracic With Trocar 32Fg 10.7Mm</v>
          </cell>
        </row>
        <row r="2696">
          <cell r="A2696">
            <v>189712890</v>
          </cell>
          <cell r="B2696">
            <v>3720</v>
          </cell>
          <cell r="C2696" t="str">
            <v>Cath Ureth  3Fg Plastic Disp Olive Tip;2eyes</v>
          </cell>
        </row>
        <row r="2697">
          <cell r="A2697">
            <v>189712891</v>
          </cell>
          <cell r="B2697">
            <v>3721</v>
          </cell>
          <cell r="C2697" t="str">
            <v>Cath Ureth  4Fg Plastic Disp Olive Tip;2eyes</v>
          </cell>
        </row>
        <row r="2698">
          <cell r="A2698">
            <v>189712892</v>
          </cell>
          <cell r="B2698">
            <v>3722</v>
          </cell>
          <cell r="C2698" t="str">
            <v>Cath Ureth  5Fg Plastic Disp Olive Tip;2eyes</v>
          </cell>
        </row>
        <row r="2699">
          <cell r="A2699">
            <v>189717354</v>
          </cell>
          <cell r="B2699">
            <v>3723</v>
          </cell>
          <cell r="C2699" t="str">
            <v>Cath Ureth  6Fg Plastic Disp Olive Tip;2eyes</v>
          </cell>
        </row>
        <row r="2700">
          <cell r="A2700">
            <v>189717353</v>
          </cell>
          <cell r="B2700">
            <v>3724</v>
          </cell>
          <cell r="C2700" t="str">
            <v>Cath Ureth  7Fg Plastic Disp Olive Tip;2eyes</v>
          </cell>
        </row>
        <row r="2701">
          <cell r="A2701" t="str">
            <v>DELETED</v>
          </cell>
          <cell r="B2701">
            <v>3725</v>
          </cell>
          <cell r="C2701" t="str">
            <v>~Cath.Ureth.Nelaton  8Fg 160Mm Pvc</v>
          </cell>
        </row>
        <row r="2702">
          <cell r="A2702" t="str">
            <v>DELETED</v>
          </cell>
          <cell r="B2702">
            <v>3726</v>
          </cell>
          <cell r="C2702" t="str">
            <v>~Cath.Ureth.Nelaton 10Fg 160Mm Pvc.Sterile ( Eq 10X410)</v>
          </cell>
        </row>
        <row r="2703">
          <cell r="A2703" t="str">
            <v>DELETED</v>
          </cell>
          <cell r="B2703">
            <v>3727</v>
          </cell>
          <cell r="C2703" t="str">
            <v>~Cath.Ureth.Nelaton 12Fg 160Mm Pvc.Sterile (Eq 12X410)</v>
          </cell>
        </row>
        <row r="2704">
          <cell r="A2704" t="str">
            <v>DELETED</v>
          </cell>
          <cell r="B2704">
            <v>3728</v>
          </cell>
          <cell r="C2704" t="str">
            <v>~Cath.Ureth.Nelaton 14Fg 160Mm Pvc.Sterile. (Eq 14X410)</v>
          </cell>
        </row>
        <row r="2705">
          <cell r="A2705" t="str">
            <v>DELETED</v>
          </cell>
          <cell r="B2705">
            <v>3729</v>
          </cell>
          <cell r="C2705" t="str">
            <v>~Cath.Ureth.Nelaton 16Fg 160Mm Pvc.Sterile (Eq 16X410)</v>
          </cell>
        </row>
        <row r="2706">
          <cell r="A2706">
            <v>180308024</v>
          </cell>
          <cell r="B2706">
            <v>3730</v>
          </cell>
          <cell r="C2706" t="str">
            <v>Cisatracurium Besylate 2Mg/ml Inj 5Ml</v>
          </cell>
        </row>
        <row r="2707">
          <cell r="A2707">
            <v>189714344</v>
          </cell>
          <cell r="B2707">
            <v>3731</v>
          </cell>
          <cell r="C2707" t="str">
            <v>Cath.Ureth.Foley 2Way 12Fg  5Ml Coated</v>
          </cell>
        </row>
        <row r="2708">
          <cell r="A2708">
            <v>189714345</v>
          </cell>
          <cell r="B2708">
            <v>3732</v>
          </cell>
          <cell r="C2708" t="str">
            <v>Cath.Ureth.Foley 2Way 14Fg  5Ml Coated</v>
          </cell>
        </row>
        <row r="2709">
          <cell r="A2709">
            <v>189714346</v>
          </cell>
          <cell r="B2709">
            <v>3733</v>
          </cell>
          <cell r="C2709" t="str">
            <v>Cath.Ureth.Foley 2Way 16Fg  5Ml Coated</v>
          </cell>
        </row>
        <row r="2710">
          <cell r="A2710">
            <v>189714347</v>
          </cell>
          <cell r="B2710">
            <v>3734</v>
          </cell>
          <cell r="C2710" t="str">
            <v>Cath.Ureth.Foley 2Way 18Fg  5Ml Coated</v>
          </cell>
        </row>
        <row r="2711">
          <cell r="A2711">
            <v>189714348</v>
          </cell>
          <cell r="B2711">
            <v>3735</v>
          </cell>
          <cell r="C2711" t="str">
            <v>~Cath.Ureth.Foley 2Way 20Fg  5Ml Coated</v>
          </cell>
        </row>
        <row r="2712">
          <cell r="A2712">
            <v>189714270</v>
          </cell>
          <cell r="B2712">
            <v>3736</v>
          </cell>
          <cell r="C2712" t="str">
            <v>~Cath.Ureth.Foley 2Way 22Fg  5Ml Coated</v>
          </cell>
        </row>
        <row r="2713">
          <cell r="A2713">
            <v>189714269</v>
          </cell>
          <cell r="B2713">
            <v>3737</v>
          </cell>
          <cell r="C2713" t="str">
            <v>~Cath.Ureth.Foley 2Way 24Fg  5Ml Coated</v>
          </cell>
        </row>
        <row r="2714">
          <cell r="A2714">
            <v>180058411</v>
          </cell>
          <cell r="B2714">
            <v>3738</v>
          </cell>
          <cell r="C2714" t="str">
            <v>Cath.Ureth.Foley 2Way 18Fg 30Ml Coated</v>
          </cell>
        </row>
        <row r="2715">
          <cell r="A2715">
            <v>180058413</v>
          </cell>
          <cell r="B2715">
            <v>3739</v>
          </cell>
          <cell r="C2715" t="str">
            <v>Cath.Ureth.Foley 2Way 20Fg 30Ml Coated</v>
          </cell>
        </row>
        <row r="2716">
          <cell r="A2716">
            <v>180058414</v>
          </cell>
          <cell r="B2716">
            <v>3740</v>
          </cell>
          <cell r="C2716" t="str">
            <v>Cath.Ureth.Foley 2Way 22Fg 30Ml Coated</v>
          </cell>
        </row>
        <row r="2717">
          <cell r="A2717">
            <v>180058415</v>
          </cell>
          <cell r="B2717">
            <v>3741</v>
          </cell>
          <cell r="C2717" t="str">
            <v>Cath.Ureth.Foley 2Way 24Fg 30Ml Coated</v>
          </cell>
        </row>
        <row r="2718">
          <cell r="A2718">
            <v>180260304</v>
          </cell>
          <cell r="B2718">
            <v>3742</v>
          </cell>
          <cell r="C2718" t="str">
            <v>Cath.Ureth.Foley 2Way 26Fg 30Ml Coated</v>
          </cell>
        </row>
        <row r="2719">
          <cell r="A2719">
            <v>181767288</v>
          </cell>
          <cell r="B2719">
            <v>3743</v>
          </cell>
          <cell r="C2719" t="str">
            <v>Cisatracrium Besylate 2Mg/ml Inj 2.5Ml</v>
          </cell>
        </row>
        <row r="2720">
          <cell r="A2720">
            <v>189763130</v>
          </cell>
          <cell r="B2720">
            <v>3744</v>
          </cell>
          <cell r="C2720" t="str">
            <v>Fluticasone Propionate 50Mcg Nasal Spray 120 Doses</v>
          </cell>
        </row>
        <row r="2721">
          <cell r="A2721">
            <v>181886512</v>
          </cell>
          <cell r="B2721">
            <v>3745</v>
          </cell>
          <cell r="C2721" t="str">
            <v>Levofloxacin 250Mg Tabs (28'S)</v>
          </cell>
        </row>
        <row r="2722">
          <cell r="A2722" t="str">
            <v>DELETED</v>
          </cell>
          <cell r="B2722">
            <v>3746</v>
          </cell>
          <cell r="C2722" t="str">
            <v>~Cath.Ureth.Foley 2Way 16Fg  5Ml Silic/latex.Rnd Tip;</v>
          </cell>
        </row>
        <row r="2723">
          <cell r="A2723" t="str">
            <v>*</v>
          </cell>
          <cell r="B2723">
            <v>3747</v>
          </cell>
          <cell r="C2723" t="str">
            <v>~Cath.Ureth.Foley 2Way 18Fg  5Ml Coated</v>
          </cell>
        </row>
        <row r="2724">
          <cell r="A2724" t="str">
            <v>*</v>
          </cell>
          <cell r="B2724">
            <v>3748</v>
          </cell>
          <cell r="C2724" t="str">
            <v>~Cath.Ureth.Foley 2Way 20Fg  5Ml Silic/latex.Rnd Tip. 7</v>
          </cell>
        </row>
        <row r="2725">
          <cell r="A2725" t="str">
            <v>*</v>
          </cell>
          <cell r="B2725">
            <v>3749</v>
          </cell>
          <cell r="C2725" t="str">
            <v>~Cath.Ureth.Foley 2Way 22Fg  5Ml Silic/latex.R/tip.7.5M</v>
          </cell>
        </row>
        <row r="2726">
          <cell r="A2726">
            <v>180058406</v>
          </cell>
          <cell r="B2726">
            <v>3750</v>
          </cell>
          <cell r="C2726" t="str">
            <v>~Cath.Ureth.Foley 2Way 12Fg 30Ml Silicone Elastomer-Coa</v>
          </cell>
        </row>
        <row r="2727">
          <cell r="A2727">
            <v>180058408</v>
          </cell>
          <cell r="B2727">
            <v>3751</v>
          </cell>
          <cell r="C2727" t="str">
            <v>~Cath.Ureth.Foley 2Way 14Fg 30Ml Coated</v>
          </cell>
        </row>
        <row r="2728">
          <cell r="A2728">
            <v>180058410</v>
          </cell>
          <cell r="B2728">
            <v>3752</v>
          </cell>
          <cell r="C2728" t="str">
            <v>Cath.Ureth.Foley 2Way 16Fg 30Ml Coated</v>
          </cell>
        </row>
        <row r="2729">
          <cell r="A2729">
            <v>181918853</v>
          </cell>
          <cell r="B2729">
            <v>3753</v>
          </cell>
          <cell r="C2729" t="str">
            <v>Darunavir 75Mg Tabs 480'S</v>
          </cell>
        </row>
        <row r="2730">
          <cell r="A2730">
            <v>181918854</v>
          </cell>
          <cell r="B2730">
            <v>3754</v>
          </cell>
          <cell r="C2730" t="str">
            <v>Darunavir 150Mg Tablets (240'S)</v>
          </cell>
        </row>
        <row r="2731">
          <cell r="A2731">
            <v>181830030</v>
          </cell>
          <cell r="B2731">
            <v>3755</v>
          </cell>
          <cell r="C2731" t="str">
            <v>Mifepristone 200Mg Tabs (3'S)</v>
          </cell>
        </row>
        <row r="2732">
          <cell r="A2732">
            <v>181931141</v>
          </cell>
          <cell r="B2732">
            <v>3756</v>
          </cell>
          <cell r="C2732" t="str">
            <v>Vaccine B C G 20 Dose Vial+ Diluent Sec 21</v>
          </cell>
        </row>
        <row r="2733">
          <cell r="A2733">
            <v>181796839</v>
          </cell>
          <cell r="B2733">
            <v>3757</v>
          </cell>
          <cell r="C2733" t="str">
            <v>Cath.Ureth.Foley 3Way 22Fg 30Ml Silicone</v>
          </cell>
        </row>
        <row r="2734">
          <cell r="A2734">
            <v>180057407</v>
          </cell>
          <cell r="B2734">
            <v>3758</v>
          </cell>
          <cell r="C2734" t="str">
            <v>Cath.Ureth.Foley 3Way 24Fg 30Ml Coated</v>
          </cell>
        </row>
        <row r="2735">
          <cell r="A2735" t="str">
            <v>QUOTE</v>
          </cell>
          <cell r="B2735">
            <v>3759</v>
          </cell>
          <cell r="C2735" t="str">
            <v>~Catheter Tenkhoff Coiled</v>
          </cell>
        </row>
        <row r="2736">
          <cell r="A2736">
            <v>189711830</v>
          </cell>
          <cell r="B2736">
            <v>4021</v>
          </cell>
          <cell r="C2736" t="str">
            <v>Amitriptyline Tabs 25Mg (56'S)</v>
          </cell>
        </row>
        <row r="2737">
          <cell r="A2737">
            <v>189717349</v>
          </cell>
          <cell r="B2737">
            <v>3761</v>
          </cell>
          <cell r="C2737" t="str">
            <v>~Cath.Ureth.Nelaton 20Fg 400Mm Pvc. 2 Eyes</v>
          </cell>
        </row>
        <row r="2738">
          <cell r="A2738">
            <v>189717348</v>
          </cell>
          <cell r="B2738">
            <v>3762</v>
          </cell>
          <cell r="C2738" t="str">
            <v>~Cath.Ureth.Nelaton 22Fg 400Mm Pvc. 2 Eyes</v>
          </cell>
        </row>
        <row r="2739">
          <cell r="A2739" t="str">
            <v>RT  15</v>
          </cell>
          <cell r="B2739">
            <v>3763</v>
          </cell>
          <cell r="C2739" t="str">
            <v>Lens Intra-Ocular 6Mm 25.0 Dioptre</v>
          </cell>
        </row>
        <row r="2740">
          <cell r="A2740" t="str">
            <v>RT  15</v>
          </cell>
          <cell r="B2740">
            <v>3764</v>
          </cell>
          <cell r="C2740" t="str">
            <v>Lens Intra-Ocular 5.25Mm 25.0 Dioptre</v>
          </cell>
        </row>
        <row r="2741">
          <cell r="A2741">
            <v>180335981</v>
          </cell>
          <cell r="B2741">
            <v>3765</v>
          </cell>
          <cell r="C2741" t="str">
            <v>Sheath Incontinence 40-X-Large Latex</v>
          </cell>
        </row>
        <row r="2742">
          <cell r="A2742">
            <v>189717409</v>
          </cell>
          <cell r="B2742">
            <v>3766</v>
          </cell>
          <cell r="C2742" t="str">
            <v>T-Tube Drain 12Fg Kehr Silicone</v>
          </cell>
        </row>
        <row r="2743">
          <cell r="A2743" t="str">
            <v>QUOTE</v>
          </cell>
          <cell r="B2743">
            <v>3767</v>
          </cell>
          <cell r="C2743" t="str">
            <v>Suction Drain 3Mm 1/8In</v>
          </cell>
        </row>
        <row r="2744">
          <cell r="A2744">
            <v>189717411</v>
          </cell>
          <cell r="B2744">
            <v>3768</v>
          </cell>
          <cell r="C2744" t="str">
            <v>T-Tube Drain 16Fg Kehr Silicone</v>
          </cell>
        </row>
        <row r="2745">
          <cell r="A2745" t="str">
            <v>QUOTE</v>
          </cell>
          <cell r="B2745">
            <v>3769</v>
          </cell>
          <cell r="C2745" t="str">
            <v>Suction Drain 6Mm 1/4In</v>
          </cell>
        </row>
        <row r="2746">
          <cell r="A2746">
            <v>189717413</v>
          </cell>
          <cell r="B2746">
            <v>3770</v>
          </cell>
          <cell r="C2746" t="str">
            <v>T-Tube Drain 20(21)Fg Kehr Silicone</v>
          </cell>
        </row>
        <row r="2747">
          <cell r="A2747">
            <v>189717402</v>
          </cell>
          <cell r="B2747">
            <v>3771</v>
          </cell>
          <cell r="C2747" t="str">
            <v>~T-Tube Drain 22Fg Kehr Latex</v>
          </cell>
        </row>
        <row r="2748">
          <cell r="A2748" t="str">
            <v>QUOTE RT 15</v>
          </cell>
          <cell r="B2748">
            <v>3772</v>
          </cell>
          <cell r="C2748" t="str">
            <v>~Lens Intra-Ocular 5.25Mm 19.0 Dioptre</v>
          </cell>
        </row>
        <row r="2749">
          <cell r="A2749" t="str">
            <v>QUOTE</v>
          </cell>
          <cell r="B2749">
            <v>3773</v>
          </cell>
          <cell r="C2749" t="str">
            <v>Gore-Tex Dual Mesh 8X12cm</v>
          </cell>
        </row>
        <row r="2750">
          <cell r="A2750" t="str">
            <v>RT  15</v>
          </cell>
          <cell r="B2750">
            <v>3774</v>
          </cell>
          <cell r="C2750" t="str">
            <v>Lens Intra-Ocular 5.25Mm 20.0 Dioptre</v>
          </cell>
        </row>
        <row r="2751">
          <cell r="A2751" t="str">
            <v>RT  15</v>
          </cell>
          <cell r="B2751">
            <v>3775</v>
          </cell>
          <cell r="C2751" t="str">
            <v>Lens Intra-Ocular 5.25Mm 24.0 Dioptre</v>
          </cell>
        </row>
        <row r="2752">
          <cell r="A2752" t="str">
            <v>RT  15</v>
          </cell>
          <cell r="B2752">
            <v>3776</v>
          </cell>
          <cell r="C2752" t="str">
            <v>Lens Intra-Ocular 5.25Mm 21.0 Dioptre</v>
          </cell>
        </row>
        <row r="2753">
          <cell r="A2753" t="str">
            <v>RT  15</v>
          </cell>
          <cell r="B2753">
            <v>3777</v>
          </cell>
          <cell r="C2753" t="str">
            <v>Lens Intra-Ocular 5.25Mm 21.5 Dioptre</v>
          </cell>
        </row>
        <row r="2754">
          <cell r="A2754">
            <v>180057620</v>
          </cell>
          <cell r="B2754">
            <v>3778</v>
          </cell>
          <cell r="C2754" t="str">
            <v>Tube Drain Penrose Latex 300Mmx15mm (Surg.Sterile)</v>
          </cell>
        </row>
        <row r="2755">
          <cell r="A2755">
            <v>180002053</v>
          </cell>
          <cell r="B2755">
            <v>3779</v>
          </cell>
          <cell r="C2755" t="str">
            <v>Tube Drain Penrose Latex 300Mmx25mm (Surg.Sterile)</v>
          </cell>
        </row>
        <row r="2756">
          <cell r="A2756">
            <v>180286738</v>
          </cell>
          <cell r="B2756">
            <v>3780</v>
          </cell>
          <cell r="C2756" t="str">
            <v>Tube Endo Oesophageal Livingstone 13Mmx150mm</v>
          </cell>
        </row>
        <row r="2757">
          <cell r="A2757">
            <v>189717377</v>
          </cell>
          <cell r="B2757">
            <v>3781</v>
          </cell>
          <cell r="C2757" t="str">
            <v>Tube Flatus 28Fg</v>
          </cell>
        </row>
        <row r="2758">
          <cell r="A2758" t="str">
            <v>RT  15</v>
          </cell>
          <cell r="B2758">
            <v>3782</v>
          </cell>
          <cell r="C2758" t="str">
            <v>Lens Intra-Ocular 5.25Mm 22.0 Diopter</v>
          </cell>
        </row>
        <row r="2759">
          <cell r="A2759">
            <v>189717357</v>
          </cell>
          <cell r="B2759">
            <v>3783</v>
          </cell>
          <cell r="C2759" t="str">
            <v>Tube Stomach Washout 28Fg 800Mm</v>
          </cell>
        </row>
        <row r="2760">
          <cell r="A2760">
            <v>180286749</v>
          </cell>
          <cell r="B2760">
            <v>3784</v>
          </cell>
          <cell r="C2760" t="str">
            <v>Tube Suction Yankauer Control  5Mm</v>
          </cell>
        </row>
        <row r="2761">
          <cell r="A2761" t="str">
            <v>RT  15</v>
          </cell>
          <cell r="B2761">
            <v>3785</v>
          </cell>
          <cell r="C2761" t="str">
            <v>Lens Intra-Ocular 5.25Mm 22.5 Dioptre</v>
          </cell>
        </row>
        <row r="2762">
          <cell r="A2762">
            <v>180227878</v>
          </cell>
          <cell r="B2762">
            <v>3786</v>
          </cell>
          <cell r="C2762" t="str">
            <v>Tube Suction Yankauer W/o Control  5Mm</v>
          </cell>
        </row>
        <row r="2763">
          <cell r="A2763">
            <v>180227887</v>
          </cell>
          <cell r="B2763">
            <v>3787</v>
          </cell>
          <cell r="C2763" t="str">
            <v>~Tube Suction Yankauer W/o Control Od 10Mm L225mm</v>
          </cell>
        </row>
        <row r="2764">
          <cell r="A2764" t="str">
            <v>RT  15</v>
          </cell>
          <cell r="B2764">
            <v>3788</v>
          </cell>
          <cell r="C2764" t="str">
            <v>Lens Intra-Ocular 5.25Mm 23.0 Dioptre</v>
          </cell>
        </row>
        <row r="2765">
          <cell r="A2765" t="str">
            <v>RT  15</v>
          </cell>
          <cell r="B2765">
            <v>3789</v>
          </cell>
          <cell r="C2765" t="str">
            <v>Lens Intra-Ocular 5.25Mm 23.5 Dioptre</v>
          </cell>
        </row>
        <row r="2766">
          <cell r="A2766">
            <v>180057729</v>
          </cell>
          <cell r="B2766">
            <v>3790</v>
          </cell>
          <cell r="C2766" t="str">
            <v>Tubing Funnel Clear  5Mm Suction</v>
          </cell>
        </row>
        <row r="2767">
          <cell r="A2767">
            <v>180057730</v>
          </cell>
          <cell r="B2767">
            <v>3791</v>
          </cell>
          <cell r="C2767" t="str">
            <v>Tubing Funnel Clear  7Mm Suction</v>
          </cell>
        </row>
        <row r="2768">
          <cell r="A2768">
            <v>181901862</v>
          </cell>
          <cell r="B2768">
            <v>3792</v>
          </cell>
          <cell r="C2768" t="str">
            <v>Levonorgestrel 1.5Mg Tablet (1'S)</v>
          </cell>
        </row>
        <row r="2769">
          <cell r="A2769">
            <v>189716041</v>
          </cell>
          <cell r="B2769">
            <v>3793</v>
          </cell>
          <cell r="C2769" t="str">
            <v>~Tube Natural Rubber Latex Id 6.35Mm W1.5Mm</v>
          </cell>
        </row>
        <row r="2770">
          <cell r="A2770" t="str">
            <v>RT  15</v>
          </cell>
          <cell r="B2770">
            <v>3794</v>
          </cell>
          <cell r="C2770" t="str">
            <v>Lens Intra-Ocular 5.25Mm 24.0 Dioptre</v>
          </cell>
        </row>
        <row r="2771">
          <cell r="A2771">
            <v>180057506</v>
          </cell>
          <cell r="B2771">
            <v>3795</v>
          </cell>
          <cell r="C2771" t="str">
            <v>Drainage System Chest Spare Container 2000Ml</v>
          </cell>
        </row>
        <row r="2772">
          <cell r="A2772">
            <v>180057507</v>
          </cell>
          <cell r="B2772">
            <v>3796</v>
          </cell>
          <cell r="C2772" t="str">
            <v>Drainage System Chest U/water Paediatric Size</v>
          </cell>
        </row>
        <row r="2773">
          <cell r="A2773">
            <v>180963168</v>
          </cell>
          <cell r="B2773">
            <v>3797</v>
          </cell>
          <cell r="C2773" t="str">
            <v>Tubing Silicone Id 3.0Mm Od  5.0Mm</v>
          </cell>
        </row>
        <row r="2774">
          <cell r="A2774">
            <v>180228037</v>
          </cell>
          <cell r="B2774">
            <v>3798</v>
          </cell>
          <cell r="C2774" t="str">
            <v>Tubing Silicone Id 5.0Mm Od  8.0Mm</v>
          </cell>
        </row>
        <row r="2775">
          <cell r="A2775">
            <v>180228039</v>
          </cell>
          <cell r="B2775">
            <v>3799</v>
          </cell>
          <cell r="C2775" t="str">
            <v>Tubing Silicone Id 5.0Mm Od 10.0Mm</v>
          </cell>
        </row>
        <row r="2776">
          <cell r="A2776">
            <v>189708972</v>
          </cell>
          <cell r="B2776">
            <v>3800</v>
          </cell>
          <cell r="C2776" t="str">
            <v>Tubing Silicone Id 8.0Mm Od 11.0Mm</v>
          </cell>
        </row>
        <row r="2777">
          <cell r="A2777">
            <v>180228044</v>
          </cell>
          <cell r="B2777">
            <v>3801</v>
          </cell>
          <cell r="C2777" t="str">
            <v>Tubing Silicone Id 8.0Mm Od 13.0Mm</v>
          </cell>
        </row>
        <row r="2778">
          <cell r="A2778">
            <v>180153842</v>
          </cell>
          <cell r="B2778">
            <v>3802</v>
          </cell>
          <cell r="C2778" t="str">
            <v>Desogestrel Oestradiol Tabs 150/20Ug</v>
          </cell>
        </row>
        <row r="2779">
          <cell r="A2779">
            <v>180772047</v>
          </cell>
          <cell r="B2779">
            <v>3803</v>
          </cell>
          <cell r="C2779" t="str">
            <v>Desmopressin Tabs 0.1Mg (30'S)</v>
          </cell>
        </row>
        <row r="2780">
          <cell r="A2780">
            <v>189712666</v>
          </cell>
          <cell r="B2780">
            <v>3804</v>
          </cell>
          <cell r="C2780" t="str">
            <v>Aminoglutethimide Tabs 250Mg</v>
          </cell>
        </row>
        <row r="2781">
          <cell r="A2781">
            <v>189714585</v>
          </cell>
          <cell r="B2781">
            <v>3805</v>
          </cell>
          <cell r="C2781" t="str">
            <v>Cyclophosphamide Tabs 50Mg (50'S)</v>
          </cell>
        </row>
        <row r="2782">
          <cell r="A2782">
            <v>189712691</v>
          </cell>
          <cell r="B2782">
            <v>3806</v>
          </cell>
          <cell r="C2782" t="str">
            <v>Flutamide Tabs 250Mg (100'S)</v>
          </cell>
        </row>
        <row r="2783">
          <cell r="A2783" t="str">
            <v>RT  15</v>
          </cell>
          <cell r="B2783">
            <v>3807</v>
          </cell>
          <cell r="C2783" t="str">
            <v>Lens Intra-Ocular 6Mm 18.0 Dioptre</v>
          </cell>
        </row>
        <row r="2784">
          <cell r="A2784">
            <v>189712364</v>
          </cell>
          <cell r="B2784">
            <v>3808</v>
          </cell>
          <cell r="C2784" t="str">
            <v>Ciclosporin Oral Solution 100Mg/ml 50Ml</v>
          </cell>
        </row>
        <row r="2785">
          <cell r="A2785">
            <v>180001218</v>
          </cell>
          <cell r="B2785">
            <v>3809</v>
          </cell>
          <cell r="C2785" t="str">
            <v>Ciclosporin Caps  25Mg (50'S)</v>
          </cell>
        </row>
        <row r="2786">
          <cell r="A2786">
            <v>180001233</v>
          </cell>
          <cell r="B2786">
            <v>3810</v>
          </cell>
          <cell r="C2786" t="str">
            <v>Ciclosporin Caps 100Mg (50'S)</v>
          </cell>
        </row>
        <row r="2787">
          <cell r="A2787">
            <v>180959708</v>
          </cell>
          <cell r="B2787">
            <v>3811</v>
          </cell>
          <cell r="C2787" t="str">
            <v>Mask Oxygen Diluter 60% Paed</v>
          </cell>
        </row>
        <row r="2788">
          <cell r="A2788">
            <v>189711409</v>
          </cell>
          <cell r="B2788">
            <v>3812</v>
          </cell>
          <cell r="C2788" t="str">
            <v>Desmopressin Sol Intranasal 0.1Mg/ml 2.5Ml</v>
          </cell>
        </row>
        <row r="2789">
          <cell r="A2789">
            <v>189711212</v>
          </cell>
          <cell r="B2789">
            <v>3813</v>
          </cell>
          <cell r="C2789" t="str">
            <v>~Chloramphenicol &amp; Dexamethasone Eye Drops</v>
          </cell>
        </row>
        <row r="2790">
          <cell r="A2790">
            <v>181922275</v>
          </cell>
          <cell r="B2790">
            <v>3814</v>
          </cell>
          <cell r="C2790" t="str">
            <v>Nevirapine Tabs 200Mg (60'S)</v>
          </cell>
        </row>
        <row r="2791">
          <cell r="A2791" t="str">
            <v>RT  15</v>
          </cell>
          <cell r="B2791">
            <v>3815</v>
          </cell>
          <cell r="C2791" t="str">
            <v>Lens Intra-Ocular 6Mm 18.5 Dioptre</v>
          </cell>
        </row>
        <row r="2792">
          <cell r="A2792">
            <v>189704903</v>
          </cell>
          <cell r="B2792">
            <v>3816</v>
          </cell>
          <cell r="C2792" t="str">
            <v>~Sut Chromic 0 1/2Ct 30Mm 75Cm</v>
          </cell>
        </row>
        <row r="2793">
          <cell r="A2793">
            <v>180138681</v>
          </cell>
          <cell r="B2793">
            <v>3817</v>
          </cell>
          <cell r="C2793" t="str">
            <v>Sut Silk 3/0 1/2Cc 22Mm</v>
          </cell>
        </row>
        <row r="2794">
          <cell r="A2794">
            <v>189713780</v>
          </cell>
          <cell r="B2794">
            <v>3818</v>
          </cell>
          <cell r="C2794" t="str">
            <v>Sut Chromic 5/0 1/4 Sp 8.73Mm</v>
          </cell>
        </row>
        <row r="2795">
          <cell r="A2795">
            <v>189758996</v>
          </cell>
          <cell r="B2795">
            <v>3819</v>
          </cell>
          <cell r="C2795" t="str">
            <v>Sut Chromic 1 1/2Tp 45Mm</v>
          </cell>
        </row>
        <row r="2796">
          <cell r="A2796">
            <v>180212830</v>
          </cell>
          <cell r="B2796">
            <v>3820</v>
          </cell>
          <cell r="C2796" t="str">
            <v>Sut Chromic 2/0 3/8Rc 30Mm</v>
          </cell>
        </row>
        <row r="2797">
          <cell r="A2797">
            <v>180215357</v>
          </cell>
          <cell r="B2797">
            <v>3821</v>
          </cell>
          <cell r="C2797" t="str">
            <v>Michel Wound Clips 14Mm</v>
          </cell>
        </row>
        <row r="2798">
          <cell r="A2798">
            <v>180320542</v>
          </cell>
          <cell r="B2798">
            <v>3822</v>
          </cell>
          <cell r="C2798" t="str">
            <v>Michel Wound Clips 16Mm</v>
          </cell>
        </row>
        <row r="2799">
          <cell r="A2799" t="str">
            <v>RT 302</v>
          </cell>
          <cell r="B2799">
            <v>3823</v>
          </cell>
          <cell r="C2799" t="str">
            <v>Ligature Surg.Steel Coils/wire; Dia.0.45;Lg 9M;(0.0181)</v>
          </cell>
        </row>
        <row r="2800">
          <cell r="A2800">
            <v>180956926</v>
          </cell>
          <cell r="B2800">
            <v>3824</v>
          </cell>
          <cell r="C2800" t="str">
            <v>Sut Synthabs Support Mesh 30Cm X 6Cm</v>
          </cell>
        </row>
        <row r="2801">
          <cell r="A2801" t="str">
            <v>QUOTE STOMA</v>
          </cell>
          <cell r="B2801">
            <v>3825</v>
          </cell>
          <cell r="C2801" t="str">
            <v>~Flange 57Mm Flexible</v>
          </cell>
        </row>
        <row r="2802">
          <cell r="A2802">
            <v>180138996</v>
          </cell>
          <cell r="B2802">
            <v>3826</v>
          </cell>
          <cell r="C2802" t="str">
            <v>Sut Nylon 6/0 3/8Rc 12Mm</v>
          </cell>
        </row>
        <row r="2803">
          <cell r="A2803">
            <v>180320706</v>
          </cell>
          <cell r="B2803">
            <v>3827</v>
          </cell>
          <cell r="C2803" t="str">
            <v>Sut Nylon 2/0 3/8Rc 39Mm</v>
          </cell>
        </row>
        <row r="2804">
          <cell r="A2804">
            <v>180320713</v>
          </cell>
          <cell r="B2804">
            <v>3828</v>
          </cell>
          <cell r="C2804" t="str">
            <v>Sut Nylon 2/0 Str Cut 55Mm</v>
          </cell>
        </row>
        <row r="2805">
          <cell r="A2805">
            <v>180212750</v>
          </cell>
          <cell r="B2805">
            <v>3829</v>
          </cell>
          <cell r="C2805" t="str">
            <v>Sut Nylon 3/0 3/8Cc 80Mm</v>
          </cell>
        </row>
        <row r="2806">
          <cell r="A2806" t="str">
            <v>3026870 DEL</v>
          </cell>
          <cell r="B2806">
            <v>3830</v>
          </cell>
          <cell r="C2806" t="str">
            <v>~Sut Nylon 1 3/8Cc 90Mm 75Cm</v>
          </cell>
        </row>
        <row r="2807">
          <cell r="A2807" t="str">
            <v>QUOTE 14055</v>
          </cell>
          <cell r="B2807">
            <v>3831</v>
          </cell>
          <cell r="C2807" t="str">
            <v>Fistula And Wound Management System Mini</v>
          </cell>
        </row>
        <row r="2808">
          <cell r="A2808">
            <v>189753644</v>
          </cell>
          <cell r="B2808">
            <v>3832</v>
          </cell>
          <cell r="C2808" t="str">
            <v>Sut Nylon 3/0 3/8Cc 20Mm</v>
          </cell>
        </row>
        <row r="2809">
          <cell r="A2809">
            <v>181774922</v>
          </cell>
          <cell r="B2809">
            <v>3833</v>
          </cell>
          <cell r="C2809" t="str">
            <v>Sut Polyprop 35X22cm Sup Mesh</v>
          </cell>
        </row>
        <row r="2810">
          <cell r="A2810">
            <v>180186314</v>
          </cell>
          <cell r="B2810">
            <v>3834</v>
          </cell>
          <cell r="C2810" t="str">
            <v>Sut Polyprop 15X15cm Sup Mesh</v>
          </cell>
        </row>
        <row r="2811">
          <cell r="A2811">
            <v>180138975</v>
          </cell>
          <cell r="B2811">
            <v>3835</v>
          </cell>
          <cell r="C2811" t="str">
            <v>Sut Polyprop 0 1/2Tp 40Mm</v>
          </cell>
        </row>
        <row r="2812">
          <cell r="A2812">
            <v>189713851</v>
          </cell>
          <cell r="B2812">
            <v>3836</v>
          </cell>
          <cell r="C2812" t="str">
            <v>Sut Polyprop 7/0 3/8Tp 12Mm 45Cm</v>
          </cell>
        </row>
        <row r="2813">
          <cell r="A2813">
            <v>180956913</v>
          </cell>
          <cell r="B2813">
            <v>3837</v>
          </cell>
          <cell r="C2813" t="str">
            <v>Sut Polyprop 4/0 1/2Tp 17-17.4Mm</v>
          </cell>
        </row>
        <row r="2814">
          <cell r="A2814">
            <v>180956899</v>
          </cell>
          <cell r="B2814">
            <v>3838</v>
          </cell>
          <cell r="C2814" t="str">
            <v>Sut Polyprop 5/0 1/2Tc 17Mm</v>
          </cell>
        </row>
        <row r="2815">
          <cell r="A2815">
            <v>180139528</v>
          </cell>
          <cell r="B2815">
            <v>3839</v>
          </cell>
          <cell r="C2815" t="str">
            <v>~Sut Silk 2/0 Ligation 75Cm</v>
          </cell>
        </row>
        <row r="2816">
          <cell r="A2816">
            <v>180138814</v>
          </cell>
          <cell r="B2816">
            <v>3840</v>
          </cell>
          <cell r="C2816" t="str">
            <v>~Sut Polyest 1 1/2Tp 37Mm</v>
          </cell>
        </row>
        <row r="2817">
          <cell r="A2817">
            <v>180956883</v>
          </cell>
          <cell r="B2817">
            <v>3841</v>
          </cell>
          <cell r="C2817" t="str">
            <v>Sut Polyest 5 1/2Tc 40Mm</v>
          </cell>
        </row>
        <row r="2818">
          <cell r="A2818">
            <v>180047888</v>
          </cell>
          <cell r="B2818">
            <v>3842</v>
          </cell>
          <cell r="C2818" t="str">
            <v>Sut Polyest 2/0 1/2Dp 26Mm Cardio</v>
          </cell>
        </row>
        <row r="2819">
          <cell r="A2819">
            <v>180319906</v>
          </cell>
          <cell r="B2819">
            <v>3843</v>
          </cell>
          <cell r="C2819" t="str">
            <v>Sut Plain   1 1/2Tp 30Mm</v>
          </cell>
        </row>
        <row r="2820">
          <cell r="A2820" t="str">
            <v>RT  15</v>
          </cell>
          <cell r="B2820">
            <v>3844</v>
          </cell>
          <cell r="C2820" t="str">
            <v>Lens Intra-Ocular 6Mm 19.0 Dioptre</v>
          </cell>
        </row>
        <row r="2821">
          <cell r="A2821">
            <v>180211861</v>
          </cell>
          <cell r="B2821">
            <v>3845</v>
          </cell>
          <cell r="C2821" t="str">
            <v>Sut Silk 0 1/2Tp 30Mm</v>
          </cell>
        </row>
        <row r="2822">
          <cell r="A2822" t="str">
            <v>DELETED</v>
          </cell>
          <cell r="B2822">
            <v>3846</v>
          </cell>
          <cell r="C2822" t="str">
            <v>~Sut Silk 1/0 1/2Tp 37Mm White</v>
          </cell>
        </row>
        <row r="2823">
          <cell r="A2823">
            <v>180185777</v>
          </cell>
          <cell r="B2823">
            <v>3847</v>
          </cell>
          <cell r="C2823" t="str">
            <v>~Sut Synthabs 3/0 Ligation 135Cm Green</v>
          </cell>
        </row>
        <row r="2824">
          <cell r="A2824">
            <v>189713782</v>
          </cell>
          <cell r="B2824">
            <v>3848</v>
          </cell>
          <cell r="C2824" t="str">
            <v>Sut Synthabs 2/0 Ligation</v>
          </cell>
        </row>
        <row r="2825">
          <cell r="A2825" t="str">
            <v>RT  15</v>
          </cell>
          <cell r="B2825">
            <v>3849</v>
          </cell>
          <cell r="C2825" t="str">
            <v>Lens Intra-Ocular 6Mm 19.5 Dioptre</v>
          </cell>
        </row>
        <row r="2826">
          <cell r="A2826">
            <v>180185866</v>
          </cell>
          <cell r="B2826">
            <v>3850</v>
          </cell>
          <cell r="C2826" t="str">
            <v>~Sut Synthabs 4/0 3/8Rc 19Mm 45Cm</v>
          </cell>
        </row>
        <row r="2827">
          <cell r="A2827">
            <v>180185868</v>
          </cell>
          <cell r="B2827">
            <v>3851</v>
          </cell>
          <cell r="C2827" t="str">
            <v>Sut Synthabs 4/0 3/8Rc 24Mm</v>
          </cell>
        </row>
        <row r="2828">
          <cell r="A2828">
            <v>180185935</v>
          </cell>
          <cell r="B2828">
            <v>3852</v>
          </cell>
          <cell r="C2828" t="str">
            <v>Sut Synthabs 2/0 3/8Rc 24Mm</v>
          </cell>
        </row>
        <row r="2829">
          <cell r="A2829">
            <v>189759590</v>
          </cell>
          <cell r="B2829">
            <v>3853</v>
          </cell>
          <cell r="C2829" t="str">
            <v>Sut Synthabs 8/0 3/8Sp 6.5Mm</v>
          </cell>
        </row>
        <row r="2830">
          <cell r="A2830">
            <v>180319926</v>
          </cell>
          <cell r="B2830">
            <v>3854</v>
          </cell>
          <cell r="C2830" t="str">
            <v>Sut Synthabs 3/0 3/8Rc 24Mm</v>
          </cell>
        </row>
        <row r="2831">
          <cell r="A2831" t="str">
            <v>DELETED</v>
          </cell>
          <cell r="B2831">
            <v>3855</v>
          </cell>
          <cell r="C2831" t="str">
            <v>Sut Synthabs 2 1/2Tp 45Mm</v>
          </cell>
        </row>
        <row r="2832">
          <cell r="A2832" t="str">
            <v>DELETED</v>
          </cell>
          <cell r="B2832">
            <v>3856</v>
          </cell>
          <cell r="C2832" t="str">
            <v>~Sut Synthabs 2 1/2C 45Mm 90Cm</v>
          </cell>
        </row>
        <row r="2833">
          <cell r="A2833">
            <v>180046811</v>
          </cell>
          <cell r="B2833">
            <v>3857</v>
          </cell>
          <cell r="C2833" t="str">
            <v>Sut Monosyn 3/0 1/2Tp 26Mm</v>
          </cell>
        </row>
        <row r="2834">
          <cell r="A2834">
            <v>180046815</v>
          </cell>
          <cell r="B2834">
            <v>3858</v>
          </cell>
          <cell r="C2834" t="str">
            <v>~Sut Monosyn 2/0 1/2Tp 26Mm Violet</v>
          </cell>
        </row>
        <row r="2835">
          <cell r="A2835">
            <v>180028211</v>
          </cell>
          <cell r="B2835">
            <v>3859</v>
          </cell>
          <cell r="C2835" t="str">
            <v>Sut Monosyn 6/0 3/8Rc 11Mm</v>
          </cell>
        </row>
        <row r="2836">
          <cell r="A2836">
            <v>180956791</v>
          </cell>
          <cell r="B2836">
            <v>3860</v>
          </cell>
          <cell r="C2836" t="str">
            <v>Sut Monosyn 4/0 3/8Rc 19Mm</v>
          </cell>
        </row>
        <row r="2837">
          <cell r="A2837">
            <v>180956811</v>
          </cell>
          <cell r="B2837">
            <v>3861</v>
          </cell>
          <cell r="C2837" t="str">
            <v>Sut Monosyn 3/0 3/8Rc 19Mm</v>
          </cell>
        </row>
        <row r="2838">
          <cell r="A2838">
            <v>180956815</v>
          </cell>
          <cell r="B2838">
            <v>3862</v>
          </cell>
          <cell r="C2838" t="str">
            <v>Sut Monosyn 3/0 3/8Rc 24Mm</v>
          </cell>
        </row>
        <row r="2839">
          <cell r="A2839">
            <v>189710888</v>
          </cell>
          <cell r="B2839">
            <v>3863</v>
          </cell>
          <cell r="C2839" t="str">
            <v>Clindamycin Inj 600Mg</v>
          </cell>
        </row>
        <row r="2840">
          <cell r="A2840" t="str">
            <v>QUOTE</v>
          </cell>
          <cell r="B2840">
            <v>3864</v>
          </cell>
          <cell r="C2840" t="str">
            <v>Needle Bonemarrow 13G Aspiration</v>
          </cell>
        </row>
        <row r="2841">
          <cell r="A2841">
            <v>180387396</v>
          </cell>
          <cell r="B2841">
            <v>3865</v>
          </cell>
          <cell r="C2841" t="str">
            <v>Nevirapine Susp 50Mg/5ml (240Ml)</v>
          </cell>
        </row>
        <row r="2842">
          <cell r="A2842">
            <v>181758086</v>
          </cell>
          <cell r="B2842">
            <v>3866</v>
          </cell>
          <cell r="C2842" t="str">
            <v>Imatinib Mesilate 100Mg Tabs (60'S)</v>
          </cell>
        </row>
        <row r="2843">
          <cell r="A2843">
            <v>180240869</v>
          </cell>
          <cell r="B2843">
            <v>3867</v>
          </cell>
          <cell r="C2843" t="str">
            <v>~Saw Bone Cutting Wire Gigli Twisted Lg500-508Mm</v>
          </cell>
        </row>
        <row r="2844">
          <cell r="A2844">
            <v>189712252</v>
          </cell>
          <cell r="B2844">
            <v>3868</v>
          </cell>
          <cell r="C2844" t="str">
            <v>~Fluorescein Eye Drops 2% 0.5Ml</v>
          </cell>
        </row>
        <row r="2845">
          <cell r="A2845" t="str">
            <v>RT  15</v>
          </cell>
          <cell r="B2845">
            <v>3869</v>
          </cell>
          <cell r="C2845" t="str">
            <v>Lens Intra-Ocular 6Mm 20.0 Dioptre</v>
          </cell>
        </row>
        <row r="2846">
          <cell r="A2846" t="str">
            <v>QUOTE</v>
          </cell>
          <cell r="B2846">
            <v>3870</v>
          </cell>
          <cell r="C2846" t="str">
            <v>Cath Umbilical Artery Size 5 40Cm</v>
          </cell>
        </row>
        <row r="2847">
          <cell r="A2847" t="str">
            <v>RT  15</v>
          </cell>
          <cell r="B2847">
            <v>3871</v>
          </cell>
          <cell r="C2847" t="str">
            <v>Lens Intra-Ocular 6Mm 20.5 Dioptre</v>
          </cell>
        </row>
        <row r="2848">
          <cell r="A2848" t="str">
            <v>RT  15</v>
          </cell>
          <cell r="B2848">
            <v>3872</v>
          </cell>
          <cell r="C2848" t="str">
            <v>Lens Intra-Ocular 6Mm 21.0 Dioptre</v>
          </cell>
        </row>
        <row r="2849">
          <cell r="A2849" t="str">
            <v>RT  15</v>
          </cell>
          <cell r="B2849">
            <v>3873</v>
          </cell>
          <cell r="C2849" t="str">
            <v>Lens Intra-Ocular 6Mm 21.5 Dioptre</v>
          </cell>
        </row>
        <row r="2850">
          <cell r="A2850" t="str">
            <v>RT  15</v>
          </cell>
          <cell r="B2850">
            <v>3874</v>
          </cell>
          <cell r="C2850" t="str">
            <v>Lens Intra-Ocular 6Mm 22.0 Dioptre</v>
          </cell>
        </row>
        <row r="2851">
          <cell r="A2851" t="str">
            <v>RT  15</v>
          </cell>
          <cell r="B2851">
            <v>3875</v>
          </cell>
          <cell r="C2851" t="str">
            <v>Lens Intra-Ocular 6Mm 22.5 Dioptre</v>
          </cell>
        </row>
        <row r="2852">
          <cell r="A2852">
            <v>181844609</v>
          </cell>
          <cell r="B2852">
            <v>3876</v>
          </cell>
          <cell r="C2852" t="str">
            <v>Zoledronic Acid Inj 4Mg</v>
          </cell>
        </row>
        <row r="2853">
          <cell r="A2853">
            <v>189711130</v>
          </cell>
          <cell r="B2853">
            <v>3877</v>
          </cell>
          <cell r="C2853" t="str">
            <v>Salbutamol 0.5 Mg Injection</v>
          </cell>
        </row>
        <row r="2854">
          <cell r="A2854">
            <v>189750638</v>
          </cell>
          <cell r="B2854">
            <v>3878</v>
          </cell>
          <cell r="C2854" t="str">
            <v>Inhaler Device Infants With Mask + Valve</v>
          </cell>
        </row>
        <row r="2855">
          <cell r="A2855">
            <v>181879044</v>
          </cell>
          <cell r="B2855">
            <v>3879</v>
          </cell>
          <cell r="C2855" t="str">
            <v>Isoniazid Tabs 100Mg (28'S)</v>
          </cell>
        </row>
        <row r="2856">
          <cell r="A2856" t="str">
            <v>RT  15</v>
          </cell>
          <cell r="B2856">
            <v>3880</v>
          </cell>
          <cell r="C2856" t="str">
            <v>Lens Intra-Ocular 6Mm 23.0 Dioptre</v>
          </cell>
        </row>
        <row r="2857">
          <cell r="A2857">
            <v>181899468</v>
          </cell>
          <cell r="B2857">
            <v>3881</v>
          </cell>
          <cell r="C2857" t="str">
            <v>Tpn Multi Bag Adult L-Vpc With Electro(weaning Bag 1.5L</v>
          </cell>
        </row>
        <row r="2858">
          <cell r="A2858">
            <v>180175386</v>
          </cell>
          <cell r="B2858">
            <v>3882</v>
          </cell>
          <cell r="C2858" t="str">
            <v>Strips Skin Closure 12Mmx100mm</v>
          </cell>
        </row>
        <row r="2859">
          <cell r="A2859">
            <v>189713992</v>
          </cell>
          <cell r="B2859">
            <v>3883</v>
          </cell>
          <cell r="C2859" t="str">
            <v>Dressing Burn Absorbent Gauze 225Mmx225mm 16Ply</v>
          </cell>
        </row>
        <row r="2860">
          <cell r="A2860">
            <v>180057524</v>
          </cell>
          <cell r="B2860">
            <v>3884</v>
          </cell>
          <cell r="C2860" t="str">
            <v>Bandage Retention Tubular Elastic Sz 6 100Mm</v>
          </cell>
        </row>
        <row r="2861">
          <cell r="A2861">
            <v>180058780</v>
          </cell>
          <cell r="B2861">
            <v>3885</v>
          </cell>
          <cell r="C2861" t="str">
            <v>Sponge Surgical Nasal Tampon 45Mm</v>
          </cell>
        </row>
        <row r="2862">
          <cell r="A2862">
            <v>180174246</v>
          </cell>
          <cell r="B2862">
            <v>3886</v>
          </cell>
          <cell r="C2862" t="str">
            <v>Drape Surgical Adhesive + Oval 230Mmx450mm</v>
          </cell>
        </row>
        <row r="2863">
          <cell r="A2863" t="str">
            <v>RT  15</v>
          </cell>
          <cell r="B2863">
            <v>3887</v>
          </cell>
          <cell r="C2863" t="str">
            <v>Lens Intra-Ocular 6Mm 23.5 Dioptre</v>
          </cell>
        </row>
        <row r="2864">
          <cell r="A2864" t="str">
            <v>QUOTE STOMA</v>
          </cell>
          <cell r="B2864">
            <v>3888</v>
          </cell>
          <cell r="C2864" t="str">
            <v>~Pouch Urostomy One Piece 44Mm Opague Drainable</v>
          </cell>
        </row>
        <row r="2865">
          <cell r="A2865" t="str">
            <v>QUOTE STOMA</v>
          </cell>
          <cell r="B2865">
            <v>3889</v>
          </cell>
          <cell r="C2865" t="str">
            <v>Flange  44Mm (Cut To 32Mm) 15602 Green</v>
          </cell>
        </row>
        <row r="2866">
          <cell r="A2866" t="str">
            <v>QUOTE STOMA</v>
          </cell>
          <cell r="B2866">
            <v>3890</v>
          </cell>
          <cell r="C2866" t="str">
            <v>Flange  38Mm Flexible Urostomy Use</v>
          </cell>
        </row>
        <row r="2867">
          <cell r="A2867" t="str">
            <v>QUOTE STOMA</v>
          </cell>
          <cell r="B2867">
            <v>3891</v>
          </cell>
          <cell r="C2867" t="str">
            <v>Flange  70Mm Flexible</v>
          </cell>
        </row>
        <row r="2868">
          <cell r="A2868" t="str">
            <v>QUOTE STOMA</v>
          </cell>
          <cell r="B2868">
            <v>3892</v>
          </cell>
          <cell r="C2868" t="str">
            <v>Adhesive Remover For Stoma Use</v>
          </cell>
        </row>
        <row r="2869">
          <cell r="A2869" t="str">
            <v>QUOTE STOMA</v>
          </cell>
          <cell r="B2869">
            <v>3893</v>
          </cell>
          <cell r="C2869" t="str">
            <v>Barrier Wipe Stoma For Skin Preparation</v>
          </cell>
        </row>
        <row r="2870">
          <cell r="A2870">
            <v>189708768</v>
          </cell>
          <cell r="B2870">
            <v>3894</v>
          </cell>
          <cell r="C2870" t="str">
            <v>Connector Swivel 360 Brochoscope 15Mm</v>
          </cell>
        </row>
        <row r="2871">
          <cell r="A2871">
            <v>181744815</v>
          </cell>
          <cell r="B2871">
            <v>3895</v>
          </cell>
          <cell r="C2871" t="str">
            <v>Budesonide Nasal Spray 100Mcg 200 Doses</v>
          </cell>
        </row>
        <row r="2872">
          <cell r="A2872" t="str">
            <v>QUOTE STOMA</v>
          </cell>
          <cell r="B2872">
            <v>3896</v>
          </cell>
          <cell r="C2872" t="str">
            <v>Flange  38Mm Microporous</v>
          </cell>
        </row>
        <row r="2873">
          <cell r="A2873" t="str">
            <v>QUOTE STOMA</v>
          </cell>
          <cell r="B2873">
            <v>3897</v>
          </cell>
          <cell r="C2873" t="str">
            <v>Flange  57Mm Microporous</v>
          </cell>
        </row>
        <row r="2874">
          <cell r="A2874" t="str">
            <v>QUOTE STOMA</v>
          </cell>
          <cell r="B2874">
            <v>3898</v>
          </cell>
          <cell r="C2874" t="str">
            <v>~Pouch Urostomy Two Piece 32Mm Clear Drainable</v>
          </cell>
        </row>
        <row r="2875">
          <cell r="A2875" t="str">
            <v>QUOTE STOMA</v>
          </cell>
          <cell r="B2875">
            <v>3899</v>
          </cell>
          <cell r="C2875" t="str">
            <v>Pouch Urostomy Two Piece 57Mm Clear Drainable</v>
          </cell>
        </row>
        <row r="2876">
          <cell r="A2876" t="str">
            <v>QUOTE STOMA</v>
          </cell>
          <cell r="B2876">
            <v>3900</v>
          </cell>
          <cell r="C2876" t="str">
            <v>Skin Barrier Stoma 20X20cm</v>
          </cell>
        </row>
        <row r="2877">
          <cell r="A2877">
            <v>181809457</v>
          </cell>
          <cell r="B2877">
            <v>3901</v>
          </cell>
          <cell r="C2877" t="str">
            <v>Ropinirole Hcl 1Mg Tabs (84'S)</v>
          </cell>
        </row>
        <row r="2878">
          <cell r="A2878">
            <v>180956790</v>
          </cell>
          <cell r="B2878">
            <v>3902</v>
          </cell>
          <cell r="C2878" t="str">
            <v>Sut Monosyn 5/0 3/8Rc 19Mm  70Cm</v>
          </cell>
        </row>
        <row r="2879">
          <cell r="A2879" t="str">
            <v>RT  15</v>
          </cell>
          <cell r="B2879">
            <v>3903</v>
          </cell>
          <cell r="C2879" t="str">
            <v>Lens Intra-Ocular 6Mm 24.0 Dioptre</v>
          </cell>
        </row>
        <row r="2880">
          <cell r="A2880" t="str">
            <v>QUOTE</v>
          </cell>
          <cell r="B2880">
            <v>3904</v>
          </cell>
          <cell r="C2880" t="str">
            <v>Minoxidil Solution 2% 60Ml</v>
          </cell>
        </row>
        <row r="2881">
          <cell r="A2881" t="str">
            <v>QUOTE</v>
          </cell>
          <cell r="B2881">
            <v>3905</v>
          </cell>
          <cell r="C2881" t="str">
            <v>~Methylene Blue Powder</v>
          </cell>
        </row>
        <row r="2882">
          <cell r="A2882" t="str">
            <v>QUOTE</v>
          </cell>
          <cell r="B2882">
            <v>3906</v>
          </cell>
          <cell r="C2882" t="str">
            <v>Colouring Red (Edicol Carmousine)food Grade</v>
          </cell>
        </row>
        <row r="2883">
          <cell r="A2883">
            <v>180380806</v>
          </cell>
          <cell r="B2883">
            <v>3907</v>
          </cell>
          <cell r="C2883" t="str">
            <v>Mask Oxygen Diluter 28% Adult</v>
          </cell>
        </row>
        <row r="2884">
          <cell r="A2884">
            <v>180368198</v>
          </cell>
          <cell r="B2884">
            <v>3908</v>
          </cell>
          <cell r="C2884" t="str">
            <v>Mask Oxygen Diluter 35% Adult</v>
          </cell>
        </row>
        <row r="2885">
          <cell r="A2885">
            <v>180219801</v>
          </cell>
          <cell r="B2885">
            <v>3909</v>
          </cell>
          <cell r="C2885" t="str">
            <v>Mask Oxygen Diluter 40% Adult</v>
          </cell>
        </row>
        <row r="2886">
          <cell r="A2886">
            <v>180380806</v>
          </cell>
          <cell r="B2886">
            <v>3910</v>
          </cell>
          <cell r="C2886" t="str">
            <v>Mask Oxygen Diluter 24% Paed</v>
          </cell>
        </row>
        <row r="2887">
          <cell r="A2887">
            <v>189715200</v>
          </cell>
          <cell r="B2887">
            <v>3911</v>
          </cell>
          <cell r="C2887" t="str">
            <v>Mask Oxygen Diluter 40% Paed</v>
          </cell>
        </row>
        <row r="2888">
          <cell r="A2888">
            <v>180371481</v>
          </cell>
          <cell r="B2888">
            <v>3912</v>
          </cell>
          <cell r="C2888" t="str">
            <v>Mask Oxygen Diluter 35% Paed</v>
          </cell>
        </row>
        <row r="2889">
          <cell r="A2889">
            <v>181864469</v>
          </cell>
          <cell r="B2889">
            <v>3913</v>
          </cell>
          <cell r="C2889" t="str">
            <v>Mask N95 Mdr Tb Medium</v>
          </cell>
        </row>
        <row r="2890">
          <cell r="A2890">
            <v>1829750640</v>
          </cell>
          <cell r="B2890">
            <v>3914</v>
          </cell>
          <cell r="C2890" t="str">
            <v>Aerochamber Adults</v>
          </cell>
        </row>
        <row r="2891">
          <cell r="A2891">
            <v>180177534</v>
          </cell>
          <cell r="B2891">
            <v>3915</v>
          </cell>
          <cell r="C2891" t="str">
            <v>Sheath Incontinence 35-Large No Latex</v>
          </cell>
        </row>
        <row r="2892">
          <cell r="A2892">
            <v>180177543</v>
          </cell>
          <cell r="B2892">
            <v>3916</v>
          </cell>
          <cell r="C2892" t="str">
            <v>Sheath Incontinence 40-X-Large No Latex</v>
          </cell>
        </row>
        <row r="2893">
          <cell r="A2893" t="str">
            <v>PREPACK 10ML</v>
          </cell>
          <cell r="B2893">
            <v>3917</v>
          </cell>
          <cell r="C2893" t="str">
            <v>Acetic Acid Ear Drops 2% In Alcohol</v>
          </cell>
        </row>
        <row r="2894">
          <cell r="A2894">
            <v>180257956</v>
          </cell>
          <cell r="B2894">
            <v>3918</v>
          </cell>
          <cell r="C2894" t="str">
            <v>Tube Tracheostomy Cuff 8.0</v>
          </cell>
        </row>
        <row r="2895">
          <cell r="A2895">
            <v>181777568</v>
          </cell>
          <cell r="B2895">
            <v>3919</v>
          </cell>
          <cell r="C2895" t="str">
            <v>Tube Tracheostomy Cuff 6.0</v>
          </cell>
        </row>
        <row r="2896">
          <cell r="A2896">
            <v>180257952</v>
          </cell>
          <cell r="B2896">
            <v>3920</v>
          </cell>
          <cell r="C2896" t="str">
            <v>Tube Tracheostomy Cuff 7.0</v>
          </cell>
        </row>
        <row r="2897">
          <cell r="A2897">
            <v>180257957</v>
          </cell>
          <cell r="B2897">
            <v>3921</v>
          </cell>
          <cell r="C2897" t="str">
            <v>Tube Tracheostomy Cuff 9.0</v>
          </cell>
        </row>
        <row r="2898">
          <cell r="A2898">
            <v>181917348</v>
          </cell>
          <cell r="B2898">
            <v>4022</v>
          </cell>
          <cell r="C2898" t="str">
            <v>Chlorpheniramine Tabs 4Mg (30'S)</v>
          </cell>
        </row>
        <row r="2899">
          <cell r="A2899" t="str">
            <v>QUOTE STOMA</v>
          </cell>
          <cell r="B2899">
            <v>3923</v>
          </cell>
          <cell r="C2899" t="str">
            <v>Collector Faecal</v>
          </cell>
        </row>
        <row r="2900">
          <cell r="A2900" t="str">
            <v>RT13</v>
          </cell>
          <cell r="B2900">
            <v>3924</v>
          </cell>
          <cell r="C2900" t="str">
            <v>Tube Tracheostomy Non Cuff  4.0</v>
          </cell>
        </row>
        <row r="2901">
          <cell r="A2901" t="str">
            <v>RT13-20-12-05</v>
          </cell>
          <cell r="B2901">
            <v>3925</v>
          </cell>
          <cell r="C2901" t="str">
            <v>Tube Tracheostomy Non Cuff  4.5</v>
          </cell>
        </row>
        <row r="2902">
          <cell r="A2902" t="str">
            <v>DELETED</v>
          </cell>
          <cell r="B2902">
            <v>3926</v>
          </cell>
          <cell r="C2902" t="str">
            <v>Tube Tracheostomy Non Cuff  5.0</v>
          </cell>
        </row>
        <row r="2903">
          <cell r="A2903" t="str">
            <v>DELETED</v>
          </cell>
          <cell r="B2903">
            <v>3927</v>
          </cell>
          <cell r="C2903" t="str">
            <v>Tube Tracheostomy Non Cuff  6.0</v>
          </cell>
        </row>
        <row r="2904">
          <cell r="A2904" t="str">
            <v>RT13-20-12-06</v>
          </cell>
          <cell r="B2904">
            <v>3928</v>
          </cell>
          <cell r="C2904" t="str">
            <v>Tube Tracheostomy Non Cuff  7.0</v>
          </cell>
        </row>
        <row r="2905">
          <cell r="A2905" t="str">
            <v>RT13-20-12-07</v>
          </cell>
          <cell r="B2905">
            <v>3929</v>
          </cell>
          <cell r="C2905" t="str">
            <v>Tube Tracheostomy Non Cuff  7.5</v>
          </cell>
        </row>
        <row r="2906">
          <cell r="A2906" t="str">
            <v>DELETED</v>
          </cell>
          <cell r="B2906">
            <v>3930</v>
          </cell>
          <cell r="C2906" t="str">
            <v>Tube Tracheostomy Non Cuff  8.0</v>
          </cell>
        </row>
        <row r="2907">
          <cell r="A2907" t="str">
            <v>DELETED</v>
          </cell>
          <cell r="B2907">
            <v>3931</v>
          </cell>
          <cell r="C2907" t="str">
            <v>Tube Tracheostomy Non Cuff  9.0</v>
          </cell>
        </row>
        <row r="2908">
          <cell r="A2908" t="str">
            <v>DELETED</v>
          </cell>
          <cell r="B2908">
            <v>3932</v>
          </cell>
          <cell r="C2908" t="str">
            <v>Tube Tracheostomy Non Cuff 10.0</v>
          </cell>
        </row>
        <row r="2909">
          <cell r="A2909">
            <v>180670494</v>
          </cell>
          <cell r="B2909">
            <v>3933</v>
          </cell>
          <cell r="C2909" t="str">
            <v>Metformin Tabs 850Mg (56/60'S)</v>
          </cell>
        </row>
        <row r="2910">
          <cell r="A2910" t="str">
            <v>DELETED</v>
          </cell>
          <cell r="B2910">
            <v>3934</v>
          </cell>
          <cell r="C2910" t="str">
            <v>Mask Oxygen Adult.Trach &amp; Collar 28% (Drc 210)</v>
          </cell>
        </row>
        <row r="2911">
          <cell r="A2911" t="str">
            <v>DELETED</v>
          </cell>
          <cell r="B2911">
            <v>3935</v>
          </cell>
          <cell r="C2911" t="str">
            <v>Mask Oxygen Adult.Trach &amp; Collar 35% (Drc 211)</v>
          </cell>
        </row>
        <row r="2912">
          <cell r="A2912">
            <v>189704487</v>
          </cell>
          <cell r="B2912">
            <v>3936</v>
          </cell>
          <cell r="C2912" t="str">
            <v>Cyclophosphamide Inj 1000Mg</v>
          </cell>
        </row>
        <row r="2913">
          <cell r="A2913">
            <v>189762896</v>
          </cell>
          <cell r="B2913">
            <v>3937</v>
          </cell>
          <cell r="C2913" t="str">
            <v>Pump Dispenser - Biopump (Bio-/Hibiscrub)</v>
          </cell>
        </row>
        <row r="2914">
          <cell r="A2914">
            <v>189708676</v>
          </cell>
          <cell r="B2914">
            <v>3938</v>
          </cell>
          <cell r="C2914" t="str">
            <v>Mupirocin 2% Topical Oint 15G</v>
          </cell>
        </row>
        <row r="2915">
          <cell r="A2915">
            <v>181896936</v>
          </cell>
          <cell r="B2915">
            <v>3939</v>
          </cell>
          <cell r="C2915" t="str">
            <v>Zinc Scored 20Mg Dis Tabs (10'S)</v>
          </cell>
        </row>
        <row r="2916">
          <cell r="A2916" t="str">
            <v>MOTIVATION</v>
          </cell>
          <cell r="B2916">
            <v>3940</v>
          </cell>
          <cell r="C2916" t="str">
            <v>Epoetin Alfa 50Mg</v>
          </cell>
        </row>
        <row r="2917">
          <cell r="A2917">
            <v>180012709</v>
          </cell>
          <cell r="B2917">
            <v>3945</v>
          </cell>
          <cell r="C2917" t="str">
            <v>Nifedipine Tabs 60Mg S R (30'S)</v>
          </cell>
        </row>
        <row r="2918">
          <cell r="A2918">
            <v>180329952</v>
          </cell>
          <cell r="B2918">
            <v>3946</v>
          </cell>
          <cell r="C2918" t="str">
            <v>Tube Endo Cuff Dual 6.5 Reinforced</v>
          </cell>
        </row>
        <row r="2919">
          <cell r="A2919">
            <v>180329951</v>
          </cell>
          <cell r="B2919">
            <v>3947</v>
          </cell>
          <cell r="C2919" t="str">
            <v>Tube Endo Cuff Dual 7.0 Reinforced</v>
          </cell>
        </row>
        <row r="2920">
          <cell r="A2920">
            <v>180329953</v>
          </cell>
          <cell r="B2920">
            <v>3948</v>
          </cell>
          <cell r="C2920" t="str">
            <v>Tube Endo Cuff Dual 7.5 Reinforced</v>
          </cell>
        </row>
        <row r="2921">
          <cell r="A2921">
            <v>180166914</v>
          </cell>
          <cell r="B2921">
            <v>3949</v>
          </cell>
          <cell r="C2921" t="str">
            <v>Fluorouracil Ointment 5% 20G</v>
          </cell>
        </row>
        <row r="2922">
          <cell r="A2922">
            <v>181777583</v>
          </cell>
          <cell r="B2922">
            <v>3950</v>
          </cell>
          <cell r="C2922" t="str">
            <v>Tube Tracheostomy Cuff 8.5</v>
          </cell>
        </row>
        <row r="2923">
          <cell r="A2923">
            <v>181843408</v>
          </cell>
          <cell r="B2923">
            <v>3951</v>
          </cell>
          <cell r="C2923" t="str">
            <v>Tube Trach Cuff + Inner Cannula 9.0</v>
          </cell>
        </row>
        <row r="2924">
          <cell r="A2924">
            <v>189705490</v>
          </cell>
          <cell r="B2924">
            <v>3952</v>
          </cell>
          <cell r="C2924" t="str">
            <v>~Tube Duodenal Levin 10Fg</v>
          </cell>
        </row>
        <row r="2925">
          <cell r="A2925">
            <v>181817633</v>
          </cell>
          <cell r="B2925">
            <v>3953</v>
          </cell>
          <cell r="C2925" t="str">
            <v>Rif 150 Inh  75 (56'S)</v>
          </cell>
        </row>
        <row r="2926">
          <cell r="A2926">
            <v>181817624</v>
          </cell>
          <cell r="B2926">
            <v>3954</v>
          </cell>
          <cell r="C2926" t="str">
            <v>Rif 150 Pza 400 Inh 75 Eth 275  (28'S)</v>
          </cell>
        </row>
        <row r="2927">
          <cell r="A2927">
            <v>181780162</v>
          </cell>
          <cell r="B2927">
            <v>3955</v>
          </cell>
          <cell r="C2927" t="str">
            <v>Stavudine Solution 1Mg/ml (200Ml)</v>
          </cell>
        </row>
        <row r="2928">
          <cell r="A2928">
            <v>180061386</v>
          </cell>
          <cell r="B2928">
            <v>3956</v>
          </cell>
          <cell r="C2928" t="str">
            <v>Test Strip Blood Glucose (Accutrend)</v>
          </cell>
        </row>
        <row r="2929">
          <cell r="A2929">
            <v>181802351</v>
          </cell>
          <cell r="B2929">
            <v>3957</v>
          </cell>
          <cell r="C2929" t="str">
            <v>Laryngeal Mask Airway Size 3 Autoclavable Silicone</v>
          </cell>
        </row>
        <row r="2930">
          <cell r="A2930">
            <v>189710155</v>
          </cell>
          <cell r="B2930">
            <v>3958</v>
          </cell>
          <cell r="C2930" t="str">
            <v>Oxybutynin Tabs 5Mg (84'S)</v>
          </cell>
        </row>
        <row r="2931">
          <cell r="A2931" t="str">
            <v>QUOTE</v>
          </cell>
          <cell r="B2931">
            <v>3959</v>
          </cell>
          <cell r="C2931" t="str">
            <v>~Momethasone 0.1% Cream</v>
          </cell>
        </row>
        <row r="2932">
          <cell r="A2932" t="str">
            <v>QUOTE</v>
          </cell>
          <cell r="B2932">
            <v>3960</v>
          </cell>
          <cell r="C2932" t="str">
            <v>Labels Red 75Mm X 50Mm (2 To View)</v>
          </cell>
        </row>
        <row r="2933">
          <cell r="A2933">
            <v>181896242</v>
          </cell>
          <cell r="B2933">
            <v>3961</v>
          </cell>
          <cell r="C2933" t="str">
            <v>Tenofovir 300Mg (30'S)</v>
          </cell>
        </row>
        <row r="2934">
          <cell r="A2934" t="str">
            <v>QUOTE</v>
          </cell>
          <cell r="B2934">
            <v>3962</v>
          </cell>
          <cell r="C2934" t="str">
            <v>~Oestradiol Transdermal 8Mg (100Ug/day)</v>
          </cell>
        </row>
        <row r="2935">
          <cell r="A2935">
            <v>189710058</v>
          </cell>
          <cell r="B2935">
            <v>3963</v>
          </cell>
          <cell r="C2935" t="str">
            <v>~Isopropam Phenylprop Diphenyl Caps</v>
          </cell>
        </row>
        <row r="2936">
          <cell r="A2936" t="str">
            <v>QUOTE</v>
          </cell>
          <cell r="B2936">
            <v>3964</v>
          </cell>
          <cell r="C2936" t="str">
            <v>Tube Tracheostomy Non Cuff  3.5</v>
          </cell>
        </row>
        <row r="2937">
          <cell r="A2937">
            <v>189712346</v>
          </cell>
          <cell r="B2937">
            <v>3965</v>
          </cell>
          <cell r="C2937" t="str">
            <v>Proparacaine Eye Drops 0.5% 15Ml</v>
          </cell>
        </row>
        <row r="2938">
          <cell r="A2938">
            <v>180069483</v>
          </cell>
          <cell r="B2938">
            <v>3966</v>
          </cell>
          <cell r="C2938" t="str">
            <v>~Sodium Cromoglycate Inhalant Sol 20Mg/2ml</v>
          </cell>
        </row>
        <row r="2939">
          <cell r="A2939">
            <v>189710231</v>
          </cell>
          <cell r="B2939">
            <v>3967</v>
          </cell>
          <cell r="C2939" t="str">
            <v>~Chlorpheniramine Tabs 4Mg Tabs (Ward 100'S)</v>
          </cell>
        </row>
        <row r="2940">
          <cell r="A2940" t="str">
            <v>MOTIVATION</v>
          </cell>
          <cell r="B2940">
            <v>3968</v>
          </cell>
          <cell r="C2940" t="str">
            <v>Zolpimed Tartrate 10Mg</v>
          </cell>
        </row>
        <row r="2941">
          <cell r="A2941">
            <v>181894471</v>
          </cell>
          <cell r="B2941">
            <v>3978</v>
          </cell>
          <cell r="C2941" t="str">
            <v>Calcium Carbonate &amp; Glycine(84's)</v>
          </cell>
        </row>
        <row r="2942">
          <cell r="A2942">
            <v>181932173</v>
          </cell>
          <cell r="B2942">
            <v>3969</v>
          </cell>
          <cell r="C2942" t="str">
            <v>Needle Disposable 29G (0.33Mm) X 8Mm (Red)</v>
          </cell>
        </row>
        <row r="2943">
          <cell r="A2943">
            <v>181932200</v>
          </cell>
          <cell r="B2943">
            <v>3970</v>
          </cell>
          <cell r="C2943" t="str">
            <v>Syringe Irrigation Bulbex</v>
          </cell>
        </row>
        <row r="2944">
          <cell r="A2944" t="str">
            <v>RT  20</v>
          </cell>
          <cell r="B2944">
            <v>3971</v>
          </cell>
          <cell r="C2944" t="str">
            <v>Electro Surgical Blade, With Handle</v>
          </cell>
        </row>
        <row r="2945">
          <cell r="A2945" t="str">
            <v>RT  20</v>
          </cell>
          <cell r="B2945">
            <v>3972</v>
          </cell>
          <cell r="C2945" t="str">
            <v>Electro Surgical Lead, For Dissecting Forceps</v>
          </cell>
        </row>
        <row r="2946">
          <cell r="A2946">
            <v>181860989</v>
          </cell>
          <cell r="B2946">
            <v>3973</v>
          </cell>
          <cell r="C2946" t="str">
            <v>Co-Trimoxazole Tabs 480Mg (28'S)</v>
          </cell>
        </row>
        <row r="2947">
          <cell r="A2947">
            <v>189750013</v>
          </cell>
          <cell r="B2947">
            <v>3974</v>
          </cell>
          <cell r="C2947" t="str">
            <v>Metronidazole Tabs 200Mg (21'S)</v>
          </cell>
        </row>
        <row r="2948">
          <cell r="A2948">
            <v>180339460</v>
          </cell>
          <cell r="B2948">
            <v>3975</v>
          </cell>
          <cell r="C2948" t="str">
            <v>Ibuprofen Tabs 200Mg (15'S)</v>
          </cell>
        </row>
        <row r="2949">
          <cell r="A2949">
            <v>181931938</v>
          </cell>
          <cell r="B2949">
            <v>3976</v>
          </cell>
          <cell r="C2949" t="str">
            <v>Bag Plastic Tablet White 104Mm X 120Mm Top Feed-Printed</v>
          </cell>
        </row>
        <row r="2950">
          <cell r="A2950">
            <v>189710380</v>
          </cell>
          <cell r="B2950">
            <v>3977</v>
          </cell>
          <cell r="C2950" t="str">
            <v>Co-Trimoxazole Tabs 480Mg (Ward 100)</v>
          </cell>
        </row>
        <row r="2951">
          <cell r="A2951">
            <v>180339515</v>
          </cell>
          <cell r="B2951">
            <v>3979</v>
          </cell>
          <cell r="C2951" t="str">
            <v>Nicotinamide Tabs 100Mg (28'S)</v>
          </cell>
        </row>
        <row r="2952">
          <cell r="A2952">
            <v>180186466</v>
          </cell>
          <cell r="B2952">
            <v>3980</v>
          </cell>
          <cell r="C2952" t="str">
            <v>Cefepime Inj 1G</v>
          </cell>
        </row>
        <row r="2953">
          <cell r="A2953">
            <v>180187880</v>
          </cell>
          <cell r="B2953">
            <v>3981</v>
          </cell>
          <cell r="C2953" t="str">
            <v>Cefepime Inj 2G</v>
          </cell>
        </row>
        <row r="2954">
          <cell r="A2954">
            <v>180948562</v>
          </cell>
          <cell r="B2954">
            <v>3982</v>
          </cell>
          <cell r="C2954" t="str">
            <v>Tpn 8801A (8001A)</v>
          </cell>
        </row>
        <row r="2955">
          <cell r="A2955">
            <v>180948570</v>
          </cell>
          <cell r="B2955">
            <v>3983</v>
          </cell>
          <cell r="C2955" t="str">
            <v>Tpn 7001A</v>
          </cell>
        </row>
        <row r="2956">
          <cell r="A2956">
            <v>189761964</v>
          </cell>
          <cell r="B2956">
            <v>3984</v>
          </cell>
          <cell r="C2956" t="str">
            <v>Bandage Cast Polyester/prophelene Fibre Glass 50Mm</v>
          </cell>
        </row>
        <row r="2957">
          <cell r="A2957">
            <v>180245760</v>
          </cell>
          <cell r="B2957">
            <v>3985</v>
          </cell>
          <cell r="C2957" t="str">
            <v>Poly Estre/propy Fibre Glass Resin Rolls 100Mm</v>
          </cell>
        </row>
        <row r="2958">
          <cell r="A2958" t="str">
            <v>*</v>
          </cell>
          <cell r="B2958">
            <v>3986</v>
          </cell>
          <cell r="C2958" t="str">
            <v>Poly Ester/propylene Fibre Glass Resin Roll 75Mm</v>
          </cell>
        </row>
        <row r="2959">
          <cell r="A2959">
            <v>181896194</v>
          </cell>
          <cell r="B2959">
            <v>3987</v>
          </cell>
          <cell r="C2959" t="str">
            <v>Efavirenz  50Mg Caps (30'S)</v>
          </cell>
        </row>
        <row r="2960">
          <cell r="A2960">
            <v>180185389</v>
          </cell>
          <cell r="B2960">
            <v>3988</v>
          </cell>
          <cell r="C2960" t="str">
            <v>Soddi Suph Polyethylene Glycol</v>
          </cell>
        </row>
        <row r="2961">
          <cell r="A2961" t="str">
            <v>REG</v>
          </cell>
          <cell r="B2961">
            <v>3989</v>
          </cell>
          <cell r="C2961" t="str">
            <v>~Gentamycin/streptomycin Soln</v>
          </cell>
        </row>
        <row r="2962">
          <cell r="A2962" t="str">
            <v>*</v>
          </cell>
          <cell r="B2962">
            <v>3990</v>
          </cell>
          <cell r="C2962" t="str">
            <v>Heparin Lithium 500Iu Luer Lock Sans Needle</v>
          </cell>
        </row>
        <row r="2963">
          <cell r="A2963" t="str">
            <v>QUOTE</v>
          </cell>
          <cell r="B2963">
            <v>3991</v>
          </cell>
          <cell r="C2963" t="str">
            <v>Filter Viral Pedi</v>
          </cell>
        </row>
        <row r="2964">
          <cell r="A2964">
            <v>181932180</v>
          </cell>
          <cell r="B2964">
            <v>3995</v>
          </cell>
          <cell r="C2964" t="str">
            <v>Campaign: Needle Hypodermic 19G (1.1Mm)x40mm</v>
          </cell>
        </row>
        <row r="2965">
          <cell r="A2965">
            <v>181774882</v>
          </cell>
          <cell r="B2965">
            <v>3996</v>
          </cell>
          <cell r="C2965" t="str">
            <v>Tpn 5501A/xa (5001A)</v>
          </cell>
        </row>
        <row r="2966">
          <cell r="A2966">
            <v>180948510</v>
          </cell>
          <cell r="B2966">
            <v>3997</v>
          </cell>
          <cell r="C2966" t="str">
            <v>Tpn 6001A</v>
          </cell>
        </row>
        <row r="2967">
          <cell r="A2967">
            <v>181762655</v>
          </cell>
          <cell r="B2967">
            <v>3998</v>
          </cell>
          <cell r="C2967" t="str">
            <v>Tpn 8807A/xa (8007A)</v>
          </cell>
        </row>
        <row r="2968">
          <cell r="A2968">
            <v>181747895</v>
          </cell>
          <cell r="B2968">
            <v>3999</v>
          </cell>
          <cell r="C2968" t="str">
            <v>Pancreatin Caps 10,000 Units (100'S)</v>
          </cell>
        </row>
        <row r="2969">
          <cell r="A2969">
            <v>180091224</v>
          </cell>
          <cell r="B2969">
            <v>4003</v>
          </cell>
          <cell r="C2969" t="str">
            <v>Hydralazine Tabs 25Mg (84'S)</v>
          </cell>
        </row>
        <row r="2970">
          <cell r="A2970">
            <v>189714582</v>
          </cell>
          <cell r="B2970">
            <v>4005</v>
          </cell>
          <cell r="C2970" t="str">
            <v>Dihydrocodeine Tartate 30 Mg Tabs (100'S)</v>
          </cell>
        </row>
        <row r="2971">
          <cell r="A2971">
            <v>4110</v>
          </cell>
          <cell r="B2971">
            <v>4006</v>
          </cell>
          <cell r="C2971" t="str">
            <v>4110 Dressing Biatain -Ibu Non Adhesive</v>
          </cell>
        </row>
        <row r="2972">
          <cell r="A2972" t="str">
            <v>MOTIVATION</v>
          </cell>
          <cell r="B2972">
            <v>4007</v>
          </cell>
          <cell r="C2972" t="str">
            <v>Prolene  Mesh  Medium</v>
          </cell>
        </row>
        <row r="2973">
          <cell r="A2973" t="str">
            <v>MOTIVATION</v>
          </cell>
          <cell r="B2973">
            <v>4008</v>
          </cell>
          <cell r="C2973" t="str">
            <v>Sut Mersilk</v>
          </cell>
        </row>
        <row r="2974">
          <cell r="A2974" t="str">
            <v>MOTIVATION</v>
          </cell>
          <cell r="B2974">
            <v>4009</v>
          </cell>
          <cell r="C2974" t="str">
            <v>Tube Endotracheal Cuff Oral Rae 5.5 Mm</v>
          </cell>
        </row>
        <row r="2975">
          <cell r="A2975" t="str">
            <v>MOTIVATION</v>
          </cell>
          <cell r="B2975">
            <v>4010</v>
          </cell>
          <cell r="C2975" t="str">
            <v>Tube Endotracheal Cuff Oral Rae 5.0Mm</v>
          </cell>
        </row>
        <row r="2976">
          <cell r="A2976">
            <v>180318479</v>
          </cell>
          <cell r="B2976">
            <v>4013</v>
          </cell>
          <cell r="C2976" t="str">
            <v>Tamsulosin Hcl 0.4Mg S R Capsule (28'S)</v>
          </cell>
        </row>
        <row r="2977">
          <cell r="A2977">
            <v>189710319</v>
          </cell>
          <cell r="B2977">
            <v>4014</v>
          </cell>
          <cell r="C2977" t="str">
            <v>~Aspirin Tabs 300Mg Soluble (1000'S)</v>
          </cell>
        </row>
        <row r="2978">
          <cell r="A2978">
            <v>189710489</v>
          </cell>
          <cell r="B2978">
            <v>4015</v>
          </cell>
          <cell r="C2978" t="str">
            <v>Phenytoin Caps 100Mg (1000'S)</v>
          </cell>
        </row>
        <row r="2979">
          <cell r="A2979">
            <v>180339393</v>
          </cell>
          <cell r="B2979">
            <v>4016</v>
          </cell>
          <cell r="C2979" t="str">
            <v>Biperiden Tabs 2Mg (56'S)</v>
          </cell>
        </row>
        <row r="2980">
          <cell r="A2980" t="str">
            <v>DONATION</v>
          </cell>
          <cell r="B2980">
            <v>4017</v>
          </cell>
          <cell r="C2980" t="str">
            <v>Campaign: Finger Marking Pens</v>
          </cell>
        </row>
        <row r="2981">
          <cell r="A2981">
            <v>1</v>
          </cell>
          <cell r="B2981">
            <v>4018</v>
          </cell>
          <cell r="C2981" t="str">
            <v>~Rif 60 Inh 30 Disp Tabs (100'S)</v>
          </cell>
        </row>
        <row r="2982">
          <cell r="A2982">
            <v>180952644</v>
          </cell>
          <cell r="B2982">
            <v>4019</v>
          </cell>
          <cell r="C2982" t="str">
            <v>Gown Hospital Short Sleeves X-Large</v>
          </cell>
        </row>
        <row r="2983">
          <cell r="A2983">
            <v>181886604</v>
          </cell>
          <cell r="B2983">
            <v>4020</v>
          </cell>
          <cell r="C2983" t="str">
            <v>Gown Hospital Short Sleeves Large Green</v>
          </cell>
        </row>
        <row r="2984">
          <cell r="A2984">
            <v>181868872</v>
          </cell>
          <cell r="B2984">
            <v>4023</v>
          </cell>
          <cell r="C2984" t="str">
            <v>Chlorpromazine Tabs  25Mg (56'S)</v>
          </cell>
        </row>
        <row r="2985">
          <cell r="A2985">
            <v>181868874</v>
          </cell>
          <cell r="B2985">
            <v>4024</v>
          </cell>
          <cell r="C2985" t="str">
            <v>Chlorpromazine Tabs  25Mg (84'S)</v>
          </cell>
        </row>
        <row r="2986">
          <cell r="A2986">
            <v>189711826</v>
          </cell>
          <cell r="B2986">
            <v>4025</v>
          </cell>
          <cell r="C2986" t="str">
            <v>Chlorpromazine Tabs 100Mg (56'S)</v>
          </cell>
        </row>
        <row r="2987">
          <cell r="A2987">
            <v>189711834</v>
          </cell>
          <cell r="B2987">
            <v>4026</v>
          </cell>
          <cell r="C2987" t="str">
            <v>Chlorpromazine Tabs 100Mg (84'S)</v>
          </cell>
        </row>
        <row r="2988">
          <cell r="A2988">
            <v>181923349</v>
          </cell>
          <cell r="B2988">
            <v>4027</v>
          </cell>
          <cell r="C2988" t="str">
            <v>Ferrous Sulphate Co Tabs (56'S)</v>
          </cell>
        </row>
        <row r="2989">
          <cell r="A2989">
            <v>180106075</v>
          </cell>
          <cell r="B2989">
            <v>4028</v>
          </cell>
          <cell r="C2989" t="str">
            <v>Fluoxetine Caps 20Mg (100'S)</v>
          </cell>
        </row>
        <row r="2990">
          <cell r="A2990">
            <v>181798154</v>
          </cell>
          <cell r="B2990">
            <v>4029</v>
          </cell>
          <cell r="C2990" t="str">
            <v>Furosemide Tabs 40Mg (56'S)</v>
          </cell>
        </row>
        <row r="2991">
          <cell r="A2991">
            <v>189714161</v>
          </cell>
          <cell r="B2991">
            <v>4030</v>
          </cell>
          <cell r="C2991" t="str">
            <v>Haloperidol Tabs 5Mg (500'S)</v>
          </cell>
        </row>
        <row r="2992">
          <cell r="A2992">
            <v>189711808</v>
          </cell>
          <cell r="B2992">
            <v>4031</v>
          </cell>
          <cell r="C2992" t="str">
            <v>Metformin Tabs 850Mg (84'S)</v>
          </cell>
        </row>
        <row r="2993">
          <cell r="A2993">
            <v>181798173</v>
          </cell>
          <cell r="B2993">
            <v>4032</v>
          </cell>
          <cell r="C2993" t="str">
            <v>Ibuprofen Tabs 200Mg (42'S)</v>
          </cell>
        </row>
        <row r="2994">
          <cell r="A2994">
            <v>189710513</v>
          </cell>
          <cell r="B2994">
            <v>4033</v>
          </cell>
          <cell r="C2994" t="str">
            <v>~Metformin Tabs 500Mg (500'S)</v>
          </cell>
        </row>
        <row r="2995">
          <cell r="A2995">
            <v>180339480</v>
          </cell>
          <cell r="B2995">
            <v>4034</v>
          </cell>
          <cell r="C2995" t="str">
            <v>Metformin Tabs 500Mg (84'S/90's)</v>
          </cell>
        </row>
        <row r="2996">
          <cell r="A2996">
            <v>180344233</v>
          </cell>
          <cell r="B2996">
            <v>4035</v>
          </cell>
          <cell r="C2996" t="str">
            <v>Montelukast Tabs 10Mg (28'S)</v>
          </cell>
        </row>
        <row r="2997">
          <cell r="A2997">
            <v>181798175</v>
          </cell>
          <cell r="B2997">
            <v>4036</v>
          </cell>
          <cell r="C2997" t="str">
            <v>Isoniazid Tabs 100Mg (84'S)</v>
          </cell>
        </row>
        <row r="2998">
          <cell r="A2998">
            <v>181799554</v>
          </cell>
          <cell r="B2998">
            <v>4037</v>
          </cell>
          <cell r="C2998" t="str">
            <v>Risperidone Tabs 0.5Mg (30'S)</v>
          </cell>
        </row>
        <row r="2999">
          <cell r="A2999">
            <v>180339003</v>
          </cell>
          <cell r="B2999">
            <v>4038</v>
          </cell>
          <cell r="C2999" t="str">
            <v>Risperidone Tabs 1Mg (30'S)</v>
          </cell>
        </row>
        <row r="3000">
          <cell r="A3000">
            <v>180964999</v>
          </cell>
          <cell r="B3000">
            <v>4039</v>
          </cell>
          <cell r="C3000" t="str">
            <v>Risperidone Tabs 3Mg (30'S)</v>
          </cell>
        </row>
        <row r="3001">
          <cell r="A3001">
            <v>181892395</v>
          </cell>
          <cell r="B3001">
            <v>4040</v>
          </cell>
          <cell r="C3001" t="str">
            <v>~Prednisone Tabs 5Mg (40'S)</v>
          </cell>
        </row>
        <row r="3002">
          <cell r="A3002">
            <v>181923355</v>
          </cell>
          <cell r="B3002">
            <v>4041</v>
          </cell>
          <cell r="C3002" t="str">
            <v>Ibuprofen Tabs 400Mg (15'S)</v>
          </cell>
        </row>
        <row r="3003">
          <cell r="A3003">
            <v>189710183</v>
          </cell>
          <cell r="B3003">
            <v>4042</v>
          </cell>
          <cell r="C3003" t="str">
            <v>~Vitamin C Tabs 250Mg (100'S)</v>
          </cell>
        </row>
        <row r="3004">
          <cell r="A3004">
            <v>181817501</v>
          </cell>
          <cell r="B3004">
            <v>4043</v>
          </cell>
          <cell r="C3004" t="str">
            <v>Pyrazinamide Tabs 500Mg (84'S)</v>
          </cell>
        </row>
        <row r="3005">
          <cell r="A3005">
            <v>189711816</v>
          </cell>
          <cell r="B3005">
            <v>4044</v>
          </cell>
          <cell r="C3005" t="str">
            <v>Ibuprofen Tabs 400Mg (84'S)</v>
          </cell>
        </row>
        <row r="3006">
          <cell r="A3006">
            <v>181817490</v>
          </cell>
          <cell r="B3006">
            <v>4045</v>
          </cell>
          <cell r="C3006" t="str">
            <v>Ethionamide Tabs 250Mg (56'S)</v>
          </cell>
        </row>
        <row r="3007">
          <cell r="A3007">
            <v>181817491</v>
          </cell>
          <cell r="B3007">
            <v>4046</v>
          </cell>
          <cell r="C3007" t="str">
            <v>Ethionamide Tabs 250Mg (84'S)</v>
          </cell>
        </row>
        <row r="3008">
          <cell r="A3008">
            <v>189710249</v>
          </cell>
          <cell r="B3008">
            <v>4047</v>
          </cell>
          <cell r="C3008" t="str">
            <v>Ethionamide Tabs 250Mg (250'S)</v>
          </cell>
        </row>
        <row r="3009">
          <cell r="A3009">
            <v>181901440</v>
          </cell>
          <cell r="B3009">
            <v>4048</v>
          </cell>
          <cell r="C3009" t="str">
            <v>Levofloxacin Tabs 250Mg (5'S)</v>
          </cell>
        </row>
        <row r="3010">
          <cell r="A3010">
            <v>181925747</v>
          </cell>
          <cell r="B3010">
            <v>4049</v>
          </cell>
          <cell r="C3010" t="str">
            <v>Levofloxacin Tabs 500Mg (28'S)</v>
          </cell>
        </row>
        <row r="3011">
          <cell r="A3011">
            <v>181927706</v>
          </cell>
          <cell r="B3011">
            <v>4050</v>
          </cell>
          <cell r="C3011" t="str">
            <v>Doxycycline Caps 100Mg (28'S)</v>
          </cell>
        </row>
        <row r="3012">
          <cell r="A3012">
            <v>181854377</v>
          </cell>
          <cell r="B3012">
            <v>4051</v>
          </cell>
          <cell r="C3012" t="str">
            <v>~Erythromycin Caps 250Mg (40'S)</v>
          </cell>
        </row>
        <row r="3013">
          <cell r="A3013">
            <v>181818571</v>
          </cell>
          <cell r="B3013">
            <v>4052</v>
          </cell>
          <cell r="C3013" t="str">
            <v>~Erythromycin Caps 250Mg (56'S)</v>
          </cell>
        </row>
        <row r="3014">
          <cell r="A3014">
            <v>181798178</v>
          </cell>
          <cell r="B3014">
            <v>4053</v>
          </cell>
          <cell r="C3014" t="str">
            <v>Metronidazole Tabs 400Mg (21'S)</v>
          </cell>
        </row>
        <row r="3015">
          <cell r="A3015">
            <v>189711323</v>
          </cell>
          <cell r="B3015">
            <v>4054</v>
          </cell>
          <cell r="C3015" t="str">
            <v>Silver Sulphadiazine 1% Cream (250G)</v>
          </cell>
        </row>
        <row r="3016">
          <cell r="A3016">
            <v>189714706</v>
          </cell>
          <cell r="B3016">
            <v>4055</v>
          </cell>
          <cell r="C3016" t="str">
            <v>~Buffered Cream B.P (10Kg Bucket)</v>
          </cell>
        </row>
        <row r="3017">
          <cell r="A3017">
            <v>189708048</v>
          </cell>
          <cell r="B3017">
            <v>4056</v>
          </cell>
          <cell r="C3017" t="str">
            <v>Clotrimazole Vag Cream 500Mg/50g</v>
          </cell>
        </row>
        <row r="3018">
          <cell r="A3018">
            <v>181885838</v>
          </cell>
          <cell r="B3018">
            <v>4057</v>
          </cell>
          <cell r="C3018" t="str">
            <v>Bimatoprost 0.3Mg &amp; Timolol 5Mg/ml Eye Drops (3Ml)</v>
          </cell>
        </row>
        <row r="3019">
          <cell r="A3019" t="str">
            <v>*</v>
          </cell>
          <cell r="B3019" t="str">
            <v>4058</v>
          </cell>
          <cell r="C3019" t="str">
            <v>Silver Gel 474Ml</v>
          </cell>
        </row>
      </sheetData>
      <sheetData sheetId="5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 Ref_country"/>
      <sheetName val="Readme coverageAdmin"/>
      <sheetName val="Readme WHOUNICEF"/>
      <sheetName val="Readme indicator"/>
      <sheetName val="Readme HPVadmin"/>
      <sheetName val="Readme at_School"/>
      <sheetName val="Readme SchoolIB"/>
      <sheetName val="Readme SchoolIR"/>
      <sheetName val="Readme coverage"/>
      <sheetName val="Readme Incidence"/>
      <sheetName val="Readme schedule"/>
      <sheetName val="Readme HBR"/>
      <sheetName val="MetaIndicator"/>
      <sheetName val="Readme vaccinesource"/>
      <sheetName val="MetaSIA"/>
      <sheetName val="MetaSurvey"/>
      <sheetName val="Readme_UNPD_GHOMDG"/>
      <sheetName val="OfDates"/>
      <sheetName val="prevReadme incidence"/>
      <sheetName val="prevReadme coverage"/>
      <sheetName val="prevReadme schedule"/>
      <sheetName val="prevReadme vaccinesour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2">
          <cell r="B2" t="str">
            <v>Data extracted from WHO database. Data for 2000-2018. Next update:  winter 2019</v>
          </cell>
        </row>
        <row r="4">
          <cell r="B4" t="str">
            <v>WHO/UNICEF coverage estimates for 1980-2018, as of 1 July 2019.</v>
          </cell>
        </row>
        <row r="6">
          <cell r="B6">
            <v>2018</v>
          </cell>
        </row>
      </sheetData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op_down_lists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risons"/>
      <sheetName val="Tables"/>
      <sheetName val="Model parameters"/>
      <sheetName val="Patient resource use"/>
      <sheetName val="Data to stratify outcomes"/>
      <sheetName val="Cost per patient (Calcs)"/>
      <sheetName val="Cost per patient (Mean)"/>
      <sheetName val="Success"/>
      <sheetName val="Cost per patient (Median)"/>
      <sheetName val="Drug Raw Data"/>
      <sheetName val="Drug costs calcs"/>
      <sheetName val="Drug usage calcs"/>
      <sheetName val="Average Regimen Calcs"/>
      <sheetName val="ARV cost"/>
      <sheetName val="Visit dates"/>
      <sheetName val="Visit costs"/>
      <sheetName val="Local clinic costs"/>
      <sheetName val="Lab visit dates"/>
      <sheetName val="Audio visit dates"/>
      <sheetName val="Audiology costs"/>
      <sheetName val="Hospitilization (costs)"/>
      <sheetName val="Hospitilization (usage)"/>
      <sheetName val="Appendix A - Staff wages"/>
      <sheetName val="Appendix B - Equipment prices"/>
      <sheetName val="Appendix C - Consumables prices"/>
      <sheetName val="Appendix D - Medication prices"/>
      <sheetName val="Appendix E - Lab costs"/>
      <sheetName val="Appendix F - Overhead costs"/>
      <sheetName val="Appendix G- Equip cost, by room"/>
      <sheetName val="Appendix H - Raw data"/>
      <sheetName val="Appendix I - Timing log"/>
      <sheetName val="Appendix J - Med Durations"/>
      <sheetName val="Appendix K - Lists"/>
      <sheetName val="Appendix L - Inpatient costs"/>
      <sheetName val="Appendix M- Other diagnostic"/>
      <sheetName val="Appendix N - Patient numbers"/>
      <sheetName val="Exchange rate"/>
      <sheetName val="Change audit"/>
      <sheetName val="MDR TB costing v5.7"/>
    </sheetNames>
    <sheetDataSet>
      <sheetData sheetId="0"/>
      <sheetData sheetId="1"/>
      <sheetData sheetId="2">
        <row r="8">
          <cell r="B8">
            <v>0.03</v>
          </cell>
        </row>
        <row r="23">
          <cell r="A23" t="str">
            <v>Year</v>
          </cell>
          <cell r="B23" t="str">
            <v>Index</v>
          </cell>
        </row>
        <row r="24">
          <cell r="A24">
            <v>2010</v>
          </cell>
          <cell r="B24">
            <v>178.767</v>
          </cell>
        </row>
        <row r="25">
          <cell r="A25">
            <v>2011</v>
          </cell>
          <cell r="B25">
            <v>187.70599999999999</v>
          </cell>
        </row>
        <row r="26">
          <cell r="A26">
            <v>2012</v>
          </cell>
          <cell r="B26">
            <v>198.31800000000001</v>
          </cell>
        </row>
        <row r="27">
          <cell r="A27">
            <v>2013</v>
          </cell>
          <cell r="B27">
            <v>209.72399999999999</v>
          </cell>
        </row>
        <row r="28">
          <cell r="A28">
            <v>2014</v>
          </cell>
          <cell r="B28">
            <v>222.94300000000001</v>
          </cell>
        </row>
        <row r="29">
          <cell r="A29">
            <v>2015</v>
          </cell>
          <cell r="B29">
            <v>235.87299999999999</v>
          </cell>
        </row>
        <row r="30">
          <cell r="A30">
            <v>2016</v>
          </cell>
          <cell r="B30">
            <v>248.846</v>
          </cell>
        </row>
        <row r="31">
          <cell r="A31">
            <v>2017</v>
          </cell>
          <cell r="B31">
            <v>262.03500000000003</v>
          </cell>
        </row>
        <row r="32">
          <cell r="A32">
            <v>2018</v>
          </cell>
          <cell r="B32">
            <v>275.923</v>
          </cell>
        </row>
        <row r="33">
          <cell r="A33">
            <v>2019</v>
          </cell>
          <cell r="B33">
            <v>290.54700000000003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SummaryInterventions"/>
      <sheetName val="InterventionCosts"/>
      <sheetName val="Ingredients"/>
      <sheetName val="Staff_costs"/>
      <sheetName val="Inflation"/>
      <sheetName val="ZAR-USD"/>
      <sheetName val="Lists"/>
    </sheetNames>
    <sheetDataSet>
      <sheetData sheetId="0"/>
      <sheetData sheetId="1">
        <row r="27">
          <cell r="A27">
            <v>18.879390000000001</v>
          </cell>
        </row>
      </sheetData>
      <sheetData sheetId="2"/>
      <sheetData sheetId="3"/>
      <sheetData sheetId="4">
        <row r="14">
          <cell r="C14">
            <v>8</v>
          </cell>
        </row>
        <row r="15">
          <cell r="C15">
            <v>223</v>
          </cell>
        </row>
        <row r="18">
          <cell r="C18">
            <v>107040</v>
          </cell>
        </row>
        <row r="19">
          <cell r="C19">
            <v>8920</v>
          </cell>
        </row>
      </sheetData>
      <sheetData sheetId="5">
        <row r="21">
          <cell r="F21">
            <v>13.0275</v>
          </cell>
        </row>
      </sheetData>
      <sheetData sheetId="6">
        <row r="7">
          <cell r="E7">
            <v>18.879390000000001</v>
          </cell>
        </row>
      </sheetData>
      <sheetData sheetId="7">
        <row r="3">
          <cell r="B3" t="str">
            <v>Staff</v>
          </cell>
        </row>
        <row r="4">
          <cell r="B4" t="str">
            <v>Drugs</v>
          </cell>
        </row>
        <row r="5">
          <cell r="B5" t="str">
            <v>Lab tests</v>
          </cell>
        </row>
        <row r="6">
          <cell r="B6" t="str">
            <v>Equipment</v>
          </cell>
        </row>
        <row r="7">
          <cell r="B7" t="str">
            <v>Consumables</v>
          </cell>
        </row>
        <row r="8">
          <cell r="B8" t="str">
            <v>Overheads</v>
          </cell>
        </row>
        <row r="9">
          <cell r="B9" t="str">
            <v>Training</v>
          </cell>
        </row>
        <row r="10">
          <cell r="B10" t="str">
            <v>Outreach</v>
          </cell>
        </row>
        <row r="11">
          <cell r="B11" t="str">
            <v>Other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op_down_lists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Tool Overview"/>
      <sheetName val="User Dashboard"/>
      <sheetName val="Case cluster output"/>
      <sheetName val="Equipment Needed by Setting"/>
      <sheetName val="SUMMARY TABS -&gt;"/>
      <sheetName val="Patient &amp; HCW Summary"/>
      <sheetName val="HCW &amp; Staff Summary"/>
      <sheetName val="Patient &amp; Case Type Summary"/>
      <sheetName val="ASSUMPTIONS -&gt;"/>
      <sheetName val="Patient &amp; Testing Assumptions"/>
      <sheetName val="Equipment Assumptions"/>
      <sheetName val="Staff &amp; Infra Assumptions"/>
      <sheetName val="Oxygen Use Assumptions"/>
      <sheetName val="PATIENT CALCS -&gt;"/>
      <sheetName val="Patient Calc Assumptions"/>
      <sheetName val="Automated Patient Calcs"/>
      <sheetName val="Manual Patient Calcs"/>
      <sheetName val="COMMODITY DETAILS -&gt;"/>
      <sheetName val="Patient Care Equip"/>
      <sheetName val="Required Drug Package"/>
      <sheetName val="Required Consumables Package"/>
      <sheetName val="REFERENCE DATA -&gt;"/>
      <sheetName val="HCW Summary Data"/>
      <sheetName val="WB Physician Data"/>
      <sheetName val="WHO Labs Data"/>
      <sheetName val="WB CHWs Data"/>
      <sheetName val="WB Nurses &amp; Midwives data"/>
      <sheetName val="Hospital Beds by Country"/>
      <sheetName val="Tabular Pop Data by Age"/>
      <sheetName val="Population Data by Age"/>
      <sheetName val="User options"/>
    </sheetNames>
    <sheetDataSet>
      <sheetData sheetId="0"/>
      <sheetData sheetId="1"/>
      <sheetData sheetId="2"/>
      <sheetData sheetId="3"/>
      <sheetData sheetId="4"/>
      <sheetData sheetId="5"/>
      <sheetData sheetId="6">
        <row r="16">
          <cell r="BH16">
            <v>152.64235848902217</v>
          </cell>
        </row>
        <row r="17">
          <cell r="BH17">
            <v>66.007734393502474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  <sheetName val="Sheet6"/>
    </sheetNames>
    <sheetDataSet>
      <sheetData sheetId="0"/>
      <sheetData sheetId="1"/>
      <sheetData sheetId="2">
        <row r="1">
          <cell r="A1" t="str">
            <v>CODE</v>
          </cell>
          <cell r="B1" t="str">
            <v>Item No 2015</v>
          </cell>
          <cell r="C1" t="str">
            <v>SA Estimate (24m)</v>
          </cell>
          <cell r="D1" t="str">
            <v>Description</v>
          </cell>
          <cell r="E1" t="str">
            <v>NSN</v>
          </cell>
          <cell r="F1" t="str">
            <v>Awarded supplier(s)</v>
          </cell>
          <cell r="G1" t="str">
            <v>Awarded prices</v>
          </cell>
          <cell r="H1" t="str">
            <v>Eml/non-Eml</v>
          </cell>
          <cell r="I1" t="str">
            <v>LP Estimate 2015</v>
          </cell>
          <cell r="J1" t="str">
            <v>Estimate 2017</v>
          </cell>
          <cell r="K1" t="str">
            <v xml:space="preserve">MANK </v>
          </cell>
          <cell r="L1" t="str">
            <v>Cost Implication</v>
          </cell>
        </row>
        <row r="2">
          <cell r="A2">
            <v>147</v>
          </cell>
          <cell r="B2">
            <v>1</v>
          </cell>
          <cell r="C2">
            <v>306684</v>
          </cell>
          <cell r="D2" t="str">
            <v>Aciclovir 250mg injection</v>
          </cell>
          <cell r="E2">
            <v>180075476</v>
          </cell>
          <cell r="F2" t="str">
            <v>Pharmacare  Limited</v>
          </cell>
          <cell r="G2">
            <v>27.770399999999999</v>
          </cell>
          <cell r="H2" t="str">
            <v>Eml</v>
          </cell>
          <cell r="I2">
            <v>0</v>
          </cell>
          <cell r="J2">
            <v>2500</v>
          </cell>
          <cell r="K2">
            <v>5000</v>
          </cell>
          <cell r="L2">
            <v>69426</v>
          </cell>
        </row>
        <row r="3">
          <cell r="A3">
            <v>427</v>
          </cell>
          <cell r="B3">
            <v>2</v>
          </cell>
          <cell r="C3">
            <v>50083</v>
          </cell>
          <cell r="D3" t="str">
            <v xml:space="preserve">Aciclovir 3% eye ointment, 4.5g </v>
          </cell>
          <cell r="E3">
            <v>189712344</v>
          </cell>
          <cell r="F3" t="str">
            <v>not awarded</v>
          </cell>
          <cell r="G3" t="str">
            <v>not awarded</v>
          </cell>
          <cell r="H3" t="str">
            <v>Eml</v>
          </cell>
          <cell r="I3">
            <v>8000</v>
          </cell>
          <cell r="J3">
            <v>450</v>
          </cell>
          <cell r="K3">
            <v>900</v>
          </cell>
          <cell r="L3" t="e">
            <v>#VALUE!</v>
          </cell>
        </row>
        <row r="4">
          <cell r="A4">
            <v>2548</v>
          </cell>
          <cell r="B4">
            <v>3</v>
          </cell>
          <cell r="C4">
            <v>591339</v>
          </cell>
          <cell r="D4" t="str">
            <v>Aciclovir 200mg dispersible tablet, 25 tablets</v>
          </cell>
          <cell r="E4">
            <v>180256112</v>
          </cell>
          <cell r="F4" t="str">
            <v>Cipla Medpro South Africa</v>
          </cell>
          <cell r="G4">
            <v>9.9390999999999998</v>
          </cell>
          <cell r="H4" t="str">
            <v>Eml</v>
          </cell>
          <cell r="I4">
            <v>14300</v>
          </cell>
          <cell r="J4">
            <v>200</v>
          </cell>
          <cell r="K4">
            <v>400</v>
          </cell>
          <cell r="L4">
            <v>1987.82</v>
          </cell>
        </row>
        <row r="5">
          <cell r="A5">
            <v>3298</v>
          </cell>
          <cell r="B5">
            <v>4</v>
          </cell>
          <cell r="C5">
            <v>431319</v>
          </cell>
          <cell r="D5" t="str">
            <v>Aciclovir 400mg tablet / tablet, 60 or 70 tablets</v>
          </cell>
          <cell r="E5">
            <v>181927637</v>
          </cell>
          <cell r="F5" t="str">
            <v>Cipla Medpro South Africa</v>
          </cell>
          <cell r="G5">
            <v>37.493299999999998</v>
          </cell>
          <cell r="H5" t="str">
            <v>Eml</v>
          </cell>
          <cell r="I5">
            <v>12000</v>
          </cell>
          <cell r="J5">
            <v>60</v>
          </cell>
          <cell r="K5">
            <v>120</v>
          </cell>
          <cell r="L5">
            <v>2249.598</v>
          </cell>
        </row>
        <row r="6">
          <cell r="A6">
            <v>2675</v>
          </cell>
          <cell r="B6">
            <v>5</v>
          </cell>
          <cell r="C6">
            <v>17637</v>
          </cell>
          <cell r="D6" t="str">
            <v>Aciclovir solution 200mg/5ml, 125ml_x000D_</v>
          </cell>
          <cell r="E6">
            <v>189760486</v>
          </cell>
          <cell r="F6" t="str">
            <v>Pharmacare Limited</v>
          </cell>
          <cell r="G6">
            <v>404.98500000000001</v>
          </cell>
          <cell r="H6" t="str">
            <v>Eml</v>
          </cell>
          <cell r="I6">
            <v>600</v>
          </cell>
          <cell r="J6">
            <v>40</v>
          </cell>
          <cell r="K6">
            <v>80</v>
          </cell>
          <cell r="L6">
            <v>16199.400000000001</v>
          </cell>
        </row>
        <row r="7">
          <cell r="A7" t="e">
            <v>#N/A</v>
          </cell>
          <cell r="B7">
            <v>152</v>
          </cell>
          <cell r="C7">
            <v>1048600</v>
          </cell>
          <cell r="D7" t="str">
            <v>Albendazole 200mg tablet, 2 tablets</v>
          </cell>
          <cell r="E7">
            <v>189763026</v>
          </cell>
          <cell r="F7" t="str">
            <v>not awarded</v>
          </cell>
          <cell r="G7" t="str">
            <v>not awarded</v>
          </cell>
          <cell r="H7" t="str">
            <v>Eml</v>
          </cell>
          <cell r="I7">
            <v>0</v>
          </cell>
          <cell r="J7">
            <v>0</v>
          </cell>
          <cell r="K7">
            <v>0</v>
          </cell>
          <cell r="L7" t="e">
            <v>#VALUE!</v>
          </cell>
        </row>
        <row r="8">
          <cell r="A8">
            <v>3149</v>
          </cell>
          <cell r="B8">
            <v>153</v>
          </cell>
          <cell r="C8">
            <v>1048600</v>
          </cell>
          <cell r="D8" t="str">
            <v>Albendazole 400mg tablet,1 tablet</v>
          </cell>
          <cell r="E8">
            <v>181823255</v>
          </cell>
          <cell r="F8" t="str">
            <v>Medicine Developers International (Pty) Ltd</v>
          </cell>
          <cell r="G8">
            <v>4.7</v>
          </cell>
          <cell r="H8" t="str">
            <v>Eml</v>
          </cell>
          <cell r="I8">
            <v>120000</v>
          </cell>
          <cell r="J8">
            <v>780</v>
          </cell>
          <cell r="K8">
            <v>1560</v>
          </cell>
          <cell r="L8">
            <v>3666</v>
          </cell>
        </row>
        <row r="9">
          <cell r="A9" t="e">
            <v>#N/A</v>
          </cell>
          <cell r="B9">
            <v>154</v>
          </cell>
          <cell r="C9">
            <v>470</v>
          </cell>
          <cell r="D9" t="str">
            <v>Albendazole 400mg tablet, 500 tablets</v>
          </cell>
          <cell r="E9">
            <v>180975390</v>
          </cell>
          <cell r="F9" t="str">
            <v>Medicine Developers International (Pty) Ltd</v>
          </cell>
          <cell r="G9">
            <v>1423.86</v>
          </cell>
          <cell r="H9" t="str">
            <v>Eml</v>
          </cell>
          <cell r="I9">
            <v>200</v>
          </cell>
          <cell r="J9">
            <v>0</v>
          </cell>
          <cell r="K9">
            <v>0</v>
          </cell>
          <cell r="L9">
            <v>0</v>
          </cell>
        </row>
        <row r="10">
          <cell r="A10">
            <v>3249</v>
          </cell>
          <cell r="B10" t="str">
            <v>HP12-2014LQ-5</v>
          </cell>
          <cell r="C10">
            <v>4457200</v>
          </cell>
          <cell r="D10" t="str">
            <v>Albendazole 100mg/5ml suspension, 20ml</v>
          </cell>
          <cell r="E10">
            <v>180009225</v>
          </cell>
          <cell r="F10" t="str">
            <v>not awarded</v>
          </cell>
          <cell r="G10" t="str">
            <v>not awarded</v>
          </cell>
          <cell r="H10" t="str">
            <v>Eml</v>
          </cell>
          <cell r="I10">
            <v>22000</v>
          </cell>
          <cell r="J10">
            <v>0</v>
          </cell>
          <cell r="K10">
            <v>0</v>
          </cell>
          <cell r="L10" t="e">
            <v>#VALUE!</v>
          </cell>
        </row>
        <row r="11">
          <cell r="A11">
            <v>3427</v>
          </cell>
          <cell r="B11">
            <v>6</v>
          </cell>
          <cell r="C11">
            <v>208870</v>
          </cell>
          <cell r="D11" t="str">
            <v>Amikacin 100 mg injection, 2ml</v>
          </cell>
          <cell r="E11">
            <v>189708790</v>
          </cell>
          <cell r="F11" t="str">
            <v>Fresenius  Kabi South Africa(Pty) Ltd</v>
          </cell>
          <cell r="G11">
            <v>5.08</v>
          </cell>
          <cell r="H11" t="str">
            <v>Eml</v>
          </cell>
          <cell r="I11">
            <v>4600</v>
          </cell>
          <cell r="J11">
            <v>450</v>
          </cell>
          <cell r="K11">
            <v>900</v>
          </cell>
          <cell r="L11">
            <v>2286</v>
          </cell>
        </row>
        <row r="12">
          <cell r="A12">
            <v>1</v>
          </cell>
          <cell r="B12">
            <v>7</v>
          </cell>
          <cell r="C12">
            <v>39017</v>
          </cell>
          <cell r="D12" t="str">
            <v>Amikacin 250 mg injection, 2ml</v>
          </cell>
          <cell r="E12">
            <v>189708789</v>
          </cell>
          <cell r="F12" t="str">
            <v>Fresenius  Kabi South Africa(Pty) Ltd</v>
          </cell>
          <cell r="G12">
            <v>6.54</v>
          </cell>
          <cell r="H12" t="str">
            <v>Eml</v>
          </cell>
          <cell r="I12">
            <v>3500</v>
          </cell>
          <cell r="J12">
            <v>130</v>
          </cell>
          <cell r="K12">
            <v>260</v>
          </cell>
          <cell r="L12">
            <v>850.2</v>
          </cell>
        </row>
        <row r="13">
          <cell r="A13">
            <v>2292</v>
          </cell>
          <cell r="B13">
            <v>8</v>
          </cell>
          <cell r="C13">
            <v>522469</v>
          </cell>
          <cell r="D13" t="str">
            <v>Amikacin 500 mg injection, 2ml</v>
          </cell>
          <cell r="E13">
            <v>189708024</v>
          </cell>
          <cell r="F13" t="str">
            <v>Fresenius Kabi South Africa(Pty) Ltd</v>
          </cell>
          <cell r="G13">
            <v>4.24</v>
          </cell>
          <cell r="H13" t="str">
            <v>Eml</v>
          </cell>
          <cell r="I13">
            <v>5000</v>
          </cell>
          <cell r="J13">
            <v>100</v>
          </cell>
          <cell r="K13">
            <v>200</v>
          </cell>
          <cell r="L13">
            <v>424</v>
          </cell>
        </row>
        <row r="14">
          <cell r="A14" t="e">
            <v>#N/A</v>
          </cell>
          <cell r="B14">
            <v>9</v>
          </cell>
          <cell r="C14">
            <v>23400</v>
          </cell>
          <cell r="D14" t="str">
            <v>Amikacin 1g injection, 4ml</v>
          </cell>
          <cell r="E14">
            <v>180157195</v>
          </cell>
          <cell r="F14" t="str">
            <v>not awarded</v>
          </cell>
          <cell r="G14" t="str">
            <v>not awarded</v>
          </cell>
          <cell r="H14" t="str">
            <v>Eml</v>
          </cell>
          <cell r="I14">
            <v>0</v>
          </cell>
          <cell r="J14">
            <v>0</v>
          </cell>
          <cell r="K14">
            <v>0</v>
          </cell>
          <cell r="L14" t="e">
            <v>#VALUE!</v>
          </cell>
        </row>
        <row r="15">
          <cell r="A15">
            <v>2867</v>
          </cell>
          <cell r="B15">
            <v>10</v>
          </cell>
          <cell r="C15">
            <v>3814217.4</v>
          </cell>
          <cell r="D15" t="str">
            <v>Amoxicillin 125mg/5ml suspension, 100ml</v>
          </cell>
          <cell r="E15">
            <v>189704685</v>
          </cell>
          <cell r="F15" t="str">
            <v>Dezzo Trading 392 (Pty) Ltd</v>
          </cell>
          <cell r="G15">
            <v>6.45</v>
          </cell>
          <cell r="H15" t="str">
            <v>Eml</v>
          </cell>
          <cell r="I15">
            <v>400000</v>
          </cell>
          <cell r="J15">
            <v>4000</v>
          </cell>
          <cell r="K15">
            <v>8000</v>
          </cell>
          <cell r="L15">
            <v>25800</v>
          </cell>
        </row>
        <row r="16">
          <cell r="A16">
            <v>2827</v>
          </cell>
          <cell r="B16">
            <v>11</v>
          </cell>
          <cell r="C16">
            <v>4037076</v>
          </cell>
          <cell r="D16" t="str">
            <v>Amoxicillin 250mg/5ml suspension, 100ml</v>
          </cell>
          <cell r="E16">
            <v>189706340</v>
          </cell>
          <cell r="F16" t="str">
            <v>Dezzo Trading 392 (Pty) Ltd</v>
          </cell>
          <cell r="G16">
            <v>8.08</v>
          </cell>
          <cell r="H16" t="str">
            <v>Eml</v>
          </cell>
          <cell r="I16">
            <v>450000</v>
          </cell>
          <cell r="J16">
            <v>2800</v>
          </cell>
          <cell r="K16">
            <v>5600</v>
          </cell>
          <cell r="L16">
            <v>22624</v>
          </cell>
        </row>
        <row r="17">
          <cell r="A17">
            <v>3320</v>
          </cell>
          <cell r="B17">
            <v>12</v>
          </cell>
          <cell r="C17">
            <v>4201025.2217410048</v>
          </cell>
          <cell r="D17" t="str">
            <v>Amoxicillin 250mg capsule, 15 capsules</v>
          </cell>
          <cell r="E17">
            <v>180198245</v>
          </cell>
          <cell r="F17" t="str">
            <v>Dezzo Trading 392 (Pty) Ltdgulf Drug</v>
          </cell>
          <cell r="G17">
            <v>5.2923386389998743</v>
          </cell>
          <cell r="H17" t="str">
            <v>Eml</v>
          </cell>
          <cell r="I17">
            <v>950000</v>
          </cell>
          <cell r="J17">
            <v>8400</v>
          </cell>
          <cell r="K17">
            <v>16800</v>
          </cell>
          <cell r="L17">
            <v>44455.644567598945</v>
          </cell>
        </row>
        <row r="18">
          <cell r="A18">
            <v>2638</v>
          </cell>
          <cell r="B18">
            <v>13</v>
          </cell>
          <cell r="C18">
            <v>147704</v>
          </cell>
          <cell r="D18" t="str">
            <v>Amoxicillin 250mg capsule, 100 capsules</v>
          </cell>
          <cell r="E18">
            <v>189710338</v>
          </cell>
          <cell r="F18" t="str">
            <v>not awarded</v>
          </cell>
          <cell r="G18" t="str">
            <v>not awarded</v>
          </cell>
          <cell r="H18" t="str">
            <v>Eml</v>
          </cell>
          <cell r="I18">
            <v>60000</v>
          </cell>
          <cell r="J18">
            <v>2640</v>
          </cell>
          <cell r="K18">
            <v>5280</v>
          </cell>
          <cell r="L18" t="e">
            <v>#VALUE!</v>
          </cell>
        </row>
        <row r="19">
          <cell r="A19">
            <v>3196</v>
          </cell>
          <cell r="B19">
            <v>14</v>
          </cell>
          <cell r="C19">
            <v>7449388.6518011484</v>
          </cell>
          <cell r="D19" t="str">
            <v>Amoxicillin 500mg capsule, 15 capsules</v>
          </cell>
          <cell r="E19">
            <v>180292354</v>
          </cell>
          <cell r="F19" t="str">
            <v>Dezzo TradingAustell</v>
          </cell>
          <cell r="G19">
            <v>8.684899999999999</v>
          </cell>
          <cell r="H19" t="str">
            <v>Eml</v>
          </cell>
          <cell r="I19">
            <v>800000</v>
          </cell>
          <cell r="J19">
            <v>14400</v>
          </cell>
          <cell r="K19">
            <v>28800</v>
          </cell>
          <cell r="L19">
            <v>125062.55999999998</v>
          </cell>
        </row>
        <row r="20">
          <cell r="A20" t="e">
            <v>#N/A</v>
          </cell>
          <cell r="B20">
            <v>15</v>
          </cell>
          <cell r="C20">
            <v>180269</v>
          </cell>
          <cell r="D20" t="str">
            <v>Amoxicillin 500mg capsules, 100 capsules</v>
          </cell>
          <cell r="E20">
            <v>189710500</v>
          </cell>
          <cell r="F20" t="str">
            <v>Dezzo Trading 392 (Pty) Ltd</v>
          </cell>
          <cell r="G20">
            <v>42.07</v>
          </cell>
          <cell r="H20" t="str">
            <v>Eml</v>
          </cell>
          <cell r="I20">
            <v>30000</v>
          </cell>
          <cell r="J20">
            <v>1000</v>
          </cell>
          <cell r="K20">
            <v>2000</v>
          </cell>
          <cell r="L20">
            <v>42070</v>
          </cell>
        </row>
        <row r="21">
          <cell r="A21">
            <v>3430</v>
          </cell>
          <cell r="B21">
            <v>16</v>
          </cell>
          <cell r="C21">
            <v>789778</v>
          </cell>
          <cell r="D21" t="str">
            <v>Amoxicillin and Clavulanic acid 125mg and 31.25mg/5ml suspension, 100ml</v>
          </cell>
          <cell r="E21">
            <v>180002781</v>
          </cell>
          <cell r="F21" t="str">
            <v>Sandoz SA (Pty) Ltd</v>
          </cell>
          <cell r="G21">
            <v>18.93</v>
          </cell>
          <cell r="H21" t="str">
            <v>Eml</v>
          </cell>
          <cell r="I21">
            <v>100000</v>
          </cell>
          <cell r="J21">
            <v>1200</v>
          </cell>
          <cell r="K21">
            <v>2400</v>
          </cell>
          <cell r="L21">
            <v>22716</v>
          </cell>
        </row>
        <row r="22">
          <cell r="A22">
            <v>515</v>
          </cell>
          <cell r="B22">
            <v>17</v>
          </cell>
          <cell r="C22">
            <v>519793</v>
          </cell>
          <cell r="D22" t="str">
            <v>Amoxicillin and Clavulanic acid 250mg and 62.5mg/5ml suspension, 100ml</v>
          </cell>
          <cell r="E22">
            <v>180002786</v>
          </cell>
          <cell r="F22" t="str">
            <v>Sandoz SA (Pty) Ltd</v>
          </cell>
          <cell r="G22">
            <v>27.62</v>
          </cell>
          <cell r="H22" t="str">
            <v>Eml</v>
          </cell>
          <cell r="I22">
            <v>120000</v>
          </cell>
          <cell r="J22">
            <v>240</v>
          </cell>
          <cell r="K22">
            <v>480</v>
          </cell>
          <cell r="L22">
            <v>6628.8</v>
          </cell>
        </row>
        <row r="23">
          <cell r="A23">
            <v>3431</v>
          </cell>
          <cell r="B23">
            <v>18</v>
          </cell>
          <cell r="C23">
            <v>3363260</v>
          </cell>
          <cell r="D23" t="str">
            <v>Amoxicillin and Clavulanic acid 250/125mg capsule/tablet, 15 capsules/tablets</v>
          </cell>
          <cell r="E23">
            <v>189714965</v>
          </cell>
          <cell r="F23" t="str">
            <v>Sandoz South Africa (Pty) Ltd</v>
          </cell>
          <cell r="G23">
            <v>20.82</v>
          </cell>
          <cell r="H23" t="str">
            <v>Eml</v>
          </cell>
          <cell r="I23">
            <v>300000</v>
          </cell>
          <cell r="J23">
            <v>4800</v>
          </cell>
          <cell r="K23">
            <v>9600</v>
          </cell>
          <cell r="L23">
            <v>99936</v>
          </cell>
        </row>
        <row r="24">
          <cell r="A24">
            <v>3431</v>
          </cell>
          <cell r="B24">
            <v>19</v>
          </cell>
          <cell r="C24">
            <v>121940</v>
          </cell>
          <cell r="D24" t="str">
            <v>Amoxicillin and Clavulanic acid 250/125mg capsule/tablet, 100 capsules/tablets</v>
          </cell>
          <cell r="E24">
            <v>189714965</v>
          </cell>
          <cell r="F24" t="str">
            <v>not awarded</v>
          </cell>
          <cell r="G24" t="str">
            <v>not awarded</v>
          </cell>
          <cell r="H24" t="str">
            <v>Eml</v>
          </cell>
          <cell r="I24">
            <v>1500</v>
          </cell>
          <cell r="J24">
            <v>1000</v>
          </cell>
          <cell r="K24">
            <v>2000</v>
          </cell>
          <cell r="L24" t="e">
            <v>#VALUE!</v>
          </cell>
        </row>
        <row r="25">
          <cell r="A25" t="e">
            <v>#N/A</v>
          </cell>
          <cell r="B25">
            <v>21</v>
          </cell>
          <cell r="C25">
            <v>967296</v>
          </cell>
          <cell r="D25" t="str">
            <v>Amoxicillin and Clavulanic acid 875/125mg capsule/tablet, 10 capsules/tablets</v>
          </cell>
          <cell r="E25">
            <v>181854324</v>
          </cell>
          <cell r="F25" t="str">
            <v>Adcock Ingram HC</v>
          </cell>
          <cell r="G25">
            <v>23.937000000000001</v>
          </cell>
          <cell r="H25" t="str">
            <v>Eml</v>
          </cell>
          <cell r="I25">
            <v>0</v>
          </cell>
          <cell r="J25">
            <v>3000</v>
          </cell>
          <cell r="K25">
            <v>6000</v>
          </cell>
          <cell r="L25">
            <v>71811</v>
          </cell>
        </row>
        <row r="26">
          <cell r="A26">
            <v>3433</v>
          </cell>
          <cell r="B26">
            <v>22</v>
          </cell>
          <cell r="C26">
            <v>1774945</v>
          </cell>
          <cell r="D26" t="str">
            <v>Amoxicillin and Clavulanic acid 500/100mg, injection</v>
          </cell>
          <cell r="E26">
            <v>180158719</v>
          </cell>
          <cell r="F26" t="str">
            <v>Sandoz</v>
          </cell>
          <cell r="G26">
            <v>15.273999999999999</v>
          </cell>
          <cell r="H26" t="str">
            <v>Eml</v>
          </cell>
          <cell r="I26">
            <v>80000</v>
          </cell>
          <cell r="J26">
            <v>2600</v>
          </cell>
          <cell r="K26">
            <v>5200</v>
          </cell>
          <cell r="L26">
            <v>39712.399999999994</v>
          </cell>
        </row>
        <row r="27">
          <cell r="A27">
            <v>3429</v>
          </cell>
          <cell r="B27">
            <v>23</v>
          </cell>
          <cell r="C27">
            <v>4284524.7</v>
          </cell>
          <cell r="D27" t="str">
            <v>Amoxicillin and Clavulanic acid 1000/200mg, injection</v>
          </cell>
          <cell r="E27">
            <v>180057867</v>
          </cell>
          <cell r="F27" t="str">
            <v>Sandoz South Africa (Pty) Ltd</v>
          </cell>
          <cell r="G27">
            <v>16.201000000000001</v>
          </cell>
          <cell r="H27" t="str">
            <v>Eml</v>
          </cell>
          <cell r="I27">
            <v>60000</v>
          </cell>
          <cell r="J27">
            <v>12800</v>
          </cell>
          <cell r="K27">
            <v>25600</v>
          </cell>
          <cell r="L27">
            <v>207372.80000000002</v>
          </cell>
        </row>
        <row r="28">
          <cell r="A28">
            <v>5</v>
          </cell>
          <cell r="B28">
            <v>24</v>
          </cell>
          <cell r="C28">
            <v>208546</v>
          </cell>
          <cell r="D28" t="str">
            <v>Amphotericin B 50mg injection</v>
          </cell>
          <cell r="E28">
            <v>189710723</v>
          </cell>
          <cell r="F28" t="str">
            <v>not awarded</v>
          </cell>
          <cell r="G28" t="str">
            <v>not awarded</v>
          </cell>
          <cell r="H28" t="str">
            <v>Eml</v>
          </cell>
          <cell r="I28">
            <v>6700</v>
          </cell>
          <cell r="J28">
            <v>360</v>
          </cell>
          <cell r="K28">
            <v>720</v>
          </cell>
          <cell r="L28" t="e">
            <v>#VALUE!</v>
          </cell>
        </row>
        <row r="29">
          <cell r="A29">
            <v>8</v>
          </cell>
          <cell r="B29">
            <v>25</v>
          </cell>
          <cell r="C29">
            <v>3923813</v>
          </cell>
          <cell r="D29" t="str">
            <v xml:space="preserve">Ampicillin 250mg injection </v>
          </cell>
          <cell r="E29">
            <v>189702886</v>
          </cell>
          <cell r="F29" t="str">
            <v>Fresenius  Kabi South Africa(Pty) Ltd</v>
          </cell>
          <cell r="G29">
            <v>6.93</v>
          </cell>
          <cell r="H29" t="str">
            <v>Eml</v>
          </cell>
          <cell r="I29">
            <v>1100000</v>
          </cell>
          <cell r="J29">
            <v>8880</v>
          </cell>
          <cell r="K29">
            <v>17760</v>
          </cell>
          <cell r="L29">
            <v>61538.399999999994</v>
          </cell>
        </row>
        <row r="30">
          <cell r="A30">
            <v>9</v>
          </cell>
          <cell r="B30">
            <v>26</v>
          </cell>
          <cell r="C30">
            <v>8837587</v>
          </cell>
          <cell r="D30" t="str">
            <v xml:space="preserve">Ampicillin 500mg injection </v>
          </cell>
          <cell r="E30">
            <v>189702887</v>
          </cell>
          <cell r="F30" t="str">
            <v>Fresenius Kabi South Africa(Pty) Ltd</v>
          </cell>
          <cell r="G30">
            <v>8.19</v>
          </cell>
          <cell r="H30" t="str">
            <v>Eml</v>
          </cell>
          <cell r="I30">
            <v>1400000</v>
          </cell>
          <cell r="J30">
            <v>26400</v>
          </cell>
          <cell r="K30">
            <v>52800</v>
          </cell>
          <cell r="L30">
            <v>216216</v>
          </cell>
        </row>
        <row r="31">
          <cell r="A31">
            <v>520</v>
          </cell>
          <cell r="B31">
            <v>155</v>
          </cell>
          <cell r="C31">
            <v>0</v>
          </cell>
          <cell r="D31" t="str">
            <v>Artemether and Lumefantrine 20/120mg tablet, 24 tablets</v>
          </cell>
          <cell r="E31">
            <v>180958902</v>
          </cell>
          <cell r="F31" t="str">
            <v>Novartis South Africa (Pty) Ltd</v>
          </cell>
          <cell r="G31">
            <v>45</v>
          </cell>
          <cell r="H31" t="str">
            <v>Eml</v>
          </cell>
          <cell r="I31">
            <v>30000</v>
          </cell>
          <cell r="J31">
            <v>50</v>
          </cell>
          <cell r="K31">
            <v>100</v>
          </cell>
          <cell r="L31">
            <v>2250</v>
          </cell>
        </row>
        <row r="32">
          <cell r="A32">
            <v>2790</v>
          </cell>
          <cell r="B32" t="str">
            <v>New item1</v>
          </cell>
          <cell r="C32">
            <v>0</v>
          </cell>
          <cell r="D32" t="str">
            <v>Artesunate 60mg injection</v>
          </cell>
          <cell r="E32" t="str">
            <v>Section 21</v>
          </cell>
          <cell r="F32" t="str">
            <v>Section 21</v>
          </cell>
          <cell r="G32" t="str">
            <v>Section 21</v>
          </cell>
          <cell r="H32" t="str">
            <v>Eml</v>
          </cell>
          <cell r="I32">
            <v>0</v>
          </cell>
          <cell r="J32">
            <v>0</v>
          </cell>
          <cell r="K32">
            <v>0</v>
          </cell>
          <cell r="L32" t="e">
            <v>#VALUE!</v>
          </cell>
        </row>
        <row r="33">
          <cell r="A33">
            <v>2790</v>
          </cell>
          <cell r="B33" t="str">
            <v>New item2</v>
          </cell>
          <cell r="C33">
            <v>0</v>
          </cell>
          <cell r="D33" t="str">
            <v>Artesunate 120mg injection</v>
          </cell>
          <cell r="E33" t="str">
            <v>Section 21</v>
          </cell>
          <cell r="F33" t="str">
            <v>Section 21</v>
          </cell>
          <cell r="G33" t="str">
            <v>Section 21</v>
          </cell>
          <cell r="H33" t="str">
            <v>Eml</v>
          </cell>
          <cell r="I33">
            <v>0</v>
          </cell>
          <cell r="J33">
            <v>0</v>
          </cell>
          <cell r="K33">
            <v>0</v>
          </cell>
          <cell r="L33" t="e">
            <v>#VALUE!</v>
          </cell>
        </row>
        <row r="34">
          <cell r="A34">
            <v>2438</v>
          </cell>
          <cell r="B34">
            <v>27</v>
          </cell>
          <cell r="C34">
            <v>98865</v>
          </cell>
          <cell r="D34" t="str">
            <v>Azithromycin 500mg injection</v>
          </cell>
          <cell r="E34">
            <v>181839842</v>
          </cell>
          <cell r="F34" t="str">
            <v>Cipla Medpro South Africa</v>
          </cell>
          <cell r="G34">
            <v>40.578099999999999</v>
          </cell>
          <cell r="H34" t="str">
            <v>Eml</v>
          </cell>
          <cell r="I34">
            <v>1900</v>
          </cell>
          <cell r="J34">
            <v>0</v>
          </cell>
          <cell r="K34">
            <v>0</v>
          </cell>
          <cell r="L34">
            <v>0</v>
          </cell>
        </row>
        <row r="35">
          <cell r="A35">
            <v>2263</v>
          </cell>
          <cell r="B35">
            <v>28</v>
          </cell>
          <cell r="C35">
            <v>535930</v>
          </cell>
          <cell r="D35" t="str">
            <v>Azithromycin 200mg/5ml suspension, 15ml</v>
          </cell>
          <cell r="E35">
            <v>180123451</v>
          </cell>
          <cell r="F35" t="str">
            <v>Pfizer Laboratories  (Pty) Ltd</v>
          </cell>
          <cell r="G35">
            <v>34.869999999999997</v>
          </cell>
          <cell r="H35" t="str">
            <v>Eml</v>
          </cell>
          <cell r="I35">
            <v>60000</v>
          </cell>
          <cell r="J35">
            <v>240</v>
          </cell>
          <cell r="K35">
            <v>480</v>
          </cell>
          <cell r="L35">
            <v>8368.7999999999993</v>
          </cell>
        </row>
        <row r="36">
          <cell r="A36" t="e">
            <v>#N/A</v>
          </cell>
          <cell r="B36">
            <v>29</v>
          </cell>
          <cell r="C36">
            <v>951267</v>
          </cell>
          <cell r="D36" t="str">
            <v>Azithromycin 200mg/5 ml suspension, 30ml</v>
          </cell>
          <cell r="E36" t="str">
            <v>Not codified yet</v>
          </cell>
          <cell r="F36" t="str">
            <v>not awarded</v>
          </cell>
          <cell r="G36" t="str">
            <v>not awarded</v>
          </cell>
          <cell r="H36" t="str">
            <v>Eml</v>
          </cell>
          <cell r="I36">
            <v>25000</v>
          </cell>
          <cell r="J36">
            <v>240</v>
          </cell>
          <cell r="K36">
            <v>480</v>
          </cell>
          <cell r="L36" t="e">
            <v>#VALUE!</v>
          </cell>
        </row>
        <row r="37">
          <cell r="A37">
            <v>267</v>
          </cell>
          <cell r="B37">
            <v>31</v>
          </cell>
          <cell r="C37">
            <v>452296</v>
          </cell>
          <cell r="D37" t="str">
            <v>Azithromycin 250mg tablet/capsule, 3 tablets/capsules</v>
          </cell>
          <cell r="E37">
            <v>181905533</v>
          </cell>
          <cell r="F37" t="str">
            <v>Medicine DevelopersInternational  (Pty) Ltd</v>
          </cell>
          <cell r="G37">
            <v>7.28</v>
          </cell>
          <cell r="H37" t="str">
            <v>Eml</v>
          </cell>
          <cell r="I37">
            <v>30000</v>
          </cell>
          <cell r="J37">
            <v>600</v>
          </cell>
          <cell r="K37">
            <v>1200</v>
          </cell>
          <cell r="L37">
            <v>4368</v>
          </cell>
        </row>
        <row r="38">
          <cell r="A38">
            <v>2347</v>
          </cell>
          <cell r="B38">
            <v>32</v>
          </cell>
          <cell r="C38">
            <v>718715</v>
          </cell>
          <cell r="D38" t="str">
            <v>Azithromycin 500mg tablet/capsule, 2 tablets/capsules</v>
          </cell>
          <cell r="E38">
            <v>181886851</v>
          </cell>
          <cell r="F38" t="str">
            <v>Austell Laboratories  (Pty) Ltd</v>
          </cell>
          <cell r="G38">
            <v>9.2149999999999999</v>
          </cell>
          <cell r="H38" t="str">
            <v>Eml</v>
          </cell>
          <cell r="I38">
            <v>40000</v>
          </cell>
          <cell r="J38">
            <v>2160</v>
          </cell>
          <cell r="K38">
            <v>4320</v>
          </cell>
          <cell r="L38">
            <v>19904.400000000001</v>
          </cell>
        </row>
        <row r="39">
          <cell r="A39">
            <v>2353</v>
          </cell>
          <cell r="B39">
            <v>33</v>
          </cell>
          <cell r="C39">
            <v>3299868</v>
          </cell>
          <cell r="D39" t="str">
            <v>Azithromycin 500mg tablet,3 tablets</v>
          </cell>
          <cell r="E39">
            <v>180291039</v>
          </cell>
          <cell r="F39" t="str">
            <v>Austell Laboratories  (Pty) LtdCipla Medpro</v>
          </cell>
          <cell r="G39">
            <v>11.922000000000001</v>
          </cell>
          <cell r="H39" t="str">
            <v>Eml</v>
          </cell>
          <cell r="I39">
            <v>300000</v>
          </cell>
          <cell r="J39">
            <v>1800</v>
          </cell>
          <cell r="K39">
            <v>3600</v>
          </cell>
          <cell r="L39">
            <v>21459.600000000002</v>
          </cell>
        </row>
        <row r="40">
          <cell r="A40">
            <v>3174</v>
          </cell>
          <cell r="B40">
            <v>34</v>
          </cell>
          <cell r="C40">
            <v>224162</v>
          </cell>
          <cell r="D40" t="str">
            <v>Benzathine Benzylpenicillin G 1.2 mega unit injection</v>
          </cell>
          <cell r="E40">
            <v>189708890</v>
          </cell>
          <cell r="F40" t="str">
            <v>not awarded</v>
          </cell>
          <cell r="G40" t="str">
            <v>not awarded</v>
          </cell>
          <cell r="H40" t="str">
            <v>Eml</v>
          </cell>
          <cell r="I40">
            <v>26000</v>
          </cell>
          <cell r="J40">
            <v>20</v>
          </cell>
          <cell r="K40">
            <v>40</v>
          </cell>
          <cell r="L40" t="e">
            <v>#VALUE!</v>
          </cell>
        </row>
        <row r="41">
          <cell r="A41">
            <v>13</v>
          </cell>
          <cell r="B41">
            <v>35</v>
          </cell>
          <cell r="C41">
            <v>900272</v>
          </cell>
          <cell r="D41" t="str">
            <v>Benzathine Benzylpenicillin G 2.4 mega unit injection</v>
          </cell>
          <cell r="E41">
            <v>189700011</v>
          </cell>
          <cell r="F41" t="str">
            <v>not awarded</v>
          </cell>
          <cell r="G41" t="str">
            <v>not awarded</v>
          </cell>
          <cell r="H41" t="str">
            <v>Eml</v>
          </cell>
          <cell r="I41">
            <v>30000</v>
          </cell>
          <cell r="J41">
            <v>20</v>
          </cell>
          <cell r="K41">
            <v>40</v>
          </cell>
          <cell r="L41" t="e">
            <v>#VALUE!</v>
          </cell>
        </row>
        <row r="42">
          <cell r="A42">
            <v>3092</v>
          </cell>
          <cell r="B42">
            <v>36</v>
          </cell>
          <cell r="C42">
            <v>611940</v>
          </cell>
          <cell r="D42" t="str">
            <v>Benzylpenicillin 1 mega unit injection</v>
          </cell>
          <cell r="E42">
            <v>189703221</v>
          </cell>
          <cell r="F42" t="str">
            <v>not awarded</v>
          </cell>
          <cell r="G42" t="str">
            <v>not awarded</v>
          </cell>
          <cell r="H42" t="str">
            <v>Eml</v>
          </cell>
          <cell r="I42">
            <v>100000</v>
          </cell>
          <cell r="J42">
            <v>80</v>
          </cell>
          <cell r="K42">
            <v>160</v>
          </cell>
          <cell r="L42" t="e">
            <v>#VALUE!</v>
          </cell>
        </row>
        <row r="43">
          <cell r="A43">
            <v>15</v>
          </cell>
          <cell r="B43">
            <v>37</v>
          </cell>
          <cell r="C43">
            <v>1164234</v>
          </cell>
          <cell r="D43" t="str">
            <v>Benzylpenicillin 5 mega unit injection</v>
          </cell>
          <cell r="E43">
            <v>189700015</v>
          </cell>
          <cell r="F43" t="str">
            <v>not awarded</v>
          </cell>
          <cell r="G43" t="str">
            <v>not awarded</v>
          </cell>
          <cell r="H43" t="str">
            <v>Eml</v>
          </cell>
          <cell r="I43">
            <v>10000</v>
          </cell>
          <cell r="J43">
            <v>144</v>
          </cell>
          <cell r="K43">
            <v>288</v>
          </cell>
          <cell r="L43" t="e">
            <v>#VALUE!</v>
          </cell>
        </row>
        <row r="44">
          <cell r="A44">
            <v>18</v>
          </cell>
          <cell r="B44">
            <v>49</v>
          </cell>
          <cell r="C44">
            <v>271444</v>
          </cell>
          <cell r="D44" t="str">
            <v>Cefalexin 125mg/5ml suspension, 100ml</v>
          </cell>
          <cell r="E44">
            <v>189705592</v>
          </cell>
          <cell r="F44" t="str">
            <v>not awarded</v>
          </cell>
          <cell r="G44" t="str">
            <v>not awarded</v>
          </cell>
          <cell r="H44" t="str">
            <v>Eml</v>
          </cell>
          <cell r="I44">
            <v>3000</v>
          </cell>
          <cell r="J44">
            <v>100</v>
          </cell>
          <cell r="K44">
            <v>200</v>
          </cell>
          <cell r="L44" t="e">
            <v>#VALUE!</v>
          </cell>
        </row>
        <row r="45">
          <cell r="A45" t="e">
            <v>#N/A</v>
          </cell>
          <cell r="B45">
            <v>50</v>
          </cell>
          <cell r="C45">
            <v>1818946</v>
          </cell>
          <cell r="D45" t="str">
            <v>Cefalexin 250mg/5ml suspension, 100ml</v>
          </cell>
          <cell r="E45">
            <v>189706333</v>
          </cell>
          <cell r="F45" t="str">
            <v>not awarded</v>
          </cell>
          <cell r="G45" t="str">
            <v>not awarded</v>
          </cell>
          <cell r="H45" t="str">
            <v>Eml</v>
          </cell>
          <cell r="I45">
            <v>4000</v>
          </cell>
          <cell r="J45">
            <v>100</v>
          </cell>
          <cell r="K45">
            <v>200</v>
          </cell>
          <cell r="L45" t="e">
            <v>#VALUE!</v>
          </cell>
        </row>
        <row r="46">
          <cell r="A46">
            <v>3434</v>
          </cell>
          <cell r="B46">
            <v>38</v>
          </cell>
          <cell r="C46">
            <v>2070617</v>
          </cell>
          <cell r="D46" t="str">
            <v>Cefazolin 500mg injection</v>
          </cell>
          <cell r="E46">
            <v>189708784</v>
          </cell>
          <cell r="F46" t="str">
            <v>Litha Pharma Pty Ltd</v>
          </cell>
          <cell r="G46">
            <v>6.02</v>
          </cell>
          <cell r="H46" t="str">
            <v>Eml</v>
          </cell>
          <cell r="I46">
            <v>350000</v>
          </cell>
          <cell r="J46">
            <v>2760</v>
          </cell>
          <cell r="K46">
            <v>5520</v>
          </cell>
          <cell r="L46">
            <v>16615.199999999997</v>
          </cell>
        </row>
        <row r="47">
          <cell r="A47">
            <v>2657</v>
          </cell>
          <cell r="B47">
            <v>39</v>
          </cell>
          <cell r="C47">
            <v>3781321</v>
          </cell>
          <cell r="D47" t="str">
            <v>Cefazolin 1g injection</v>
          </cell>
          <cell r="E47">
            <v>180113691</v>
          </cell>
          <cell r="F47" t="str">
            <v>Litha Pharma (Pty) Ltd</v>
          </cell>
          <cell r="G47">
            <v>6.7488000000000001</v>
          </cell>
          <cell r="H47" t="str">
            <v>Eml</v>
          </cell>
          <cell r="I47">
            <v>80000</v>
          </cell>
          <cell r="J47">
            <v>8400</v>
          </cell>
          <cell r="K47">
            <v>16800</v>
          </cell>
          <cell r="L47">
            <v>56689.919999999998</v>
          </cell>
        </row>
        <row r="48">
          <cell r="A48">
            <v>3980</v>
          </cell>
          <cell r="B48">
            <v>40</v>
          </cell>
          <cell r="C48">
            <v>230476</v>
          </cell>
          <cell r="D48" t="str">
            <v>Cefepime 1g injection</v>
          </cell>
          <cell r="E48">
            <v>180186466</v>
          </cell>
          <cell r="F48" t="str">
            <v>Aurobindo Pharma (Pty) Ltd</v>
          </cell>
          <cell r="G48">
            <v>46</v>
          </cell>
          <cell r="H48" t="str">
            <v>Eml</v>
          </cell>
          <cell r="I48">
            <v>300</v>
          </cell>
          <cell r="J48">
            <v>50</v>
          </cell>
          <cell r="K48">
            <v>100</v>
          </cell>
          <cell r="L48">
            <v>2300</v>
          </cell>
        </row>
        <row r="49">
          <cell r="A49">
            <v>3981</v>
          </cell>
          <cell r="B49">
            <v>41</v>
          </cell>
          <cell r="C49">
            <v>115861</v>
          </cell>
          <cell r="D49" t="str">
            <v>Cefepime 2g injection</v>
          </cell>
          <cell r="E49">
            <v>180187880</v>
          </cell>
          <cell r="F49" t="str">
            <v>Aurobindo Pharma (Pty) Ltd</v>
          </cell>
          <cell r="G49">
            <v>90</v>
          </cell>
          <cell r="H49" t="str">
            <v>Eml</v>
          </cell>
          <cell r="I49">
            <v>300</v>
          </cell>
          <cell r="J49">
            <v>0</v>
          </cell>
          <cell r="K49">
            <v>0</v>
          </cell>
          <cell r="L49">
            <v>0</v>
          </cell>
        </row>
        <row r="50">
          <cell r="A50" t="e">
            <v>#N/A</v>
          </cell>
          <cell r="B50">
            <v>42</v>
          </cell>
          <cell r="C50">
            <v>1011333</v>
          </cell>
          <cell r="D50" t="str">
            <v>Cefotaxime 500mg injection</v>
          </cell>
          <cell r="E50">
            <v>189708786</v>
          </cell>
          <cell r="F50" t="str">
            <v>MEDICINE DEVELOPERS INTERNATIONAL (PTY) LTD</v>
          </cell>
          <cell r="G50">
            <v>4.34</v>
          </cell>
          <cell r="H50" t="str">
            <v>Eml</v>
          </cell>
          <cell r="I50">
            <v>6000</v>
          </cell>
          <cell r="J50">
            <v>0</v>
          </cell>
          <cell r="K50">
            <v>0</v>
          </cell>
          <cell r="L50">
            <v>0</v>
          </cell>
        </row>
        <row r="51">
          <cell r="A51">
            <v>2310</v>
          </cell>
          <cell r="B51">
            <v>43</v>
          </cell>
          <cell r="C51">
            <v>869504</v>
          </cell>
          <cell r="D51" t="str">
            <v>Cefotaxime 1g injection</v>
          </cell>
          <cell r="E51">
            <v>189708190</v>
          </cell>
          <cell r="F51" t="str">
            <v>MEDICINE DEVELOPERS INTERNATIONAL (PTY) LTD</v>
          </cell>
          <cell r="G51">
            <v>6.24</v>
          </cell>
          <cell r="H51" t="str">
            <v>Eml</v>
          </cell>
          <cell r="I51">
            <v>10000</v>
          </cell>
          <cell r="J51">
            <v>800</v>
          </cell>
          <cell r="K51">
            <v>1600</v>
          </cell>
          <cell r="L51">
            <v>4992</v>
          </cell>
        </row>
        <row r="52">
          <cell r="A52" t="e">
            <v>#N/A</v>
          </cell>
          <cell r="B52">
            <v>44</v>
          </cell>
          <cell r="C52">
            <v>43207</v>
          </cell>
          <cell r="D52" t="str">
            <v>Ceftazidime 1g injection</v>
          </cell>
          <cell r="E52">
            <v>189708786</v>
          </cell>
          <cell r="F52" t="str">
            <v>FRESENIUS KABI SOUTH AFRICA (PTY) LTD</v>
          </cell>
          <cell r="G52">
            <v>27.17</v>
          </cell>
          <cell r="H52" t="str">
            <v>Eml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A53" t="e">
            <v>#N/A</v>
          </cell>
          <cell r="B53">
            <v>45</v>
          </cell>
          <cell r="C53">
            <v>814503</v>
          </cell>
          <cell r="D53" t="str">
            <v>Ceftazidime 2g injection</v>
          </cell>
          <cell r="E53">
            <v>180374734</v>
          </cell>
          <cell r="F53" t="str">
            <v>FRESENIUS KABI SOUTH AFRICA (PTY) LTD</v>
          </cell>
          <cell r="G53">
            <v>50.3</v>
          </cell>
          <cell r="H53" t="str">
            <v>Eml</v>
          </cell>
          <cell r="I53">
            <v>600</v>
          </cell>
          <cell r="J53">
            <v>240</v>
          </cell>
          <cell r="K53">
            <v>480</v>
          </cell>
          <cell r="L53">
            <v>12072</v>
          </cell>
        </row>
        <row r="54">
          <cell r="A54">
            <v>3435</v>
          </cell>
          <cell r="B54">
            <v>46</v>
          </cell>
          <cell r="C54">
            <v>2693296</v>
          </cell>
          <cell r="D54" t="str">
            <v>Ceftriaxone 250mg injection</v>
          </cell>
          <cell r="E54">
            <v>181775872</v>
          </cell>
          <cell r="F54" t="str">
            <v>Dezzo Trading (392)</v>
          </cell>
          <cell r="G54">
            <v>3.97</v>
          </cell>
          <cell r="H54" t="str">
            <v>Eml</v>
          </cell>
          <cell r="I54">
            <v>800000</v>
          </cell>
          <cell r="J54">
            <v>3240</v>
          </cell>
          <cell r="K54">
            <v>6480</v>
          </cell>
          <cell r="L54">
            <v>12862.800000000001</v>
          </cell>
        </row>
        <row r="55">
          <cell r="A55">
            <v>21</v>
          </cell>
          <cell r="B55">
            <v>47</v>
          </cell>
          <cell r="C55">
            <v>1738908</v>
          </cell>
          <cell r="D55" t="str">
            <v>Ceftriaxone 500mg injection</v>
          </cell>
          <cell r="E55">
            <v>181750480</v>
          </cell>
          <cell r="F55" t="str">
            <v>Dezzo TradingLitha Pharma</v>
          </cell>
          <cell r="G55">
            <v>5.4669999999999996</v>
          </cell>
          <cell r="H55" t="str">
            <v>Eml</v>
          </cell>
          <cell r="I55">
            <v>350000</v>
          </cell>
          <cell r="J55">
            <v>1200</v>
          </cell>
          <cell r="K55">
            <v>2400</v>
          </cell>
          <cell r="L55">
            <v>6560.4</v>
          </cell>
        </row>
        <row r="56">
          <cell r="A56">
            <v>80</v>
          </cell>
          <cell r="B56">
            <v>48</v>
          </cell>
          <cell r="C56">
            <v>568000</v>
          </cell>
          <cell r="D56" t="str">
            <v>Ceftriaxone 1g injection</v>
          </cell>
          <cell r="E56">
            <v>181750482</v>
          </cell>
          <cell r="F56" t="str">
            <v>Austell LabsDezzo Trading</v>
          </cell>
          <cell r="G56">
            <v>6.5443397782826613</v>
          </cell>
          <cell r="H56" t="str">
            <v>Eml</v>
          </cell>
          <cell r="I56">
            <v>600000</v>
          </cell>
          <cell r="J56">
            <v>14640</v>
          </cell>
          <cell r="K56">
            <v>29280</v>
          </cell>
          <cell r="L56">
            <v>95809.134354058158</v>
          </cell>
        </row>
        <row r="57">
          <cell r="A57" t="e">
            <v>#N/A</v>
          </cell>
          <cell r="B57" t="str">
            <v>New item3</v>
          </cell>
          <cell r="C57">
            <v>0</v>
          </cell>
          <cell r="D57" t="str">
            <v>Ceftriaxone 2g  injection, vial</v>
          </cell>
          <cell r="E57">
            <v>181750484</v>
          </cell>
          <cell r="F57" t="str">
            <v>not awarded</v>
          </cell>
          <cell r="G57" t="str">
            <v>not awarded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 t="e">
            <v>#VALUE!</v>
          </cell>
        </row>
        <row r="58">
          <cell r="A58">
            <v>19</v>
          </cell>
          <cell r="B58">
            <v>51</v>
          </cell>
          <cell r="C58">
            <v>260481</v>
          </cell>
          <cell r="D58" t="str">
            <v>Cefalexin 250mg capsule/tablet, 20 capsules/tablets</v>
          </cell>
          <cell r="E58">
            <v>189755469</v>
          </cell>
          <cell r="F58" t="str">
            <v>Ranbaxy SA (Pty) Ltd</v>
          </cell>
          <cell r="G58">
            <v>11.63</v>
          </cell>
          <cell r="H58" t="str">
            <v>Eml</v>
          </cell>
          <cell r="I58">
            <v>12200</v>
          </cell>
          <cell r="J58">
            <v>480</v>
          </cell>
          <cell r="K58">
            <v>960</v>
          </cell>
          <cell r="L58">
            <v>5582.4000000000005</v>
          </cell>
        </row>
        <row r="59">
          <cell r="A59" t="e">
            <v>#N/A</v>
          </cell>
          <cell r="B59">
            <v>53</v>
          </cell>
          <cell r="C59">
            <v>312331</v>
          </cell>
          <cell r="D59" t="str">
            <v>Chloramphenicol 0,5% eye drops,10ml</v>
          </cell>
          <cell r="E59">
            <v>189706820</v>
          </cell>
          <cell r="F59" t="str">
            <v>not awarded</v>
          </cell>
          <cell r="G59" t="str">
            <v>not awarded</v>
          </cell>
          <cell r="H59" t="str">
            <v>Eml</v>
          </cell>
          <cell r="I59">
            <v>2600</v>
          </cell>
          <cell r="J59">
            <v>0</v>
          </cell>
          <cell r="K59">
            <v>0</v>
          </cell>
          <cell r="L59" t="e">
            <v>#VALUE!</v>
          </cell>
        </row>
        <row r="60">
          <cell r="A60" t="e">
            <v>#N/A</v>
          </cell>
          <cell r="B60">
            <v>54</v>
          </cell>
          <cell r="C60">
            <v>21631</v>
          </cell>
          <cell r="D60" t="str">
            <v>Chloramphenicol 0,5% eye drops, 0,5ml single‐use disposable applicator,       20 applicators</v>
          </cell>
          <cell r="E60">
            <v>189760432</v>
          </cell>
          <cell r="F60" t="str">
            <v>not awarded</v>
          </cell>
          <cell r="G60" t="str">
            <v>not awarded</v>
          </cell>
          <cell r="H60" t="str">
            <v>Eml</v>
          </cell>
          <cell r="I60">
            <v>0</v>
          </cell>
          <cell r="J60">
            <v>0</v>
          </cell>
          <cell r="K60">
            <v>0</v>
          </cell>
          <cell r="L60" t="e">
            <v>#VALUE!</v>
          </cell>
        </row>
        <row r="61">
          <cell r="A61">
            <v>27</v>
          </cell>
          <cell r="B61">
            <v>55</v>
          </cell>
          <cell r="C61">
            <v>4975386</v>
          </cell>
          <cell r="D61" t="str">
            <v xml:space="preserve">Chloramphenicol 1% eye ointment, 3.5g </v>
          </cell>
          <cell r="E61">
            <v>189700731</v>
          </cell>
          <cell r="F61" t="str">
            <v>not awarded</v>
          </cell>
          <cell r="G61" t="str">
            <v>not awarded</v>
          </cell>
          <cell r="H61" t="str">
            <v>Eml</v>
          </cell>
          <cell r="I61">
            <v>800000</v>
          </cell>
          <cell r="J61">
            <v>8160</v>
          </cell>
          <cell r="K61">
            <v>16320</v>
          </cell>
          <cell r="L61" t="e">
            <v>#VALUE!</v>
          </cell>
        </row>
        <row r="62">
          <cell r="A62">
            <v>3122</v>
          </cell>
          <cell r="B62">
            <v>56</v>
          </cell>
          <cell r="C62">
            <v>551431</v>
          </cell>
          <cell r="D62" t="str">
            <v>Ciprofloxacin 250mg tablet, 10 tablets</v>
          </cell>
          <cell r="E62">
            <v>189762972</v>
          </cell>
          <cell r="F62" t="str">
            <v>not awarded</v>
          </cell>
          <cell r="G62" t="str">
            <v>not awarded</v>
          </cell>
          <cell r="H62" t="str">
            <v>Eml</v>
          </cell>
          <cell r="I62">
            <v>50000</v>
          </cell>
          <cell r="J62">
            <v>2160</v>
          </cell>
          <cell r="K62">
            <v>4320</v>
          </cell>
          <cell r="L62" t="e">
            <v>#VALUE!</v>
          </cell>
        </row>
        <row r="63">
          <cell r="A63">
            <v>3612</v>
          </cell>
          <cell r="B63">
            <v>57</v>
          </cell>
          <cell r="C63">
            <v>1628142</v>
          </cell>
          <cell r="D63" t="str">
            <v>Ciprofloxacin 500mg tablet, 10 tablets</v>
          </cell>
          <cell r="E63">
            <v>189763034</v>
          </cell>
          <cell r="F63" t="str">
            <v>not awarded</v>
          </cell>
          <cell r="G63" t="str">
            <v>not awarded</v>
          </cell>
          <cell r="H63" t="str">
            <v>Eml</v>
          </cell>
          <cell r="I63">
            <v>100000</v>
          </cell>
          <cell r="J63">
            <v>2160</v>
          </cell>
          <cell r="K63">
            <v>4320</v>
          </cell>
          <cell r="L63" t="e">
            <v>#VALUE!</v>
          </cell>
        </row>
        <row r="64">
          <cell r="A64" t="e">
            <v>#N/A</v>
          </cell>
          <cell r="B64">
            <v>58</v>
          </cell>
          <cell r="C64">
            <v>58415</v>
          </cell>
          <cell r="D64" t="str">
            <v>Ciprofloxacin oral suspension250mg/5ml 100ml</v>
          </cell>
          <cell r="E64">
            <v>180302525</v>
          </cell>
          <cell r="F64" t="str">
            <v>not awarded</v>
          </cell>
          <cell r="G64" t="str">
            <v>not awarded</v>
          </cell>
          <cell r="H64" t="str">
            <v>Eml</v>
          </cell>
          <cell r="I64">
            <v>600</v>
          </cell>
          <cell r="J64">
            <v>20</v>
          </cell>
          <cell r="K64">
            <v>40</v>
          </cell>
          <cell r="L64" t="e">
            <v>#VALUE!</v>
          </cell>
        </row>
        <row r="65">
          <cell r="A65">
            <v>3204</v>
          </cell>
          <cell r="B65">
            <v>59</v>
          </cell>
          <cell r="C65">
            <v>1851363</v>
          </cell>
          <cell r="D65" t="str">
            <v xml:space="preserve">Ciprofloxacin 2mg/ml injection, 50ml </v>
          </cell>
          <cell r="E65">
            <v>180075700</v>
          </cell>
          <cell r="F65" t="str">
            <v>Dezzo Trading 392 (Pty) Ltd</v>
          </cell>
          <cell r="G65">
            <v>18.183</v>
          </cell>
          <cell r="H65" t="str">
            <v>Eml</v>
          </cell>
          <cell r="I65">
            <v>3400</v>
          </cell>
          <cell r="J65">
            <v>480</v>
          </cell>
          <cell r="K65">
            <v>960</v>
          </cell>
          <cell r="L65">
            <v>8727.84</v>
          </cell>
        </row>
        <row r="66">
          <cell r="A66" t="e">
            <v>#N/A</v>
          </cell>
          <cell r="B66">
            <v>60</v>
          </cell>
          <cell r="C66">
            <v>286160</v>
          </cell>
          <cell r="D66" t="str">
            <v xml:space="preserve">Ciprofloxacin 2mg/ml injection, 200ml </v>
          </cell>
          <cell r="E66">
            <v>180185726</v>
          </cell>
          <cell r="F66" t="str">
            <v>Dezzo Trading 392 (Pty) Ltd</v>
          </cell>
          <cell r="G66">
            <v>38.588999999999999</v>
          </cell>
          <cell r="H66" t="str">
            <v>Eml</v>
          </cell>
          <cell r="I66">
            <v>4000</v>
          </cell>
          <cell r="J66">
            <v>800</v>
          </cell>
          <cell r="K66">
            <v>1600</v>
          </cell>
          <cell r="L66">
            <v>30871.199999999997</v>
          </cell>
        </row>
        <row r="67">
          <cell r="A67">
            <v>3454</v>
          </cell>
          <cell r="B67">
            <v>61</v>
          </cell>
          <cell r="C67">
            <v>925924</v>
          </cell>
          <cell r="D67" t="str">
            <v xml:space="preserve">Ciprofloxacin 3mg/ml eye drops, 5ml </v>
          </cell>
          <cell r="E67">
            <v>180073995</v>
          </cell>
          <cell r="F67" t="str">
            <v>Medivision (Pty) Ltd</v>
          </cell>
          <cell r="G67">
            <v>15.05</v>
          </cell>
          <cell r="H67" t="str">
            <v>Eml</v>
          </cell>
          <cell r="I67">
            <v>32600</v>
          </cell>
          <cell r="J67">
            <v>3000</v>
          </cell>
          <cell r="K67">
            <v>6000</v>
          </cell>
          <cell r="L67">
            <v>45150</v>
          </cell>
        </row>
        <row r="68">
          <cell r="A68">
            <v>2936</v>
          </cell>
          <cell r="B68">
            <v>62</v>
          </cell>
          <cell r="C68">
            <v>535930</v>
          </cell>
          <cell r="D68" t="str">
            <v>Clarithromycin 125mg/5ml suspension, 50/60ml</v>
          </cell>
          <cell r="E68">
            <v>180157308</v>
          </cell>
          <cell r="F68" t="str">
            <v>not awarded</v>
          </cell>
          <cell r="G68" t="str">
            <v>not awarded</v>
          </cell>
          <cell r="H68" t="str">
            <v>Eml</v>
          </cell>
          <cell r="I68">
            <v>0</v>
          </cell>
          <cell r="J68">
            <v>20</v>
          </cell>
          <cell r="K68">
            <v>40</v>
          </cell>
          <cell r="L68" t="e">
            <v>#VALUE!</v>
          </cell>
        </row>
        <row r="69">
          <cell r="A69" t="e">
            <v>#N/A</v>
          </cell>
          <cell r="B69">
            <v>63</v>
          </cell>
          <cell r="C69">
            <v>951267</v>
          </cell>
          <cell r="D69" t="str">
            <v>Clarithromycin 125mg/5ml suspension, 90ml</v>
          </cell>
          <cell r="E69" t="str">
            <v>Not codified yet</v>
          </cell>
          <cell r="F69" t="str">
            <v>not awarded</v>
          </cell>
          <cell r="G69" t="str">
            <v>not awarded</v>
          </cell>
          <cell r="H69" t="str">
            <v>Eml</v>
          </cell>
          <cell r="I69">
            <v>0</v>
          </cell>
          <cell r="J69">
            <v>40</v>
          </cell>
          <cell r="K69">
            <v>80</v>
          </cell>
          <cell r="L69" t="e">
            <v>#VALUE!</v>
          </cell>
        </row>
        <row r="70">
          <cell r="A70" t="e">
            <v>#N/A</v>
          </cell>
          <cell r="B70">
            <v>64</v>
          </cell>
          <cell r="C70">
            <v>951267</v>
          </cell>
          <cell r="D70" t="str">
            <v>Clarithromycin 250mg/5ml suspension, 50/60ml</v>
          </cell>
          <cell r="E70" t="str">
            <v>180157310or181927703</v>
          </cell>
          <cell r="F70" t="str">
            <v>not awarded</v>
          </cell>
          <cell r="G70" t="str">
            <v>not awarded</v>
          </cell>
          <cell r="H70" t="str">
            <v>Eml</v>
          </cell>
          <cell r="I70">
            <v>0</v>
          </cell>
          <cell r="J70">
            <v>10</v>
          </cell>
          <cell r="K70">
            <v>20</v>
          </cell>
          <cell r="L70" t="e">
            <v>#VALUE!</v>
          </cell>
        </row>
        <row r="71">
          <cell r="A71">
            <v>2837</v>
          </cell>
          <cell r="B71">
            <v>65</v>
          </cell>
          <cell r="C71">
            <v>98865</v>
          </cell>
          <cell r="D71" t="str">
            <v>Clarithromycin 500mg injection, vial</v>
          </cell>
          <cell r="E71">
            <v>180157321</v>
          </cell>
          <cell r="F71" t="str">
            <v>not awarded</v>
          </cell>
          <cell r="G71" t="str">
            <v>not awarded</v>
          </cell>
          <cell r="H71" t="str">
            <v>Eml</v>
          </cell>
          <cell r="I71">
            <v>0</v>
          </cell>
          <cell r="J71">
            <v>0</v>
          </cell>
          <cell r="K71">
            <v>0</v>
          </cell>
          <cell r="L71" t="e">
            <v>#VALUE!</v>
          </cell>
        </row>
        <row r="72">
          <cell r="A72" t="e">
            <v>#N/A</v>
          </cell>
          <cell r="B72">
            <v>66</v>
          </cell>
          <cell r="C72">
            <v>12730</v>
          </cell>
          <cell r="D72" t="str">
            <v>Clarithromycin 250mg tablet, 10 tablets</v>
          </cell>
          <cell r="E72">
            <v>189763150</v>
          </cell>
          <cell r="F72" t="str">
            <v>not awarded</v>
          </cell>
          <cell r="G72" t="str">
            <v>not awarded</v>
          </cell>
          <cell r="H72" t="str">
            <v>Non-Eml</v>
          </cell>
          <cell r="I72">
            <v>0</v>
          </cell>
          <cell r="J72">
            <v>0</v>
          </cell>
          <cell r="K72">
            <v>0</v>
          </cell>
          <cell r="L72" t="e">
            <v>#VALUE!</v>
          </cell>
        </row>
        <row r="73">
          <cell r="A73" t="e">
            <v>#N/A</v>
          </cell>
          <cell r="B73">
            <v>67</v>
          </cell>
          <cell r="C73">
            <v>3666520</v>
          </cell>
          <cell r="D73" t="str">
            <v>Clarithromycin 500mg tablet, 10 tablets</v>
          </cell>
          <cell r="E73">
            <v>180145717</v>
          </cell>
          <cell r="F73" t="str">
            <v>not awarded</v>
          </cell>
          <cell r="G73" t="str">
            <v>not awarded</v>
          </cell>
          <cell r="H73" t="str">
            <v>Non-Eml</v>
          </cell>
          <cell r="I73">
            <v>0</v>
          </cell>
          <cell r="J73">
            <v>0</v>
          </cell>
          <cell r="K73">
            <v>0</v>
          </cell>
          <cell r="L73" t="e">
            <v>#VALUE!</v>
          </cell>
        </row>
        <row r="74">
          <cell r="A74">
            <v>3125</v>
          </cell>
          <cell r="B74">
            <v>68</v>
          </cell>
          <cell r="C74">
            <v>74850</v>
          </cell>
          <cell r="D74" t="str">
            <v>Clarithromycin 500mg tablet, 14 tablets</v>
          </cell>
          <cell r="E74">
            <v>180145713</v>
          </cell>
          <cell r="F74" t="str">
            <v>not awarded</v>
          </cell>
          <cell r="G74" t="str">
            <v>not awarded</v>
          </cell>
          <cell r="H74" t="str">
            <v>Non-Eml</v>
          </cell>
          <cell r="I74">
            <v>300</v>
          </cell>
          <cell r="J74">
            <v>0</v>
          </cell>
          <cell r="K74">
            <v>0</v>
          </cell>
          <cell r="L74" t="e">
            <v>#VALUE!</v>
          </cell>
        </row>
        <row r="75">
          <cell r="A75">
            <v>3117</v>
          </cell>
          <cell r="B75">
            <v>69</v>
          </cell>
          <cell r="C75">
            <v>202601</v>
          </cell>
          <cell r="D75" t="str">
            <v>Clindamycin 150mg capsule, 20 capsules</v>
          </cell>
          <cell r="E75">
            <v>180103949</v>
          </cell>
          <cell r="F75" t="str">
            <v>not awarded</v>
          </cell>
          <cell r="G75" t="str">
            <v>not awarded</v>
          </cell>
          <cell r="H75" t="str">
            <v>Eml</v>
          </cell>
          <cell r="I75">
            <v>20000</v>
          </cell>
          <cell r="J75">
            <v>60</v>
          </cell>
          <cell r="K75">
            <v>120</v>
          </cell>
          <cell r="L75" t="e">
            <v>#VALUE!</v>
          </cell>
        </row>
        <row r="76">
          <cell r="A76" t="e">
            <v>#N/A</v>
          </cell>
          <cell r="B76">
            <v>70</v>
          </cell>
          <cell r="C76">
            <v>33700</v>
          </cell>
          <cell r="D76" t="str">
            <v>Clindamycin 150mg capsule, 100 capsules</v>
          </cell>
          <cell r="E76">
            <v>189712138</v>
          </cell>
          <cell r="F76" t="str">
            <v>not awarded</v>
          </cell>
          <cell r="G76" t="str">
            <v>not awarded</v>
          </cell>
          <cell r="H76" t="str">
            <v>Eml</v>
          </cell>
          <cell r="I76">
            <v>1500</v>
          </cell>
          <cell r="J76">
            <v>0</v>
          </cell>
          <cell r="K76">
            <v>0</v>
          </cell>
          <cell r="L76" t="e">
            <v>#VALUE!</v>
          </cell>
        </row>
        <row r="77">
          <cell r="A77">
            <v>3863</v>
          </cell>
          <cell r="B77">
            <v>71</v>
          </cell>
          <cell r="C77">
            <v>192952</v>
          </cell>
          <cell r="D77" t="str">
            <v>Clindamycin 600mg injection</v>
          </cell>
          <cell r="E77">
            <v>189710888</v>
          </cell>
          <cell r="F77" t="str">
            <v>not awarded</v>
          </cell>
          <cell r="G77" t="str">
            <v>not awarded</v>
          </cell>
          <cell r="H77" t="str">
            <v>Eml</v>
          </cell>
          <cell r="I77">
            <v>600</v>
          </cell>
          <cell r="J77">
            <v>180</v>
          </cell>
          <cell r="K77">
            <v>360</v>
          </cell>
          <cell r="L77" t="e">
            <v>#VALUE!</v>
          </cell>
        </row>
        <row r="78">
          <cell r="A78">
            <v>446</v>
          </cell>
          <cell r="B78">
            <v>72</v>
          </cell>
          <cell r="C78">
            <v>2463648</v>
          </cell>
          <cell r="D78" t="str">
            <v xml:space="preserve">Clotrimazole 1% cream, 20g </v>
          </cell>
          <cell r="E78">
            <v>189705118</v>
          </cell>
          <cell r="F78" t="str">
            <v>gulf Drug Company (Pty) Ltd</v>
          </cell>
          <cell r="G78">
            <v>4.1100000000000003</v>
          </cell>
          <cell r="H78" t="str">
            <v>Eml</v>
          </cell>
          <cell r="I78">
            <v>300000</v>
          </cell>
          <cell r="J78">
            <v>960</v>
          </cell>
          <cell r="K78">
            <v>1920</v>
          </cell>
          <cell r="L78">
            <v>3945.6000000000004</v>
          </cell>
        </row>
        <row r="79">
          <cell r="A79">
            <v>2535</v>
          </cell>
          <cell r="B79">
            <v>73</v>
          </cell>
          <cell r="C79">
            <v>760520</v>
          </cell>
          <cell r="D79" t="str">
            <v>Clotrimazole 500mg vaginal tabletUnit pack: 1 tablet and applicator</v>
          </cell>
          <cell r="E79">
            <v>189710836</v>
          </cell>
          <cell r="F79" t="str">
            <v>Medivision (Pty) Ltd</v>
          </cell>
          <cell r="G79">
            <v>8</v>
          </cell>
          <cell r="H79" t="str">
            <v>Eml</v>
          </cell>
          <cell r="I79">
            <v>100000</v>
          </cell>
          <cell r="J79">
            <v>1320</v>
          </cell>
          <cell r="K79">
            <v>2640</v>
          </cell>
          <cell r="L79">
            <v>10560</v>
          </cell>
        </row>
        <row r="80">
          <cell r="A80" t="e">
            <v>#N/A</v>
          </cell>
          <cell r="B80">
            <v>74</v>
          </cell>
          <cell r="C80">
            <v>406597</v>
          </cell>
          <cell r="D80" t="str">
            <v>Clotrimazole 500mg/50g vaginal creamUnit pack: 50g tube + 6 applicators</v>
          </cell>
          <cell r="E80">
            <v>181932694</v>
          </cell>
          <cell r="F80" t="str">
            <v>not awarded</v>
          </cell>
          <cell r="G80" t="str">
            <v>not awarded</v>
          </cell>
          <cell r="H80" t="str">
            <v>Eml</v>
          </cell>
          <cell r="I80">
            <v>6200</v>
          </cell>
          <cell r="J80">
            <v>1000</v>
          </cell>
          <cell r="K80">
            <v>2000</v>
          </cell>
          <cell r="L80" t="e">
            <v>#VALUE!</v>
          </cell>
        </row>
        <row r="81">
          <cell r="A81">
            <v>30</v>
          </cell>
          <cell r="B81">
            <v>75</v>
          </cell>
          <cell r="C81">
            <v>519383</v>
          </cell>
          <cell r="D81" t="str">
            <v>Cloxacillin 250mg injection</v>
          </cell>
          <cell r="E81">
            <v>189705615</v>
          </cell>
          <cell r="F81" t="str">
            <v>FRESENIUS KABI SOUTH AFRICA (PTY) LTD</v>
          </cell>
          <cell r="G81">
            <v>11.93</v>
          </cell>
          <cell r="H81" t="str">
            <v>Eml</v>
          </cell>
          <cell r="I81">
            <v>88500</v>
          </cell>
          <cell r="J81">
            <v>1680</v>
          </cell>
          <cell r="K81">
            <v>3360</v>
          </cell>
          <cell r="L81">
            <v>20042.399999999998</v>
          </cell>
        </row>
        <row r="82">
          <cell r="A82">
            <v>31</v>
          </cell>
          <cell r="B82">
            <v>76</v>
          </cell>
          <cell r="C82">
            <v>4365020</v>
          </cell>
          <cell r="D82" t="str">
            <v>Cloxacillin 500mg injection</v>
          </cell>
          <cell r="E82">
            <v>189705134</v>
          </cell>
          <cell r="F82" t="str">
            <v>FRESENIUS KABI SOUTH AFRICA (PTY) LTD</v>
          </cell>
          <cell r="G82">
            <v>13.02</v>
          </cell>
          <cell r="H82" t="str">
            <v>Eml</v>
          </cell>
          <cell r="I82">
            <v>500000</v>
          </cell>
          <cell r="J82">
            <v>12000</v>
          </cell>
          <cell r="K82">
            <v>24000</v>
          </cell>
          <cell r="L82">
            <v>156240</v>
          </cell>
        </row>
        <row r="83">
          <cell r="A83">
            <v>568</v>
          </cell>
          <cell r="B83">
            <v>83.1</v>
          </cell>
          <cell r="C83">
            <v>80000</v>
          </cell>
          <cell r="D83" t="str">
            <v>Dapsone 100mg tablet, 100 tablets</v>
          </cell>
          <cell r="E83">
            <v>189710181</v>
          </cell>
          <cell r="F83" t="str">
            <v>Pharmacare Limited</v>
          </cell>
          <cell r="G83">
            <v>247.57</v>
          </cell>
          <cell r="H83" t="str">
            <v>Eml</v>
          </cell>
          <cell r="I83">
            <v>0</v>
          </cell>
          <cell r="J83">
            <v>20</v>
          </cell>
          <cell r="K83">
            <v>40</v>
          </cell>
          <cell r="L83">
            <v>4951.3999999999996</v>
          </cell>
        </row>
        <row r="84">
          <cell r="A84">
            <v>2400</v>
          </cell>
          <cell r="B84">
            <v>52</v>
          </cell>
          <cell r="C84">
            <v>2559811</v>
          </cell>
          <cell r="D84" t="str">
            <v>Dexamethasone and Chloramphenicol 0.1% / 0.5%  eye drops, 5ml</v>
          </cell>
          <cell r="E84">
            <v>189711212</v>
          </cell>
          <cell r="F84" t="str">
            <v>not awarded</v>
          </cell>
          <cell r="G84" t="str">
            <v>not awarded</v>
          </cell>
          <cell r="H84" t="str">
            <v>Non-Eml</v>
          </cell>
          <cell r="I84">
            <v>25600</v>
          </cell>
          <cell r="J84">
            <v>2040</v>
          </cell>
          <cell r="K84">
            <v>4080</v>
          </cell>
          <cell r="L84" t="e">
            <v>#VALUE!</v>
          </cell>
        </row>
        <row r="85">
          <cell r="A85" t="e">
            <v>#N/A</v>
          </cell>
          <cell r="B85">
            <v>96</v>
          </cell>
          <cell r="C85">
            <v>30000</v>
          </cell>
          <cell r="D85" t="str">
            <v xml:space="preserve">Dexamethasone, Framycetin and gramicidin 0.5 / 5 / 0.05mg per ml, ear/eye drops, 8ml </v>
          </cell>
          <cell r="E85">
            <v>189704236</v>
          </cell>
          <cell r="F85" t="str">
            <v>not awarded</v>
          </cell>
          <cell r="G85" t="str">
            <v>not awarded</v>
          </cell>
          <cell r="H85" t="str">
            <v>Non-Eml</v>
          </cell>
          <cell r="I85">
            <v>300</v>
          </cell>
          <cell r="J85">
            <v>0</v>
          </cell>
          <cell r="K85">
            <v>0</v>
          </cell>
          <cell r="L85" t="e">
            <v>#VALUE!</v>
          </cell>
        </row>
        <row r="86">
          <cell r="A86">
            <v>2392</v>
          </cell>
          <cell r="B86">
            <v>84</v>
          </cell>
          <cell r="C86">
            <v>6036293</v>
          </cell>
          <cell r="D86" t="str">
            <v>Doxycycline 100mg capsule/tablet, 14 capsules/tablets</v>
          </cell>
          <cell r="E86">
            <v>180342019</v>
          </cell>
          <cell r="F86" t="str">
            <v>Medicine DevelopersInternational  (Pty) Ltd</v>
          </cell>
          <cell r="G86">
            <v>3.76</v>
          </cell>
          <cell r="H86" t="str">
            <v>Eml</v>
          </cell>
          <cell r="I86">
            <v>700000</v>
          </cell>
          <cell r="J86">
            <v>1000</v>
          </cell>
          <cell r="K86">
            <v>2000</v>
          </cell>
          <cell r="L86">
            <v>3760</v>
          </cell>
        </row>
        <row r="87">
          <cell r="A87">
            <v>4050</v>
          </cell>
          <cell r="B87">
            <v>85</v>
          </cell>
          <cell r="C87">
            <v>864540</v>
          </cell>
          <cell r="D87" t="str">
            <v>Doxycycline 100mg capsule/tablet, 28 capsules/tablets</v>
          </cell>
          <cell r="E87">
            <v>181927706</v>
          </cell>
          <cell r="F87" t="str">
            <v>MEDICINE DEVELOPERS INTERNATIONAL (PTY) LTD</v>
          </cell>
          <cell r="G87">
            <v>8.99</v>
          </cell>
          <cell r="H87" t="str">
            <v>Eml</v>
          </cell>
          <cell r="I87">
            <v>700000</v>
          </cell>
          <cell r="J87">
            <v>2000</v>
          </cell>
          <cell r="K87">
            <v>4000</v>
          </cell>
          <cell r="L87">
            <v>17980</v>
          </cell>
        </row>
        <row r="88">
          <cell r="A88">
            <v>33</v>
          </cell>
          <cell r="B88">
            <v>87</v>
          </cell>
          <cell r="C88">
            <v>266665</v>
          </cell>
          <cell r="D88" t="str">
            <v>Doxycycline 100mg capsule/tablet, 100 capsules/tablets</v>
          </cell>
          <cell r="E88">
            <v>189762412</v>
          </cell>
          <cell r="F88" t="str">
            <v>MEDICINE DEVELOPERS INTERNATIONAL (PTY) LTD</v>
          </cell>
          <cell r="G88">
            <v>29.42</v>
          </cell>
          <cell r="H88" t="str">
            <v>Eml</v>
          </cell>
          <cell r="I88">
            <v>7000</v>
          </cell>
          <cell r="J88">
            <v>800</v>
          </cell>
          <cell r="K88">
            <v>1600</v>
          </cell>
          <cell r="L88">
            <v>23536</v>
          </cell>
        </row>
        <row r="89">
          <cell r="A89">
            <v>3243</v>
          </cell>
          <cell r="B89">
            <v>88</v>
          </cell>
          <cell r="C89">
            <v>401058</v>
          </cell>
          <cell r="D89" t="str">
            <v>Ertapenem 1g injection, 20ml</v>
          </cell>
          <cell r="E89">
            <v>181788549</v>
          </cell>
          <cell r="F89" t="str">
            <v>MSD (Pty) Ltd</v>
          </cell>
          <cell r="G89">
            <v>331.50060000000002</v>
          </cell>
          <cell r="H89" t="str">
            <v>Non-Eml</v>
          </cell>
          <cell r="I89">
            <v>1000</v>
          </cell>
          <cell r="J89">
            <v>120</v>
          </cell>
          <cell r="K89">
            <v>240</v>
          </cell>
          <cell r="L89">
            <v>39780.072</v>
          </cell>
        </row>
        <row r="90">
          <cell r="A90">
            <v>3199</v>
          </cell>
          <cell r="B90">
            <v>89</v>
          </cell>
          <cell r="C90">
            <v>858665</v>
          </cell>
          <cell r="D90" t="str">
            <v>Flucloxacillin 250mg capsule, 20 capsules</v>
          </cell>
          <cell r="E90">
            <v>180342029</v>
          </cell>
          <cell r="F90" t="str">
            <v>Dezzo Trading (392)</v>
          </cell>
          <cell r="G90">
            <v>13.47</v>
          </cell>
          <cell r="H90" t="str">
            <v>Eml</v>
          </cell>
          <cell r="I90">
            <v>900000</v>
          </cell>
          <cell r="J90">
            <v>2280</v>
          </cell>
          <cell r="K90">
            <v>4560</v>
          </cell>
          <cell r="L90">
            <v>30711.600000000002</v>
          </cell>
        </row>
        <row r="91">
          <cell r="A91">
            <v>29</v>
          </cell>
          <cell r="B91">
            <v>90</v>
          </cell>
          <cell r="C91">
            <v>4720682</v>
          </cell>
          <cell r="D91" t="str">
            <v>Flucloxacillin 250mg capsule, 40 capsules</v>
          </cell>
          <cell r="E91">
            <v>181818543</v>
          </cell>
          <cell r="F91" t="str">
            <v>Dezzo Trading (392)</v>
          </cell>
          <cell r="G91">
            <v>23.46</v>
          </cell>
          <cell r="H91" t="str">
            <v>Eml</v>
          </cell>
          <cell r="I91">
            <v>300000</v>
          </cell>
          <cell r="J91">
            <v>1200</v>
          </cell>
          <cell r="K91">
            <v>2400</v>
          </cell>
          <cell r="L91">
            <v>28152</v>
          </cell>
        </row>
        <row r="92">
          <cell r="A92">
            <v>3002</v>
          </cell>
          <cell r="B92">
            <v>91</v>
          </cell>
          <cell r="C92">
            <v>134053</v>
          </cell>
          <cell r="D92" t="str">
            <v>Flucloxacillin 250mg capsule, 100 capsules</v>
          </cell>
          <cell r="E92">
            <v>189710066</v>
          </cell>
          <cell r="F92" t="str">
            <v>Dezzo Trading (392)</v>
          </cell>
          <cell r="G92">
            <v>59.67</v>
          </cell>
          <cell r="H92" t="str">
            <v>Eml</v>
          </cell>
          <cell r="I92">
            <v>30000</v>
          </cell>
          <cell r="J92">
            <v>1000</v>
          </cell>
          <cell r="K92">
            <v>2000</v>
          </cell>
          <cell r="L92">
            <v>59670</v>
          </cell>
        </row>
        <row r="93">
          <cell r="A93">
            <v>2121</v>
          </cell>
          <cell r="B93">
            <v>92</v>
          </cell>
          <cell r="C93">
            <v>285087</v>
          </cell>
          <cell r="D93" t="str">
            <v>Flucloxacillin 125mg/5ml syrup, 100ml</v>
          </cell>
          <cell r="E93">
            <v>180101098</v>
          </cell>
          <cell r="F93" t="str">
            <v>Dezzo Trading (392)</v>
          </cell>
          <cell r="G93">
            <v>17.87</v>
          </cell>
          <cell r="H93" t="str">
            <v>Eml</v>
          </cell>
          <cell r="I93">
            <v>258324</v>
          </cell>
          <cell r="J93">
            <v>1000</v>
          </cell>
          <cell r="K93">
            <v>2000</v>
          </cell>
          <cell r="L93">
            <v>17870</v>
          </cell>
        </row>
        <row r="94">
          <cell r="A94">
            <v>2373</v>
          </cell>
          <cell r="B94">
            <v>93</v>
          </cell>
          <cell r="C94">
            <v>147570</v>
          </cell>
          <cell r="D94" t="str">
            <v>Fluconazole 50mg tablet/capsule,14 tablets/capsules</v>
          </cell>
          <cell r="E94">
            <v>180230649</v>
          </cell>
          <cell r="F94" t="str">
            <v>gulf Drug Company (Pty) Ltd</v>
          </cell>
          <cell r="G94">
            <v>7.92</v>
          </cell>
          <cell r="H94" t="str">
            <v>Eml</v>
          </cell>
          <cell r="I94">
            <v>1600</v>
          </cell>
          <cell r="J94">
            <v>120</v>
          </cell>
          <cell r="K94">
            <v>240</v>
          </cell>
          <cell r="L94">
            <v>950.4</v>
          </cell>
        </row>
        <row r="95">
          <cell r="A95">
            <v>607</v>
          </cell>
          <cell r="B95">
            <v>94</v>
          </cell>
          <cell r="C95">
            <v>119280</v>
          </cell>
          <cell r="D95" t="str">
            <v>Fluconazole 200mg tablet/capsule, 28 tablets/capsules</v>
          </cell>
          <cell r="E95">
            <v>180234796</v>
          </cell>
          <cell r="F95" t="str">
            <v>Gulf Drug Company (Pty) Ltd</v>
          </cell>
          <cell r="G95">
            <v>25.88</v>
          </cell>
          <cell r="H95" t="str">
            <v>Eml</v>
          </cell>
          <cell r="I95">
            <v>1800</v>
          </cell>
          <cell r="J95">
            <v>800</v>
          </cell>
          <cell r="K95">
            <v>1600</v>
          </cell>
          <cell r="L95">
            <v>20704</v>
          </cell>
        </row>
        <row r="96">
          <cell r="A96">
            <v>2121</v>
          </cell>
          <cell r="B96">
            <v>95</v>
          </cell>
          <cell r="C96">
            <v>178449</v>
          </cell>
          <cell r="D96" t="str">
            <v>Fluconazole 2mg/ml injection, 100ml</v>
          </cell>
          <cell r="E96">
            <v>180101098</v>
          </cell>
          <cell r="F96" t="str">
            <v>Dezzo Trading (392)</v>
          </cell>
          <cell r="G96">
            <v>17.87</v>
          </cell>
          <cell r="H96" t="str">
            <v>Eml</v>
          </cell>
          <cell r="I96">
            <v>13900</v>
          </cell>
          <cell r="J96">
            <v>600</v>
          </cell>
          <cell r="K96">
            <v>1200</v>
          </cell>
          <cell r="L96">
            <v>10722</v>
          </cell>
        </row>
        <row r="97">
          <cell r="A97" t="e">
            <v>#N/A</v>
          </cell>
          <cell r="B97">
            <v>156</v>
          </cell>
          <cell r="C97">
            <v>0</v>
          </cell>
          <cell r="D97" t="str">
            <v>Fosfomycin 3g sachet, 1 sachet</v>
          </cell>
          <cell r="E97" t="str">
            <v>Not codified yet</v>
          </cell>
          <cell r="F97" t="str">
            <v>not awarded</v>
          </cell>
          <cell r="G97" t="str">
            <v>not awarded</v>
          </cell>
          <cell r="H97" t="str">
            <v>Eml</v>
          </cell>
          <cell r="I97">
            <v>0</v>
          </cell>
          <cell r="J97">
            <v>0</v>
          </cell>
          <cell r="K97">
            <v>0</v>
          </cell>
          <cell r="L97" t="e">
            <v>#VALUE!</v>
          </cell>
        </row>
        <row r="98">
          <cell r="A98">
            <v>2852</v>
          </cell>
          <cell r="B98">
            <v>98</v>
          </cell>
          <cell r="C98">
            <v>44009</v>
          </cell>
          <cell r="D98" t="str">
            <v>Ganciclovir 500mg injection</v>
          </cell>
          <cell r="E98">
            <v>180156448</v>
          </cell>
          <cell r="F98" t="str">
            <v>Roche Products (Pty) Ltd</v>
          </cell>
          <cell r="G98">
            <v>395.25</v>
          </cell>
          <cell r="H98" t="str">
            <v>Eml</v>
          </cell>
          <cell r="I98">
            <v>800</v>
          </cell>
          <cell r="J98">
            <v>400</v>
          </cell>
          <cell r="K98">
            <v>800</v>
          </cell>
          <cell r="L98">
            <v>158100</v>
          </cell>
        </row>
        <row r="99">
          <cell r="A99">
            <v>44</v>
          </cell>
          <cell r="B99">
            <v>99</v>
          </cell>
          <cell r="C99">
            <v>173150</v>
          </cell>
          <cell r="D99" t="str">
            <v>Gentamicin 20mg injection</v>
          </cell>
          <cell r="E99">
            <v>189710974</v>
          </cell>
          <cell r="F99" t="str">
            <v>Fresenius Kabi South Africa (Pty) Ltd</v>
          </cell>
          <cell r="G99">
            <v>4.5937000000000001</v>
          </cell>
          <cell r="H99" t="str">
            <v>Eml</v>
          </cell>
          <cell r="I99">
            <v>60000</v>
          </cell>
          <cell r="J99">
            <v>600</v>
          </cell>
          <cell r="K99">
            <v>1200</v>
          </cell>
          <cell r="L99">
            <v>2756.2200000000003</v>
          </cell>
        </row>
        <row r="100">
          <cell r="A100" t="e">
            <v>#N/A</v>
          </cell>
          <cell r="B100">
            <v>100</v>
          </cell>
          <cell r="C100">
            <v>329808</v>
          </cell>
          <cell r="D100" t="str">
            <v>Gentamicin 40mg injection</v>
          </cell>
          <cell r="E100">
            <v>189710556</v>
          </cell>
          <cell r="F100" t="str">
            <v>Fresenius Kabi South Africa (Pty) Ltd</v>
          </cell>
          <cell r="G100">
            <v>5.4013</v>
          </cell>
          <cell r="H100" t="str">
            <v>Eml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</row>
        <row r="101">
          <cell r="A101">
            <v>45</v>
          </cell>
          <cell r="B101">
            <v>101</v>
          </cell>
          <cell r="C101">
            <v>4393446</v>
          </cell>
          <cell r="D101" t="str">
            <v>Gentamicin 80mg injection</v>
          </cell>
          <cell r="E101">
            <v>180056669</v>
          </cell>
          <cell r="F101" t="str">
            <v>Litha Pharma (Pty) LtdFresenius Kabi</v>
          </cell>
          <cell r="G101">
            <v>3.8450000000000002</v>
          </cell>
          <cell r="H101" t="str">
            <v>Eml</v>
          </cell>
          <cell r="I101">
            <v>120000</v>
          </cell>
          <cell r="J101">
            <v>4680</v>
          </cell>
          <cell r="K101">
            <v>9360</v>
          </cell>
          <cell r="L101">
            <v>17994.600000000002</v>
          </cell>
        </row>
        <row r="102">
          <cell r="A102">
            <v>3318</v>
          </cell>
          <cell r="B102">
            <v>102</v>
          </cell>
          <cell r="C102">
            <v>201334</v>
          </cell>
          <cell r="D102" t="str">
            <v>Gentamicin 4.5mg bead, 10 beads per chain</v>
          </cell>
          <cell r="E102">
            <v>189762906</v>
          </cell>
          <cell r="F102" t="str">
            <v>not awarded</v>
          </cell>
          <cell r="G102" t="str">
            <v>not awarded</v>
          </cell>
          <cell r="H102" t="str">
            <v>Non-Eml</v>
          </cell>
          <cell r="I102">
            <v>600</v>
          </cell>
          <cell r="J102">
            <v>0</v>
          </cell>
          <cell r="K102">
            <v>0</v>
          </cell>
          <cell r="L102" t="e">
            <v>#VALUE!</v>
          </cell>
        </row>
        <row r="103">
          <cell r="A103" t="e">
            <v>#N/A</v>
          </cell>
          <cell r="B103">
            <v>103</v>
          </cell>
          <cell r="C103">
            <v>30731</v>
          </cell>
          <cell r="D103" t="str">
            <v>Gentamicin 4.5mg bead, 30 beads per chain</v>
          </cell>
          <cell r="E103">
            <v>189712331</v>
          </cell>
          <cell r="F103" t="str">
            <v>not awarded</v>
          </cell>
          <cell r="G103" t="str">
            <v>not awarded</v>
          </cell>
          <cell r="H103" t="str">
            <v>Non-Eml</v>
          </cell>
          <cell r="I103">
            <v>0</v>
          </cell>
          <cell r="J103">
            <v>0</v>
          </cell>
          <cell r="K103">
            <v>0</v>
          </cell>
          <cell r="L103" t="e">
            <v>#VALUE!</v>
          </cell>
        </row>
        <row r="104">
          <cell r="A104">
            <v>566</v>
          </cell>
          <cell r="B104">
            <v>104</v>
          </cell>
          <cell r="C104">
            <v>354381</v>
          </cell>
          <cell r="D104" t="str">
            <v>Imipenem and cilastatin, 500/500mg injection</v>
          </cell>
          <cell r="E104">
            <v>189708262</v>
          </cell>
          <cell r="F104" t="str">
            <v>MSD (Pty) Ltd</v>
          </cell>
          <cell r="G104">
            <v>47.879899999999999</v>
          </cell>
          <cell r="H104" t="str">
            <v>Eml</v>
          </cell>
          <cell r="I104">
            <v>15000</v>
          </cell>
          <cell r="J104">
            <v>1920</v>
          </cell>
          <cell r="K104">
            <v>3840</v>
          </cell>
          <cell r="L104">
            <v>91929.407999999996</v>
          </cell>
        </row>
        <row r="105">
          <cell r="A105">
            <v>622</v>
          </cell>
          <cell r="B105">
            <v>105</v>
          </cell>
          <cell r="C105">
            <v>82963</v>
          </cell>
          <cell r="D105" t="str">
            <v>Ketoconazole 200mg tablet, 30 tablets</v>
          </cell>
          <cell r="E105">
            <v>189710228</v>
          </cell>
          <cell r="F105" t="str">
            <v>Pharmacare Limited</v>
          </cell>
          <cell r="G105">
            <v>104.84</v>
          </cell>
          <cell r="H105" t="str">
            <v>Eml</v>
          </cell>
          <cell r="I105">
            <v>4000</v>
          </cell>
          <cell r="J105">
            <v>24</v>
          </cell>
          <cell r="K105">
            <v>48</v>
          </cell>
          <cell r="L105">
            <v>2516.16</v>
          </cell>
        </row>
        <row r="106">
          <cell r="A106">
            <v>38</v>
          </cell>
          <cell r="B106">
            <v>106</v>
          </cell>
          <cell r="C106">
            <v>21000</v>
          </cell>
          <cell r="D106" t="str">
            <v xml:space="preserve">Linezolid 600mg injection, 300ml </v>
          </cell>
          <cell r="E106">
            <v>181749810</v>
          </cell>
          <cell r="F106" t="str">
            <v>Pfizer Laboratories  (Pty) Ltd</v>
          </cell>
          <cell r="G106">
            <v>292.03300000000002</v>
          </cell>
          <cell r="H106" t="str">
            <v>Eml</v>
          </cell>
          <cell r="I106">
            <v>120</v>
          </cell>
          <cell r="J106">
            <v>0</v>
          </cell>
          <cell r="K106">
            <v>0</v>
          </cell>
          <cell r="L106">
            <v>0</v>
          </cell>
        </row>
        <row r="107">
          <cell r="A107" t="e">
            <v>#N/A</v>
          </cell>
          <cell r="B107">
            <v>107</v>
          </cell>
          <cell r="C107">
            <v>5300</v>
          </cell>
          <cell r="D107" t="str">
            <v>Linezolid 100mg/5ml suspension, 150ml</v>
          </cell>
          <cell r="E107">
            <v>181756711</v>
          </cell>
          <cell r="F107" t="str">
            <v>not awarded</v>
          </cell>
          <cell r="G107" t="str">
            <v>not awarded</v>
          </cell>
          <cell r="H107" t="str">
            <v>Eml</v>
          </cell>
          <cell r="I107">
            <v>0</v>
          </cell>
          <cell r="J107">
            <v>0</v>
          </cell>
          <cell r="K107">
            <v>0</v>
          </cell>
          <cell r="L107" t="e">
            <v>#VALUE!</v>
          </cell>
        </row>
        <row r="108">
          <cell r="A108">
            <v>3045</v>
          </cell>
          <cell r="B108">
            <v>108</v>
          </cell>
          <cell r="C108">
            <v>114528</v>
          </cell>
          <cell r="D108" t="str">
            <v>Linezolid 600mg, 10 tablet</v>
          </cell>
          <cell r="E108">
            <v>181756696</v>
          </cell>
          <cell r="F108" t="str">
            <v>Pfizer Laboratories (Pty) Ltd</v>
          </cell>
          <cell r="G108">
            <v>988.38</v>
          </cell>
          <cell r="H108" t="str">
            <v>Eml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</row>
        <row r="109">
          <cell r="A109">
            <v>631</v>
          </cell>
          <cell r="B109" t="str">
            <v>New item 4</v>
          </cell>
          <cell r="C109">
            <v>0</v>
          </cell>
          <cell r="D109" t="str">
            <v>Mebendazole 100mg tablet, 6 tablets</v>
          </cell>
          <cell r="E109">
            <v>180339466</v>
          </cell>
          <cell r="F109" t="str">
            <v>RANBAXY PHARMACEUTICALS (PTY) LTD</v>
          </cell>
          <cell r="G109">
            <v>3.99</v>
          </cell>
          <cell r="H109" t="str">
            <v>Eml</v>
          </cell>
          <cell r="I109">
            <v>600000</v>
          </cell>
          <cell r="J109">
            <v>2460</v>
          </cell>
          <cell r="K109">
            <v>4920</v>
          </cell>
          <cell r="L109">
            <v>9815.4</v>
          </cell>
        </row>
        <row r="110">
          <cell r="A110">
            <v>224</v>
          </cell>
          <cell r="B110" t="str">
            <v>New item 5</v>
          </cell>
          <cell r="C110">
            <v>0</v>
          </cell>
          <cell r="D110" t="str">
            <v>Mebendazole 500mg tablet, 1 tablet</v>
          </cell>
          <cell r="E110">
            <v>180146448</v>
          </cell>
          <cell r="F110" t="str">
            <v>RANBAXY PHARMACEUTICALS (PTY) LTD</v>
          </cell>
          <cell r="G110">
            <v>3.64</v>
          </cell>
          <cell r="H110" t="str">
            <v>Eml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</row>
        <row r="111">
          <cell r="A111">
            <v>793</v>
          </cell>
          <cell r="B111">
            <v>109</v>
          </cell>
          <cell r="C111">
            <v>155933</v>
          </cell>
          <cell r="D111" t="str">
            <v>Meropenem 500mg injection, 20ml</v>
          </cell>
          <cell r="E111">
            <v>180233832</v>
          </cell>
          <cell r="F111" t="str">
            <v>Ranbaxy SA (Pty) Ltd</v>
          </cell>
          <cell r="G111">
            <v>62.7</v>
          </cell>
          <cell r="H111" t="str">
            <v>Eml</v>
          </cell>
          <cell r="I111">
            <v>4200</v>
          </cell>
          <cell r="J111">
            <v>420</v>
          </cell>
          <cell r="K111">
            <v>840</v>
          </cell>
          <cell r="L111">
            <v>26334</v>
          </cell>
        </row>
        <row r="112">
          <cell r="A112">
            <v>794</v>
          </cell>
          <cell r="B112">
            <v>110</v>
          </cell>
          <cell r="C112">
            <v>299564</v>
          </cell>
          <cell r="D112" t="str">
            <v>Meropenem 1g injection, 30ml</v>
          </cell>
          <cell r="E112">
            <v>180233880</v>
          </cell>
          <cell r="F112" t="str">
            <v>Ranbaxy (SA) (Pty) Ltd</v>
          </cell>
          <cell r="G112">
            <v>102.6</v>
          </cell>
          <cell r="H112" t="str">
            <v>Eml</v>
          </cell>
          <cell r="I112">
            <v>5600</v>
          </cell>
          <cell r="J112">
            <v>1032</v>
          </cell>
          <cell r="K112">
            <v>2064</v>
          </cell>
          <cell r="L112">
            <v>105883.2</v>
          </cell>
        </row>
        <row r="113">
          <cell r="A113">
            <v>474</v>
          </cell>
          <cell r="B113">
            <v>111</v>
          </cell>
          <cell r="C113">
            <v>208136</v>
          </cell>
          <cell r="D113" t="str">
            <v>Metronidazole 0,5g suppository,10 suppositories</v>
          </cell>
          <cell r="E113">
            <v>189710844</v>
          </cell>
          <cell r="F113" t="str">
            <v>Sanofi-Aventis South Africa(Pty) Ltd</v>
          </cell>
          <cell r="G113">
            <v>28.5</v>
          </cell>
          <cell r="H113" t="str">
            <v>Non-Eml</v>
          </cell>
          <cell r="I113">
            <v>3800</v>
          </cell>
          <cell r="J113">
            <v>0</v>
          </cell>
          <cell r="K113">
            <v>0</v>
          </cell>
          <cell r="L113">
            <v>0</v>
          </cell>
        </row>
        <row r="114">
          <cell r="A114">
            <v>3974</v>
          </cell>
          <cell r="B114">
            <v>113</v>
          </cell>
          <cell r="C114">
            <v>1956898</v>
          </cell>
          <cell r="D114" t="str">
            <v>Metronidazole 200mg tablet, 21 tablets</v>
          </cell>
          <cell r="E114">
            <v>189750013</v>
          </cell>
          <cell r="F114" t="str">
            <v>AkACIA &amp; MDI</v>
          </cell>
          <cell r="G114">
            <v>3.3220000000000001</v>
          </cell>
          <cell r="H114" t="str">
            <v>Eml</v>
          </cell>
          <cell r="I114">
            <v>200000</v>
          </cell>
          <cell r="J114">
            <v>5760</v>
          </cell>
          <cell r="K114">
            <v>11520</v>
          </cell>
          <cell r="L114">
            <v>19134.72</v>
          </cell>
        </row>
        <row r="115">
          <cell r="A115" t="e">
            <v>#N/A</v>
          </cell>
          <cell r="B115">
            <v>114</v>
          </cell>
          <cell r="C115">
            <v>674186</v>
          </cell>
          <cell r="D115" t="str">
            <v>Metronidazole 200mg tablet, 28 tablets</v>
          </cell>
          <cell r="E115">
            <v>181859997</v>
          </cell>
          <cell r="F115" t="str">
            <v>AKACIA HEALTHCARE (PTY)LTD</v>
          </cell>
          <cell r="G115">
            <v>3.97</v>
          </cell>
          <cell r="H115" t="str">
            <v>Eml</v>
          </cell>
          <cell r="I115">
            <v>160000</v>
          </cell>
          <cell r="J115">
            <v>1000</v>
          </cell>
          <cell r="K115">
            <v>2000</v>
          </cell>
          <cell r="L115">
            <v>3970</v>
          </cell>
        </row>
        <row r="116">
          <cell r="A116">
            <v>639</v>
          </cell>
          <cell r="B116">
            <v>115</v>
          </cell>
          <cell r="C116">
            <v>25052</v>
          </cell>
          <cell r="D116" t="str">
            <v>Metronidazole 200mg tablet, 250 tablets</v>
          </cell>
          <cell r="E116">
            <v>189710264</v>
          </cell>
          <cell r="F116" t="str">
            <v>AKACIA HEALTHCARE (PTY)LTD</v>
          </cell>
          <cell r="G116">
            <v>22.9</v>
          </cell>
          <cell r="H116" t="str">
            <v>Eml</v>
          </cell>
          <cell r="I116">
            <v>2500</v>
          </cell>
          <cell r="J116">
            <v>200</v>
          </cell>
          <cell r="K116">
            <v>400</v>
          </cell>
          <cell r="L116">
            <v>4580</v>
          </cell>
        </row>
        <row r="117">
          <cell r="A117">
            <v>3337</v>
          </cell>
          <cell r="B117">
            <v>116</v>
          </cell>
          <cell r="C117">
            <v>4744931</v>
          </cell>
          <cell r="D117" t="str">
            <v>Metronidazole 400mg tablet, 5 tablets</v>
          </cell>
          <cell r="E117">
            <v>180282750</v>
          </cell>
          <cell r="F117" t="str">
            <v>MEDICINE DEVELOPERS INTERNATIONAL (PTY) LTD</v>
          </cell>
          <cell r="G117">
            <v>1.87</v>
          </cell>
          <cell r="H117" t="str">
            <v>Eml</v>
          </cell>
          <cell r="I117">
            <v>700000</v>
          </cell>
          <cell r="J117">
            <v>600</v>
          </cell>
          <cell r="K117">
            <v>1200</v>
          </cell>
          <cell r="L117">
            <v>1122</v>
          </cell>
        </row>
        <row r="118">
          <cell r="A118" t="e">
            <v>#N/A</v>
          </cell>
          <cell r="B118">
            <v>117</v>
          </cell>
          <cell r="C118">
            <v>3251005</v>
          </cell>
          <cell r="D118" t="str">
            <v>Metronidazole 400mg tablet, 14 tablets</v>
          </cell>
          <cell r="E118">
            <v>181798177</v>
          </cell>
          <cell r="F118" t="str">
            <v>AkACIA &amp; MDI</v>
          </cell>
          <cell r="G118">
            <v>3.3340000000000001</v>
          </cell>
          <cell r="H118" t="str">
            <v>Eml</v>
          </cell>
          <cell r="I118">
            <v>300000</v>
          </cell>
          <cell r="J118">
            <v>1000</v>
          </cell>
          <cell r="K118">
            <v>2000</v>
          </cell>
          <cell r="L118">
            <v>3334</v>
          </cell>
        </row>
        <row r="119">
          <cell r="A119">
            <v>4053</v>
          </cell>
          <cell r="B119">
            <v>118</v>
          </cell>
          <cell r="C119">
            <v>869444</v>
          </cell>
          <cell r="D119" t="str">
            <v>Metronidazole 400mg tablet, 21 tablets</v>
          </cell>
          <cell r="E119">
            <v>181798178</v>
          </cell>
          <cell r="F119" t="str">
            <v>AKACIA HEALTHCARE (PTY)LTD</v>
          </cell>
          <cell r="G119">
            <v>4.5599999999999996</v>
          </cell>
          <cell r="H119" t="str">
            <v>Eml</v>
          </cell>
          <cell r="I119">
            <v>220000</v>
          </cell>
          <cell r="J119">
            <v>3840</v>
          </cell>
          <cell r="K119">
            <v>7680</v>
          </cell>
          <cell r="L119">
            <v>17510.399999999998</v>
          </cell>
        </row>
        <row r="120">
          <cell r="A120">
            <v>3343</v>
          </cell>
          <cell r="B120">
            <v>119</v>
          </cell>
          <cell r="C120">
            <v>127883</v>
          </cell>
          <cell r="D120" t="str">
            <v>Metronidazole 400mg tablet, 100 tablets</v>
          </cell>
          <cell r="E120">
            <v>189711051</v>
          </cell>
          <cell r="F120" t="str">
            <v>AKACIA HEALTHCARE (PTY)LTD</v>
          </cell>
          <cell r="G120">
            <v>15.24</v>
          </cell>
          <cell r="H120" t="str">
            <v>Eml</v>
          </cell>
          <cell r="I120">
            <v>15000</v>
          </cell>
          <cell r="J120">
            <v>600</v>
          </cell>
          <cell r="K120">
            <v>1200</v>
          </cell>
          <cell r="L120">
            <v>9144</v>
          </cell>
        </row>
        <row r="121">
          <cell r="A121">
            <v>378</v>
          </cell>
          <cell r="B121">
            <v>120</v>
          </cell>
          <cell r="C121">
            <v>848370</v>
          </cell>
          <cell r="D121" t="str">
            <v>Metronidazole 200mg/5mlsuspension, 50ml</v>
          </cell>
          <cell r="E121">
            <v>189714780</v>
          </cell>
          <cell r="F121" t="str">
            <v>Sanofi - Aventis South Africa (Pty) Ltd</v>
          </cell>
          <cell r="G121">
            <v>9.75</v>
          </cell>
          <cell r="H121" t="str">
            <v>Eml</v>
          </cell>
          <cell r="I121">
            <v>300000</v>
          </cell>
          <cell r="J121">
            <v>120</v>
          </cell>
          <cell r="K121">
            <v>240</v>
          </cell>
          <cell r="L121">
            <v>1170</v>
          </cell>
        </row>
        <row r="122">
          <cell r="A122">
            <v>2513</v>
          </cell>
          <cell r="B122">
            <v>121</v>
          </cell>
          <cell r="C122">
            <v>455545</v>
          </cell>
          <cell r="D122" t="str">
            <v>Metronidazole 200mg/5mlsuspension, 100ml</v>
          </cell>
          <cell r="E122">
            <v>189706001</v>
          </cell>
          <cell r="F122" t="str">
            <v>Sanofi - Aventis South Africa (Pty) Ltd</v>
          </cell>
          <cell r="G122">
            <v>12.88</v>
          </cell>
          <cell r="H122" t="str">
            <v>Eml</v>
          </cell>
          <cell r="I122">
            <v>120000</v>
          </cell>
          <cell r="J122">
            <v>480</v>
          </cell>
          <cell r="K122">
            <v>960</v>
          </cell>
          <cell r="L122">
            <v>6182.4000000000005</v>
          </cell>
        </row>
        <row r="123">
          <cell r="A123">
            <v>231</v>
          </cell>
          <cell r="B123">
            <v>122</v>
          </cell>
          <cell r="C123">
            <v>4182457</v>
          </cell>
          <cell r="D123" t="str">
            <v>Metronidazole 500mg injection, 100ml</v>
          </cell>
          <cell r="E123">
            <v>189707172</v>
          </cell>
          <cell r="F123" t="str">
            <v>BiotechFresenius Kabi</v>
          </cell>
          <cell r="G123">
            <v>6.2380000000000004</v>
          </cell>
          <cell r="H123" t="str">
            <v>Eml</v>
          </cell>
          <cell r="I123">
            <v>700000</v>
          </cell>
          <cell r="J123">
            <v>27480</v>
          </cell>
          <cell r="K123">
            <v>54960</v>
          </cell>
          <cell r="L123">
            <v>171420.24000000002</v>
          </cell>
        </row>
        <row r="124">
          <cell r="A124">
            <v>3146</v>
          </cell>
          <cell r="B124">
            <v>123</v>
          </cell>
          <cell r="C124">
            <v>113100</v>
          </cell>
          <cell r="D124" t="str">
            <v>Miconazole 2% cream, 30g</v>
          </cell>
          <cell r="E124">
            <v>189708111</v>
          </cell>
          <cell r="F124" t="str">
            <v>Glenmark Pharmaceuticals South Africa (pty) Ltd</v>
          </cell>
          <cell r="G124">
            <v>23.32</v>
          </cell>
          <cell r="H124" t="str">
            <v>Eml</v>
          </cell>
          <cell r="I124">
            <v>30000</v>
          </cell>
          <cell r="J124">
            <v>130</v>
          </cell>
          <cell r="K124">
            <v>260</v>
          </cell>
          <cell r="L124">
            <v>3031.6</v>
          </cell>
        </row>
        <row r="125">
          <cell r="A125">
            <v>476</v>
          </cell>
          <cell r="B125">
            <v>124</v>
          </cell>
          <cell r="C125">
            <v>542604</v>
          </cell>
          <cell r="D125" t="str">
            <v xml:space="preserve">Miconazole 2% oral gel, 30g </v>
          </cell>
          <cell r="E125">
            <v>189708022</v>
          </cell>
          <cell r="F125" t="str">
            <v>Janssen Pharmaceutica (pty) Ltd T/a Janssen-cilag</v>
          </cell>
          <cell r="G125">
            <v>26.04</v>
          </cell>
          <cell r="H125" t="str">
            <v>Eml</v>
          </cell>
          <cell r="I125">
            <v>120000</v>
          </cell>
          <cell r="J125">
            <v>480</v>
          </cell>
          <cell r="K125">
            <v>960</v>
          </cell>
          <cell r="L125">
            <v>12499.199999999999</v>
          </cell>
        </row>
        <row r="126">
          <cell r="A126">
            <v>96</v>
          </cell>
          <cell r="B126">
            <v>125</v>
          </cell>
          <cell r="C126">
            <v>13488</v>
          </cell>
          <cell r="D126" t="str">
            <v>Moxifloxacin 5mg/ml eye drops, 5ml</v>
          </cell>
          <cell r="E126">
            <v>181835942</v>
          </cell>
          <cell r="F126" t="str">
            <v>Alcon Laboratories (sa) (pty) Ltd</v>
          </cell>
          <cell r="G126">
            <v>116.64</v>
          </cell>
          <cell r="H126" t="str">
            <v>Eml</v>
          </cell>
          <cell r="I126">
            <v>600</v>
          </cell>
          <cell r="J126">
            <v>200</v>
          </cell>
          <cell r="K126">
            <v>400</v>
          </cell>
          <cell r="L126">
            <v>23328</v>
          </cell>
        </row>
        <row r="127">
          <cell r="A127" t="e">
            <v>#N/A</v>
          </cell>
          <cell r="B127">
            <v>126</v>
          </cell>
          <cell r="C127">
            <v>194304</v>
          </cell>
          <cell r="D127" t="str">
            <v>Moxifloxacin 400mg tablet, 5 tablets</v>
          </cell>
          <cell r="E127">
            <v>181878933</v>
          </cell>
          <cell r="F127" t="str">
            <v>MACLEODS PHARMACEUTICALS SA (PTY) LTD</v>
          </cell>
          <cell r="G127">
            <v>27.22</v>
          </cell>
          <cell r="H127" t="str">
            <v>Eml</v>
          </cell>
          <cell r="I127">
            <v>1200</v>
          </cell>
          <cell r="J127">
            <v>25</v>
          </cell>
          <cell r="K127">
            <v>50</v>
          </cell>
          <cell r="L127">
            <v>680.5</v>
          </cell>
        </row>
        <row r="128">
          <cell r="A128" t="e">
            <v>#N/A</v>
          </cell>
          <cell r="B128">
            <v>127</v>
          </cell>
          <cell r="C128">
            <v>20600</v>
          </cell>
          <cell r="D128" t="str">
            <v>Moxifloxacillin 400mg injection, 250ml</v>
          </cell>
          <cell r="E128">
            <v>181767779</v>
          </cell>
          <cell r="F128" t="str">
            <v>Bayer (Pty) Ltd</v>
          </cell>
          <cell r="G128">
            <v>125.99</v>
          </cell>
          <cell r="H128" t="str">
            <v>Eml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A129">
            <v>53</v>
          </cell>
          <cell r="B129">
            <v>129</v>
          </cell>
          <cell r="C129">
            <v>1700</v>
          </cell>
          <cell r="D129" t="str">
            <v>Natamycin 50mg/ml eye drops, 15ml</v>
          </cell>
          <cell r="E129">
            <v>189708708</v>
          </cell>
          <cell r="F129" t="str">
            <v>Alcon Laboratories (sa) (pty) Ltd</v>
          </cell>
          <cell r="G129">
            <v>1138.43</v>
          </cell>
          <cell r="H129" t="str">
            <v>Eml</v>
          </cell>
          <cell r="I129">
            <v>20</v>
          </cell>
          <cell r="J129">
            <v>0</v>
          </cell>
          <cell r="K129">
            <v>0</v>
          </cell>
          <cell r="L129">
            <v>0</v>
          </cell>
        </row>
        <row r="130">
          <cell r="A130">
            <v>2401</v>
          </cell>
          <cell r="B130">
            <v>130</v>
          </cell>
          <cell r="C130">
            <v>2352846</v>
          </cell>
          <cell r="D130" t="str">
            <v>Neomycin and Polymyxin B sulfates and Dexamethasone3.5mg, 6000U and1mg per gram eye ointment, 3.5g</v>
          </cell>
          <cell r="E130">
            <v>189755066</v>
          </cell>
          <cell r="F130" t="str">
            <v>Alcon Laboratories (sa) (pty) Ltd</v>
          </cell>
          <cell r="G130">
            <v>24.12</v>
          </cell>
          <cell r="H130" t="str">
            <v>Non-Eml</v>
          </cell>
          <cell r="I130">
            <v>4000</v>
          </cell>
          <cell r="J130">
            <v>2712</v>
          </cell>
          <cell r="K130">
            <v>5424</v>
          </cell>
          <cell r="L130">
            <v>65413.440000000002</v>
          </cell>
        </row>
        <row r="131">
          <cell r="A131">
            <v>2399</v>
          </cell>
          <cell r="B131">
            <v>131</v>
          </cell>
          <cell r="C131">
            <v>128126</v>
          </cell>
          <cell r="D131" t="str">
            <v>Neomycin and Polymyxin B sulfates and Dexamethasone3.5mg, 6000U and 1mg per ml eye drops, 5ml</v>
          </cell>
          <cell r="E131">
            <v>189708057</v>
          </cell>
          <cell r="F131" t="str">
            <v>Alcon Laboratories (sa) (pty) Ltd</v>
          </cell>
          <cell r="G131">
            <v>13.48</v>
          </cell>
          <cell r="H131" t="str">
            <v>Non-Eml</v>
          </cell>
          <cell r="I131">
            <v>8400</v>
          </cell>
          <cell r="J131">
            <v>2000</v>
          </cell>
          <cell r="K131">
            <v>4000</v>
          </cell>
          <cell r="L131">
            <v>26960</v>
          </cell>
        </row>
        <row r="132">
          <cell r="A132" t="e">
            <v>#N/A</v>
          </cell>
          <cell r="B132">
            <v>132</v>
          </cell>
          <cell r="C132">
            <v>57680</v>
          </cell>
          <cell r="D132" t="str">
            <v>Neomycin and Polymyxin B sulfates and Hydrocortisone 3400IU, 10000IU and 10mg per ml ear drops, 10ml</v>
          </cell>
          <cell r="E132">
            <v>189700770</v>
          </cell>
          <cell r="F132" t="str">
            <v>not awarded</v>
          </cell>
          <cell r="G132" t="str">
            <v>not awarded</v>
          </cell>
          <cell r="H132" t="str">
            <v>Non-Eml</v>
          </cell>
          <cell r="I132">
            <v>13000</v>
          </cell>
          <cell r="J132">
            <v>0</v>
          </cell>
          <cell r="K132">
            <v>0</v>
          </cell>
          <cell r="L132" t="e">
            <v>#VALUE!</v>
          </cell>
        </row>
        <row r="133">
          <cell r="A133">
            <v>650</v>
          </cell>
          <cell r="B133">
            <v>133</v>
          </cell>
          <cell r="C133">
            <v>327558</v>
          </cell>
          <cell r="D133" t="str">
            <v>Nitrofurantoin 50mg capsule, 50 capsules</v>
          </cell>
          <cell r="E133">
            <v>189714356</v>
          </cell>
          <cell r="F133" t="str">
            <v>Pharmacare Limited</v>
          </cell>
          <cell r="G133">
            <v>157.59</v>
          </cell>
          <cell r="H133" t="str">
            <v>Eml</v>
          </cell>
          <cell r="I133">
            <v>3500</v>
          </cell>
          <cell r="J133">
            <v>10</v>
          </cell>
          <cell r="K133">
            <v>20</v>
          </cell>
          <cell r="L133">
            <v>1575.9</v>
          </cell>
        </row>
        <row r="134">
          <cell r="A134">
            <v>651</v>
          </cell>
          <cell r="B134">
            <v>134</v>
          </cell>
          <cell r="C134">
            <v>219435</v>
          </cell>
          <cell r="D134" t="str">
            <v>Nitrofurantoin 100mg capsule,50 capsules</v>
          </cell>
          <cell r="E134">
            <v>189714357</v>
          </cell>
          <cell r="F134" t="str">
            <v>Pharmacare  Limited</v>
          </cell>
          <cell r="G134">
            <v>236.55</v>
          </cell>
          <cell r="H134" t="str">
            <v>Eml</v>
          </cell>
          <cell r="I134">
            <v>5000</v>
          </cell>
          <cell r="J134">
            <v>50</v>
          </cell>
          <cell r="K134">
            <v>100</v>
          </cell>
          <cell r="L134">
            <v>11827.5</v>
          </cell>
        </row>
        <row r="135">
          <cell r="A135">
            <v>61</v>
          </cell>
          <cell r="B135">
            <v>135</v>
          </cell>
          <cell r="C135">
            <v>3506071</v>
          </cell>
          <cell r="D135" t="str">
            <v>Nystatin 100 000 units/ml oral suspension, 20ml + calibrated dropper</v>
          </cell>
          <cell r="E135">
            <v>189712135</v>
          </cell>
          <cell r="F135" t="str">
            <v>Pharmacare Limited</v>
          </cell>
          <cell r="G135">
            <v>14.25</v>
          </cell>
          <cell r="H135" t="str">
            <v>Eml</v>
          </cell>
          <cell r="I135">
            <v>450000</v>
          </cell>
          <cell r="J135">
            <v>1680</v>
          </cell>
          <cell r="K135">
            <v>3360</v>
          </cell>
          <cell r="L135">
            <v>23940</v>
          </cell>
        </row>
        <row r="136">
          <cell r="A136">
            <v>63</v>
          </cell>
          <cell r="B136">
            <v>136</v>
          </cell>
          <cell r="C136">
            <v>1332647</v>
          </cell>
          <cell r="D136" t="str">
            <v>Nystatin 100 000 units/g topical 15g tube</v>
          </cell>
          <cell r="E136">
            <v>189706000</v>
          </cell>
          <cell r="F136" t="str">
            <v>Pharmacare Limited</v>
          </cell>
          <cell r="G136">
            <v>16.88</v>
          </cell>
          <cell r="H136" t="str">
            <v>Non-Eml</v>
          </cell>
          <cell r="I136">
            <v>220000</v>
          </cell>
          <cell r="J136">
            <v>600</v>
          </cell>
          <cell r="K136">
            <v>1200</v>
          </cell>
          <cell r="L136">
            <v>10128</v>
          </cell>
        </row>
        <row r="137">
          <cell r="A137" t="e">
            <v>#N/A</v>
          </cell>
          <cell r="B137">
            <v>137</v>
          </cell>
          <cell r="C137">
            <v>45334</v>
          </cell>
          <cell r="D137" t="str">
            <v xml:space="preserve">Ofloxacin 3mg/ml eye drops, 5ml </v>
          </cell>
          <cell r="E137">
            <v>180179329</v>
          </cell>
          <cell r="F137" t="str">
            <v>not awarded</v>
          </cell>
          <cell r="G137" t="str">
            <v>not awarded</v>
          </cell>
          <cell r="H137" t="str">
            <v>Eml</v>
          </cell>
          <cell r="I137">
            <v>600</v>
          </cell>
          <cell r="J137">
            <v>100</v>
          </cell>
          <cell r="K137">
            <v>200</v>
          </cell>
          <cell r="L137" t="e">
            <v>#VALUE!</v>
          </cell>
        </row>
        <row r="138">
          <cell r="A138" t="e">
            <v>#N/A</v>
          </cell>
          <cell r="B138">
            <v>138</v>
          </cell>
          <cell r="C138">
            <v>736720</v>
          </cell>
          <cell r="D138" t="str">
            <v>Phenoxymethylpenicillin 125mg/5ml suspension, 100ml</v>
          </cell>
          <cell r="E138">
            <v>189703675</v>
          </cell>
          <cell r="F138" t="str">
            <v>Medicine DevelopersInternational  (Pty) Ltd</v>
          </cell>
          <cell r="G138">
            <v>7.17</v>
          </cell>
          <cell r="H138" t="str">
            <v>Eml</v>
          </cell>
          <cell r="I138">
            <v>35000</v>
          </cell>
          <cell r="J138">
            <v>420</v>
          </cell>
          <cell r="K138">
            <v>840</v>
          </cell>
          <cell r="L138">
            <v>3011.4</v>
          </cell>
        </row>
        <row r="139">
          <cell r="A139">
            <v>3444</v>
          </cell>
          <cell r="B139">
            <v>139</v>
          </cell>
          <cell r="C139">
            <v>1261840</v>
          </cell>
          <cell r="D139" t="str">
            <v>Phenoxymethylpenicillin 250mg/5ml suspension, 100ml</v>
          </cell>
          <cell r="E139">
            <v>189706020</v>
          </cell>
          <cell r="F139" t="str">
            <v>Medicine DevelopersInternational  (Pty) Ltd</v>
          </cell>
          <cell r="G139">
            <v>8.9600000000000009</v>
          </cell>
          <cell r="H139" t="str">
            <v>Eml</v>
          </cell>
          <cell r="I139">
            <v>60000</v>
          </cell>
          <cell r="J139">
            <v>960</v>
          </cell>
          <cell r="K139">
            <v>1920</v>
          </cell>
          <cell r="L139">
            <v>8601.6</v>
          </cell>
        </row>
        <row r="140">
          <cell r="A140">
            <v>3194</v>
          </cell>
          <cell r="B140">
            <v>140</v>
          </cell>
          <cell r="C140">
            <v>2469862</v>
          </cell>
          <cell r="D140" t="str">
            <v xml:space="preserve">Phenoxymethylpenicillin 250mg tablet, 40 tablets </v>
          </cell>
          <cell r="E140">
            <v>180292357</v>
          </cell>
          <cell r="F140" t="str">
            <v>RANBAXY PHARMACEUTICALS (PTY) LTD</v>
          </cell>
          <cell r="G140">
            <v>22.8</v>
          </cell>
          <cell r="H140" t="str">
            <v>Eml</v>
          </cell>
          <cell r="I140">
            <v>520000</v>
          </cell>
          <cell r="J140">
            <v>1080</v>
          </cell>
          <cell r="K140">
            <v>2160</v>
          </cell>
          <cell r="L140">
            <v>24624</v>
          </cell>
        </row>
        <row r="141">
          <cell r="A141" t="e">
            <v>#N/A</v>
          </cell>
          <cell r="B141">
            <v>141</v>
          </cell>
          <cell r="C141">
            <v>39230</v>
          </cell>
          <cell r="D141" t="str">
            <v>Phenoxymethylpenicillin 250mg tablet, 100 tablets</v>
          </cell>
          <cell r="E141">
            <v>189715493</v>
          </cell>
          <cell r="F141" t="str">
            <v>not awarded</v>
          </cell>
          <cell r="G141" t="str">
            <v>not awarded</v>
          </cell>
          <cell r="H141" t="str">
            <v>Eml</v>
          </cell>
          <cell r="I141">
            <v>6000</v>
          </cell>
          <cell r="J141">
            <v>1000</v>
          </cell>
          <cell r="K141">
            <v>2000</v>
          </cell>
          <cell r="L141" t="e">
            <v>#VALUE!</v>
          </cell>
        </row>
        <row r="142">
          <cell r="A142">
            <v>74</v>
          </cell>
          <cell r="B142">
            <v>142</v>
          </cell>
          <cell r="C142">
            <v>376132</v>
          </cell>
          <cell r="D142" t="str">
            <v xml:space="preserve">Piperacillin andTazobactam 4g/500mg injection, 50ml </v>
          </cell>
          <cell r="E142">
            <v>181932100</v>
          </cell>
          <cell r="F142" t="str">
            <v>Sandoz South Africa (Pty) Ltd</v>
          </cell>
          <cell r="G142">
            <v>42.71</v>
          </cell>
          <cell r="H142" t="str">
            <v>Eml</v>
          </cell>
          <cell r="I142">
            <v>3000</v>
          </cell>
          <cell r="J142">
            <v>840</v>
          </cell>
          <cell r="K142">
            <v>1680</v>
          </cell>
          <cell r="L142">
            <v>35876.400000000001</v>
          </cell>
        </row>
        <row r="143">
          <cell r="A143">
            <v>677</v>
          </cell>
          <cell r="B143">
            <v>159</v>
          </cell>
          <cell r="C143">
            <v>0</v>
          </cell>
          <cell r="D143" t="str">
            <v>Praziquantel 600mg tablet, 10 tablets</v>
          </cell>
          <cell r="E143">
            <v>189710324</v>
          </cell>
          <cell r="F143" t="str">
            <v>Bayer (Pty) Ltd</v>
          </cell>
          <cell r="G143">
            <v>385.18</v>
          </cell>
          <cell r="H143" t="str">
            <v>Eml</v>
          </cell>
          <cell r="I143">
            <v>6800</v>
          </cell>
          <cell r="J143">
            <v>24</v>
          </cell>
          <cell r="K143">
            <v>48</v>
          </cell>
          <cell r="L143">
            <v>9244.32</v>
          </cell>
        </row>
        <row r="144">
          <cell r="A144" t="e">
            <v>#N/A</v>
          </cell>
          <cell r="B144">
            <v>160</v>
          </cell>
          <cell r="C144">
            <v>0</v>
          </cell>
          <cell r="D144" t="str">
            <v>Praziquantel 500mg tablet, 100 tablets</v>
          </cell>
          <cell r="E144">
            <v>189712366</v>
          </cell>
          <cell r="F144" t="str">
            <v>Merck (Pty) Ltd</v>
          </cell>
          <cell r="G144">
            <v>2104.41</v>
          </cell>
          <cell r="H144" t="str">
            <v>Non-Eml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</row>
        <row r="145">
          <cell r="A145" t="e">
            <v>#N/A</v>
          </cell>
          <cell r="B145" t="str">
            <v>New item 6</v>
          </cell>
          <cell r="C145">
            <v>0</v>
          </cell>
          <cell r="D145" t="str">
            <v>Primaquine 15mg tablet, 100 tablets</v>
          </cell>
          <cell r="E145">
            <v>180360758</v>
          </cell>
          <cell r="F145" t="str">
            <v>Section 21</v>
          </cell>
          <cell r="G145" t="str">
            <v>Section 21</v>
          </cell>
          <cell r="H145" t="str">
            <v>Eml</v>
          </cell>
          <cell r="I145">
            <v>0</v>
          </cell>
          <cell r="J145">
            <v>0</v>
          </cell>
          <cell r="K145">
            <v>0</v>
          </cell>
          <cell r="L145" t="e">
            <v>#VALUE!</v>
          </cell>
        </row>
        <row r="146">
          <cell r="A146">
            <v>76</v>
          </cell>
          <cell r="B146">
            <v>143</v>
          </cell>
          <cell r="C146">
            <v>6110</v>
          </cell>
          <cell r="D146" t="str">
            <v>Procaine Penicillin 3 mega unit injection, 10ml</v>
          </cell>
          <cell r="E146">
            <v>180157156</v>
          </cell>
          <cell r="F146" t="str">
            <v>not awarded</v>
          </cell>
          <cell r="G146" t="str">
            <v>not awarded</v>
          </cell>
          <cell r="H146" t="str">
            <v>Eml</v>
          </cell>
          <cell r="I146">
            <v>0</v>
          </cell>
          <cell r="J146">
            <v>0</v>
          </cell>
          <cell r="K146">
            <v>0</v>
          </cell>
          <cell r="L146" t="e">
            <v>#VALUE!</v>
          </cell>
        </row>
        <row r="147">
          <cell r="A147">
            <v>694</v>
          </cell>
          <cell r="B147">
            <v>161</v>
          </cell>
          <cell r="C147">
            <v>0</v>
          </cell>
          <cell r="D147" t="str">
            <v>Quinine 300mg tablet, 100 tablets</v>
          </cell>
          <cell r="E147">
            <v>180280763</v>
          </cell>
          <cell r="F147" t="str">
            <v>not awarded</v>
          </cell>
          <cell r="G147" t="str">
            <v>not awarded</v>
          </cell>
          <cell r="H147" t="str">
            <v>Eml</v>
          </cell>
          <cell r="I147">
            <v>100</v>
          </cell>
          <cell r="J147">
            <v>0</v>
          </cell>
          <cell r="K147">
            <v>0</v>
          </cell>
          <cell r="L147" t="e">
            <v>#VALUE!</v>
          </cell>
        </row>
        <row r="148">
          <cell r="A148">
            <v>493</v>
          </cell>
          <cell r="B148">
            <v>144</v>
          </cell>
          <cell r="C148">
            <v>70250</v>
          </cell>
          <cell r="D148" t="str">
            <v xml:space="preserve">Silver Sulfadiazine 1% cream, 50g </v>
          </cell>
          <cell r="E148">
            <v>189705116</v>
          </cell>
          <cell r="F148" t="str">
            <v>Biotech Laboratories (Pty) Ltd</v>
          </cell>
          <cell r="G148">
            <v>15.63</v>
          </cell>
          <cell r="H148" t="str">
            <v>Eml</v>
          </cell>
          <cell r="I148">
            <v>6000</v>
          </cell>
          <cell r="J148">
            <v>660</v>
          </cell>
          <cell r="K148">
            <v>1320</v>
          </cell>
          <cell r="L148">
            <v>10315.800000000001</v>
          </cell>
        </row>
        <row r="149">
          <cell r="A149">
            <v>4054</v>
          </cell>
          <cell r="B149">
            <v>145</v>
          </cell>
          <cell r="C149">
            <v>35000</v>
          </cell>
          <cell r="D149" t="str">
            <v>Silver Sulfadiazine 1% cream, 250g</v>
          </cell>
          <cell r="E149">
            <v>189711323</v>
          </cell>
          <cell r="F149" t="str">
            <v>Smith &amp; Nephew Pharmaceuticals</v>
          </cell>
          <cell r="G149">
            <v>50.8</v>
          </cell>
          <cell r="H149" t="str">
            <v>Eml</v>
          </cell>
          <cell r="I149">
            <v>2000</v>
          </cell>
          <cell r="J149">
            <v>48</v>
          </cell>
          <cell r="K149">
            <v>96</v>
          </cell>
          <cell r="L149">
            <v>2438.3999999999996</v>
          </cell>
        </row>
        <row r="150">
          <cell r="A150">
            <v>492</v>
          </cell>
          <cell r="B150">
            <v>146</v>
          </cell>
          <cell r="C150">
            <v>134520</v>
          </cell>
          <cell r="D150" t="str">
            <v>Silver Sulfadiazine 1% cream, 500g</v>
          </cell>
          <cell r="E150">
            <v>189705115</v>
          </cell>
          <cell r="F150" t="str">
            <v>Biotech Laboratories (Pty) Ltd</v>
          </cell>
          <cell r="G150">
            <v>90.24</v>
          </cell>
          <cell r="H150" t="str">
            <v>Eml</v>
          </cell>
          <cell r="I150">
            <v>3500</v>
          </cell>
          <cell r="J150">
            <v>48</v>
          </cell>
          <cell r="K150">
            <v>96</v>
          </cell>
          <cell r="L150">
            <v>4331.5199999999995</v>
          </cell>
        </row>
        <row r="151">
          <cell r="A151">
            <v>3973</v>
          </cell>
          <cell r="B151">
            <v>77</v>
          </cell>
          <cell r="C151">
            <v>1821437</v>
          </cell>
          <cell r="D151" t="str">
            <v>Sulfamethoxazole and Trimethoprim 400/80mg tablet,  28 tablets</v>
          </cell>
          <cell r="E151">
            <v>181860989</v>
          </cell>
          <cell r="F151" t="str">
            <v>Akacia, Gulf, MDI</v>
          </cell>
          <cell r="G151">
            <v>5.4921498039215688</v>
          </cell>
          <cell r="H151" t="str">
            <v>Eml</v>
          </cell>
          <cell r="I151">
            <v>0</v>
          </cell>
          <cell r="J151">
            <v>3600</v>
          </cell>
          <cell r="K151">
            <v>7200</v>
          </cell>
          <cell r="L151">
            <v>19771.739294117648</v>
          </cell>
        </row>
        <row r="152">
          <cell r="A152">
            <v>3611</v>
          </cell>
          <cell r="B152">
            <v>78</v>
          </cell>
          <cell r="C152">
            <v>3373542</v>
          </cell>
          <cell r="D152" t="str">
            <v>Sulfamethoxazole and Trimethoprim 400/80mg tablet, 56 tablets</v>
          </cell>
          <cell r="E152">
            <v>181798147</v>
          </cell>
          <cell r="F152" t="str">
            <v>Akacia, Gulf, MDI</v>
          </cell>
          <cell r="G152">
            <v>9.5587780593893683</v>
          </cell>
          <cell r="H152" t="str">
            <v>Eml</v>
          </cell>
          <cell r="I152">
            <v>800000</v>
          </cell>
          <cell r="J152">
            <v>4560</v>
          </cell>
          <cell r="K152">
            <v>9120</v>
          </cell>
          <cell r="L152">
            <v>43588.027950815522</v>
          </cell>
        </row>
        <row r="153">
          <cell r="A153">
            <v>3977</v>
          </cell>
          <cell r="B153">
            <v>79</v>
          </cell>
          <cell r="C153">
            <v>860576</v>
          </cell>
          <cell r="D153" t="str">
            <v>Sulfamethoxazole and Trimethoprim 400/80mg tablet, 100 tablets</v>
          </cell>
          <cell r="E153">
            <v>189710380</v>
          </cell>
          <cell r="F153" t="str">
            <v>AKACIA HEALTHCARE (PTY)LTD</v>
          </cell>
          <cell r="G153">
            <v>15.89</v>
          </cell>
          <cell r="H153" t="str">
            <v>Eml</v>
          </cell>
          <cell r="I153">
            <v>40000</v>
          </cell>
          <cell r="J153">
            <v>360</v>
          </cell>
          <cell r="K153">
            <v>720</v>
          </cell>
          <cell r="L153">
            <v>5720.4000000000005</v>
          </cell>
        </row>
        <row r="154">
          <cell r="A154">
            <v>3066</v>
          </cell>
          <cell r="B154">
            <v>80</v>
          </cell>
          <cell r="C154">
            <v>8590540</v>
          </cell>
          <cell r="D154" t="str">
            <v xml:space="preserve">Sulfamethoxazole and Trimethoprim 800/160mg tablet, 28 tablets </v>
          </cell>
          <cell r="E154">
            <v>181821881</v>
          </cell>
          <cell r="F154" t="str">
            <v>not awarded</v>
          </cell>
          <cell r="G154" t="str">
            <v>not awarded</v>
          </cell>
          <cell r="H154" t="str">
            <v>Eml</v>
          </cell>
          <cell r="I154">
            <v>800000</v>
          </cell>
          <cell r="J154">
            <v>0</v>
          </cell>
          <cell r="K154">
            <v>0</v>
          </cell>
          <cell r="L154" t="e">
            <v>#VALUE!</v>
          </cell>
        </row>
        <row r="155">
          <cell r="A155">
            <v>318</v>
          </cell>
          <cell r="B155">
            <v>81</v>
          </cell>
          <cell r="C155">
            <v>2875414</v>
          </cell>
          <cell r="D155" t="str">
            <v>Sulfamethoxazole and Trimethoprim  200/40mg per 5ml suspension, 50ml</v>
          </cell>
          <cell r="E155">
            <v>189711315</v>
          </cell>
          <cell r="F155" t="str">
            <v>Gulf &amp; MDI</v>
          </cell>
          <cell r="G155">
            <v>3.3620000000000001</v>
          </cell>
          <cell r="H155" t="str">
            <v>Eml</v>
          </cell>
          <cell r="I155">
            <v>650000</v>
          </cell>
          <cell r="J155">
            <v>500</v>
          </cell>
          <cell r="K155">
            <v>1000</v>
          </cell>
          <cell r="L155">
            <v>1681</v>
          </cell>
        </row>
        <row r="156">
          <cell r="A156">
            <v>319</v>
          </cell>
          <cell r="B156">
            <v>82</v>
          </cell>
          <cell r="C156">
            <v>2259657</v>
          </cell>
          <cell r="D156" t="str">
            <v>Sulfamethoxazole and Trimethoprim  200/40mg per 5ml suspension, 100ml</v>
          </cell>
          <cell r="E156">
            <v>189703514</v>
          </cell>
          <cell r="F156" t="str">
            <v>Gulf &amp; MDI</v>
          </cell>
          <cell r="G156">
            <v>5.0680000000000005</v>
          </cell>
          <cell r="H156" t="str">
            <v>Eml</v>
          </cell>
          <cell r="I156">
            <v>300000</v>
          </cell>
          <cell r="J156">
            <v>1200</v>
          </cell>
          <cell r="K156">
            <v>2400</v>
          </cell>
          <cell r="L156">
            <v>6081.6</v>
          </cell>
        </row>
        <row r="157">
          <cell r="A157">
            <v>3206</v>
          </cell>
          <cell r="B157">
            <v>83</v>
          </cell>
          <cell r="C157">
            <v>439000</v>
          </cell>
          <cell r="D157" t="str">
            <v xml:space="preserve">Sulfamethoxazole and Trimethoprim 400/80mg  injection, 5ml </v>
          </cell>
          <cell r="E157">
            <v>189710893</v>
          </cell>
          <cell r="F157" t="str">
            <v>Pharmacare Limited</v>
          </cell>
          <cell r="G157">
            <v>8.2080000000000002</v>
          </cell>
          <cell r="H157" t="str">
            <v>Eml</v>
          </cell>
          <cell r="I157">
            <v>45800</v>
          </cell>
          <cell r="J157">
            <v>2240</v>
          </cell>
          <cell r="K157">
            <v>4480</v>
          </cell>
          <cell r="L157">
            <v>18385.920000000002</v>
          </cell>
        </row>
        <row r="158">
          <cell r="A158">
            <v>3044</v>
          </cell>
          <cell r="B158">
            <v>147</v>
          </cell>
          <cell r="C158">
            <v>724312</v>
          </cell>
          <cell r="D158" t="str">
            <v>Tobramycin 3mg/g eye ointment, 3.5 g</v>
          </cell>
          <cell r="E158">
            <v>189708681</v>
          </cell>
          <cell r="F158" t="str">
            <v>Alcon Laboratories (sa) (pty) Ltd</v>
          </cell>
          <cell r="G158">
            <v>28.32</v>
          </cell>
          <cell r="H158" t="str">
            <v>Non-Eml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</row>
        <row r="159">
          <cell r="A159">
            <v>86</v>
          </cell>
          <cell r="B159">
            <v>148</v>
          </cell>
          <cell r="C159">
            <v>143714</v>
          </cell>
          <cell r="D159" t="str">
            <v>Tobramycin 3mg/ml eye drops, 5ml</v>
          </cell>
          <cell r="E159">
            <v>189708042</v>
          </cell>
          <cell r="F159" t="str">
            <v>Alcon Laboratories  SA (Pty) Ltd</v>
          </cell>
          <cell r="G159">
            <v>17.22</v>
          </cell>
          <cell r="H159" t="str">
            <v>Non-Eml</v>
          </cell>
          <cell r="I159">
            <v>28000</v>
          </cell>
          <cell r="J159">
            <v>360</v>
          </cell>
          <cell r="K159">
            <v>720</v>
          </cell>
          <cell r="L159">
            <v>6199.2</v>
          </cell>
        </row>
        <row r="160">
          <cell r="A160" t="e">
            <v>#N/A</v>
          </cell>
          <cell r="B160" t="str">
            <v>New item 7</v>
          </cell>
          <cell r="C160">
            <v>0</v>
          </cell>
          <cell r="D160" t="str">
            <v>Valganciclovir 50mg/ml suspension, 100ml</v>
          </cell>
          <cell r="E160">
            <v>181804520</v>
          </cell>
          <cell r="F160" t="str">
            <v>Roche Products (Pty) Ltd</v>
          </cell>
          <cell r="G160">
            <v>10280.290000000001</v>
          </cell>
          <cell r="H160" t="str">
            <v>Eml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</row>
        <row r="161">
          <cell r="A161" t="e">
            <v>#N/A</v>
          </cell>
          <cell r="B161">
            <v>149</v>
          </cell>
          <cell r="C161">
            <v>1349</v>
          </cell>
          <cell r="D161" t="str">
            <v>Valganciclovir 450mg tablet, 60 tablets</v>
          </cell>
          <cell r="E161">
            <v>181804520</v>
          </cell>
          <cell r="F161" t="str">
            <v>Roche Products (Pty) Ltd</v>
          </cell>
          <cell r="G161" t="str">
            <v>R 10,280.29</v>
          </cell>
          <cell r="H161" t="str">
            <v>Eml</v>
          </cell>
          <cell r="I161">
            <v>0</v>
          </cell>
          <cell r="J161">
            <v>0</v>
          </cell>
          <cell r="K161">
            <v>0</v>
          </cell>
          <cell r="L161" t="e">
            <v>#VALUE!</v>
          </cell>
        </row>
        <row r="162">
          <cell r="A162">
            <v>87</v>
          </cell>
          <cell r="B162">
            <v>150</v>
          </cell>
          <cell r="C162">
            <v>123015</v>
          </cell>
          <cell r="D162" t="str">
            <v>Vancomycin 500mg injection</v>
          </cell>
          <cell r="E162">
            <v>189708886</v>
          </cell>
          <cell r="F162" t="str">
            <v>gulf Drug Company (Pty) Ltd</v>
          </cell>
          <cell r="G162">
            <v>23.37</v>
          </cell>
          <cell r="H162" t="str">
            <v>Eml</v>
          </cell>
          <cell r="I162">
            <v>6000</v>
          </cell>
          <cell r="J162">
            <v>840</v>
          </cell>
          <cell r="K162">
            <v>1680</v>
          </cell>
          <cell r="L162">
            <v>19630.8</v>
          </cell>
        </row>
        <row r="163">
          <cell r="A163">
            <v>2100</v>
          </cell>
          <cell r="B163">
            <v>151</v>
          </cell>
          <cell r="C163">
            <v>528078</v>
          </cell>
          <cell r="D163" t="str">
            <v>Vancomycin 1g injection</v>
          </cell>
          <cell r="E163">
            <v>180002810</v>
          </cell>
          <cell r="F163" t="str">
            <v>gulf Drug Company (Pty) Ltd</v>
          </cell>
          <cell r="G163">
            <v>33.92</v>
          </cell>
          <cell r="H163" t="str">
            <v>Eml</v>
          </cell>
          <cell r="I163">
            <v>3000</v>
          </cell>
          <cell r="J163">
            <v>400</v>
          </cell>
          <cell r="K163">
            <v>800</v>
          </cell>
          <cell r="L163">
            <v>13568</v>
          </cell>
        </row>
      </sheetData>
      <sheetData sheetId="3">
        <row r="1">
          <cell r="A1" t="str">
            <v>ST_NATO</v>
          </cell>
          <cell r="B1" t="str">
            <v>ST_RECORD</v>
          </cell>
          <cell r="C1" t="str">
            <v>ST_GENNAME</v>
          </cell>
        </row>
        <row r="2">
          <cell r="A2">
            <v>189708789</v>
          </cell>
          <cell r="B2">
            <v>1</v>
          </cell>
          <cell r="C2" t="str">
            <v>Amikacin Inj 250Mg/2ml 2Ml</v>
          </cell>
        </row>
        <row r="3">
          <cell r="A3">
            <v>189710336</v>
          </cell>
          <cell r="B3">
            <v>2</v>
          </cell>
          <cell r="C3" t="str">
            <v>Amoxycillin Caps 250Mg (500'S)</v>
          </cell>
        </row>
        <row r="4">
          <cell r="A4">
            <v>180192423</v>
          </cell>
          <cell r="B4">
            <v>3</v>
          </cell>
          <cell r="C4" t="str">
            <v>~Intrav Cath 20G Introducer Needle</v>
          </cell>
        </row>
        <row r="5">
          <cell r="A5">
            <v>180192425</v>
          </cell>
          <cell r="B5">
            <v>4</v>
          </cell>
          <cell r="C5" t="str">
            <v>~Intrav Cath 22G Introducer Needle</v>
          </cell>
        </row>
        <row r="6">
          <cell r="A6">
            <v>189710723</v>
          </cell>
          <cell r="B6">
            <v>5</v>
          </cell>
          <cell r="C6" t="str">
            <v>Amphotericin-B Inj 50Mg</v>
          </cell>
        </row>
        <row r="7">
          <cell r="A7" t="str">
            <v>.</v>
          </cell>
          <cell r="B7">
            <v>6</v>
          </cell>
          <cell r="C7" t="str">
            <v>Tpn 8008A</v>
          </cell>
        </row>
        <row r="8">
          <cell r="A8" t="str">
            <v>DELETED</v>
          </cell>
          <cell r="B8">
            <v>7</v>
          </cell>
          <cell r="C8" t="str">
            <v>Dressing Wound Dispersion  5Cm X  5Cm</v>
          </cell>
        </row>
        <row r="9">
          <cell r="A9">
            <v>189702886</v>
          </cell>
          <cell r="B9">
            <v>8</v>
          </cell>
          <cell r="C9" t="str">
            <v>Ampicillin Inj 250Mg</v>
          </cell>
        </row>
        <row r="10">
          <cell r="A10">
            <v>189702887</v>
          </cell>
          <cell r="B10">
            <v>9</v>
          </cell>
          <cell r="C10" t="str">
            <v>Ampicillin Inj 500Mg</v>
          </cell>
        </row>
        <row r="11">
          <cell r="A11">
            <v>180161753</v>
          </cell>
          <cell r="B11">
            <v>10</v>
          </cell>
          <cell r="C11" t="str">
            <v>~Cefuroxime 125Mg/5ml Susp 50Ml</v>
          </cell>
        </row>
        <row r="12">
          <cell r="A12" t="str">
            <v>QUOTE</v>
          </cell>
          <cell r="B12">
            <v>11</v>
          </cell>
          <cell r="C12" t="str">
            <v>Iodine 131 Caps (Radio Active Iodine 10Mci)</v>
          </cell>
        </row>
        <row r="13">
          <cell r="A13">
            <v>189710536</v>
          </cell>
          <cell r="B13">
            <v>12</v>
          </cell>
          <cell r="C13" t="str">
            <v>~Amphotericinb Lozenges 10Mg (20'S)</v>
          </cell>
        </row>
        <row r="14">
          <cell r="A14">
            <v>189700011</v>
          </cell>
          <cell r="B14">
            <v>13</v>
          </cell>
          <cell r="C14" t="str">
            <v>Benzathine Penicillin G Inj 2.4Mu</v>
          </cell>
        </row>
        <row r="15">
          <cell r="A15">
            <v>189700012</v>
          </cell>
          <cell r="B15">
            <v>14</v>
          </cell>
          <cell r="C15" t="str">
            <v>~Benzathine Procaine Penicillin S/dose Inj</v>
          </cell>
        </row>
        <row r="16">
          <cell r="A16">
            <v>189700015</v>
          </cell>
          <cell r="B16">
            <v>15</v>
          </cell>
          <cell r="C16" t="str">
            <v>Benzylpenicillin Inj 1Mu</v>
          </cell>
        </row>
        <row r="17">
          <cell r="A17">
            <v>189708788</v>
          </cell>
          <cell r="B17">
            <v>16</v>
          </cell>
          <cell r="C17" t="str">
            <v>Cefotaxime Inj 500Mg</v>
          </cell>
        </row>
        <row r="18">
          <cell r="A18">
            <v>189707452</v>
          </cell>
          <cell r="B18">
            <v>17</v>
          </cell>
          <cell r="C18" t="str">
            <v>~Cefoxitin 1G Inj</v>
          </cell>
        </row>
        <row r="19">
          <cell r="A19">
            <v>189705592</v>
          </cell>
          <cell r="B19">
            <v>18</v>
          </cell>
          <cell r="C19" t="str">
            <v>Cephalexin Susp 125Mg/5ml 100Ml</v>
          </cell>
        </row>
        <row r="20">
          <cell r="A20">
            <v>189755469</v>
          </cell>
          <cell r="B20">
            <v>19</v>
          </cell>
          <cell r="C20" t="str">
            <v>Cephalexin Caps 250Mg (20'S)</v>
          </cell>
        </row>
        <row r="21">
          <cell r="A21">
            <v>189714975</v>
          </cell>
          <cell r="B21">
            <v>20</v>
          </cell>
          <cell r="C21" t="str">
            <v>Cephalexin Tabs 500Mg (20'S)</v>
          </cell>
        </row>
        <row r="22">
          <cell r="A22">
            <v>181750480</v>
          </cell>
          <cell r="B22">
            <v>21</v>
          </cell>
          <cell r="C22" t="str">
            <v>Ceftriaxone Inj 500Mg</v>
          </cell>
        </row>
        <row r="23">
          <cell r="A23">
            <v>189710256</v>
          </cell>
          <cell r="B23">
            <v>22</v>
          </cell>
          <cell r="C23" t="str">
            <v>~Chloramphenicol Caps 250Mg (100'S)</v>
          </cell>
        </row>
        <row r="24">
          <cell r="A24" t="str">
            <v>*</v>
          </cell>
          <cell r="B24">
            <v>23</v>
          </cell>
          <cell r="C24" t="str">
            <v>Dressing Foam Adh Nanocrystalline Anti-Micro 10X20cm</v>
          </cell>
        </row>
        <row r="25">
          <cell r="A25">
            <v>189705057</v>
          </cell>
          <cell r="B25">
            <v>24</v>
          </cell>
          <cell r="C25" t="str">
            <v>Campaign: Swabs Alcohol</v>
          </cell>
        </row>
        <row r="26">
          <cell r="A26">
            <v>189705063</v>
          </cell>
          <cell r="B26">
            <v>25</v>
          </cell>
          <cell r="C26" t="str">
            <v>Chloramphenicol Inj 1G</v>
          </cell>
        </row>
        <row r="27">
          <cell r="A27">
            <v>189712133</v>
          </cell>
          <cell r="B27">
            <v>26</v>
          </cell>
          <cell r="C27" t="str">
            <v>Chloramphenicol Eye Drops 0.5% 10Ml</v>
          </cell>
        </row>
        <row r="28">
          <cell r="A28">
            <v>189700731</v>
          </cell>
          <cell r="B28">
            <v>27</v>
          </cell>
          <cell r="C28" t="str">
            <v>Chloramphenicol Eye Oint 1% 3,5G</v>
          </cell>
        </row>
        <row r="29">
          <cell r="A29">
            <v>180177484</v>
          </cell>
          <cell r="B29">
            <v>28</v>
          </cell>
          <cell r="C29" t="str">
            <v>Immunoglobulin Human Normal 12G Inj 400Ml</v>
          </cell>
        </row>
        <row r="30">
          <cell r="A30">
            <v>181818543</v>
          </cell>
          <cell r="B30">
            <v>29</v>
          </cell>
          <cell r="C30" t="str">
            <v>Flucloxacillin Caps 250Mg (40'S)</v>
          </cell>
        </row>
        <row r="31">
          <cell r="A31">
            <v>189705615</v>
          </cell>
          <cell r="B31">
            <v>30</v>
          </cell>
          <cell r="C31" t="str">
            <v>Cloxacillin Inj 250Mg</v>
          </cell>
        </row>
        <row r="32">
          <cell r="A32">
            <v>189705134</v>
          </cell>
          <cell r="B32">
            <v>31</v>
          </cell>
          <cell r="C32" t="str">
            <v>Cloxacillin Inj 500Mg</v>
          </cell>
        </row>
        <row r="33">
          <cell r="A33">
            <v>189711407</v>
          </cell>
          <cell r="B33">
            <v>32</v>
          </cell>
          <cell r="C33" t="str">
            <v>Flucloxacillin Susp 125Mg/5ml 100Ml</v>
          </cell>
        </row>
        <row r="34">
          <cell r="A34">
            <v>189762412</v>
          </cell>
          <cell r="B34">
            <v>33</v>
          </cell>
          <cell r="C34" t="str">
            <v>Doxycycline Caps 100Mg (100'S)</v>
          </cell>
        </row>
        <row r="35">
          <cell r="A35">
            <v>189714940</v>
          </cell>
          <cell r="B35">
            <v>34</v>
          </cell>
          <cell r="C35" t="str">
            <v>~Erythromycin Susp 250Mg/5ml 100Ml</v>
          </cell>
        </row>
        <row r="36">
          <cell r="A36">
            <v>189710733</v>
          </cell>
          <cell r="B36">
            <v>35</v>
          </cell>
          <cell r="C36" t="str">
            <v>~Erythromycin I.V Inj 1G</v>
          </cell>
        </row>
        <row r="37">
          <cell r="A37">
            <v>189712134</v>
          </cell>
          <cell r="B37">
            <v>36</v>
          </cell>
          <cell r="C37" t="str">
            <v>~Erythromycin Susp 125Mg/5ml 100Ml</v>
          </cell>
        </row>
        <row r="38">
          <cell r="A38">
            <v>189706258</v>
          </cell>
          <cell r="B38">
            <v>37</v>
          </cell>
          <cell r="C38" t="str">
            <v>Framycetin Gramicidin Dexamethasone Ear/eye Drops</v>
          </cell>
        </row>
        <row r="39">
          <cell r="A39">
            <v>181749810</v>
          </cell>
          <cell r="B39">
            <v>38</v>
          </cell>
          <cell r="C39" t="str">
            <v>Linezolid 600Mg/300ml Sol For Infusion</v>
          </cell>
        </row>
        <row r="40">
          <cell r="A40">
            <v>181918030</v>
          </cell>
          <cell r="B40">
            <v>39</v>
          </cell>
          <cell r="C40" t="str">
            <v>Alendronate Tabs 10Mg (30'S)</v>
          </cell>
        </row>
        <row r="41">
          <cell r="A41" t="str">
            <v>QOUTE</v>
          </cell>
          <cell r="B41">
            <v>40</v>
          </cell>
          <cell r="C41" t="str">
            <v>Paclitaxel Administration Sets</v>
          </cell>
        </row>
        <row r="42">
          <cell r="A42" t="str">
            <v>DELETED</v>
          </cell>
          <cell r="B42">
            <v>41</v>
          </cell>
          <cell r="C42" t="str">
            <v>~Framycetin Eye Oint 0,5% 5G</v>
          </cell>
        </row>
        <row r="43">
          <cell r="A43">
            <v>189705064</v>
          </cell>
          <cell r="B43">
            <v>42</v>
          </cell>
          <cell r="C43" t="str">
            <v>~Gentamicin Inj 20Mg Vial</v>
          </cell>
        </row>
        <row r="44">
          <cell r="A44">
            <v>181797302</v>
          </cell>
          <cell r="B44">
            <v>43</v>
          </cell>
          <cell r="C44" t="str">
            <v>~Gentamicin Beta Iodo Toln Crm 20G</v>
          </cell>
        </row>
        <row r="45">
          <cell r="A45">
            <v>189710974</v>
          </cell>
          <cell r="B45">
            <v>44</v>
          </cell>
          <cell r="C45" t="str">
            <v>Gentamicin Inj 20Mg Ampoule</v>
          </cell>
        </row>
        <row r="46">
          <cell r="A46">
            <v>180056669</v>
          </cell>
          <cell r="B46">
            <v>45</v>
          </cell>
          <cell r="C46" t="str">
            <v>Gentamicin Inj 80Mg Ampoule</v>
          </cell>
        </row>
        <row r="47">
          <cell r="A47">
            <v>189705066</v>
          </cell>
          <cell r="B47">
            <v>46</v>
          </cell>
          <cell r="C47" t="str">
            <v>~Gentamicin Inj 80Mg Vial</v>
          </cell>
        </row>
        <row r="48">
          <cell r="A48">
            <v>189705158</v>
          </cell>
          <cell r="B48">
            <v>47</v>
          </cell>
          <cell r="C48" t="str">
            <v>Gentamicin Eye Drops 3Mg/ml 5Ml</v>
          </cell>
        </row>
        <row r="49">
          <cell r="A49">
            <v>189714530</v>
          </cell>
          <cell r="B49">
            <v>48</v>
          </cell>
          <cell r="C49" t="str">
            <v>Ranitidine 300Mg Tabs (30'S)</v>
          </cell>
        </row>
        <row r="50">
          <cell r="A50">
            <v>189758585</v>
          </cell>
          <cell r="B50">
            <v>49</v>
          </cell>
          <cell r="C50" t="str">
            <v>Griseofulvin Tabs 125Mg (100'S)</v>
          </cell>
        </row>
        <row r="51">
          <cell r="A51">
            <v>189710255</v>
          </cell>
          <cell r="B51">
            <v>50</v>
          </cell>
          <cell r="C51" t="str">
            <v>Griseofulvin Tabs 500Mg (100'S)</v>
          </cell>
        </row>
        <row r="52">
          <cell r="A52">
            <v>181900107</v>
          </cell>
          <cell r="B52">
            <v>51</v>
          </cell>
          <cell r="C52" t="str">
            <v>Kanamycin Inj 1G 3Ml</v>
          </cell>
        </row>
        <row r="53">
          <cell r="A53">
            <v>189714945</v>
          </cell>
          <cell r="B53">
            <v>52</v>
          </cell>
          <cell r="C53" t="str">
            <v>~Minocycline Tabs 100Mg (100'S)</v>
          </cell>
        </row>
        <row r="54">
          <cell r="A54">
            <v>189708708</v>
          </cell>
          <cell r="B54">
            <v>53</v>
          </cell>
          <cell r="C54" t="str">
            <v>Natamycin Eye Drops 15Ml</v>
          </cell>
        </row>
        <row r="55">
          <cell r="A55">
            <v>189703045</v>
          </cell>
          <cell r="B55">
            <v>54</v>
          </cell>
          <cell r="C55" t="str">
            <v>~Neomycin Betamethasone Eye Drops 5Ml</v>
          </cell>
        </row>
        <row r="56">
          <cell r="A56" t="str">
            <v>QUOTE</v>
          </cell>
          <cell r="B56">
            <v>55</v>
          </cell>
          <cell r="C56" t="str">
            <v>Cath Double Lumen Pead 5Fr 13Cm Cvc Set</v>
          </cell>
        </row>
        <row r="57">
          <cell r="A57">
            <v>189705149</v>
          </cell>
          <cell r="B57">
            <v>56</v>
          </cell>
          <cell r="C57" t="str">
            <v>~Neomycin Chlorhexidine Nasal Crm 10G</v>
          </cell>
        </row>
        <row r="58">
          <cell r="A58">
            <v>180191871</v>
          </cell>
          <cell r="B58">
            <v>57</v>
          </cell>
          <cell r="C58" t="str">
            <v>Neomycin Polymixin Hydrocortisone Ear Drops</v>
          </cell>
        </row>
        <row r="59">
          <cell r="A59">
            <v>180162238</v>
          </cell>
          <cell r="B59">
            <v>58</v>
          </cell>
          <cell r="C59" t="str">
            <v>Sertraline 50Mg Caps  (30'S)</v>
          </cell>
        </row>
        <row r="60">
          <cell r="A60">
            <v>189714987</v>
          </cell>
          <cell r="B60">
            <v>59</v>
          </cell>
          <cell r="C60" t="str">
            <v>~Neomycin Prednisolone Lotion 30Ml</v>
          </cell>
        </row>
        <row r="61">
          <cell r="A61" t="str">
            <v>QUOTE</v>
          </cell>
          <cell r="B61">
            <v>60</v>
          </cell>
          <cell r="C61" t="str">
            <v>Punch Biopsy 3Mm</v>
          </cell>
        </row>
        <row r="62">
          <cell r="A62">
            <v>189712135</v>
          </cell>
          <cell r="B62">
            <v>61</v>
          </cell>
          <cell r="C62" t="str">
            <v>Nystatin Oral Susp 100 000Iu 20Ml</v>
          </cell>
        </row>
        <row r="63">
          <cell r="A63">
            <v>181761190</v>
          </cell>
          <cell r="B63">
            <v>62</v>
          </cell>
          <cell r="C63" t="str">
            <v>Tramadol Hcl 100Mg Caps/tabs (60'S)</v>
          </cell>
        </row>
        <row r="64">
          <cell r="A64">
            <v>189706000</v>
          </cell>
          <cell r="B64">
            <v>63</v>
          </cell>
          <cell r="C64" t="str">
            <v>Nystatin Topical Oint 100 000Iu 15Gm</v>
          </cell>
        </row>
        <row r="65">
          <cell r="A65">
            <v>189705999</v>
          </cell>
          <cell r="B65">
            <v>64</v>
          </cell>
          <cell r="C65" t="str">
            <v>~Nystatin Topical Crm 100 000Iu 15G</v>
          </cell>
        </row>
        <row r="66">
          <cell r="A66">
            <v>189708005</v>
          </cell>
          <cell r="B66">
            <v>65</v>
          </cell>
          <cell r="C66" t="str">
            <v>~Nystatin Nvaginal Cream 100 000Iu 60G</v>
          </cell>
        </row>
        <row r="67">
          <cell r="A67">
            <v>189712136</v>
          </cell>
          <cell r="B67">
            <v>66</v>
          </cell>
          <cell r="C67" t="str">
            <v>~Nystatin Vaginal Tabs</v>
          </cell>
        </row>
        <row r="68">
          <cell r="A68">
            <v>181936076</v>
          </cell>
          <cell r="B68">
            <v>67</v>
          </cell>
          <cell r="C68" t="str">
            <v>Olanzapine Tabs 10Mg (28'S)</v>
          </cell>
        </row>
        <row r="69">
          <cell r="A69">
            <v>180139617</v>
          </cell>
          <cell r="B69">
            <v>68</v>
          </cell>
          <cell r="C69" t="str">
            <v>Oxymetazoline Eye Drops 15Ml 0.025%</v>
          </cell>
        </row>
        <row r="70">
          <cell r="A70">
            <v>181778333</v>
          </cell>
          <cell r="B70">
            <v>69</v>
          </cell>
          <cell r="C70" t="str">
            <v>Filter Breath Viral Adult Straight 15Mm Id, 22 Co2 Port</v>
          </cell>
        </row>
        <row r="71">
          <cell r="A71">
            <v>189700734</v>
          </cell>
          <cell r="B71">
            <v>70</v>
          </cell>
          <cell r="C71" t="str">
            <v>~Oxytetracycline Polymixin Eye Oint 5G</v>
          </cell>
        </row>
        <row r="72">
          <cell r="A72">
            <v>189700961</v>
          </cell>
          <cell r="B72">
            <v>71</v>
          </cell>
          <cell r="C72" t="str">
            <v>~Oxytetracycline Polymixin Topical Oint 15G</v>
          </cell>
        </row>
        <row r="73">
          <cell r="A73">
            <v>180381452</v>
          </cell>
          <cell r="B73">
            <v>72</v>
          </cell>
          <cell r="C73" t="str">
            <v>Autoclave Vacuum Test Pack</v>
          </cell>
        </row>
        <row r="74">
          <cell r="A74">
            <v>189714957</v>
          </cell>
          <cell r="B74">
            <v>73</v>
          </cell>
          <cell r="C74" t="str">
            <v>~Phenoxymethyl Penicillin Tabs 250Mg</v>
          </cell>
        </row>
        <row r="75">
          <cell r="A75">
            <v>181932100</v>
          </cell>
          <cell r="B75">
            <v>74</v>
          </cell>
          <cell r="C75" t="str">
            <v>Piperacillin 4G/tazobactam Sodium 500Mg Inj</v>
          </cell>
        </row>
        <row r="76">
          <cell r="A76">
            <v>189710764</v>
          </cell>
          <cell r="B76">
            <v>75</v>
          </cell>
          <cell r="C76" t="str">
            <v>~Piperacillin Inj 4G</v>
          </cell>
        </row>
        <row r="77">
          <cell r="A77">
            <v>180157156</v>
          </cell>
          <cell r="B77">
            <v>76</v>
          </cell>
          <cell r="C77" t="str">
            <v>Procaine Penicillin Inj 300Mg/ml 10Ml</v>
          </cell>
        </row>
        <row r="78">
          <cell r="A78">
            <v>189710391</v>
          </cell>
          <cell r="B78">
            <v>77</v>
          </cell>
          <cell r="C78" t="str">
            <v>Rifampicin Caps 150Mg (100'S)</v>
          </cell>
        </row>
        <row r="79">
          <cell r="A79">
            <v>181879047</v>
          </cell>
          <cell r="B79">
            <v>78</v>
          </cell>
          <cell r="C79" t="str">
            <v>Rif  60 Inh 60 Disp Tabs (28'S)</v>
          </cell>
        </row>
        <row r="80">
          <cell r="A80">
            <v>189711338</v>
          </cell>
          <cell r="B80">
            <v>79</v>
          </cell>
          <cell r="C80" t="str">
            <v>Rifampicin Syr 100Mg/5ml 180Ml</v>
          </cell>
        </row>
        <row r="81">
          <cell r="A81">
            <v>181750482</v>
          </cell>
          <cell r="B81">
            <v>80</v>
          </cell>
          <cell r="C81" t="str">
            <v>Ceftriaxone Inj 1G</v>
          </cell>
        </row>
        <row r="82">
          <cell r="A82">
            <v>181817579</v>
          </cell>
          <cell r="B82">
            <v>81</v>
          </cell>
          <cell r="C82" t="str">
            <v>~Rif  60 Inh 30 Pza 150 (84'S)</v>
          </cell>
        </row>
        <row r="83">
          <cell r="A83">
            <v>181778981</v>
          </cell>
          <cell r="B83">
            <v>82</v>
          </cell>
          <cell r="C83" t="str">
            <v>Rifampicin Tabs 600Mg (100'S)</v>
          </cell>
        </row>
        <row r="84">
          <cell r="A84">
            <v>189700096</v>
          </cell>
          <cell r="B84">
            <v>83</v>
          </cell>
          <cell r="C84" t="str">
            <v>~Streptomycin 1G Inj 3Ml</v>
          </cell>
        </row>
        <row r="85">
          <cell r="A85">
            <v>189700097</v>
          </cell>
          <cell r="B85">
            <v>84</v>
          </cell>
          <cell r="C85" t="str">
            <v>~Streptomycin Inj 5G/15ml</v>
          </cell>
        </row>
        <row r="86">
          <cell r="A86">
            <v>181817496</v>
          </cell>
          <cell r="B86">
            <v>85</v>
          </cell>
          <cell r="C86" t="str">
            <v>Pyrazinamide 500Mg Tabs 28'S</v>
          </cell>
        </row>
        <row r="87">
          <cell r="A87">
            <v>189708042</v>
          </cell>
          <cell r="B87">
            <v>86</v>
          </cell>
          <cell r="C87" t="str">
            <v>Tobramycin Eye Drops 3Mg/ml 5Ml</v>
          </cell>
        </row>
        <row r="88">
          <cell r="A88">
            <v>189708886</v>
          </cell>
          <cell r="B88">
            <v>87</v>
          </cell>
          <cell r="C88" t="str">
            <v>Vancomycin Inj 500Mg/10ml 10Ml</v>
          </cell>
        </row>
        <row r="89">
          <cell r="A89">
            <v>189711124</v>
          </cell>
          <cell r="B89">
            <v>88</v>
          </cell>
          <cell r="C89" t="str">
            <v>Acetylcholine 40Mg Mannitol 200Mg For Eye Irrigation</v>
          </cell>
        </row>
        <row r="90">
          <cell r="A90">
            <v>189711365</v>
          </cell>
          <cell r="B90">
            <v>89</v>
          </cell>
          <cell r="C90" t="str">
            <v>Antazoline Eye Drops 15Ml</v>
          </cell>
        </row>
        <row r="91">
          <cell r="A91">
            <v>180259791</v>
          </cell>
          <cell r="B91">
            <v>90</v>
          </cell>
          <cell r="C91" t="str">
            <v>Apraclonidine Eye Drops 0,5%</v>
          </cell>
        </row>
        <row r="92">
          <cell r="A92">
            <v>180087294</v>
          </cell>
          <cell r="B92">
            <v>91</v>
          </cell>
          <cell r="C92" t="str">
            <v>Atropine Eye Drops 5Ml</v>
          </cell>
        </row>
        <row r="93">
          <cell r="A93">
            <v>189712745</v>
          </cell>
          <cell r="B93">
            <v>92</v>
          </cell>
          <cell r="C93" t="str">
            <v>Ophthalmic Irrigation Sol 500Ml</v>
          </cell>
        </row>
        <row r="94">
          <cell r="A94">
            <v>180362919</v>
          </cell>
          <cell r="B94">
            <v>93</v>
          </cell>
          <cell r="C94" t="str">
            <v>Beclomethasone M.D.I 100Mcg 200Dose</v>
          </cell>
        </row>
        <row r="95">
          <cell r="A95">
            <v>180267798</v>
          </cell>
          <cell r="B95">
            <v>94</v>
          </cell>
          <cell r="C95" t="str">
            <v>Beclomethasone Nasal Spray Aqueous 50Mcg</v>
          </cell>
        </row>
        <row r="96">
          <cell r="A96">
            <v>180961972</v>
          </cell>
          <cell r="B96">
            <v>95</v>
          </cell>
          <cell r="C96" t="str">
            <v>Syringe Safety 10Ml 20Gx40mm (0.9Mm) Needle</v>
          </cell>
        </row>
        <row r="97">
          <cell r="A97">
            <v>181835942</v>
          </cell>
          <cell r="B97">
            <v>96</v>
          </cell>
          <cell r="C97" t="str">
            <v>Moxifloxacin Hcl Eye Drops 5Ml</v>
          </cell>
        </row>
        <row r="98">
          <cell r="A98">
            <v>180034698</v>
          </cell>
          <cell r="B98">
            <v>97</v>
          </cell>
          <cell r="C98" t="str">
            <v>Hydroxypropylmethylcellulose 0.3% Eye Drops</v>
          </cell>
        </row>
        <row r="99">
          <cell r="A99">
            <v>181841585</v>
          </cell>
          <cell r="B99">
            <v>98</v>
          </cell>
          <cell r="C99" t="str">
            <v>Latanoprost 50Ug, Timolol 5Mg/ml</v>
          </cell>
        </row>
        <row r="100">
          <cell r="A100">
            <v>181851259</v>
          </cell>
          <cell r="B100">
            <v>99</v>
          </cell>
          <cell r="C100" t="str">
            <v>Dressing Wound Dispersion 10Cm X 10Cm</v>
          </cell>
        </row>
        <row r="101">
          <cell r="A101">
            <v>181821883</v>
          </cell>
          <cell r="B101">
            <v>100</v>
          </cell>
          <cell r="C101" t="str">
            <v>Hydrochlorothiazide Tabs 12.5Mg (28'S)</v>
          </cell>
        </row>
        <row r="102">
          <cell r="A102">
            <v>189707994</v>
          </cell>
          <cell r="B102">
            <v>101</v>
          </cell>
          <cell r="C102" t="str">
            <v>~Flumethasone Clioquinol Ear Drops 7.5Ml</v>
          </cell>
        </row>
        <row r="103">
          <cell r="A103">
            <v>180306324</v>
          </cell>
          <cell r="B103">
            <v>102</v>
          </cell>
          <cell r="C103" t="str">
            <v>Ketorolac Tromethamine 5Ml Eye Drops</v>
          </cell>
        </row>
        <row r="104">
          <cell r="A104">
            <v>3021070</v>
          </cell>
          <cell r="B104">
            <v>103</v>
          </cell>
          <cell r="C104" t="str">
            <v>Sut Chromic 2/0 3/8Tp 64Mm</v>
          </cell>
        </row>
        <row r="105">
          <cell r="A105" t="str">
            <v>DELETED</v>
          </cell>
          <cell r="B105">
            <v>104</v>
          </cell>
          <cell r="C105" t="str">
            <v>~Hexoprenaline Inhaler Complete 300Dose</v>
          </cell>
        </row>
        <row r="106">
          <cell r="A106">
            <v>189712250</v>
          </cell>
          <cell r="B106">
            <v>105</v>
          </cell>
          <cell r="C106" t="str">
            <v>Homatropine Hypromellose Eye Drops 5Ml</v>
          </cell>
        </row>
        <row r="107">
          <cell r="A107" t="str">
            <v>.</v>
          </cell>
          <cell r="B107">
            <v>106</v>
          </cell>
          <cell r="C107" t="str">
            <v>Polyacrylic Acid Gel 10G</v>
          </cell>
        </row>
        <row r="108">
          <cell r="A108">
            <v>189711240</v>
          </cell>
          <cell r="B108">
            <v>107</v>
          </cell>
          <cell r="C108" t="str">
            <v>Sodium Hyaluronate 10Mg/ml 0.4Ml Syringe</v>
          </cell>
        </row>
        <row r="109">
          <cell r="A109">
            <v>181900816</v>
          </cell>
          <cell r="B109">
            <v>108</v>
          </cell>
          <cell r="C109" t="str">
            <v>Stavudine Caps 30Mg (60'S)</v>
          </cell>
        </row>
        <row r="110">
          <cell r="A110">
            <v>180963227</v>
          </cell>
          <cell r="B110">
            <v>109</v>
          </cell>
          <cell r="C110" t="str">
            <v>Lignocaine Spray 10Mg 475 Dose</v>
          </cell>
        </row>
        <row r="111">
          <cell r="A111">
            <v>189703838</v>
          </cell>
          <cell r="B111">
            <v>110</v>
          </cell>
          <cell r="C111" t="str">
            <v>Oxybuprocaine Eye Drops 0.4%M/v</v>
          </cell>
        </row>
        <row r="112">
          <cell r="A112">
            <v>189707390</v>
          </cell>
          <cell r="B112">
            <v>111</v>
          </cell>
          <cell r="C112" t="str">
            <v>Oxymetazoline Nose Drops 0.025%</v>
          </cell>
        </row>
        <row r="113">
          <cell r="A113">
            <v>189705181</v>
          </cell>
          <cell r="B113">
            <v>112</v>
          </cell>
          <cell r="C113" t="str">
            <v>Oxymetazoline Nose Drops 0.05%</v>
          </cell>
        </row>
        <row r="114">
          <cell r="A114">
            <v>189760265</v>
          </cell>
          <cell r="B114">
            <v>113</v>
          </cell>
          <cell r="C114" t="str">
            <v>Phenylephrine Eye Drops 10% 7.5Ml</v>
          </cell>
        </row>
        <row r="115">
          <cell r="A115">
            <v>181772811</v>
          </cell>
          <cell r="B115">
            <v>114</v>
          </cell>
          <cell r="C115" t="str">
            <v>Bimatoprost 0.3Mg/ml Eye Drops 3Ml</v>
          </cell>
        </row>
        <row r="116">
          <cell r="A116">
            <v>189714725</v>
          </cell>
          <cell r="B116">
            <v>115</v>
          </cell>
          <cell r="C116" t="str">
            <v>Pilocarpine Eye Drops 1% 15Ml</v>
          </cell>
        </row>
        <row r="117">
          <cell r="A117">
            <v>189713905</v>
          </cell>
          <cell r="B117">
            <v>116</v>
          </cell>
          <cell r="C117" t="str">
            <v>~Pilocarpine Eye Drops 4% 15Ml</v>
          </cell>
        </row>
        <row r="118">
          <cell r="A118">
            <v>180975217</v>
          </cell>
          <cell r="B118">
            <v>117</v>
          </cell>
          <cell r="C118" t="str">
            <v>Plastic Wound Dressing Aerosol 100Ml</v>
          </cell>
        </row>
        <row r="119">
          <cell r="A119">
            <v>189714797</v>
          </cell>
          <cell r="B119">
            <v>118</v>
          </cell>
          <cell r="C119" t="str">
            <v>Polyethylene Glycol Isop Spray 100G</v>
          </cell>
        </row>
        <row r="120">
          <cell r="A120">
            <v>189714729</v>
          </cell>
          <cell r="B120">
            <v>119</v>
          </cell>
          <cell r="C120" t="str">
            <v>~Polyvinyl Alcohol Eye Drops 15Ml</v>
          </cell>
        </row>
        <row r="121">
          <cell r="A121">
            <v>189707170</v>
          </cell>
          <cell r="B121">
            <v>120</v>
          </cell>
          <cell r="C121" t="str">
            <v>~Povidone Iodine Solution Spray 100Ml</v>
          </cell>
        </row>
        <row r="122">
          <cell r="A122">
            <v>189706016</v>
          </cell>
          <cell r="B122">
            <v>121</v>
          </cell>
          <cell r="C122" t="str">
            <v>~Salbutamol M.D.I Refill 100Mcg 200 Dose</v>
          </cell>
        </row>
        <row r="123">
          <cell r="A123">
            <v>189703618</v>
          </cell>
          <cell r="B123">
            <v>122</v>
          </cell>
          <cell r="C123" t="str">
            <v>Salbutamol M.D.I. 100Mcg 200 Dose</v>
          </cell>
        </row>
        <row r="124">
          <cell r="A124">
            <v>189710033</v>
          </cell>
          <cell r="B124">
            <v>123</v>
          </cell>
          <cell r="C124" t="str">
            <v>~Sodium Cromoglycate Inhalant Caps 20Mg</v>
          </cell>
        </row>
        <row r="125">
          <cell r="A125">
            <v>189758556</v>
          </cell>
          <cell r="B125">
            <v>124</v>
          </cell>
          <cell r="C125" t="str">
            <v>~Sodium Cromoglycate Spinhaler</v>
          </cell>
        </row>
        <row r="126">
          <cell r="A126">
            <v>181745282</v>
          </cell>
          <cell r="B126">
            <v>125</v>
          </cell>
          <cell r="C126" t="str">
            <v>Sodium Cromoglycate Eye Drops 2% 10Ml</v>
          </cell>
        </row>
        <row r="127">
          <cell r="A127">
            <v>181838247</v>
          </cell>
          <cell r="B127">
            <v>126</v>
          </cell>
          <cell r="C127" t="str">
            <v>Brimonidine 1.5Mg/ml Eye Drops 5Ml</v>
          </cell>
        </row>
        <row r="128">
          <cell r="A128">
            <v>189714735</v>
          </cell>
          <cell r="B128">
            <v>127</v>
          </cell>
          <cell r="C128" t="str">
            <v>Timolol Eye Drops 0.25% 5Ml</v>
          </cell>
        </row>
        <row r="129">
          <cell r="A129">
            <v>189711308</v>
          </cell>
          <cell r="B129">
            <v>128</v>
          </cell>
          <cell r="C129" t="str">
            <v>Timolol Eye Drops 0.5% 5Ml</v>
          </cell>
        </row>
        <row r="130">
          <cell r="A130">
            <v>180150384</v>
          </cell>
          <cell r="B130">
            <v>129</v>
          </cell>
          <cell r="C130" t="str">
            <v>Arachis Oil Paradichlorbenzene Chlorbutol Ear Drops</v>
          </cell>
        </row>
        <row r="131">
          <cell r="A131">
            <v>189714739</v>
          </cell>
          <cell r="B131">
            <v>130</v>
          </cell>
          <cell r="C131" t="str">
            <v>Tropicamide Eye Drops 1% 15Ml</v>
          </cell>
        </row>
        <row r="132">
          <cell r="A132">
            <v>181908007</v>
          </cell>
          <cell r="B132">
            <v>131</v>
          </cell>
          <cell r="C132" t="str">
            <v>Needle Stimuplex A50</v>
          </cell>
        </row>
        <row r="133">
          <cell r="A133">
            <v>181795795</v>
          </cell>
          <cell r="B133">
            <v>132</v>
          </cell>
          <cell r="C133" t="str">
            <v>Intra Uterine Device Short Cu380</v>
          </cell>
        </row>
        <row r="134">
          <cell r="A134">
            <v>189712383</v>
          </cell>
          <cell r="B134">
            <v>133</v>
          </cell>
          <cell r="C134" t="str">
            <v>~Intra Uterine Device 375</v>
          </cell>
        </row>
        <row r="135">
          <cell r="A135">
            <v>189705223</v>
          </cell>
          <cell r="B135">
            <v>134</v>
          </cell>
          <cell r="C135" t="str">
            <v>Oral Contraceptive Monophasic Low</v>
          </cell>
        </row>
        <row r="136">
          <cell r="A136">
            <v>189703093</v>
          </cell>
          <cell r="B136">
            <v>135</v>
          </cell>
          <cell r="C136" t="str">
            <v>Oral Contraceptive Progestogen</v>
          </cell>
        </row>
        <row r="137">
          <cell r="A137">
            <v>189762873</v>
          </cell>
          <cell r="B137">
            <v>136</v>
          </cell>
          <cell r="C137" t="str">
            <v>Medroxyprogesterone Inj 150Mg/ml 1Ml</v>
          </cell>
        </row>
        <row r="138">
          <cell r="A138">
            <v>189750995</v>
          </cell>
          <cell r="B138">
            <v>137</v>
          </cell>
          <cell r="C138" t="str">
            <v>Norethisterone Inj 200Mg/ml Long-Acting</v>
          </cell>
        </row>
        <row r="139">
          <cell r="A139">
            <v>189702739</v>
          </cell>
          <cell r="B139">
            <v>138</v>
          </cell>
          <cell r="C139" t="str">
            <v>Oral Contraceptive Monophasic High</v>
          </cell>
        </row>
        <row r="140">
          <cell r="A140">
            <v>189707391</v>
          </cell>
          <cell r="B140">
            <v>139</v>
          </cell>
          <cell r="C140" t="str">
            <v>Oral Contraceptive Triphasic Low</v>
          </cell>
        </row>
        <row r="141">
          <cell r="A141">
            <v>181774538</v>
          </cell>
          <cell r="B141">
            <v>140</v>
          </cell>
          <cell r="C141" t="str">
            <v>Alcohol 96% 20L</v>
          </cell>
        </row>
        <row r="142">
          <cell r="A142">
            <v>181774548</v>
          </cell>
          <cell r="B142">
            <v>141</v>
          </cell>
          <cell r="C142" t="str">
            <v>Ether Technical  500Ml</v>
          </cell>
        </row>
        <row r="143">
          <cell r="A143" t="str">
            <v>RT 180 5.3</v>
          </cell>
          <cell r="B143">
            <v>142</v>
          </cell>
          <cell r="C143" t="str">
            <v>Ether Technical 25L</v>
          </cell>
        </row>
        <row r="144">
          <cell r="A144">
            <v>189715124</v>
          </cell>
          <cell r="B144">
            <v>143</v>
          </cell>
          <cell r="C144" t="str">
            <v>Glycerine  500Ml</v>
          </cell>
        </row>
        <row r="145">
          <cell r="A145">
            <v>189703002</v>
          </cell>
          <cell r="B145">
            <v>144</v>
          </cell>
          <cell r="C145" t="str">
            <v>Campaign: Needle Hypodermic 23G</v>
          </cell>
        </row>
        <row r="146">
          <cell r="A146">
            <v>180258014</v>
          </cell>
          <cell r="B146">
            <v>145</v>
          </cell>
          <cell r="C146" t="str">
            <v>Tpn 7009A</v>
          </cell>
        </row>
        <row r="147">
          <cell r="A147">
            <v>181781208</v>
          </cell>
          <cell r="B147">
            <v>146</v>
          </cell>
          <cell r="C147" t="str">
            <v>Abacavir 20Mg/ml Oral Sol - 240Ml</v>
          </cell>
        </row>
        <row r="148">
          <cell r="A148">
            <v>180075476</v>
          </cell>
          <cell r="B148">
            <v>147</v>
          </cell>
          <cell r="C148" t="str">
            <v>Acyclovir Inj 250Mg</v>
          </cell>
        </row>
        <row r="149">
          <cell r="A149">
            <v>180075485</v>
          </cell>
          <cell r="B149">
            <v>148</v>
          </cell>
          <cell r="C149" t="str">
            <v>Adrenaline Inj 0.1Mg/ml 1:1000  1Ml</v>
          </cell>
        </row>
        <row r="150">
          <cell r="A150">
            <v>189705621</v>
          </cell>
          <cell r="B150">
            <v>149</v>
          </cell>
          <cell r="C150" t="str">
            <v>~Alcuronium Inj 5Mg/ml 2Ml</v>
          </cell>
        </row>
        <row r="151">
          <cell r="A151">
            <v>180075489</v>
          </cell>
          <cell r="B151">
            <v>150</v>
          </cell>
          <cell r="C151" t="str">
            <v>Alfentanil Inj 0.5Mg/ml 2Ml</v>
          </cell>
        </row>
        <row r="152">
          <cell r="A152">
            <v>181896196</v>
          </cell>
          <cell r="B152">
            <v>151</v>
          </cell>
          <cell r="C152" t="str">
            <v>Efavirenz 600Mg Caps (30'S)</v>
          </cell>
        </row>
        <row r="153">
          <cell r="A153">
            <v>189700102</v>
          </cell>
          <cell r="B153">
            <v>152</v>
          </cell>
          <cell r="C153" t="str">
            <v>Aminophyllin Inj For I.V.Use  25Mg/ml 10Ml</v>
          </cell>
        </row>
        <row r="154">
          <cell r="A154">
            <v>189700101</v>
          </cell>
          <cell r="B154">
            <v>153</v>
          </cell>
          <cell r="C154" t="str">
            <v>`Aminophyllin Inj For I.M.Use 250Mg/ml 2Ml</v>
          </cell>
        </row>
        <row r="155">
          <cell r="A155">
            <v>180258264</v>
          </cell>
          <cell r="B155">
            <v>154</v>
          </cell>
          <cell r="C155" t="str">
            <v>Tpn 3013Xa</v>
          </cell>
        </row>
        <row r="156">
          <cell r="A156">
            <v>189700008</v>
          </cell>
          <cell r="B156">
            <v>155</v>
          </cell>
          <cell r="C156" t="str">
            <v>Ascorbic Acid Inj For I.V.Use 100Mg/ml 5Ml</v>
          </cell>
        </row>
        <row r="157">
          <cell r="A157">
            <v>189707023</v>
          </cell>
          <cell r="B157">
            <v>156</v>
          </cell>
          <cell r="C157" t="str">
            <v>Atropine Inj 0.5Mg/ml 1Ml</v>
          </cell>
        </row>
        <row r="158">
          <cell r="A158">
            <v>189707024</v>
          </cell>
          <cell r="B158">
            <v>158</v>
          </cell>
          <cell r="C158" t="str">
            <v>Atropine Inj 1Mg/ml  1Ml</v>
          </cell>
        </row>
        <row r="159">
          <cell r="A159" t="str">
            <v>MOTIVATION</v>
          </cell>
          <cell r="B159">
            <v>159</v>
          </cell>
          <cell r="C159" t="str">
            <v>~Cladribine 1Mg/ml Injection</v>
          </cell>
        </row>
        <row r="160">
          <cell r="A160" t="str">
            <v>MOTIVATION</v>
          </cell>
          <cell r="B160">
            <v>160</v>
          </cell>
          <cell r="C160" t="str">
            <v>Dactinomycin 0.51Mg Vial</v>
          </cell>
        </row>
        <row r="161">
          <cell r="A161">
            <v>181803365</v>
          </cell>
          <cell r="B161">
            <v>161</v>
          </cell>
          <cell r="C161" t="str">
            <v>Risperidone Inj 25Mg</v>
          </cell>
        </row>
        <row r="162">
          <cell r="A162">
            <v>180075548</v>
          </cell>
          <cell r="B162">
            <v>162</v>
          </cell>
          <cell r="C162" t="str">
            <v>Biperidin Inj 5Mg/ml</v>
          </cell>
        </row>
        <row r="163">
          <cell r="A163">
            <v>180075555</v>
          </cell>
          <cell r="B163">
            <v>163</v>
          </cell>
          <cell r="C163" t="str">
            <v>~Bupivacaine Inj With Adrenaline 5Mg;5mcg/ml 20Ml</v>
          </cell>
        </row>
        <row r="164">
          <cell r="A164">
            <v>180075551</v>
          </cell>
          <cell r="B164">
            <v>164</v>
          </cell>
          <cell r="C164" t="str">
            <v>Bupivacaine Inj 5Mg/ml 10Ml</v>
          </cell>
        </row>
        <row r="165">
          <cell r="A165">
            <v>180075553</v>
          </cell>
          <cell r="B165">
            <v>165</v>
          </cell>
          <cell r="C165" t="str">
            <v>Bupivacaine Inj Spinal 5Mg/ml 4Ml</v>
          </cell>
        </row>
        <row r="166">
          <cell r="A166">
            <v>180075556</v>
          </cell>
          <cell r="B166">
            <v>166</v>
          </cell>
          <cell r="C166" t="str">
            <v>Bupivacaine Inj Spinal (Dextrose) 4Ml</v>
          </cell>
        </row>
        <row r="167">
          <cell r="A167">
            <v>180075565</v>
          </cell>
          <cell r="B167">
            <v>167</v>
          </cell>
          <cell r="C167" t="str">
            <v>Calcium Gluconate Inj 10% 10Ml</v>
          </cell>
        </row>
        <row r="168">
          <cell r="A168">
            <v>180076442</v>
          </cell>
          <cell r="B168">
            <v>168</v>
          </cell>
          <cell r="C168" t="str">
            <v>Octreotide 0.05Mg Injection</v>
          </cell>
        </row>
        <row r="169">
          <cell r="A169">
            <v>180075625</v>
          </cell>
          <cell r="B169">
            <v>169</v>
          </cell>
          <cell r="C169" t="str">
            <v>Chlorpromazine Inj 25Mg/ml 1Ml</v>
          </cell>
        </row>
        <row r="170">
          <cell r="A170">
            <v>180075629</v>
          </cell>
          <cell r="B170">
            <v>170</v>
          </cell>
          <cell r="C170" t="str">
            <v>~Chlorpromazine Inj 25Mg/ml 2Ml</v>
          </cell>
        </row>
        <row r="171">
          <cell r="A171">
            <v>180075649</v>
          </cell>
          <cell r="B171">
            <v>171</v>
          </cell>
          <cell r="C171" t="str">
            <v>~Cimetidine Inj 100Mg/ml 2Ml</v>
          </cell>
        </row>
        <row r="172">
          <cell r="A172">
            <v>180075726</v>
          </cell>
          <cell r="B172">
            <v>172</v>
          </cell>
          <cell r="C172" t="str">
            <v>Clonazepam Inj 1Mg/ml 1Ml</v>
          </cell>
        </row>
        <row r="173">
          <cell r="A173">
            <v>180075729</v>
          </cell>
          <cell r="B173">
            <v>173</v>
          </cell>
          <cell r="C173" t="str">
            <v>Clothiapine Inj 10Mg/ml  4Ml</v>
          </cell>
        </row>
        <row r="174">
          <cell r="A174">
            <v>189715773</v>
          </cell>
          <cell r="B174">
            <v>174</v>
          </cell>
          <cell r="C174" t="str">
            <v>Cyanocobalamin Inj Vit B12 1000Mcg/ml 1Ml</v>
          </cell>
        </row>
        <row r="175">
          <cell r="A175">
            <v>180251455</v>
          </cell>
          <cell r="B175">
            <v>175</v>
          </cell>
          <cell r="C175" t="str">
            <v>Erythropoietin 10 000Iu Inj</v>
          </cell>
        </row>
        <row r="176">
          <cell r="A176">
            <v>180075759</v>
          </cell>
          <cell r="B176">
            <v>176</v>
          </cell>
          <cell r="C176" t="str">
            <v>Dexamethasone Inj 4Mg/ml 1Ml</v>
          </cell>
        </row>
        <row r="177">
          <cell r="A177">
            <v>180352804</v>
          </cell>
          <cell r="B177">
            <v>177</v>
          </cell>
          <cell r="C177" t="str">
            <v>Dextrose In Water Inj 50% 50Ml</v>
          </cell>
        </row>
        <row r="178">
          <cell r="A178">
            <v>180075798</v>
          </cell>
          <cell r="B178">
            <v>178</v>
          </cell>
          <cell r="C178" t="str">
            <v>Diazepam Inj 5Mg/ml 2Ml</v>
          </cell>
        </row>
        <row r="179">
          <cell r="A179">
            <v>180075799</v>
          </cell>
          <cell r="B179">
            <v>179</v>
          </cell>
          <cell r="C179" t="str">
            <v>Diclofenac Inj 25Mg/ml 3Ml</v>
          </cell>
        </row>
        <row r="180">
          <cell r="A180">
            <v>180075803</v>
          </cell>
          <cell r="B180">
            <v>180</v>
          </cell>
          <cell r="C180" t="str">
            <v>Digoxin Inj 0.25Mg/ml 2Ml</v>
          </cell>
        </row>
        <row r="181">
          <cell r="A181" t="str">
            <v>QUOTE</v>
          </cell>
          <cell r="B181">
            <v>181</v>
          </cell>
          <cell r="C181" t="str">
            <v>Mycobutin 150Mg Caps 30'</v>
          </cell>
        </row>
        <row r="182">
          <cell r="A182">
            <v>181858236</v>
          </cell>
          <cell r="B182">
            <v>182</v>
          </cell>
          <cell r="C182" t="str">
            <v>~5-Fluorouracil 50Mg/ml Inj 100Ml</v>
          </cell>
        </row>
        <row r="183">
          <cell r="A183">
            <v>180075879</v>
          </cell>
          <cell r="B183">
            <v>183</v>
          </cell>
          <cell r="C183" t="str">
            <v>Dopamine Inj 40Mg/ml 5Ml</v>
          </cell>
        </row>
        <row r="184">
          <cell r="A184">
            <v>189705126</v>
          </cell>
          <cell r="B184">
            <v>184</v>
          </cell>
          <cell r="C184" t="str">
            <v>~Droperidol Inj 2.5Mg/ml 2Ml</v>
          </cell>
        </row>
        <row r="185">
          <cell r="A185">
            <v>189713748</v>
          </cell>
          <cell r="B185">
            <v>185</v>
          </cell>
          <cell r="C185" t="str">
            <v>Ephedrine Inj 50Mg/ml 1Ml</v>
          </cell>
        </row>
        <row r="186">
          <cell r="A186">
            <v>180075885</v>
          </cell>
          <cell r="B186">
            <v>186</v>
          </cell>
          <cell r="C186" t="str">
            <v>Ergometrine Inj 0.5Mg/ml 1Ml</v>
          </cell>
        </row>
        <row r="187">
          <cell r="A187" t="str">
            <v>QUOTE</v>
          </cell>
          <cell r="B187">
            <v>187</v>
          </cell>
          <cell r="C187" t="str">
            <v>Epinephrine 1Mg/ml Injection</v>
          </cell>
        </row>
        <row r="188">
          <cell r="A188">
            <v>180075956</v>
          </cell>
          <cell r="B188">
            <v>188</v>
          </cell>
          <cell r="C188" t="str">
            <v>Etomidate Inj 2Mg/ml 10Ml</v>
          </cell>
        </row>
        <row r="189">
          <cell r="A189">
            <v>180075959</v>
          </cell>
          <cell r="B189">
            <v>189</v>
          </cell>
          <cell r="C189" t="str">
            <v>Fentanyl Citrate Inj 0.05Mg/ml 2Ml</v>
          </cell>
        </row>
        <row r="190">
          <cell r="A190">
            <v>180017761</v>
          </cell>
          <cell r="B190">
            <v>190</v>
          </cell>
          <cell r="C190" t="str">
            <v>Flupenthixol Decanoate Inj 20Mg/ml 1Ml</v>
          </cell>
        </row>
        <row r="191">
          <cell r="A191">
            <v>180017769</v>
          </cell>
          <cell r="B191">
            <v>191</v>
          </cell>
          <cell r="C191" t="str">
            <v>~Flupenthixol Decanoate Inj 20Mg/ml 2Ml</v>
          </cell>
        </row>
        <row r="192">
          <cell r="A192">
            <v>189704449</v>
          </cell>
          <cell r="B192">
            <v>192</v>
          </cell>
          <cell r="C192" t="str">
            <v>Fluphenazine Decanoate Inj 25Mg/ml 10Ml</v>
          </cell>
        </row>
        <row r="193">
          <cell r="A193">
            <v>180075982</v>
          </cell>
          <cell r="B193">
            <v>193</v>
          </cell>
          <cell r="C193" t="str">
            <v>Furosemide Inj 10Mg/ml  2Ml</v>
          </cell>
        </row>
        <row r="194">
          <cell r="A194">
            <v>180075988</v>
          </cell>
          <cell r="B194">
            <v>194</v>
          </cell>
          <cell r="C194" t="str">
            <v>Furosemide Inj 10Mg/ml 25Ml</v>
          </cell>
        </row>
        <row r="195">
          <cell r="A195">
            <v>180076000</v>
          </cell>
          <cell r="B195">
            <v>195</v>
          </cell>
          <cell r="C195" t="str">
            <v>Haloperidol Inj  5Mg/ml 1Ml</v>
          </cell>
        </row>
        <row r="196">
          <cell r="A196">
            <v>189710951</v>
          </cell>
          <cell r="B196">
            <v>196</v>
          </cell>
          <cell r="C196" t="str">
            <v>Heparin Inj  5000Iu/ml 5Ml</v>
          </cell>
        </row>
        <row r="197">
          <cell r="A197">
            <v>180076011</v>
          </cell>
          <cell r="B197">
            <v>197</v>
          </cell>
          <cell r="C197" t="str">
            <v>~Heparin Inj 5000Iu/ml 1Ml</v>
          </cell>
        </row>
        <row r="198">
          <cell r="A198">
            <v>180076017</v>
          </cell>
          <cell r="B198">
            <v>198</v>
          </cell>
          <cell r="C198" t="str">
            <v>~Hexoprenaline Inj 2.5Mcg/ml  2Ml</v>
          </cell>
        </row>
        <row r="199">
          <cell r="A199">
            <v>180076019</v>
          </cell>
          <cell r="B199">
            <v>199</v>
          </cell>
          <cell r="C199" t="str">
            <v>~Hexoprenaline Inj 2.5Mcg/ml 10Ml</v>
          </cell>
        </row>
        <row r="200">
          <cell r="A200">
            <v>180018040</v>
          </cell>
          <cell r="B200">
            <v>200</v>
          </cell>
          <cell r="C200" t="str">
            <v>Hydrocortisone Inj 100Mg/2ml</v>
          </cell>
        </row>
        <row r="201">
          <cell r="A201">
            <v>181799280</v>
          </cell>
          <cell r="B201">
            <v>201</v>
          </cell>
          <cell r="C201" t="str">
            <v>~Esomeprazole 40Mg Inj</v>
          </cell>
        </row>
        <row r="202">
          <cell r="A202">
            <v>180089469</v>
          </cell>
          <cell r="B202">
            <v>202</v>
          </cell>
          <cell r="C202" t="str">
            <v>~Hydroxyzine Inj 50Mg/ml 2Ml</v>
          </cell>
        </row>
        <row r="203">
          <cell r="A203" t="str">
            <v>MOT</v>
          </cell>
          <cell r="B203">
            <v>203</v>
          </cell>
          <cell r="C203" t="str">
            <v>~Imiglucerase 400U Vial</v>
          </cell>
        </row>
        <row r="204">
          <cell r="A204">
            <v>180076081</v>
          </cell>
          <cell r="B204">
            <v>204</v>
          </cell>
          <cell r="C204" t="str">
            <v>Hyoscine-N-Butylbrom Inj 20Mg/ml 1Ml</v>
          </cell>
        </row>
        <row r="205">
          <cell r="A205" t="str">
            <v>DELETED</v>
          </cell>
          <cell r="B205">
            <v>205</v>
          </cell>
          <cell r="C205" t="str">
            <v>~Insulin Inj Device 1,5Ml Penfill</v>
          </cell>
        </row>
        <row r="206">
          <cell r="A206">
            <v>181917195</v>
          </cell>
          <cell r="B206">
            <v>206</v>
          </cell>
          <cell r="C206" t="str">
            <v>Device: Re-Usable Pen For 3Ml Insulin Cartridge</v>
          </cell>
        </row>
        <row r="207">
          <cell r="A207">
            <v>189710587</v>
          </cell>
          <cell r="B207">
            <v>207</v>
          </cell>
          <cell r="C207" t="str">
            <v>Insulin Humulin N 10Ml</v>
          </cell>
        </row>
        <row r="208">
          <cell r="A208">
            <v>191915214</v>
          </cell>
          <cell r="B208">
            <v>208</v>
          </cell>
          <cell r="C208" t="str">
            <v>Needle Insulin Penset 31G X 8Mm</v>
          </cell>
        </row>
        <row r="209">
          <cell r="A209">
            <v>189710585</v>
          </cell>
          <cell r="B209">
            <v>209</v>
          </cell>
          <cell r="C209" t="str">
            <v>Insulin Humulin R 10Ml</v>
          </cell>
        </row>
        <row r="210">
          <cell r="A210">
            <v>189711634</v>
          </cell>
          <cell r="B210">
            <v>210</v>
          </cell>
          <cell r="C210" t="str">
            <v>Insulin Humulin 30/70 10Ml</v>
          </cell>
        </row>
        <row r="211">
          <cell r="A211" t="str">
            <v>DELETED</v>
          </cell>
          <cell r="B211">
            <v>211</v>
          </cell>
          <cell r="C211" t="str">
            <v>~Insulin Actraphane Hm  1,5Ml Penfill</v>
          </cell>
        </row>
        <row r="212">
          <cell r="A212">
            <v>189711669</v>
          </cell>
          <cell r="B212">
            <v>212</v>
          </cell>
          <cell r="C212" t="str">
            <v>~Insulin Monotard Hm 10Ml</v>
          </cell>
        </row>
        <row r="213">
          <cell r="A213">
            <v>180076304</v>
          </cell>
          <cell r="B213">
            <v>213</v>
          </cell>
          <cell r="C213" t="str">
            <v>~Isoproterenol 0,2Mg 1Ml Inj</v>
          </cell>
        </row>
        <row r="214">
          <cell r="A214">
            <v>189710933</v>
          </cell>
          <cell r="B214">
            <v>214</v>
          </cell>
          <cell r="C214" t="str">
            <v>Ketamine Inj  10Mg/ml 20Ml</v>
          </cell>
        </row>
        <row r="215">
          <cell r="A215">
            <v>189710574</v>
          </cell>
          <cell r="B215">
            <v>215</v>
          </cell>
          <cell r="C215" t="str">
            <v>~Ketamine Inj  50Mg/ml 10Ml</v>
          </cell>
        </row>
        <row r="216">
          <cell r="A216">
            <v>189706747</v>
          </cell>
          <cell r="B216">
            <v>216</v>
          </cell>
          <cell r="C216" t="str">
            <v>Ketamine Inj 100Mg/ml 10Ml</v>
          </cell>
        </row>
        <row r="217">
          <cell r="A217">
            <v>180076312</v>
          </cell>
          <cell r="B217">
            <v>217</v>
          </cell>
          <cell r="C217" t="str">
            <v>Lignocaine Inj Adrenalin 2% 1,8Ml</v>
          </cell>
        </row>
        <row r="218">
          <cell r="A218">
            <v>180076306</v>
          </cell>
          <cell r="B218">
            <v>218</v>
          </cell>
          <cell r="C218" t="str">
            <v>Lignocaine Inj  1% 20Ml</v>
          </cell>
        </row>
        <row r="219">
          <cell r="A219">
            <v>180076343</v>
          </cell>
          <cell r="B219">
            <v>219</v>
          </cell>
          <cell r="C219" t="str">
            <v>Lignocaine Inj  2%  1.8Ml</v>
          </cell>
        </row>
        <row r="220">
          <cell r="A220">
            <v>189703157</v>
          </cell>
          <cell r="B220">
            <v>220</v>
          </cell>
          <cell r="C220" t="str">
            <v>Lignocaine Inj  2% 20Ml</v>
          </cell>
        </row>
        <row r="221">
          <cell r="A221">
            <v>180076308</v>
          </cell>
          <cell r="B221">
            <v>221</v>
          </cell>
          <cell r="C221" t="str">
            <v>Lignocaine Inj  2%  5Ml I.V.</v>
          </cell>
        </row>
        <row r="222">
          <cell r="A222">
            <v>180076349</v>
          </cell>
          <cell r="B222">
            <v>222</v>
          </cell>
          <cell r="C222" t="str">
            <v>~Lignocaine Inj  5% + Dextrose 7.5%  2Ml</v>
          </cell>
        </row>
        <row r="223">
          <cell r="A223">
            <v>180076360</v>
          </cell>
          <cell r="B223">
            <v>223</v>
          </cell>
          <cell r="C223" t="str">
            <v>Lignocaine Inj 10% 5Ml I.V.</v>
          </cell>
        </row>
        <row r="224">
          <cell r="A224">
            <v>180146448</v>
          </cell>
          <cell r="B224">
            <v>224</v>
          </cell>
          <cell r="C224" t="str">
            <v>Mebendazole 500Mg Tabs (1'S)</v>
          </cell>
        </row>
        <row r="225">
          <cell r="A225">
            <v>189710942</v>
          </cell>
          <cell r="B225">
            <v>225</v>
          </cell>
          <cell r="C225" t="str">
            <v>Magnesium Sulphate Inj 50% 2Ml</v>
          </cell>
        </row>
        <row r="226">
          <cell r="A226">
            <v>189705645</v>
          </cell>
          <cell r="B226">
            <v>226</v>
          </cell>
          <cell r="C226" t="str">
            <v>~Mepivacaine Inj 3% Dental</v>
          </cell>
        </row>
        <row r="227">
          <cell r="A227" t="str">
            <v>QUOTE</v>
          </cell>
          <cell r="B227">
            <v>227</v>
          </cell>
          <cell r="C227" t="str">
            <v>Asparaginase Inj 10 000Iu</v>
          </cell>
        </row>
        <row r="228">
          <cell r="A228" t="str">
            <v>QUOTE</v>
          </cell>
          <cell r="B228">
            <v>228</v>
          </cell>
          <cell r="C228" t="str">
            <v>Methylene Blue Inj 1%  10Ml</v>
          </cell>
        </row>
        <row r="229">
          <cell r="A229">
            <v>189715290</v>
          </cell>
          <cell r="B229">
            <v>229</v>
          </cell>
          <cell r="C229" t="str">
            <v>Methylprednisolone Acetate Inj 40Mg</v>
          </cell>
        </row>
        <row r="230">
          <cell r="A230">
            <v>180076396</v>
          </cell>
          <cell r="B230">
            <v>230</v>
          </cell>
          <cell r="C230" t="str">
            <v>Metoclopramide Inj 5Mg/ml 2Ml</v>
          </cell>
        </row>
        <row r="231">
          <cell r="A231">
            <v>189707172</v>
          </cell>
          <cell r="B231">
            <v>231</v>
          </cell>
          <cell r="C231" t="str">
            <v>Metronidazole Inj 500Mg/100ml I.V.</v>
          </cell>
        </row>
        <row r="232">
          <cell r="A232">
            <v>180076404</v>
          </cell>
          <cell r="B232">
            <v>232</v>
          </cell>
          <cell r="C232" t="str">
            <v>Midazolam Inj 5Mg/ml 3Ml</v>
          </cell>
        </row>
        <row r="233">
          <cell r="A233">
            <v>180247792</v>
          </cell>
          <cell r="B233">
            <v>233</v>
          </cell>
          <cell r="C233" t="str">
            <v>~Ketorolac Tromethamine 30Mg/ml Inj</v>
          </cell>
        </row>
        <row r="234">
          <cell r="A234">
            <v>189700425</v>
          </cell>
          <cell r="B234">
            <v>234</v>
          </cell>
          <cell r="C234" t="str">
            <v>Morphine Sulphate Inj 15Mg 1Ml</v>
          </cell>
        </row>
        <row r="235">
          <cell r="A235">
            <v>189708068</v>
          </cell>
          <cell r="B235">
            <v>235</v>
          </cell>
          <cell r="C235" t="str">
            <v>~Naloxone Inj 0.02Mg/ml 2Ml</v>
          </cell>
        </row>
        <row r="236">
          <cell r="A236">
            <v>189705061</v>
          </cell>
          <cell r="B236">
            <v>236</v>
          </cell>
          <cell r="C236" t="str">
            <v>Naloxone Inj 0.4Mg/ml 1Ml</v>
          </cell>
        </row>
        <row r="237">
          <cell r="A237">
            <v>180076423</v>
          </cell>
          <cell r="B237">
            <v>237</v>
          </cell>
          <cell r="C237" t="str">
            <v>Neostigmine Meth Inj 0,5Mg/ml 1Ml</v>
          </cell>
        </row>
        <row r="238">
          <cell r="A238">
            <v>180089506</v>
          </cell>
          <cell r="B238">
            <v>238</v>
          </cell>
          <cell r="C238" t="str">
            <v>Neostigmine Meth Inj 2,5Mg/ml 1Ml</v>
          </cell>
        </row>
        <row r="239">
          <cell r="A239" t="str">
            <v>QUOTE</v>
          </cell>
          <cell r="B239">
            <v>239</v>
          </cell>
          <cell r="C239" t="str">
            <v>Tube Sengstagen Blakemore Ch18</v>
          </cell>
        </row>
        <row r="240">
          <cell r="A240">
            <v>180076434</v>
          </cell>
          <cell r="B240">
            <v>240</v>
          </cell>
          <cell r="C240" t="str">
            <v>Obidoxime Inj For I.V. 250Mg/ml 1Ml</v>
          </cell>
        </row>
        <row r="241">
          <cell r="A241">
            <v>189710759</v>
          </cell>
          <cell r="B241">
            <v>241</v>
          </cell>
          <cell r="C241" t="str">
            <v>Conj. Oestrogens Inj 25Mg + Dil 5Ml</v>
          </cell>
        </row>
        <row r="242">
          <cell r="A242">
            <v>189706842</v>
          </cell>
          <cell r="B242">
            <v>242</v>
          </cell>
          <cell r="C242" t="str">
            <v>Ornipressin Inj 5Iu 1Ml</v>
          </cell>
        </row>
        <row r="243">
          <cell r="A243" t="str">
            <v>*</v>
          </cell>
          <cell r="B243">
            <v>243</v>
          </cell>
          <cell r="C243" t="str">
            <v>Syntometrine (Ergometrine + Oxytocin)</v>
          </cell>
        </row>
        <row r="244">
          <cell r="A244" t="str">
            <v>DELETED</v>
          </cell>
          <cell r="B244">
            <v>244</v>
          </cell>
          <cell r="C244" t="str">
            <v>~Oxytocin Inj  2Iu 2Ml</v>
          </cell>
        </row>
        <row r="245">
          <cell r="A245">
            <v>180076470</v>
          </cell>
          <cell r="B245">
            <v>245</v>
          </cell>
          <cell r="C245" t="str">
            <v>Oxytocin Inj  5Iu 1Ml</v>
          </cell>
        </row>
        <row r="246">
          <cell r="A246">
            <v>180076472</v>
          </cell>
          <cell r="B246">
            <v>246</v>
          </cell>
          <cell r="C246" t="str">
            <v>Oxytocin Inj 10Iu 1Ml</v>
          </cell>
        </row>
        <row r="247">
          <cell r="A247">
            <v>180054705</v>
          </cell>
          <cell r="B247">
            <v>247</v>
          </cell>
          <cell r="C247" t="str">
            <v>Perindopril Tabs 4Mg (28'S)</v>
          </cell>
        </row>
        <row r="248">
          <cell r="A248">
            <v>189703124</v>
          </cell>
          <cell r="B248">
            <v>248</v>
          </cell>
          <cell r="C248" t="str">
            <v>Pethidine Inj  25Mg/ml 1Ml</v>
          </cell>
        </row>
        <row r="249">
          <cell r="A249">
            <v>180076519</v>
          </cell>
          <cell r="B249">
            <v>249</v>
          </cell>
          <cell r="C249" t="str">
            <v>Pethidine Inj  50Mg/ml 1Ml</v>
          </cell>
        </row>
        <row r="250">
          <cell r="A250">
            <v>180076540</v>
          </cell>
          <cell r="B250">
            <v>250</v>
          </cell>
          <cell r="C250" t="str">
            <v>Pethidine Inj 100Mg/2ml</v>
          </cell>
        </row>
        <row r="251">
          <cell r="A251">
            <v>189700073</v>
          </cell>
          <cell r="B251">
            <v>251</v>
          </cell>
          <cell r="C251" t="str">
            <v>Phenobarbitone Inj 200Mg/ml 1Ml</v>
          </cell>
        </row>
        <row r="252">
          <cell r="A252">
            <v>189708084</v>
          </cell>
          <cell r="B252">
            <v>252</v>
          </cell>
          <cell r="C252" t="str">
            <v>Phenytoin Inj 50Mg/ml 5Ml</v>
          </cell>
        </row>
        <row r="253">
          <cell r="A253">
            <v>180953330</v>
          </cell>
          <cell r="B253">
            <v>253</v>
          </cell>
          <cell r="C253" t="str">
            <v>Phytomenadione Inj  2Mg/0.2Ml</v>
          </cell>
        </row>
        <row r="254">
          <cell r="A254">
            <v>180146851</v>
          </cell>
          <cell r="B254">
            <v>254</v>
          </cell>
          <cell r="C254" t="str">
            <v>Phytomenadione Inj 10Mg/ml</v>
          </cell>
        </row>
        <row r="255">
          <cell r="A255">
            <v>189710612</v>
          </cell>
          <cell r="B255">
            <v>255</v>
          </cell>
          <cell r="C255" t="str">
            <v>Potassium Chloride Inj 15% 10Ml</v>
          </cell>
        </row>
        <row r="256">
          <cell r="A256">
            <v>180076576</v>
          </cell>
          <cell r="B256">
            <v>256</v>
          </cell>
          <cell r="C256" t="str">
            <v>~Prochlorperazine Inj 12.5Mg/ml 1Ml</v>
          </cell>
        </row>
        <row r="257">
          <cell r="A257">
            <v>180076589</v>
          </cell>
          <cell r="B257">
            <v>257</v>
          </cell>
          <cell r="C257" t="str">
            <v>~Promazine Inj 50Mg/ml 10X1ml</v>
          </cell>
        </row>
        <row r="258">
          <cell r="A258">
            <v>189703419</v>
          </cell>
          <cell r="B258">
            <v>258</v>
          </cell>
          <cell r="C258" t="str">
            <v>~Promethazine Inj 25Mg/ml 1Ml</v>
          </cell>
        </row>
        <row r="259">
          <cell r="A259">
            <v>189703420</v>
          </cell>
          <cell r="B259">
            <v>259</v>
          </cell>
          <cell r="C259" t="str">
            <v>Promethazine Inj 25Mg/ml 2Ml</v>
          </cell>
        </row>
        <row r="260">
          <cell r="A260">
            <v>180076591</v>
          </cell>
          <cell r="B260">
            <v>260</v>
          </cell>
          <cell r="C260" t="str">
            <v>Propranolol Inj 1Mg/ml 1Ml</v>
          </cell>
        </row>
        <row r="261">
          <cell r="A261">
            <v>180076593</v>
          </cell>
          <cell r="B261">
            <v>261</v>
          </cell>
          <cell r="C261" t="str">
            <v>Protamine Sulphate Inj 10Mg/ml 5Ml</v>
          </cell>
        </row>
        <row r="262">
          <cell r="A262">
            <v>189706315</v>
          </cell>
          <cell r="B262">
            <v>262</v>
          </cell>
          <cell r="C262" t="str">
            <v>Quinine Inj 300Mg/ml 1Ml</v>
          </cell>
        </row>
        <row r="263">
          <cell r="A263">
            <v>180189601</v>
          </cell>
          <cell r="B263">
            <v>263</v>
          </cell>
          <cell r="C263" t="str">
            <v>Alterplase Inj 50Mg</v>
          </cell>
        </row>
        <row r="264">
          <cell r="A264" t="str">
            <v>QUOTE</v>
          </cell>
          <cell r="B264">
            <v>264</v>
          </cell>
          <cell r="C264" t="str">
            <v>~Sodium Tetradeycl Sulphate Inj 30Mg/ml 5Ml</v>
          </cell>
        </row>
        <row r="265">
          <cell r="A265">
            <v>180358064</v>
          </cell>
          <cell r="B265">
            <v>265</v>
          </cell>
          <cell r="C265" t="str">
            <v>Sodium Bicarb Inj 4% 50Ml</v>
          </cell>
        </row>
        <row r="266">
          <cell r="A266">
            <v>180358068</v>
          </cell>
          <cell r="B266">
            <v>266</v>
          </cell>
          <cell r="C266" t="str">
            <v>Sodium Bicarb Inj 8.5% 50Ml</v>
          </cell>
        </row>
        <row r="267">
          <cell r="A267">
            <v>181905533</v>
          </cell>
          <cell r="B267">
            <v>267</v>
          </cell>
          <cell r="C267" t="str">
            <v>Azithromycin 250Mg Tablet (3'S)</v>
          </cell>
        </row>
        <row r="268">
          <cell r="A268">
            <v>189710871</v>
          </cell>
          <cell r="B268">
            <v>268</v>
          </cell>
          <cell r="C268" t="str">
            <v>Water For Inj   10Ml (Plastic)</v>
          </cell>
        </row>
        <row r="269">
          <cell r="A269">
            <v>180076785</v>
          </cell>
          <cell r="B269">
            <v>269</v>
          </cell>
          <cell r="C269" t="str">
            <v>Suxamethonium Inj 50Mg/ml 2Ml</v>
          </cell>
        </row>
        <row r="270">
          <cell r="A270">
            <v>189705469</v>
          </cell>
          <cell r="B270">
            <v>270</v>
          </cell>
          <cell r="C270" t="str">
            <v>Testosterone Cypionate Inj 100Mg  10Ml</v>
          </cell>
        </row>
        <row r="271">
          <cell r="A271" t="str">
            <v>DONATION</v>
          </cell>
          <cell r="B271">
            <v>271</v>
          </cell>
          <cell r="C271" t="str">
            <v>Mebendazole 500Mg Tabs (150'S) Donation</v>
          </cell>
        </row>
        <row r="272">
          <cell r="A272">
            <v>189711002</v>
          </cell>
          <cell r="B272">
            <v>272</v>
          </cell>
          <cell r="C272" t="str">
            <v>Thiopentone Sodium Inj 0.5G</v>
          </cell>
        </row>
        <row r="273">
          <cell r="A273">
            <v>189753628</v>
          </cell>
          <cell r="B273">
            <v>273</v>
          </cell>
          <cell r="C273" t="str">
            <v>Total Phospholipids 200Mg 8Ml</v>
          </cell>
        </row>
        <row r="274">
          <cell r="A274">
            <v>180076981</v>
          </cell>
          <cell r="B274">
            <v>274</v>
          </cell>
          <cell r="C274" t="str">
            <v>Tranexamic Acid Inj 100Mg/ml 5Ml</v>
          </cell>
        </row>
        <row r="275">
          <cell r="A275" t="str">
            <v>QUOTE</v>
          </cell>
          <cell r="B275">
            <v>275</v>
          </cell>
          <cell r="C275" t="str">
            <v>Riboflavin 25Mg Tabs</v>
          </cell>
        </row>
        <row r="276">
          <cell r="A276">
            <v>180057631</v>
          </cell>
          <cell r="B276">
            <v>276</v>
          </cell>
          <cell r="C276" t="str">
            <v>Zuclopenthixol Decanoate Oily Inj 200Mg/ml 1Ml</v>
          </cell>
        </row>
        <row r="277">
          <cell r="A277">
            <v>180327653</v>
          </cell>
          <cell r="B277">
            <v>277</v>
          </cell>
          <cell r="C277" t="str">
            <v>Vaccine B C G  20 Dose Vial + Diluent</v>
          </cell>
        </row>
        <row r="278">
          <cell r="A278">
            <v>180181282</v>
          </cell>
          <cell r="B278">
            <v>278</v>
          </cell>
          <cell r="C278" t="str">
            <v>Albumin Solution 20% 50Ml</v>
          </cell>
        </row>
        <row r="279">
          <cell r="A279">
            <v>189707389</v>
          </cell>
          <cell r="B279">
            <v>279</v>
          </cell>
          <cell r="C279" t="str">
            <v>Oxymetazoline 0.05% Nasal Spray 15Ml</v>
          </cell>
        </row>
        <row r="280">
          <cell r="A280">
            <v>189706269</v>
          </cell>
          <cell r="B280">
            <v>280</v>
          </cell>
          <cell r="C280" t="str">
            <v>~Vaccine Measles Live Atten 10 Dose + Diluent</v>
          </cell>
        </row>
        <row r="281">
          <cell r="A281">
            <v>180323312</v>
          </cell>
          <cell r="B281">
            <v>281</v>
          </cell>
          <cell r="C281" t="str">
            <v>Vaccine Hepatitis B Paed 10 Dose Vial(multidose)</v>
          </cell>
        </row>
        <row r="282">
          <cell r="A282">
            <v>180027866</v>
          </cell>
          <cell r="B282">
            <v>282</v>
          </cell>
          <cell r="C282" t="str">
            <v>~Vaccine Oral Polio Trivalent 10 Dose</v>
          </cell>
        </row>
        <row r="283">
          <cell r="A283" t="str">
            <v>QUOTE SAVP</v>
          </cell>
          <cell r="B283">
            <v>283</v>
          </cell>
          <cell r="C283" t="str">
            <v>Snake Bite Antisera (046)</v>
          </cell>
        </row>
        <row r="284">
          <cell r="A284">
            <v>180027863</v>
          </cell>
          <cell r="B284">
            <v>284</v>
          </cell>
          <cell r="C284" t="str">
            <v>Vaccine Tetanus Adsorbed 10 Dose</v>
          </cell>
        </row>
        <row r="285">
          <cell r="A285">
            <v>189712403</v>
          </cell>
          <cell r="B285">
            <v>285</v>
          </cell>
          <cell r="C285" t="str">
            <v>~Test Tuberculin P P D Liquid (Purified)1</v>
          </cell>
        </row>
        <row r="286">
          <cell r="A286" t="str">
            <v>QUOTE</v>
          </cell>
          <cell r="B286">
            <v>286</v>
          </cell>
          <cell r="C286" t="str">
            <v>Biopsy Sampler Endocell</v>
          </cell>
        </row>
        <row r="287">
          <cell r="A287">
            <v>189751932</v>
          </cell>
          <cell r="B287">
            <v>287</v>
          </cell>
          <cell r="C287" t="str">
            <v>Immunoglobulin Human Normal Single Dose Amp 5Ml (10320</v>
          </cell>
        </row>
        <row r="288">
          <cell r="A288">
            <v>189706843</v>
          </cell>
          <cell r="B288">
            <v>288</v>
          </cell>
          <cell r="C288" t="str">
            <v>Immunoglobulin Human Anti-Rabies 150Iu/ml - 2Ml (10346</v>
          </cell>
        </row>
        <row r="289">
          <cell r="A289">
            <v>189707156</v>
          </cell>
          <cell r="B289">
            <v>289</v>
          </cell>
          <cell r="C289" t="str">
            <v>Vaccine Rabies 2.5Iu/dose Vial &amp; Dil.</v>
          </cell>
        </row>
        <row r="290">
          <cell r="A290">
            <v>189750580</v>
          </cell>
          <cell r="B290">
            <v>290</v>
          </cell>
          <cell r="C290" t="str">
            <v>Immunoglobulin Anti-Tetanus 250Iu 1Ml</v>
          </cell>
        </row>
        <row r="291">
          <cell r="A291">
            <v>189714841</v>
          </cell>
          <cell r="B291">
            <v>291</v>
          </cell>
          <cell r="C291" t="str">
            <v>~Acetone B.P 500Ml Glass Bottle</v>
          </cell>
        </row>
        <row r="292">
          <cell r="A292">
            <v>181750193</v>
          </cell>
          <cell r="B292">
            <v>292</v>
          </cell>
          <cell r="C292" t="str">
            <v>Sterile Pack Catheter Tray</v>
          </cell>
        </row>
        <row r="293">
          <cell r="A293">
            <v>181750191</v>
          </cell>
          <cell r="B293">
            <v>293</v>
          </cell>
          <cell r="C293" t="str">
            <v>Sterile Pack Large Tray</v>
          </cell>
        </row>
        <row r="294">
          <cell r="A294">
            <v>180258270</v>
          </cell>
          <cell r="B294">
            <v>294</v>
          </cell>
          <cell r="C294" t="str">
            <v>Amino Acid 18 Dextrose 50 Fat 20  2030Ml</v>
          </cell>
        </row>
        <row r="295">
          <cell r="A295">
            <v>181750198</v>
          </cell>
          <cell r="B295">
            <v>295</v>
          </cell>
          <cell r="C295" t="str">
            <v>Sterile Pack Swabbing Tray (Pv Pack)</v>
          </cell>
        </row>
        <row r="296">
          <cell r="A296">
            <v>189707423</v>
          </cell>
          <cell r="B296">
            <v>296</v>
          </cell>
          <cell r="C296" t="str">
            <v>Aluminium Hydrox Gel 350Ml</v>
          </cell>
        </row>
        <row r="297">
          <cell r="A297">
            <v>181750192</v>
          </cell>
          <cell r="B297">
            <v>297</v>
          </cell>
          <cell r="C297" t="str">
            <v>Sterile Pack Multi-Pack</v>
          </cell>
        </row>
        <row r="298">
          <cell r="A298" t="str">
            <v>QUOTE</v>
          </cell>
          <cell r="B298">
            <v>298</v>
          </cell>
          <cell r="C298" t="str">
            <v>Snake Bite Antisera (Boomslang)</v>
          </cell>
        </row>
        <row r="299">
          <cell r="A299" t="str">
            <v>QUOTE</v>
          </cell>
          <cell r="B299">
            <v>299</v>
          </cell>
          <cell r="C299" t="str">
            <v>~Aqua Anisi Conc 100Ml</v>
          </cell>
        </row>
        <row r="300">
          <cell r="A300" t="str">
            <v>QUOTE</v>
          </cell>
          <cell r="B300">
            <v>300</v>
          </cell>
          <cell r="C300" t="str">
            <v>Aqua Chlorof Conc 500Ml</v>
          </cell>
        </row>
        <row r="301">
          <cell r="A301" t="str">
            <v>QUOTE</v>
          </cell>
          <cell r="B301">
            <v>301</v>
          </cell>
          <cell r="C301" t="str">
            <v>~Aqua Menth Pip Conc 100Ml</v>
          </cell>
        </row>
        <row r="302">
          <cell r="A302" t="str">
            <v>QUOTE</v>
          </cell>
          <cell r="B302">
            <v>302</v>
          </cell>
          <cell r="C302" t="str">
            <v>Valsartan 160Mg Fct Tabs (28'S)</v>
          </cell>
        </row>
        <row r="303">
          <cell r="A303">
            <v>181802352</v>
          </cell>
          <cell r="B303">
            <v>303</v>
          </cell>
          <cell r="C303" t="str">
            <v>Laryngeal Mask Airway Size 004 Autoclavable Silicone</v>
          </cell>
        </row>
        <row r="304">
          <cell r="A304" t="str">
            <v>MOTIVATION</v>
          </cell>
          <cell r="B304">
            <v>304</v>
          </cell>
          <cell r="C304" t="str">
            <v>Lipid Emulsion 20% Purif. Soyabean 40G</v>
          </cell>
        </row>
        <row r="305">
          <cell r="A305">
            <v>189707445</v>
          </cell>
          <cell r="B305">
            <v>305</v>
          </cell>
          <cell r="C305" t="str">
            <v>Benzyl Benzoate Emuls 100Ml</v>
          </cell>
        </row>
        <row r="306">
          <cell r="A306">
            <v>181896254</v>
          </cell>
          <cell r="B306">
            <v>306</v>
          </cell>
          <cell r="C306" t="str">
            <v>Tenofovir 300Mg Lamivudine 300Mg Tablets 28</v>
          </cell>
        </row>
        <row r="307">
          <cell r="A307">
            <v>181825242</v>
          </cell>
          <cell r="B307">
            <v>307</v>
          </cell>
          <cell r="C307" t="str">
            <v>Vaccine Tetenus Reduced Diptheria</v>
          </cell>
        </row>
        <row r="308">
          <cell r="A308">
            <v>189703365</v>
          </cell>
          <cell r="B308">
            <v>308</v>
          </cell>
          <cell r="C308" t="str">
            <v>Calamine Lotion 100Ml</v>
          </cell>
        </row>
        <row r="309">
          <cell r="A309">
            <v>180090749</v>
          </cell>
          <cell r="B309">
            <v>309</v>
          </cell>
          <cell r="C309" t="str">
            <v>Chlorhexidine Gluc 0.5% In Alcohol 70%</v>
          </cell>
        </row>
        <row r="310">
          <cell r="A310">
            <v>189703386</v>
          </cell>
          <cell r="B310">
            <v>310</v>
          </cell>
          <cell r="C310" t="str">
            <v>~Cetylpyridinium Mouthwash 200Ml</v>
          </cell>
        </row>
        <row r="311">
          <cell r="A311">
            <v>189705153</v>
          </cell>
          <cell r="B311">
            <v>311</v>
          </cell>
          <cell r="C311" t="str">
            <v>Campaign: Chlorhexidine Ascrub 4% 500Ml</v>
          </cell>
        </row>
        <row r="312">
          <cell r="A312">
            <v>181848798</v>
          </cell>
          <cell r="B312">
            <v>312</v>
          </cell>
          <cell r="C312" t="str">
            <v>Speculum Vaginal Non Ster Medium (85Mm X 30Mm)</v>
          </cell>
        </row>
        <row r="313">
          <cell r="A313">
            <v>189712105</v>
          </cell>
          <cell r="B313">
            <v>313</v>
          </cell>
          <cell r="C313" t="str">
            <v>Chlorhexidine Sol  5% 5L</v>
          </cell>
        </row>
        <row r="314">
          <cell r="A314">
            <v>180108137</v>
          </cell>
          <cell r="B314">
            <v>314</v>
          </cell>
          <cell r="C314" t="str">
            <v>Lamotrigine Tabs  50Mg (60'S)</v>
          </cell>
        </row>
        <row r="315">
          <cell r="A315">
            <v>189706003</v>
          </cell>
          <cell r="B315">
            <v>315</v>
          </cell>
          <cell r="C315" t="str">
            <v>~Chloroquine Syr 100Ml</v>
          </cell>
        </row>
        <row r="316">
          <cell r="A316" t="str">
            <v>PREPACK 28</v>
          </cell>
          <cell r="B316">
            <v>316</v>
          </cell>
          <cell r="C316" t="str">
            <v>~Chlorpromazine Tabs 50Mg (28'S)</v>
          </cell>
        </row>
        <row r="317">
          <cell r="A317">
            <v>189707400</v>
          </cell>
          <cell r="B317">
            <v>317</v>
          </cell>
          <cell r="C317" t="str">
            <v>Chlorpromazine Syr 25Mg/5ml 100Ml</v>
          </cell>
        </row>
        <row r="318">
          <cell r="A318">
            <v>189711315</v>
          </cell>
          <cell r="B318">
            <v>318</v>
          </cell>
          <cell r="C318" t="str">
            <v>Co-Trimoxazole Susp  50Ml</v>
          </cell>
        </row>
        <row r="319">
          <cell r="A319">
            <v>189703514</v>
          </cell>
          <cell r="B319">
            <v>319</v>
          </cell>
          <cell r="C319" t="str">
            <v>Co-Trimoxazole Susp 100Ml</v>
          </cell>
        </row>
        <row r="320">
          <cell r="A320">
            <v>189715749</v>
          </cell>
          <cell r="B320">
            <v>320</v>
          </cell>
          <cell r="C320" t="str">
            <v>Tar Extract Shampoo 200Ml</v>
          </cell>
        </row>
        <row r="321">
          <cell r="A321">
            <v>189712370</v>
          </cell>
          <cell r="B321">
            <v>321</v>
          </cell>
          <cell r="C321" t="str">
            <v>Coal Tar Solution 500Ml</v>
          </cell>
        </row>
        <row r="322">
          <cell r="A322">
            <v>189712299</v>
          </cell>
          <cell r="B322">
            <v>322</v>
          </cell>
          <cell r="C322" t="str">
            <v>~Cocaine Powder</v>
          </cell>
        </row>
        <row r="323">
          <cell r="A323">
            <v>180235830</v>
          </cell>
          <cell r="B323">
            <v>323</v>
          </cell>
          <cell r="C323" t="str">
            <v>Cannula Nasal Paed Low Flow Oxygen</v>
          </cell>
        </row>
        <row r="324">
          <cell r="A324" t="str">
            <v>QUOTE</v>
          </cell>
          <cell r="B324">
            <v>324</v>
          </cell>
          <cell r="C324" t="str">
            <v>Dorzolamide Timolol Eye Drops</v>
          </cell>
        </row>
        <row r="325">
          <cell r="A325">
            <v>189705151</v>
          </cell>
          <cell r="B325">
            <v>325</v>
          </cell>
          <cell r="C325" t="str">
            <v>~Cyclizine Syr 12.5Mg/5ml 50Ml</v>
          </cell>
        </row>
        <row r="326">
          <cell r="A326" t="str">
            <v>QOUTE</v>
          </cell>
          <cell r="B326">
            <v>326</v>
          </cell>
          <cell r="C326" t="str">
            <v>~Sodium Benzoate Powder 100G</v>
          </cell>
        </row>
        <row r="327">
          <cell r="A327" t="str">
            <v>DELETED</v>
          </cell>
          <cell r="B327">
            <v>327</v>
          </cell>
          <cell r="C327" t="str">
            <v>~Dicyclomine Syr 10Mg/5ml 100Ml</v>
          </cell>
        </row>
        <row r="328">
          <cell r="A328">
            <v>189757468</v>
          </cell>
          <cell r="B328">
            <v>328</v>
          </cell>
          <cell r="C328" t="str">
            <v>Digoxin Oral Drops 0.05Mg/ml 50Ml (Amb.Bottle)</v>
          </cell>
        </row>
        <row r="329">
          <cell r="A329">
            <v>189712210</v>
          </cell>
          <cell r="B329">
            <v>329</v>
          </cell>
          <cell r="C329" t="str">
            <v>Sut Polyest 3/0 1/2Tp 20Mm Cardio</v>
          </cell>
        </row>
        <row r="330">
          <cell r="A330">
            <v>189705079</v>
          </cell>
          <cell r="B330">
            <v>330</v>
          </cell>
          <cell r="C330" t="str">
            <v>Cocillana Compound/ D.P.H Syr 100Ml</v>
          </cell>
        </row>
        <row r="331">
          <cell r="A331" t="str">
            <v>DELETED</v>
          </cell>
          <cell r="B331">
            <v>331</v>
          </cell>
          <cell r="C331" t="str">
            <v>~Diphenhydramine Syr 2.5L</v>
          </cell>
        </row>
        <row r="332">
          <cell r="A332">
            <v>181817552</v>
          </cell>
          <cell r="B332">
            <v>332</v>
          </cell>
          <cell r="C332" t="str">
            <v>Bevacizumab Inj 100Mg/4ml</v>
          </cell>
        </row>
        <row r="333">
          <cell r="A333">
            <v>189711229</v>
          </cell>
          <cell r="B333">
            <v>333</v>
          </cell>
          <cell r="C333" t="str">
            <v>~Enflurane Anaesthetic Sol 250Ml</v>
          </cell>
        </row>
        <row r="334">
          <cell r="A334">
            <v>189712409</v>
          </cell>
          <cell r="B334">
            <v>334</v>
          </cell>
          <cell r="C334" t="str">
            <v>Ergocalciferol Oral Drops 15Ml (Vit D)</v>
          </cell>
        </row>
        <row r="335">
          <cell r="A335">
            <v>189705157</v>
          </cell>
          <cell r="B335">
            <v>335</v>
          </cell>
          <cell r="C335" t="str">
            <v>~Ethambutol Syr 25Mg/ml 500Ml</v>
          </cell>
        </row>
        <row r="336">
          <cell r="A336">
            <v>189700547</v>
          </cell>
          <cell r="B336">
            <v>336</v>
          </cell>
          <cell r="C336" t="str">
            <v>Ethyl Chloride B.P. Spray 100Ml</v>
          </cell>
        </row>
        <row r="337">
          <cell r="A337">
            <v>181858255</v>
          </cell>
          <cell r="B337">
            <v>337</v>
          </cell>
          <cell r="C337" t="str">
            <v>Ondansetron 8Mg Tabs (15'S)</v>
          </cell>
        </row>
        <row r="338">
          <cell r="A338">
            <v>189711476</v>
          </cell>
          <cell r="B338">
            <v>338</v>
          </cell>
          <cell r="C338" t="str">
            <v>Ferrous Lactate Oral Drops 10Ml</v>
          </cell>
        </row>
        <row r="339">
          <cell r="A339">
            <v>189700822</v>
          </cell>
          <cell r="B339">
            <v>339</v>
          </cell>
          <cell r="C339" t="str">
            <v>Formaldehyde Sol 1L</v>
          </cell>
        </row>
        <row r="340">
          <cell r="A340">
            <v>189714763</v>
          </cell>
          <cell r="B340">
            <v>340</v>
          </cell>
          <cell r="C340" t="str">
            <v>Furosemide Oral Sol 10Mg/ml 100Ml</v>
          </cell>
        </row>
        <row r="341">
          <cell r="A341">
            <v>180339712</v>
          </cell>
          <cell r="B341">
            <v>341</v>
          </cell>
          <cell r="C341" t="str">
            <v>Furosemide Tabs 40Mg (28'S)</v>
          </cell>
        </row>
        <row r="342">
          <cell r="A342">
            <v>181863951</v>
          </cell>
          <cell r="B342">
            <v>342</v>
          </cell>
          <cell r="C342" t="str">
            <v>~Gamma Benzene Hexachl Shampoo 1% 100Ml</v>
          </cell>
        </row>
        <row r="343">
          <cell r="A343">
            <v>189712405</v>
          </cell>
          <cell r="B343">
            <v>343</v>
          </cell>
          <cell r="C343" t="str">
            <v>~Gentian Violet Sol 0.5% 20Ml</v>
          </cell>
        </row>
        <row r="344">
          <cell r="A344">
            <v>180154658</v>
          </cell>
          <cell r="B344">
            <v>344</v>
          </cell>
          <cell r="C344" t="str">
            <v>~Gluteraldehyde Sol 2% 5L</v>
          </cell>
        </row>
        <row r="345">
          <cell r="A345">
            <v>180005216</v>
          </cell>
          <cell r="B345">
            <v>345</v>
          </cell>
          <cell r="C345" t="str">
            <v>Stopcock Three Way 10Cm Extension Tubing</v>
          </cell>
        </row>
        <row r="346">
          <cell r="A346">
            <v>181861433</v>
          </cell>
          <cell r="B346">
            <v>346</v>
          </cell>
          <cell r="C346" t="str">
            <v>Ortho Pthaldehyde 5.75% Solution 5L</v>
          </cell>
        </row>
        <row r="347">
          <cell r="A347">
            <v>180154648</v>
          </cell>
          <cell r="B347">
            <v>347</v>
          </cell>
          <cell r="C347" t="str">
            <v>Gluteraldehyde Sol  2% 1L</v>
          </cell>
        </row>
        <row r="348">
          <cell r="A348">
            <v>189750285</v>
          </cell>
          <cell r="B348">
            <v>348</v>
          </cell>
          <cell r="C348" t="str">
            <v>Halothane Anaesthetic Sol 250Ml</v>
          </cell>
        </row>
        <row r="349">
          <cell r="A349" t="str">
            <v>MOTIVATION</v>
          </cell>
          <cell r="B349">
            <v>349</v>
          </cell>
          <cell r="C349" t="str">
            <v>~Epoetin Alfa 200Mcg/0.3Ml</v>
          </cell>
        </row>
        <row r="350">
          <cell r="A350" t="str">
            <v>MOTIVATION</v>
          </cell>
          <cell r="B350">
            <v>350</v>
          </cell>
          <cell r="C350" t="str">
            <v>Salmeterol &amp; Fluticasone Accuhaler 50/100</v>
          </cell>
        </row>
        <row r="351">
          <cell r="A351">
            <v>189700824</v>
          </cell>
          <cell r="B351">
            <v>351</v>
          </cell>
          <cell r="C351" t="str">
            <v>Hydrogen Peroxide Sol 6%  500Ml</v>
          </cell>
        </row>
        <row r="352">
          <cell r="A352">
            <v>189711478</v>
          </cell>
          <cell r="B352">
            <v>352</v>
          </cell>
          <cell r="C352" t="str">
            <v>~Hydroxyzine Syr 10Mg 100Ml</v>
          </cell>
        </row>
        <row r="353">
          <cell r="A353">
            <v>189712348</v>
          </cell>
          <cell r="B353">
            <v>353</v>
          </cell>
          <cell r="C353" t="str">
            <v>Ibuprofen Susp 100Mg/5ml 100Ml</v>
          </cell>
        </row>
        <row r="354">
          <cell r="A354">
            <v>180296095</v>
          </cell>
          <cell r="B354">
            <v>354</v>
          </cell>
          <cell r="C354" t="str">
            <v>~Ichthamol Glycerine 500Ml</v>
          </cell>
        </row>
        <row r="355">
          <cell r="A355" t="str">
            <v>QUOTE EYE</v>
          </cell>
          <cell r="B355">
            <v>355</v>
          </cell>
          <cell r="C355" t="str">
            <v>Knife Ophthalmic Short Cut 5.2Mm Angled Satin -Intraocc</v>
          </cell>
        </row>
        <row r="356">
          <cell r="A356">
            <v>180008212</v>
          </cell>
          <cell r="B356">
            <v>356</v>
          </cell>
          <cell r="C356" t="str">
            <v>Ipratropium Udv 0.5Mg/2ml (60'S)</v>
          </cell>
        </row>
        <row r="357">
          <cell r="A357">
            <v>189712947</v>
          </cell>
          <cell r="B357">
            <v>357</v>
          </cell>
          <cell r="C357" t="str">
            <v>~Mist Tussi Infans Mixt 100Ml</v>
          </cell>
        </row>
        <row r="358">
          <cell r="A358" t="str">
            <v>QUOTE</v>
          </cell>
          <cell r="B358">
            <v>358</v>
          </cell>
          <cell r="C358" t="str">
            <v>`Ipecacuanha Tincture</v>
          </cell>
        </row>
        <row r="359">
          <cell r="A359">
            <v>189761050</v>
          </cell>
          <cell r="B359">
            <v>359</v>
          </cell>
          <cell r="C359" t="str">
            <v>Acetylcholine Chloride 20Mg/2ml Powder.</v>
          </cell>
        </row>
        <row r="360">
          <cell r="A360" t="str">
            <v>QUOTE STOMA</v>
          </cell>
          <cell r="B360">
            <v>360</v>
          </cell>
          <cell r="C360" t="str">
            <v>Pouch Ostomy   5 Seal 44Mm</v>
          </cell>
        </row>
        <row r="361">
          <cell r="A361">
            <v>189708079</v>
          </cell>
          <cell r="B361">
            <v>361</v>
          </cell>
          <cell r="C361" t="str">
            <v>~Ketotifen Fumarate Syr 200Ml</v>
          </cell>
        </row>
        <row r="362">
          <cell r="A362">
            <v>180155404</v>
          </cell>
          <cell r="B362">
            <v>362</v>
          </cell>
          <cell r="C362" t="str">
            <v>Tramadol Hcl 50Mg Cap/tab (100'S)</v>
          </cell>
        </row>
        <row r="363">
          <cell r="A363">
            <v>189707998</v>
          </cell>
          <cell r="B363">
            <v>363</v>
          </cell>
          <cell r="C363" t="str">
            <v>Lactulose Syr 150Ml</v>
          </cell>
        </row>
        <row r="364">
          <cell r="A364">
            <v>189714770</v>
          </cell>
          <cell r="B364">
            <v>364</v>
          </cell>
          <cell r="C364" t="str">
            <v>Liquid Paraffin 200Ml</v>
          </cell>
        </row>
        <row r="365">
          <cell r="A365">
            <v>181901076</v>
          </cell>
          <cell r="B365">
            <v>365</v>
          </cell>
          <cell r="C365" t="str">
            <v>Abacavir 60Mg Dispersable Tabs (56'S)</v>
          </cell>
        </row>
        <row r="366">
          <cell r="A366">
            <v>189711283</v>
          </cell>
          <cell r="B366">
            <v>366</v>
          </cell>
          <cell r="C366" t="str">
            <v>~Magnesium Hydroxide Mixt 100Ml</v>
          </cell>
        </row>
        <row r="367">
          <cell r="A367">
            <v>180389193</v>
          </cell>
          <cell r="B367">
            <v>367</v>
          </cell>
          <cell r="C367" t="str">
            <v>Sut Synthabs 1 Ligation</v>
          </cell>
        </row>
        <row r="368">
          <cell r="A368">
            <v>189712285</v>
          </cell>
          <cell r="B368">
            <v>368</v>
          </cell>
          <cell r="C368" t="str">
            <v>Malic Benzoic Salicylic Sol (500Ml)</v>
          </cell>
        </row>
        <row r="369">
          <cell r="A369">
            <v>181848800</v>
          </cell>
          <cell r="B369">
            <v>369</v>
          </cell>
          <cell r="C369" t="str">
            <v>Speculum Vaginal Non Ster Large (100Mm X 35Mm)</v>
          </cell>
        </row>
        <row r="370">
          <cell r="A370" t="str">
            <v>NATIONAL STOC</v>
          </cell>
          <cell r="B370">
            <v>370</v>
          </cell>
          <cell r="C370" t="str">
            <v>Oseltamivir Suspenion 12Mg/ml</v>
          </cell>
        </row>
        <row r="371">
          <cell r="A371">
            <v>189702867</v>
          </cell>
          <cell r="B371">
            <v>371</v>
          </cell>
          <cell r="C371" t="str">
            <v>~Mepyramine Maleate Elixir 25Mg/5ml 100Ml</v>
          </cell>
        </row>
        <row r="372">
          <cell r="A372">
            <v>189714872</v>
          </cell>
          <cell r="B372">
            <v>372</v>
          </cell>
          <cell r="C372" t="str">
            <v>~Mercurochrome Sol 1% 20Ml</v>
          </cell>
        </row>
        <row r="373">
          <cell r="A373">
            <v>189703008</v>
          </cell>
          <cell r="B373">
            <v>373</v>
          </cell>
          <cell r="C373" t="str">
            <v>~Mercurochrome Sol 2% 100Ml</v>
          </cell>
        </row>
        <row r="374">
          <cell r="A374">
            <v>181862059</v>
          </cell>
          <cell r="B374">
            <v>374</v>
          </cell>
          <cell r="C374" t="str">
            <v>Zinc Scored 20Mg Dis Tabs(100's)</v>
          </cell>
        </row>
        <row r="375">
          <cell r="A375">
            <v>180069195</v>
          </cell>
          <cell r="B375">
            <v>375</v>
          </cell>
          <cell r="C375" t="str">
            <v>~Mesna Inhalant Amps 600Mg/3ml</v>
          </cell>
        </row>
        <row r="376">
          <cell r="A376" t="str">
            <v>QUOTATION</v>
          </cell>
          <cell r="B376">
            <v>376</v>
          </cell>
          <cell r="C376" t="str">
            <v>~Repaglinide 1Mg</v>
          </cell>
        </row>
        <row r="377">
          <cell r="A377">
            <v>189714323</v>
          </cell>
          <cell r="B377">
            <v>377</v>
          </cell>
          <cell r="C377" t="str">
            <v>Metoclopramide Syr 5Mg/5ml 50Ml</v>
          </cell>
        </row>
        <row r="378">
          <cell r="A378">
            <v>189714780</v>
          </cell>
          <cell r="B378">
            <v>378</v>
          </cell>
          <cell r="C378" t="str">
            <v>Metronidazole Susp 200Mg/5ml  50Ml</v>
          </cell>
        </row>
        <row r="379">
          <cell r="A379">
            <v>189712109</v>
          </cell>
          <cell r="B379">
            <v>379</v>
          </cell>
          <cell r="C379" t="str">
            <v>~Nalidixic Acid Susp 250Mg/5ml 100Ml</v>
          </cell>
        </row>
        <row r="380">
          <cell r="A380" t="str">
            <v>*</v>
          </cell>
          <cell r="B380">
            <v>380</v>
          </cell>
          <cell r="C380" t="str">
            <v>~Baby Formula Lactose Free  Infacare Nurture Lf</v>
          </cell>
        </row>
        <row r="381">
          <cell r="A381">
            <v>181783743</v>
          </cell>
          <cell r="B381">
            <v>381</v>
          </cell>
          <cell r="C381" t="str">
            <v>Paracetamol Syr 120Mg/5ml  100Ml</v>
          </cell>
        </row>
        <row r="382">
          <cell r="A382">
            <v>181818827</v>
          </cell>
          <cell r="B382">
            <v>382</v>
          </cell>
          <cell r="C382" t="str">
            <v>Paracetamol 1G Solution For Infusion,100ml</v>
          </cell>
        </row>
        <row r="383">
          <cell r="A383">
            <v>189712404</v>
          </cell>
          <cell r="B383">
            <v>383</v>
          </cell>
          <cell r="C383" t="str">
            <v>Paracetamol Syr 120Mg/5ml   50Ml</v>
          </cell>
        </row>
        <row r="384">
          <cell r="A384">
            <v>189708072</v>
          </cell>
          <cell r="B384">
            <v>384</v>
          </cell>
          <cell r="C384" t="str">
            <v>Phenobarbitone Syrup 100Ml</v>
          </cell>
        </row>
        <row r="385">
          <cell r="A385">
            <v>189712199</v>
          </cell>
          <cell r="B385">
            <v>385</v>
          </cell>
          <cell r="C385" t="str">
            <v>Strips Skin Closure  6Mmx75mm</v>
          </cell>
        </row>
        <row r="386">
          <cell r="A386">
            <v>181851261</v>
          </cell>
          <cell r="B386">
            <v>386</v>
          </cell>
          <cell r="C386" t="str">
            <v>Dressing Wound Dispersion 15Cm X 20Cm</v>
          </cell>
        </row>
        <row r="387">
          <cell r="A387">
            <v>180236020</v>
          </cell>
          <cell r="B387">
            <v>387</v>
          </cell>
          <cell r="C387" t="str">
            <v>Phenytoin Susp 125Mg/5ml 237Ml</v>
          </cell>
        </row>
        <row r="388">
          <cell r="A388">
            <v>180199078</v>
          </cell>
          <cell r="B388">
            <v>388</v>
          </cell>
          <cell r="C388" t="str">
            <v>`Piperazine Hydrate Syrup 30Ml</v>
          </cell>
        </row>
        <row r="389">
          <cell r="A389">
            <v>189712155</v>
          </cell>
          <cell r="B389">
            <v>389</v>
          </cell>
          <cell r="C389" t="str">
            <v>Tetracosactide Inj 1Mg</v>
          </cell>
        </row>
        <row r="390">
          <cell r="A390">
            <v>189705099</v>
          </cell>
          <cell r="B390">
            <v>390</v>
          </cell>
          <cell r="C390" t="str">
            <v>Potassium Citrate Mixture 200Ml</v>
          </cell>
        </row>
        <row r="391">
          <cell r="A391">
            <v>189712302</v>
          </cell>
          <cell r="B391">
            <v>391</v>
          </cell>
          <cell r="C391" t="str">
            <v>Povidone Iodine Solution 1.0L</v>
          </cell>
        </row>
        <row r="392">
          <cell r="A392">
            <v>189703516</v>
          </cell>
          <cell r="B392">
            <v>392</v>
          </cell>
          <cell r="C392" t="str">
            <v>~Povidone Iodine Shampoo 150Ml</v>
          </cell>
        </row>
        <row r="393">
          <cell r="A393" t="str">
            <v>QUOTE STOMA</v>
          </cell>
          <cell r="B393">
            <v>393</v>
          </cell>
          <cell r="C393" t="str">
            <v>Paste Stomahesive Premium 57G</v>
          </cell>
        </row>
        <row r="394">
          <cell r="A394">
            <v>189702847</v>
          </cell>
          <cell r="B394">
            <v>394</v>
          </cell>
          <cell r="C394" t="str">
            <v>Promethazine Syr 5Mg/5ml 100Ml</v>
          </cell>
        </row>
        <row r="395">
          <cell r="A395">
            <v>180189209</v>
          </cell>
          <cell r="B395">
            <v>395</v>
          </cell>
          <cell r="C395" t="str">
            <v>Glibenclamide Tabs 5Mg (28'S)</v>
          </cell>
        </row>
        <row r="396">
          <cell r="A396">
            <v>189711325</v>
          </cell>
          <cell r="B396">
            <v>396</v>
          </cell>
          <cell r="C396" t="str">
            <v>~Pseudoephedrine Triprolidine Syrup 100Ml</v>
          </cell>
        </row>
        <row r="397">
          <cell r="A397">
            <v>189703495</v>
          </cell>
          <cell r="B397">
            <v>397</v>
          </cell>
          <cell r="C397" t="str">
            <v>~Pseudoephedrine Triprolidine Syrup 1.0L</v>
          </cell>
        </row>
        <row r="398">
          <cell r="A398">
            <v>189707999</v>
          </cell>
          <cell r="B398">
            <v>398</v>
          </cell>
          <cell r="C398" t="str">
            <v>~Pseudoephedrine Syrup 30Mg/5ml 100Ml</v>
          </cell>
        </row>
        <row r="399">
          <cell r="A399">
            <v>180010153</v>
          </cell>
          <cell r="B399">
            <v>399</v>
          </cell>
          <cell r="C399" t="str">
            <v>~Pseudoephedrine Syrup 30Mg/5ml  50Ml</v>
          </cell>
        </row>
        <row r="400">
          <cell r="A400">
            <v>180006485</v>
          </cell>
          <cell r="B400">
            <v>400</v>
          </cell>
          <cell r="C400" t="str">
            <v>Salbutamol Udv 2.5Mg/2.5Ml</v>
          </cell>
        </row>
        <row r="401">
          <cell r="A401">
            <v>189705166</v>
          </cell>
          <cell r="B401">
            <v>401</v>
          </cell>
          <cell r="C401" t="str">
            <v>~Salbutamol Syr 2Mg/5ml 150Ml</v>
          </cell>
        </row>
        <row r="402">
          <cell r="A402">
            <v>189714792</v>
          </cell>
          <cell r="B402">
            <v>402</v>
          </cell>
          <cell r="C402" t="str">
            <v>~Salbutamol Syr 2Mg/5ml 500Ml</v>
          </cell>
        </row>
        <row r="403">
          <cell r="A403">
            <v>189714836</v>
          </cell>
          <cell r="B403">
            <v>403</v>
          </cell>
          <cell r="C403" t="str">
            <v>Selenium Sulphide Susp 2.5%</v>
          </cell>
        </row>
        <row r="404">
          <cell r="A404">
            <v>180339410</v>
          </cell>
          <cell r="B404">
            <v>404</v>
          </cell>
          <cell r="C404" t="str">
            <v>~Zinc Sulphate Caps 220Mg</v>
          </cell>
        </row>
        <row r="405">
          <cell r="A405">
            <v>189712107</v>
          </cell>
          <cell r="B405">
            <v>405</v>
          </cell>
          <cell r="C405" t="str">
            <v>~Sodium Hypochlorite Solution 1% 5.0L</v>
          </cell>
        </row>
        <row r="406">
          <cell r="A406">
            <v>189713767</v>
          </cell>
          <cell r="B406">
            <v>406</v>
          </cell>
          <cell r="C406" t="str">
            <v>Valproate Sodium Liquid Sugar Free 200Mg/5ml 300Ml</v>
          </cell>
        </row>
        <row r="407">
          <cell r="A407">
            <v>189712241</v>
          </cell>
          <cell r="B407">
            <v>407</v>
          </cell>
          <cell r="C407" t="str">
            <v>Sodium Phosphate Enema Sol 135Ml</v>
          </cell>
        </row>
        <row r="408">
          <cell r="A408" t="str">
            <v>ONCHOLOGY</v>
          </cell>
          <cell r="B408">
            <v>408</v>
          </cell>
          <cell r="C408" t="str">
            <v>Procarbazine 50Mg Tablets</v>
          </cell>
        </row>
        <row r="409">
          <cell r="A409" t="str">
            <v>QUOTE</v>
          </cell>
          <cell r="B409">
            <v>409</v>
          </cell>
          <cell r="C409" t="str">
            <v>Amino Acid Combination Itn 3301</v>
          </cell>
        </row>
        <row r="410">
          <cell r="A410">
            <v>189705998</v>
          </cell>
          <cell r="B410">
            <v>410</v>
          </cell>
          <cell r="C410" t="str">
            <v>Triamcinolone Acetonide 0.1%</v>
          </cell>
        </row>
        <row r="411">
          <cell r="A411" t="str">
            <v>QUOTE</v>
          </cell>
          <cell r="B411">
            <v>411</v>
          </cell>
          <cell r="C411" t="str">
            <v>Syrup Simplex 2.5L</v>
          </cell>
        </row>
        <row r="412">
          <cell r="A412">
            <v>189709075</v>
          </cell>
          <cell r="B412">
            <v>412</v>
          </cell>
          <cell r="C412" t="str">
            <v>Verapamil Tabs 240Mg Sr (30'S)</v>
          </cell>
        </row>
        <row r="413">
          <cell r="A413">
            <v>189712717</v>
          </cell>
          <cell r="B413">
            <v>413</v>
          </cell>
          <cell r="C413" t="str">
            <v>Immunoglobulin Human Normal 6G 200Ml (Polyga</v>
          </cell>
        </row>
        <row r="414">
          <cell r="A414">
            <v>180181121</v>
          </cell>
          <cell r="B414">
            <v>414</v>
          </cell>
          <cell r="C414" t="str">
            <v>Theophylline Syr 200Ml (Alcohol Free)</v>
          </cell>
        </row>
        <row r="415">
          <cell r="A415">
            <v>189706023</v>
          </cell>
          <cell r="B415">
            <v>415</v>
          </cell>
          <cell r="C415" t="str">
            <v>~Theophylline Syr 500Ml</v>
          </cell>
        </row>
        <row r="416">
          <cell r="A416">
            <v>189712406</v>
          </cell>
          <cell r="B416">
            <v>416</v>
          </cell>
          <cell r="C416" t="str">
            <v>~Thymol Glycerine Compound 100Ml</v>
          </cell>
        </row>
        <row r="417">
          <cell r="A417">
            <v>189711332</v>
          </cell>
          <cell r="B417">
            <v>417</v>
          </cell>
          <cell r="C417" t="str">
            <v>Tilidine Oral Drops 100Mg/ml</v>
          </cell>
        </row>
        <row r="418">
          <cell r="A418">
            <v>189711303</v>
          </cell>
          <cell r="B418">
            <v>418</v>
          </cell>
          <cell r="C418" t="str">
            <v>Iodine Solution Weak 500Ml</v>
          </cell>
        </row>
        <row r="419">
          <cell r="A419">
            <v>189704309</v>
          </cell>
          <cell r="B419">
            <v>419</v>
          </cell>
          <cell r="C419" t="str">
            <v>Campaign: Syringe Hypodermic  2Ml Three-Part</v>
          </cell>
        </row>
        <row r="420">
          <cell r="A420" t="str">
            <v>*</v>
          </cell>
          <cell r="B420">
            <v>420</v>
          </cell>
          <cell r="C420" t="str">
            <v>~Tenofovir &amp; Emtricitabine Tabs (1'S)</v>
          </cell>
        </row>
        <row r="421">
          <cell r="A421">
            <v>189704657</v>
          </cell>
          <cell r="B421">
            <v>421</v>
          </cell>
          <cell r="C421" t="str">
            <v>Trimeprazine Syrup 30Mg/5ml 100Ml</v>
          </cell>
        </row>
        <row r="422">
          <cell r="A422">
            <v>181798190</v>
          </cell>
          <cell r="B422">
            <v>422</v>
          </cell>
          <cell r="C422" t="str">
            <v>Vitamin A Caps 200 000Iu (50'S)</v>
          </cell>
        </row>
        <row r="423">
          <cell r="A423" t="str">
            <v>QUOTE</v>
          </cell>
          <cell r="B423">
            <v>423</v>
          </cell>
          <cell r="C423" t="str">
            <v>~Riboflavin Tabs 10Mg</v>
          </cell>
        </row>
        <row r="424">
          <cell r="A424">
            <v>189718286</v>
          </cell>
          <cell r="B424">
            <v>424</v>
          </cell>
          <cell r="C424" t="str">
            <v>Vitamin Multiple Syrup 100Ml</v>
          </cell>
        </row>
        <row r="425">
          <cell r="A425">
            <v>180142414</v>
          </cell>
          <cell r="B425">
            <v>2290</v>
          </cell>
          <cell r="C425" t="str">
            <v>~Didanosine Tabs 100Mg (60'S)</v>
          </cell>
        </row>
        <row r="426">
          <cell r="A426">
            <v>189712343</v>
          </cell>
          <cell r="B426">
            <v>426</v>
          </cell>
          <cell r="C426" t="str">
            <v>Acyclovir Cream 5% 2G</v>
          </cell>
        </row>
        <row r="427">
          <cell r="A427">
            <v>189712344</v>
          </cell>
          <cell r="B427">
            <v>427</v>
          </cell>
          <cell r="C427" t="str">
            <v>Acyclovir Eye Oint 3%</v>
          </cell>
        </row>
        <row r="428">
          <cell r="A428">
            <v>181779136</v>
          </cell>
          <cell r="B428">
            <v>428</v>
          </cell>
          <cell r="C428" t="str">
            <v>Ritonavir Sol 80Mg/ml (90Ml)</v>
          </cell>
        </row>
        <row r="429">
          <cell r="A429">
            <v>180076305</v>
          </cell>
          <cell r="B429">
            <v>429</v>
          </cell>
          <cell r="C429" t="str">
            <v>Labetalol Hcl 5Mg/ml Injection.</v>
          </cell>
        </row>
        <row r="430">
          <cell r="A430">
            <v>180094038</v>
          </cell>
          <cell r="B430">
            <v>430</v>
          </cell>
          <cell r="C430" t="str">
            <v>~Calcipotriol Oitment 100G Tube</v>
          </cell>
        </row>
        <row r="431">
          <cell r="A431">
            <v>189715396</v>
          </cell>
          <cell r="B431">
            <v>431</v>
          </cell>
          <cell r="C431" t="str">
            <v>Benzoic Acid Co Oint  25Gm</v>
          </cell>
        </row>
        <row r="432">
          <cell r="A432">
            <v>189703383</v>
          </cell>
          <cell r="B432">
            <v>432</v>
          </cell>
          <cell r="C432" t="str">
            <v>Betamethasone Valerate Cream  15G</v>
          </cell>
        </row>
        <row r="433">
          <cell r="A433">
            <v>189707996</v>
          </cell>
          <cell r="B433">
            <v>433</v>
          </cell>
          <cell r="C433" t="str">
            <v>Betamethasone Valerate Cream 500G</v>
          </cell>
        </row>
        <row r="434">
          <cell r="A434">
            <v>189712125</v>
          </cell>
          <cell r="B434">
            <v>434</v>
          </cell>
          <cell r="C434" t="str">
            <v>Bisacodyl Supps 10Mg</v>
          </cell>
        </row>
        <row r="435">
          <cell r="A435">
            <v>180326889</v>
          </cell>
          <cell r="B435">
            <v>435</v>
          </cell>
          <cell r="C435" t="str">
            <v>~Bismuth Subgallate Zinc Supps</v>
          </cell>
        </row>
        <row r="436">
          <cell r="A436">
            <v>189711255</v>
          </cell>
          <cell r="B436">
            <v>436</v>
          </cell>
          <cell r="C436" t="str">
            <v>Bismuth Subnitrate Iodoform Paste 100Gm</v>
          </cell>
        </row>
        <row r="437">
          <cell r="A437" t="str">
            <v>QUOTE</v>
          </cell>
          <cell r="B437">
            <v>437</v>
          </cell>
          <cell r="C437" t="str">
            <v>~Sodium Methyl Hydroxy Benzoate Powder</v>
          </cell>
        </row>
        <row r="438">
          <cell r="A438">
            <v>189715755</v>
          </cell>
          <cell r="B438">
            <v>438</v>
          </cell>
          <cell r="C438" t="str">
            <v>Silver Nitrate Applicator 95%</v>
          </cell>
        </row>
        <row r="439">
          <cell r="A439">
            <v>180346230</v>
          </cell>
          <cell r="B439">
            <v>439</v>
          </cell>
          <cell r="C439" t="str">
            <v>Imiquimod Cream</v>
          </cell>
        </row>
        <row r="440">
          <cell r="A440" t="str">
            <v>QUOTE</v>
          </cell>
          <cell r="B440">
            <v>440</v>
          </cell>
          <cell r="C440" t="str">
            <v>Charcoal Pulv Activated 100Gm</v>
          </cell>
        </row>
        <row r="441">
          <cell r="A441">
            <v>180254404</v>
          </cell>
          <cell r="B441">
            <v>441</v>
          </cell>
          <cell r="C441" t="str">
            <v>~Cetrimide Chlorhexidine 1:100  50Ml</v>
          </cell>
        </row>
        <row r="442">
          <cell r="A442">
            <v>181826366</v>
          </cell>
          <cell r="B442">
            <v>442</v>
          </cell>
          <cell r="C442" t="str">
            <v>~Chlorhexidine Cream Obstetric 100Ml</v>
          </cell>
        </row>
        <row r="443">
          <cell r="A443">
            <v>180257040</v>
          </cell>
          <cell r="B443">
            <v>443</v>
          </cell>
          <cell r="C443" t="str">
            <v>Cholestyramine Powder</v>
          </cell>
        </row>
        <row r="444">
          <cell r="A444">
            <v>189707981</v>
          </cell>
          <cell r="B444">
            <v>444</v>
          </cell>
          <cell r="C444" t="str">
            <v>Clobetasol Propionate Cream 25Gm</v>
          </cell>
        </row>
        <row r="445">
          <cell r="A445">
            <v>189707980</v>
          </cell>
          <cell r="B445">
            <v>445</v>
          </cell>
          <cell r="C445" t="str">
            <v>Clobetasol Propionate Oint 25Gm</v>
          </cell>
        </row>
        <row r="446">
          <cell r="A446">
            <v>189705118</v>
          </cell>
          <cell r="B446">
            <v>446</v>
          </cell>
          <cell r="C446" t="str">
            <v>Clotrimazole Cream 1% 20Gm</v>
          </cell>
        </row>
        <row r="447">
          <cell r="A447" t="str">
            <v>MOTIVATION</v>
          </cell>
          <cell r="B447">
            <v>447</v>
          </cell>
          <cell r="C447" t="str">
            <v>~Clotrimazole 10Mg Lozenges</v>
          </cell>
        </row>
        <row r="448">
          <cell r="A448">
            <v>180351237</v>
          </cell>
          <cell r="B448">
            <v>448</v>
          </cell>
          <cell r="C448" t="str">
            <v>Quetiapine I R Tabs 100Mg (90'S)</v>
          </cell>
        </row>
        <row r="449">
          <cell r="A449">
            <v>189705170</v>
          </cell>
          <cell r="B449">
            <v>449</v>
          </cell>
          <cell r="C449" t="str">
            <v>Conj. Oestrogens Vag Cream 42.5Gm</v>
          </cell>
        </row>
        <row r="450">
          <cell r="A450">
            <v>189711824</v>
          </cell>
          <cell r="B450">
            <v>450</v>
          </cell>
          <cell r="C450" t="str">
            <v>~Cyclizine 50Mg Tabs (10'S)</v>
          </cell>
        </row>
        <row r="451">
          <cell r="A451">
            <v>189740713</v>
          </cell>
          <cell r="B451">
            <v>451</v>
          </cell>
          <cell r="C451" t="str">
            <v>Dextrose Powder  50G</v>
          </cell>
        </row>
        <row r="452">
          <cell r="A452">
            <v>180231807</v>
          </cell>
          <cell r="B452">
            <v>452</v>
          </cell>
          <cell r="C452" t="str">
            <v>~Intrav Cath 16G Introducer Needle</v>
          </cell>
        </row>
        <row r="453">
          <cell r="A453">
            <v>180192421</v>
          </cell>
          <cell r="B453">
            <v>453</v>
          </cell>
          <cell r="C453" t="str">
            <v>~Intrav Cath 18G Introducer Needle</v>
          </cell>
        </row>
        <row r="454">
          <cell r="A454">
            <v>189708273</v>
          </cell>
          <cell r="B454">
            <v>454</v>
          </cell>
          <cell r="C454" t="str">
            <v>Sut Polyest 5/0 1/2Tp 13Mm Cardio</v>
          </cell>
        </row>
        <row r="455">
          <cell r="A455">
            <v>189713910</v>
          </cell>
          <cell r="B455">
            <v>455</v>
          </cell>
          <cell r="C455" t="str">
            <v>Electrode Gel 250Ml</v>
          </cell>
        </row>
        <row r="456">
          <cell r="A456">
            <v>189707512</v>
          </cell>
          <cell r="B456">
            <v>456</v>
          </cell>
          <cell r="C456" t="str">
            <v>Emulsifying Ointment 500Gm</v>
          </cell>
        </row>
        <row r="457">
          <cell r="A457" t="str">
            <v>QUOTE</v>
          </cell>
          <cell r="B457">
            <v>457</v>
          </cell>
          <cell r="C457" t="str">
            <v>Flumethasone Pivalate Clioquin Crm 15Gm</v>
          </cell>
        </row>
        <row r="458">
          <cell r="A458" t="str">
            <v>QUOTE</v>
          </cell>
          <cell r="B458">
            <v>458</v>
          </cell>
          <cell r="C458" t="str">
            <v>Kaltostat Wound Dressing 2G Cavity</v>
          </cell>
        </row>
        <row r="459">
          <cell r="A459">
            <v>180032075</v>
          </cell>
          <cell r="B459">
            <v>459</v>
          </cell>
          <cell r="C459" t="str">
            <v>Glycerine Supps Infant</v>
          </cell>
        </row>
        <row r="460">
          <cell r="A460">
            <v>180032076</v>
          </cell>
          <cell r="B460">
            <v>460</v>
          </cell>
          <cell r="C460" t="str">
            <v>Glycerine Supps Adult</v>
          </cell>
        </row>
        <row r="461">
          <cell r="A461">
            <v>181808885</v>
          </cell>
          <cell r="B461">
            <v>461</v>
          </cell>
          <cell r="C461" t="str">
            <v>Glove Exam Synt P/l Free Medium</v>
          </cell>
        </row>
        <row r="462">
          <cell r="A462">
            <v>189709037</v>
          </cell>
          <cell r="B462">
            <v>462</v>
          </cell>
          <cell r="C462" t="str">
            <v>Hydrocortisone Cream 1% 20Gm</v>
          </cell>
        </row>
        <row r="463">
          <cell r="A463">
            <v>189714886</v>
          </cell>
          <cell r="B463">
            <v>463</v>
          </cell>
          <cell r="C463" t="str">
            <v>~Ichthammol Oint 500Gm</v>
          </cell>
        </row>
        <row r="464">
          <cell r="A464">
            <v>189703432</v>
          </cell>
          <cell r="B464">
            <v>464</v>
          </cell>
          <cell r="C464" t="str">
            <v>Indomethacin Supps 100Mg</v>
          </cell>
        </row>
        <row r="465">
          <cell r="A465">
            <v>189712120</v>
          </cell>
          <cell r="B465">
            <v>465</v>
          </cell>
          <cell r="C465" t="str">
            <v>Lignocaine Gel 2% 20Gm</v>
          </cell>
        </row>
        <row r="466">
          <cell r="A466" t="str">
            <v>PREPACK 50ML</v>
          </cell>
          <cell r="B466">
            <v>466</v>
          </cell>
          <cell r="C466" t="str">
            <v>~Liquid Paraffin   50Ml</v>
          </cell>
        </row>
        <row r="467">
          <cell r="A467">
            <v>180086460</v>
          </cell>
          <cell r="B467">
            <v>467</v>
          </cell>
          <cell r="C467" t="str">
            <v>Lubricating Jelly 5Ml Sachet</v>
          </cell>
        </row>
        <row r="468">
          <cell r="A468">
            <v>189712093</v>
          </cell>
          <cell r="B468">
            <v>468</v>
          </cell>
          <cell r="C468" t="str">
            <v>~Magnesium Sulphate Crystals 500G (Epsom)</v>
          </cell>
        </row>
        <row r="469">
          <cell r="A469">
            <v>189712286</v>
          </cell>
          <cell r="B469">
            <v>469</v>
          </cell>
          <cell r="C469" t="str">
            <v>Malic Benzoic Salicylic Cream  (50G)</v>
          </cell>
        </row>
        <row r="470">
          <cell r="A470">
            <v>189709027</v>
          </cell>
          <cell r="B470">
            <v>470</v>
          </cell>
          <cell r="C470" t="str">
            <v>~Malic Benzoic Salicylic Cream 500G</v>
          </cell>
        </row>
        <row r="471">
          <cell r="A471">
            <v>189715751</v>
          </cell>
          <cell r="B471">
            <v>471</v>
          </cell>
          <cell r="C471" t="str">
            <v>Silver Nitrate 40% &amp; Potassium Nitrate 60%</v>
          </cell>
        </row>
        <row r="472">
          <cell r="A472">
            <v>189700955</v>
          </cell>
          <cell r="B472">
            <v>472</v>
          </cell>
          <cell r="C472" t="str">
            <v>~Mepyramine Maleate Cream 25G</v>
          </cell>
        </row>
        <row r="473">
          <cell r="A473">
            <v>189711948</v>
          </cell>
          <cell r="B473">
            <v>473</v>
          </cell>
          <cell r="C473" t="str">
            <v>Methyl Salicylate In Vaseline Oint 25G</v>
          </cell>
        </row>
        <row r="474">
          <cell r="A474">
            <v>189710844</v>
          </cell>
          <cell r="B474">
            <v>474</v>
          </cell>
          <cell r="C474" t="str">
            <v>Metronidazole Supps  500Mg (10'S)</v>
          </cell>
        </row>
        <row r="475">
          <cell r="A475">
            <v>189753933</v>
          </cell>
          <cell r="B475">
            <v>475</v>
          </cell>
          <cell r="C475" t="str">
            <v>Benzoyl Peroxide Gel  5% 40Gm</v>
          </cell>
        </row>
        <row r="476">
          <cell r="A476">
            <v>189708022</v>
          </cell>
          <cell r="B476">
            <v>476</v>
          </cell>
          <cell r="C476" t="str">
            <v>Miconazole Nitrate Oral Gel 30Gm</v>
          </cell>
        </row>
        <row r="477">
          <cell r="A477">
            <v>189706299</v>
          </cell>
          <cell r="B477">
            <v>477</v>
          </cell>
          <cell r="C477" t="str">
            <v>~Monosulfiram Soap 5% 75G</v>
          </cell>
        </row>
        <row r="478">
          <cell r="A478">
            <v>189715464</v>
          </cell>
          <cell r="B478">
            <v>478</v>
          </cell>
          <cell r="C478" t="str">
            <v>Morphine Sulphate Powder (10G)</v>
          </cell>
        </row>
        <row r="479">
          <cell r="A479">
            <v>189702496</v>
          </cell>
          <cell r="B479">
            <v>479</v>
          </cell>
          <cell r="C479" t="str">
            <v>~Nitrofurazone Oint 0.2% 500Gm</v>
          </cell>
        </row>
        <row r="480">
          <cell r="A480">
            <v>189702495</v>
          </cell>
          <cell r="B480">
            <v>480</v>
          </cell>
          <cell r="C480" t="str">
            <v>~Nitrofurazone Oint 0.2% 25Gm</v>
          </cell>
        </row>
        <row r="481">
          <cell r="A481">
            <v>181899908</v>
          </cell>
          <cell r="B481">
            <v>481</v>
          </cell>
          <cell r="C481" t="str">
            <v>Organic N-Chloro Compounds 30G</v>
          </cell>
        </row>
        <row r="482">
          <cell r="A482">
            <v>189715227</v>
          </cell>
          <cell r="B482">
            <v>482</v>
          </cell>
          <cell r="C482" t="str">
            <v>Pilocarpine Eye Gel 4% 5G</v>
          </cell>
        </row>
        <row r="483">
          <cell r="A483">
            <v>189708021</v>
          </cell>
          <cell r="B483">
            <v>483</v>
          </cell>
          <cell r="C483" t="str">
            <v>~Podophyllin Resin Salicylic Acid Oint 10Gm</v>
          </cell>
        </row>
        <row r="484">
          <cell r="A484">
            <v>189715468</v>
          </cell>
          <cell r="B484">
            <v>484</v>
          </cell>
          <cell r="C484" t="str">
            <v>Podophyllin Resin 25Gm</v>
          </cell>
        </row>
        <row r="485">
          <cell r="A485">
            <v>180035581</v>
          </cell>
          <cell r="B485">
            <v>485</v>
          </cell>
          <cell r="C485" t="str">
            <v>Potassium Chloride Powder 500Gm</v>
          </cell>
        </row>
        <row r="486">
          <cell r="A486">
            <v>180119662</v>
          </cell>
          <cell r="B486">
            <v>486</v>
          </cell>
          <cell r="C486" t="str">
            <v>Povidone Iodine Cream 25G</v>
          </cell>
        </row>
        <row r="487">
          <cell r="A487">
            <v>189707388</v>
          </cell>
          <cell r="B487">
            <v>487</v>
          </cell>
          <cell r="C487" t="str">
            <v>~Povidone Iodine Oint 500G</v>
          </cell>
        </row>
        <row r="488">
          <cell r="A488" t="str">
            <v>PREPACK  30</v>
          </cell>
          <cell r="B488">
            <v>488</v>
          </cell>
          <cell r="C488" t="str">
            <v>Prednisone Tabs 1Mg (30'S)</v>
          </cell>
        </row>
        <row r="489">
          <cell r="A489">
            <v>181798179</v>
          </cell>
          <cell r="B489">
            <v>489</v>
          </cell>
          <cell r="C489" t="str">
            <v>Prednisone Tabs 5Mg (28'S)</v>
          </cell>
        </row>
        <row r="490">
          <cell r="A490">
            <v>181922274</v>
          </cell>
          <cell r="B490">
            <v>490</v>
          </cell>
          <cell r="C490" t="str">
            <v>Darunavir 600Mg Tabs (56'S)</v>
          </cell>
        </row>
        <row r="491">
          <cell r="A491">
            <v>189715499</v>
          </cell>
          <cell r="B491">
            <v>491</v>
          </cell>
          <cell r="C491" t="str">
            <v>Salicylic Acid Powder 500Gm</v>
          </cell>
        </row>
        <row r="492">
          <cell r="A492">
            <v>189705115</v>
          </cell>
          <cell r="B492">
            <v>492</v>
          </cell>
          <cell r="C492" t="str">
            <v>Silver Sulphadiazine 1% Cream (500G)</v>
          </cell>
        </row>
        <row r="493">
          <cell r="A493">
            <v>189705116</v>
          </cell>
          <cell r="B493">
            <v>493</v>
          </cell>
          <cell r="C493" t="str">
            <v>Silver Sulphadiazine 1% Cream  (50G)</v>
          </cell>
        </row>
        <row r="494">
          <cell r="A494">
            <v>189711288</v>
          </cell>
          <cell r="B494">
            <v>494</v>
          </cell>
          <cell r="C494" t="str">
            <v>~Sodium Bicarbonate Powder 500G</v>
          </cell>
        </row>
        <row r="495">
          <cell r="A495">
            <v>181915402</v>
          </cell>
          <cell r="B495">
            <v>495</v>
          </cell>
          <cell r="C495" t="str">
            <v>Sodium Chloride Potassium Sodium Citrate Powder 26G</v>
          </cell>
        </row>
        <row r="496">
          <cell r="A496">
            <v>181851265</v>
          </cell>
          <cell r="B496">
            <v>496</v>
          </cell>
          <cell r="C496" t="str">
            <v>Dressing Wound Dispersion 10Cm X 1M Roll</v>
          </cell>
        </row>
        <row r="497">
          <cell r="A497">
            <v>189717326</v>
          </cell>
          <cell r="B497">
            <v>497</v>
          </cell>
          <cell r="C497" t="str">
            <v>~Sodium Citro-Tartrate Granules 60Gm</v>
          </cell>
        </row>
        <row r="498">
          <cell r="A498">
            <v>189707435</v>
          </cell>
          <cell r="B498">
            <v>498</v>
          </cell>
          <cell r="C498" t="str">
            <v>~Soft Paraffin White 500Gm</v>
          </cell>
        </row>
        <row r="499">
          <cell r="A499">
            <v>189707436</v>
          </cell>
          <cell r="B499">
            <v>499</v>
          </cell>
          <cell r="C499" t="str">
            <v>Soft Paraffin Yellow 500G</v>
          </cell>
        </row>
        <row r="500">
          <cell r="A500" t="str">
            <v>*</v>
          </cell>
          <cell r="B500">
            <v>500</v>
          </cell>
          <cell r="C500" t="str">
            <v>Tigecycline Powder 50Mg/ml</v>
          </cell>
        </row>
        <row r="501">
          <cell r="A501" t="str">
            <v>QUOTE EYE</v>
          </cell>
          <cell r="B501">
            <v>501</v>
          </cell>
          <cell r="C501" t="str">
            <v>Knife Ophthalmic Slit 3.0Mm Angled Satin -Phaco Incisio</v>
          </cell>
        </row>
        <row r="502">
          <cell r="A502">
            <v>180115255</v>
          </cell>
          <cell r="B502">
            <v>502</v>
          </cell>
          <cell r="C502" t="str">
            <v>Vigabatrin Tabs 500Mg (100'S)</v>
          </cell>
        </row>
        <row r="503">
          <cell r="A503">
            <v>181915443</v>
          </cell>
          <cell r="B503">
            <v>503</v>
          </cell>
          <cell r="C503" t="str">
            <v>Sun Screen Cream Spf 30 50Ml</v>
          </cell>
        </row>
        <row r="504">
          <cell r="A504">
            <v>189709033</v>
          </cell>
          <cell r="B504">
            <v>504</v>
          </cell>
          <cell r="C504" t="str">
            <v>Tretinoin Cream 20Gm</v>
          </cell>
        </row>
        <row r="505">
          <cell r="A505">
            <v>189715428</v>
          </cell>
          <cell r="B505">
            <v>505</v>
          </cell>
          <cell r="C505" t="str">
            <v>Tretinoin Gel 20Gm</v>
          </cell>
        </row>
        <row r="506">
          <cell r="A506">
            <v>189712178</v>
          </cell>
          <cell r="B506">
            <v>506</v>
          </cell>
          <cell r="C506" t="str">
            <v>Ultrasound Gel Medium Viscosity 250Ml</v>
          </cell>
        </row>
        <row r="507">
          <cell r="A507">
            <v>181777171</v>
          </cell>
          <cell r="B507">
            <v>507</v>
          </cell>
          <cell r="C507" t="str">
            <v>Tube Endo T Cuffed Intub L/mask 6Mm</v>
          </cell>
        </row>
        <row r="508">
          <cell r="A508">
            <v>181798191</v>
          </cell>
          <cell r="B508">
            <v>508</v>
          </cell>
          <cell r="C508" t="str">
            <v>Vitamin A Caps  50 000Iu (50'S)</v>
          </cell>
        </row>
        <row r="509">
          <cell r="A509">
            <v>189715429</v>
          </cell>
          <cell r="B509">
            <v>509</v>
          </cell>
          <cell r="C509" t="str">
            <v>Zinc &amp; Castor Oil Oint 25Gm</v>
          </cell>
        </row>
        <row r="510">
          <cell r="A510">
            <v>189715434</v>
          </cell>
          <cell r="B510">
            <v>510</v>
          </cell>
          <cell r="C510" t="str">
            <v>~Zinc Oint 500Gm</v>
          </cell>
        </row>
        <row r="511">
          <cell r="A511">
            <v>180165395</v>
          </cell>
          <cell r="B511">
            <v>511</v>
          </cell>
          <cell r="C511" t="str">
            <v>Zidovudine Syrup 200Ml</v>
          </cell>
        </row>
        <row r="512">
          <cell r="A512">
            <v>189752737</v>
          </cell>
          <cell r="B512">
            <v>512</v>
          </cell>
          <cell r="C512" t="str">
            <v>Acetazolamide Tabs 250Mg (30'S)</v>
          </cell>
        </row>
        <row r="513">
          <cell r="A513">
            <v>180105006</v>
          </cell>
          <cell r="B513">
            <v>513</v>
          </cell>
          <cell r="C513" t="str">
            <v>Allopurinol Tabs 100Mg (100'S)</v>
          </cell>
        </row>
        <row r="514">
          <cell r="A514">
            <v>180145732</v>
          </cell>
          <cell r="B514">
            <v>514</v>
          </cell>
          <cell r="C514" t="str">
            <v>~Didanosine Tabs 25Mg (60'S)</v>
          </cell>
        </row>
        <row r="515">
          <cell r="A515">
            <v>180002786</v>
          </cell>
          <cell r="B515">
            <v>515</v>
          </cell>
          <cell r="C515" t="str">
            <v>Amoxycillin Clavulan Susp 250/62.5</v>
          </cell>
        </row>
        <row r="516">
          <cell r="A516">
            <v>181896240</v>
          </cell>
          <cell r="B516">
            <v>516</v>
          </cell>
          <cell r="C516" t="str">
            <v>Stavudine Caps 20Mg (60'S)</v>
          </cell>
        </row>
        <row r="517">
          <cell r="A517">
            <v>180009972</v>
          </cell>
          <cell r="B517">
            <v>517</v>
          </cell>
          <cell r="C517" t="str">
            <v>Chlorhexidine Scrub 4% 5L</v>
          </cell>
        </row>
        <row r="518">
          <cell r="A518">
            <v>180339402</v>
          </cell>
          <cell r="B518">
            <v>518</v>
          </cell>
          <cell r="C518" t="str">
            <v>Amitriptyline Tabs 10Mg (28'S)</v>
          </cell>
        </row>
        <row r="519">
          <cell r="A519">
            <v>189760812</v>
          </cell>
          <cell r="B519">
            <v>519</v>
          </cell>
          <cell r="C519" t="str">
            <v>Amitriptyline Tabs 25Mg (100'S)</v>
          </cell>
        </row>
        <row r="520">
          <cell r="A520">
            <v>180958902</v>
          </cell>
          <cell r="B520">
            <v>520</v>
          </cell>
          <cell r="C520" t="str">
            <v>Artemether/lumefantrine 20/120Mg Tabs (24'S)</v>
          </cell>
        </row>
        <row r="521">
          <cell r="A521" t="str">
            <v>QUOTE</v>
          </cell>
          <cell r="B521">
            <v>521</v>
          </cell>
          <cell r="C521" t="str">
            <v>~Perindopril 4Mg/indapamide 1.25Mg</v>
          </cell>
        </row>
        <row r="522">
          <cell r="A522">
            <v>181936077</v>
          </cell>
          <cell r="B522">
            <v>522</v>
          </cell>
          <cell r="C522" t="str">
            <v>Olanzapine Tabs 5Mg (28'S)</v>
          </cell>
        </row>
        <row r="523">
          <cell r="A523">
            <v>181798133</v>
          </cell>
          <cell r="B523">
            <v>523</v>
          </cell>
          <cell r="C523" t="str">
            <v>~Artovastatin Tabs 20Mg (30'S)</v>
          </cell>
        </row>
        <row r="524">
          <cell r="A524">
            <v>180339413</v>
          </cell>
          <cell r="B524">
            <v>524</v>
          </cell>
          <cell r="C524" t="str">
            <v>Atenolol Tabs 50Mg (28'S)</v>
          </cell>
        </row>
        <row r="525">
          <cell r="A525">
            <v>180192290</v>
          </cell>
          <cell r="B525">
            <v>525</v>
          </cell>
          <cell r="C525" t="str">
            <v>Atenolol Tabs 100Mg (28'S)</v>
          </cell>
        </row>
        <row r="526">
          <cell r="A526">
            <v>189710306</v>
          </cell>
          <cell r="B526">
            <v>526</v>
          </cell>
          <cell r="C526" t="str">
            <v>~Auranofin Tabs 3Mg</v>
          </cell>
        </row>
        <row r="527">
          <cell r="A527">
            <v>189710063</v>
          </cell>
          <cell r="B527">
            <v>527</v>
          </cell>
          <cell r="C527" t="str">
            <v>~Al Hyd, Aliginic Acid, Mag Tris &amp; Sod Bicarbonate</v>
          </cell>
        </row>
        <row r="528">
          <cell r="A528">
            <v>189710247</v>
          </cell>
          <cell r="B528">
            <v>528</v>
          </cell>
          <cell r="C528" t="str">
            <v>Biperiden Tabs 2Mg (500'S)</v>
          </cell>
        </row>
        <row r="529">
          <cell r="A529">
            <v>189710222</v>
          </cell>
          <cell r="B529">
            <v>529</v>
          </cell>
          <cell r="C529" t="str">
            <v>~Bisacodyl Tabs 5Mg (200'S)</v>
          </cell>
        </row>
        <row r="530">
          <cell r="A530">
            <v>189715336</v>
          </cell>
          <cell r="B530">
            <v>530</v>
          </cell>
          <cell r="C530" t="str">
            <v>~Ursodeoxycholic Acid 100Mg Tabs (180'S)</v>
          </cell>
        </row>
        <row r="531">
          <cell r="A531">
            <v>189710310</v>
          </cell>
          <cell r="B531">
            <v>531</v>
          </cell>
          <cell r="C531" t="str">
            <v>Bromocriptine Mesylate Tabs 2.5Mg (30'S)</v>
          </cell>
        </row>
        <row r="532">
          <cell r="A532">
            <v>180031182</v>
          </cell>
          <cell r="B532">
            <v>532</v>
          </cell>
          <cell r="C532" t="str">
            <v>Maintelyte &amp; Dextrose 5% 1000Ml Hospital</v>
          </cell>
        </row>
        <row r="533">
          <cell r="A533">
            <v>189710010</v>
          </cell>
          <cell r="B533">
            <v>533</v>
          </cell>
          <cell r="C533" t="str">
            <v>Captopril Tabs 25Mg (60'S)</v>
          </cell>
        </row>
        <row r="534">
          <cell r="A534" t="str">
            <v>QUOTE</v>
          </cell>
          <cell r="B534">
            <v>534</v>
          </cell>
          <cell r="C534" t="str">
            <v>Perindopril Tabs 10Mg</v>
          </cell>
        </row>
        <row r="535">
          <cell r="A535">
            <v>181892375</v>
          </cell>
          <cell r="B535">
            <v>535</v>
          </cell>
          <cell r="C535" t="str">
            <v>Carbamazepine Tabs 200Mg (28'S)</v>
          </cell>
        </row>
        <row r="536">
          <cell r="A536">
            <v>189710383</v>
          </cell>
          <cell r="B536">
            <v>536</v>
          </cell>
          <cell r="C536" t="str">
            <v>Carbidopa 25Mg Levodopa 250Mg Tabs (100'S)</v>
          </cell>
        </row>
        <row r="537">
          <cell r="A537">
            <v>189710226</v>
          </cell>
          <cell r="B537">
            <v>537</v>
          </cell>
          <cell r="C537" t="str">
            <v>Carbimazole Tabs 5Mg (100'S)</v>
          </cell>
        </row>
        <row r="538">
          <cell r="A538">
            <v>181775264</v>
          </cell>
          <cell r="B538">
            <v>538</v>
          </cell>
          <cell r="C538" t="str">
            <v>Monitoring Set Paediatric.</v>
          </cell>
        </row>
        <row r="539">
          <cell r="A539" t="str">
            <v>*</v>
          </cell>
          <cell r="B539">
            <v>539</v>
          </cell>
          <cell r="C539" t="str">
            <v>~Darbepoietin Alpha 80Ug Prefilled Syringe</v>
          </cell>
        </row>
        <row r="540">
          <cell r="A540">
            <v>189710650</v>
          </cell>
          <cell r="B540">
            <v>540</v>
          </cell>
          <cell r="C540" t="str">
            <v>~Chlordiazepoxide Clidinium Tabs</v>
          </cell>
        </row>
        <row r="541">
          <cell r="A541">
            <v>181868871</v>
          </cell>
          <cell r="B541">
            <v>541</v>
          </cell>
          <cell r="C541" t="str">
            <v>Chlorpromazine Tabs  25Mg (28'S)</v>
          </cell>
        </row>
        <row r="542">
          <cell r="A542">
            <v>180969540</v>
          </cell>
          <cell r="B542">
            <v>542</v>
          </cell>
          <cell r="C542" t="str">
            <v>Goserelin Acetate Inj 10.8Mg</v>
          </cell>
        </row>
        <row r="543">
          <cell r="A543">
            <v>189709944</v>
          </cell>
          <cell r="B543">
            <v>543</v>
          </cell>
          <cell r="C543" t="str">
            <v>Goserelin Acetate Inj  3.6Mg</v>
          </cell>
        </row>
        <row r="544">
          <cell r="A544">
            <v>189712624</v>
          </cell>
          <cell r="B544">
            <v>544</v>
          </cell>
          <cell r="C544" t="str">
            <v>Chloroquine Tabs 200Mg (100'S)</v>
          </cell>
        </row>
        <row r="545">
          <cell r="A545">
            <v>189751769</v>
          </cell>
          <cell r="B545">
            <v>545</v>
          </cell>
          <cell r="C545" t="str">
            <v>Chlorpheniramine Tabs 4Mg (1000'S)</v>
          </cell>
        </row>
        <row r="546">
          <cell r="A546">
            <v>180073795</v>
          </cell>
          <cell r="B546">
            <v>546</v>
          </cell>
          <cell r="C546" t="str">
            <v>Granisetron 1Mg/ml Injection</v>
          </cell>
        </row>
        <row r="547">
          <cell r="A547" t="str">
            <v>MOTIVATION</v>
          </cell>
          <cell r="B547">
            <v>547</v>
          </cell>
          <cell r="C547" t="str">
            <v>~Zopiclone 7.5Mg Tabs</v>
          </cell>
        </row>
        <row r="548">
          <cell r="A548">
            <v>1897172706</v>
          </cell>
          <cell r="B548">
            <v>548</v>
          </cell>
          <cell r="C548" t="str">
            <v>Chlorpromazine Tabs  25Mg (500'S)</v>
          </cell>
        </row>
        <row r="549">
          <cell r="A549">
            <v>181917351</v>
          </cell>
          <cell r="B549">
            <v>549</v>
          </cell>
          <cell r="C549" t="str">
            <v>Chlorpromazine Tabs  50Mg (56'S)</v>
          </cell>
        </row>
        <row r="550">
          <cell r="A550">
            <v>189712650</v>
          </cell>
          <cell r="B550">
            <v>550</v>
          </cell>
          <cell r="C550" t="str">
            <v>~Chlorpromazine Tabs 100Mg (500'S)</v>
          </cell>
        </row>
        <row r="551">
          <cell r="A551">
            <v>190142507</v>
          </cell>
          <cell r="B551">
            <v>551</v>
          </cell>
          <cell r="C551" t="str">
            <v>~Letrozole Tabs 2.5Mg</v>
          </cell>
        </row>
        <row r="552">
          <cell r="A552">
            <v>180950543</v>
          </cell>
          <cell r="B552">
            <v>552</v>
          </cell>
          <cell r="C552" t="str">
            <v>Closed Suction System 14Fr</v>
          </cell>
        </row>
        <row r="553">
          <cell r="A553">
            <v>180959585</v>
          </cell>
          <cell r="B553">
            <v>553</v>
          </cell>
          <cell r="C553" t="str">
            <v>Olanzapine Tabs 2.5Mg (28'S)</v>
          </cell>
        </row>
        <row r="554">
          <cell r="A554">
            <v>189710220</v>
          </cell>
          <cell r="B554">
            <v>554</v>
          </cell>
          <cell r="C554" t="str">
            <v>Cinnarizine Tabs 25Mg (50'S)</v>
          </cell>
        </row>
        <row r="555">
          <cell r="A555">
            <v>189714435</v>
          </cell>
          <cell r="B555">
            <v>555</v>
          </cell>
          <cell r="C555" t="str">
            <v>Clofazimine Caps 100Mg</v>
          </cell>
        </row>
        <row r="556">
          <cell r="A556">
            <v>180054777</v>
          </cell>
          <cell r="B556">
            <v>556</v>
          </cell>
          <cell r="C556" t="str">
            <v>Clomiphene Tabs 50Mg (10'S)</v>
          </cell>
        </row>
        <row r="557">
          <cell r="A557">
            <v>180964072</v>
          </cell>
          <cell r="B557">
            <v>557</v>
          </cell>
          <cell r="C557" t="str">
            <v>Clopidogrel 75Mg Tabs (28'S)</v>
          </cell>
        </row>
        <row r="558">
          <cell r="A558">
            <v>181797926</v>
          </cell>
          <cell r="B558">
            <v>558</v>
          </cell>
          <cell r="C558" t="str">
            <v>Clomipramine Tabs 25Mg (50'S)</v>
          </cell>
        </row>
        <row r="559">
          <cell r="A559">
            <v>189752192</v>
          </cell>
          <cell r="B559">
            <v>559</v>
          </cell>
          <cell r="C559" t="str">
            <v>Clonazepam Tabs 2Mg (90'S)</v>
          </cell>
        </row>
        <row r="560">
          <cell r="A560">
            <v>189710305</v>
          </cell>
          <cell r="B560">
            <v>560</v>
          </cell>
          <cell r="C560" t="str">
            <v>Clonidine Tabs 25Mcg (100'S)</v>
          </cell>
        </row>
        <row r="561">
          <cell r="A561">
            <v>189710307</v>
          </cell>
          <cell r="B561">
            <v>561</v>
          </cell>
          <cell r="C561" t="str">
            <v>Clothiapine Tabs 40Mg (100'S)</v>
          </cell>
        </row>
        <row r="562">
          <cell r="A562">
            <v>189710069</v>
          </cell>
          <cell r="B562">
            <v>562</v>
          </cell>
          <cell r="C562" t="str">
            <v>Clozapine Tabs  25Mg (84'S)</v>
          </cell>
        </row>
        <row r="563">
          <cell r="A563">
            <v>189711823</v>
          </cell>
          <cell r="B563">
            <v>563</v>
          </cell>
          <cell r="C563" t="str">
            <v>Co-Trimoxazole Tabs 480Mg (1000'S)</v>
          </cell>
        </row>
        <row r="564">
          <cell r="A564">
            <v>181937413</v>
          </cell>
          <cell r="B564">
            <v>564</v>
          </cell>
          <cell r="C564" t="str">
            <v>Colchicine Tabs 0.5Mg (12'S)</v>
          </cell>
        </row>
        <row r="565">
          <cell r="A565">
            <v>189763014</v>
          </cell>
          <cell r="B565">
            <v>565</v>
          </cell>
          <cell r="C565" t="str">
            <v>Cetirizine Tabs 10Mg (30'S)</v>
          </cell>
        </row>
        <row r="566">
          <cell r="A566">
            <v>189708262</v>
          </cell>
          <cell r="B566">
            <v>566</v>
          </cell>
          <cell r="C566" t="str">
            <v>Imipenem Cilastatin Inj 500Mg</v>
          </cell>
        </row>
        <row r="567">
          <cell r="A567">
            <v>180166911</v>
          </cell>
          <cell r="B567">
            <v>567</v>
          </cell>
          <cell r="C567" t="str">
            <v>Cytarabine Inj 100Mg</v>
          </cell>
        </row>
        <row r="568">
          <cell r="A568">
            <v>189710181</v>
          </cell>
          <cell r="B568">
            <v>568</v>
          </cell>
          <cell r="C568" t="str">
            <v>Dapsone Tabs 100Mg (100'S)</v>
          </cell>
        </row>
        <row r="569">
          <cell r="A569">
            <v>180262328</v>
          </cell>
          <cell r="B569">
            <v>569</v>
          </cell>
          <cell r="C569" t="str">
            <v>Ritonavir Tabs 100Mg 60'S</v>
          </cell>
        </row>
        <row r="570">
          <cell r="A570">
            <v>180199114</v>
          </cell>
          <cell r="B570">
            <v>570</v>
          </cell>
          <cell r="C570" t="str">
            <v>~Diazepam Tabs 2Mg (100'S)</v>
          </cell>
        </row>
        <row r="571">
          <cell r="A571">
            <v>180280749</v>
          </cell>
          <cell r="B571">
            <v>571</v>
          </cell>
          <cell r="C571" t="str">
            <v>Diazepam 5Mg Scored Tabs (100'S)</v>
          </cell>
        </row>
        <row r="572">
          <cell r="A572">
            <v>189711053</v>
          </cell>
          <cell r="B572">
            <v>572</v>
          </cell>
          <cell r="C572" t="str">
            <v>Diclofenac Sodium 25Mg Tabs (100'S)</v>
          </cell>
        </row>
        <row r="573">
          <cell r="A573">
            <v>189714444</v>
          </cell>
          <cell r="B573">
            <v>573</v>
          </cell>
          <cell r="C573" t="str">
            <v>Digoxin Tabs 0.25Mg (100'S)</v>
          </cell>
        </row>
        <row r="574">
          <cell r="A574">
            <v>189710756</v>
          </cell>
          <cell r="B574">
            <v>574</v>
          </cell>
          <cell r="C574" t="str">
            <v>~Dihydrocodeine Tartrate 50Mg Inj</v>
          </cell>
        </row>
        <row r="575">
          <cell r="A575">
            <v>189710531</v>
          </cell>
          <cell r="B575">
            <v>575</v>
          </cell>
          <cell r="C575" t="str">
            <v>Dinoprostone Tabs 0.5Mg (10'S)</v>
          </cell>
        </row>
        <row r="576">
          <cell r="A576">
            <v>189712247</v>
          </cell>
          <cell r="B576">
            <v>576</v>
          </cell>
          <cell r="C576" t="str">
            <v>Thioguanine Tabs 40Mg (25'S)</v>
          </cell>
        </row>
        <row r="577">
          <cell r="A577">
            <v>189710651</v>
          </cell>
          <cell r="B577">
            <v>577</v>
          </cell>
          <cell r="C577" t="str">
            <v>~Dipipanone Cyclizine Tabs 10Mg/30mg</v>
          </cell>
        </row>
        <row r="578">
          <cell r="A578">
            <v>189710462</v>
          </cell>
          <cell r="B578">
            <v>578</v>
          </cell>
          <cell r="C578" t="str">
            <v>~Dipyridamole Tabs 25Mg</v>
          </cell>
        </row>
        <row r="579">
          <cell r="A579">
            <v>181813974</v>
          </cell>
          <cell r="B579">
            <v>579</v>
          </cell>
          <cell r="C579" t="str">
            <v>Valproate / Valproic Acid Tabs 500Mg (56'S)</v>
          </cell>
        </row>
        <row r="580">
          <cell r="A580" t="str">
            <v>.</v>
          </cell>
          <cell r="B580">
            <v>580</v>
          </cell>
          <cell r="C580" t="str">
            <v>Receptal Canister</v>
          </cell>
        </row>
        <row r="581">
          <cell r="A581">
            <v>189710339</v>
          </cell>
          <cell r="B581">
            <v>581</v>
          </cell>
          <cell r="C581" t="str">
            <v>~Disopyramide Caps 100Mg</v>
          </cell>
        </row>
        <row r="582">
          <cell r="A582">
            <v>189710229</v>
          </cell>
          <cell r="B582">
            <v>582</v>
          </cell>
          <cell r="C582" t="str">
            <v>~Disulfirum Tabs 400Mg (50'S)</v>
          </cell>
        </row>
        <row r="583">
          <cell r="A583">
            <v>181896243</v>
          </cell>
          <cell r="B583">
            <v>583</v>
          </cell>
          <cell r="C583" t="str">
            <v>Zidovudine Tabs 300Mg (60'S)</v>
          </cell>
        </row>
        <row r="584">
          <cell r="A584">
            <v>189710187</v>
          </cell>
          <cell r="B584">
            <v>584</v>
          </cell>
          <cell r="C584" t="str">
            <v>Enalapril Tabs 20Mg (28'S)</v>
          </cell>
        </row>
        <row r="585">
          <cell r="A585">
            <v>181775259</v>
          </cell>
          <cell r="B585">
            <v>585</v>
          </cell>
          <cell r="C585" t="str">
            <v>Monitoring Set Adult</v>
          </cell>
        </row>
        <row r="586">
          <cell r="A586">
            <v>189710466</v>
          </cell>
          <cell r="B586">
            <v>586</v>
          </cell>
          <cell r="C586" t="str">
            <v>~Ergotamine And Caffeine Tabs (20'S)</v>
          </cell>
        </row>
        <row r="587">
          <cell r="A587">
            <v>181917383</v>
          </cell>
          <cell r="B587">
            <v>588</v>
          </cell>
          <cell r="C587" t="str">
            <v>Ferrous Fumurate &amp; Folic Acid 100 200Mg/0.1Mg (84'S)</v>
          </cell>
        </row>
        <row r="588">
          <cell r="A588">
            <v>189710645</v>
          </cell>
          <cell r="B588">
            <v>589</v>
          </cell>
          <cell r="C588" t="str">
            <v>~Ferrous Fumarate &amp; Folic Acid (1000'S)</v>
          </cell>
        </row>
        <row r="589">
          <cell r="A589">
            <v>189715339</v>
          </cell>
          <cell r="B589">
            <v>590</v>
          </cell>
          <cell r="C589" t="str">
            <v>Ethambutol Tabs 400Mg (100'S)</v>
          </cell>
        </row>
        <row r="590">
          <cell r="A590">
            <v>180155497</v>
          </cell>
          <cell r="B590">
            <v>591</v>
          </cell>
          <cell r="C590" t="str">
            <v>~Oestradiol Tabs 4Mg (28'S)</v>
          </cell>
        </row>
        <row r="591">
          <cell r="A591">
            <v>180155496</v>
          </cell>
          <cell r="B591">
            <v>592</v>
          </cell>
          <cell r="C591" t="str">
            <v>Oestradiol Tabs 2Mg (28'S)</v>
          </cell>
        </row>
        <row r="592">
          <cell r="A592" t="str">
            <v>QUOTE</v>
          </cell>
          <cell r="B592">
            <v>593</v>
          </cell>
          <cell r="C592" t="str">
            <v>Exchange Transfusion Tray</v>
          </cell>
        </row>
        <row r="593">
          <cell r="A593">
            <v>181923348</v>
          </cell>
          <cell r="B593">
            <v>594</v>
          </cell>
          <cell r="C593" t="str">
            <v>Ferrous Sulphate Co Tabs (28'S)</v>
          </cell>
        </row>
        <row r="594">
          <cell r="A594">
            <v>189714181</v>
          </cell>
          <cell r="B594">
            <v>595</v>
          </cell>
          <cell r="C594" t="str">
            <v>Ferrous Sulphate Co Tabs (500'S)</v>
          </cell>
        </row>
        <row r="595">
          <cell r="A595">
            <v>189760407</v>
          </cell>
          <cell r="B595">
            <v>596</v>
          </cell>
          <cell r="C595" t="str">
            <v>Folic Acid Tabs 5Mg (1000'S)</v>
          </cell>
        </row>
        <row r="596">
          <cell r="A596">
            <v>189711054</v>
          </cell>
          <cell r="B596">
            <v>597</v>
          </cell>
          <cell r="C596" t="str">
            <v>Furosemide Tabs 40Mg (250'S)</v>
          </cell>
        </row>
        <row r="597">
          <cell r="A597">
            <v>189710321</v>
          </cell>
          <cell r="B597">
            <v>598</v>
          </cell>
          <cell r="C597" t="str">
            <v>Glibenclamide Tabs 5Mg (500'S)</v>
          </cell>
        </row>
        <row r="598">
          <cell r="A598">
            <v>180670486</v>
          </cell>
          <cell r="B598">
            <v>599</v>
          </cell>
          <cell r="C598" t="str">
            <v>Gliclazide Tabs 80Mg (56'S)</v>
          </cell>
        </row>
        <row r="599">
          <cell r="A599">
            <v>189713033</v>
          </cell>
          <cell r="B599">
            <v>600</v>
          </cell>
          <cell r="C599" t="str">
            <v>~Glyceryl Trinitrate Tabs 0.5Mg (50'S)</v>
          </cell>
        </row>
        <row r="600">
          <cell r="A600">
            <v>189710286</v>
          </cell>
          <cell r="B600">
            <v>601</v>
          </cell>
          <cell r="C600" t="str">
            <v>Haloperidol Caps 0.5Mg (60'S)</v>
          </cell>
        </row>
        <row r="601">
          <cell r="A601">
            <v>189710367</v>
          </cell>
          <cell r="B601">
            <v>602</v>
          </cell>
          <cell r="C601" t="str">
            <v>Haloperidol Tabs 1.5Mg (100'S)</v>
          </cell>
        </row>
        <row r="602">
          <cell r="A602">
            <v>189710327</v>
          </cell>
          <cell r="B602">
            <v>603</v>
          </cell>
          <cell r="C602" t="str">
            <v>Haloperidol Tabs 5Mg (100'S)</v>
          </cell>
        </row>
        <row r="603">
          <cell r="A603">
            <v>180961937</v>
          </cell>
          <cell r="B603">
            <v>4000</v>
          </cell>
          <cell r="C603" t="str">
            <v>Syringe Safety 5Ml 20Gx40mm (0.9Mm) Needle</v>
          </cell>
        </row>
        <row r="604">
          <cell r="A604">
            <v>189710368</v>
          </cell>
          <cell r="B604">
            <v>605</v>
          </cell>
          <cell r="C604" t="str">
            <v>Hydralazine Tabs 10Mg (500'S)</v>
          </cell>
        </row>
        <row r="605">
          <cell r="A605">
            <v>181917394</v>
          </cell>
          <cell r="B605">
            <v>606</v>
          </cell>
          <cell r="C605" t="str">
            <v>Hydralazine Tabs 50Mg (112'S)</v>
          </cell>
        </row>
        <row r="606">
          <cell r="A606">
            <v>180234796</v>
          </cell>
          <cell r="B606">
            <v>607</v>
          </cell>
          <cell r="C606" t="str">
            <v>Fluconazole Caps 200Mg (28'S)</v>
          </cell>
        </row>
        <row r="607">
          <cell r="A607">
            <v>189710322</v>
          </cell>
          <cell r="B607">
            <v>608</v>
          </cell>
          <cell r="C607" t="str">
            <v>Hydrochlorothiazide Tabs 25Mg (500'S)</v>
          </cell>
        </row>
        <row r="608">
          <cell r="A608" t="str">
            <v>PHASED OUT</v>
          </cell>
          <cell r="B608">
            <v>609</v>
          </cell>
          <cell r="C608" t="str">
            <v>~Hydrochlorothiazide Tabs 25Mg (14'S)</v>
          </cell>
        </row>
        <row r="609">
          <cell r="A609">
            <v>181798176</v>
          </cell>
          <cell r="B609">
            <v>610</v>
          </cell>
          <cell r="C609" t="str">
            <v>Metoclopromide 10Mg Tabs (10'S)</v>
          </cell>
        </row>
        <row r="610">
          <cell r="A610">
            <v>189710164</v>
          </cell>
          <cell r="B610">
            <v>611</v>
          </cell>
          <cell r="C610" t="str">
            <v>Hydroxyzine Tabs  25Mg (100'S)</v>
          </cell>
        </row>
        <row r="611">
          <cell r="A611">
            <v>189712129</v>
          </cell>
          <cell r="B611">
            <v>612</v>
          </cell>
          <cell r="C611" t="str">
            <v>Hyoscine-N-Butylbrom Tabs 10Mg (100'S)</v>
          </cell>
        </row>
        <row r="612">
          <cell r="A612">
            <v>189710323</v>
          </cell>
          <cell r="B612">
            <v>613</v>
          </cell>
          <cell r="C612" t="str">
            <v>Ibuprofen Tabs 200Mg (1000'S)</v>
          </cell>
        </row>
        <row r="613">
          <cell r="A613">
            <v>189710265</v>
          </cell>
          <cell r="B613">
            <v>614</v>
          </cell>
          <cell r="C613" t="str">
            <v>Imipramine Tabs 10Mg (100'S)</v>
          </cell>
        </row>
        <row r="614">
          <cell r="A614">
            <v>180000600</v>
          </cell>
          <cell r="B614">
            <v>615</v>
          </cell>
          <cell r="C614" t="str">
            <v>Imipramine Tabs 25Mg (100'S)</v>
          </cell>
        </row>
        <row r="615">
          <cell r="A615">
            <v>180000605</v>
          </cell>
          <cell r="B615">
            <v>616</v>
          </cell>
          <cell r="C615" t="str">
            <v>~Indomethacin Caps 25Mg (1000'S)</v>
          </cell>
        </row>
        <row r="616">
          <cell r="A616">
            <v>180280768</v>
          </cell>
          <cell r="B616">
            <v>617</v>
          </cell>
          <cell r="C616" t="str">
            <v>~Isoniazid Tabs 100Mg (1000'S)</v>
          </cell>
        </row>
        <row r="617">
          <cell r="A617">
            <v>180280769</v>
          </cell>
          <cell r="B617">
            <v>618</v>
          </cell>
          <cell r="C617" t="str">
            <v>~Isoniazid Tabs 200Mg</v>
          </cell>
        </row>
        <row r="618">
          <cell r="A618">
            <v>181879045</v>
          </cell>
          <cell r="B618">
            <v>619</v>
          </cell>
          <cell r="C618" t="str">
            <v>Isoniazid Tabs 300Mg (28'S)</v>
          </cell>
        </row>
        <row r="619">
          <cell r="A619">
            <v>189710453</v>
          </cell>
          <cell r="B619">
            <v>620</v>
          </cell>
          <cell r="C619" t="str">
            <v>Isosorbide Dinitrate Tabs  5Mg (50'S)</v>
          </cell>
        </row>
        <row r="620">
          <cell r="A620">
            <v>180146434</v>
          </cell>
          <cell r="B620">
            <v>621</v>
          </cell>
          <cell r="C620" t="str">
            <v>Isosorbide Dinitrate Tabs 10Mg (84'S)</v>
          </cell>
        </row>
        <row r="621">
          <cell r="A621">
            <v>189710228</v>
          </cell>
          <cell r="B621">
            <v>622</v>
          </cell>
          <cell r="C621" t="str">
            <v>Ketoconazole Tabs 200Mg (30'S)</v>
          </cell>
        </row>
        <row r="622">
          <cell r="A622">
            <v>189711829</v>
          </cell>
          <cell r="B622">
            <v>623</v>
          </cell>
          <cell r="C622" t="str">
            <v>Amitriptyline Tabs 25Mg (28'S)</v>
          </cell>
        </row>
        <row r="623">
          <cell r="A623">
            <v>189710365</v>
          </cell>
          <cell r="B623">
            <v>624</v>
          </cell>
          <cell r="C623" t="str">
            <v>Lithium Carbonate Tabs 250Mg (100'S)</v>
          </cell>
        </row>
        <row r="624">
          <cell r="A624">
            <v>189710479</v>
          </cell>
          <cell r="B624">
            <v>625</v>
          </cell>
          <cell r="C624" t="str">
            <v>Loperamide Tabs 2Mg (6'S)</v>
          </cell>
        </row>
        <row r="625">
          <cell r="A625">
            <v>189710157</v>
          </cell>
          <cell r="B625">
            <v>626</v>
          </cell>
          <cell r="C625" t="str">
            <v>Lorazepam Tabs 1Mg (100'S)</v>
          </cell>
        </row>
        <row r="626">
          <cell r="A626">
            <v>189714603</v>
          </cell>
          <cell r="B626">
            <v>627</v>
          </cell>
          <cell r="C626" t="str">
            <v>Lorazepam Tabs 2.5Mg (100'S)</v>
          </cell>
        </row>
        <row r="627">
          <cell r="A627">
            <v>181934912</v>
          </cell>
          <cell r="B627">
            <v>628</v>
          </cell>
          <cell r="C627" t="str">
            <v>Levetiracetam Tabs 250Mg (30'S)</v>
          </cell>
        </row>
        <row r="628">
          <cell r="A628">
            <v>189710189</v>
          </cell>
          <cell r="B628">
            <v>629</v>
          </cell>
          <cell r="C628" t="str">
            <v>~Maprotiline Tabs 25Mg</v>
          </cell>
        </row>
        <row r="629">
          <cell r="A629">
            <v>180241343</v>
          </cell>
          <cell r="B629">
            <v>630</v>
          </cell>
          <cell r="C629" t="str">
            <v>~Maprotiline Tabs 75Mg</v>
          </cell>
        </row>
        <row r="630">
          <cell r="A630">
            <v>180339466</v>
          </cell>
          <cell r="B630">
            <v>631</v>
          </cell>
          <cell r="C630" t="str">
            <v>Mebendazole Tabs 100Mg (6'S)</v>
          </cell>
        </row>
        <row r="631">
          <cell r="A631">
            <v>189710263</v>
          </cell>
          <cell r="B631">
            <v>632</v>
          </cell>
          <cell r="C631" t="str">
            <v>Medroxyprogesterone Tabs  5Mg (30'S)</v>
          </cell>
        </row>
        <row r="632">
          <cell r="A632">
            <v>189712182</v>
          </cell>
          <cell r="B632">
            <v>633</v>
          </cell>
          <cell r="C632" t="str">
            <v>~Mefenamic Acid Caps 250Mg</v>
          </cell>
        </row>
        <row r="633">
          <cell r="A633" t="str">
            <v>DELETED</v>
          </cell>
          <cell r="B633">
            <v>634</v>
          </cell>
          <cell r="C633" t="str">
            <v>~Mirtazapine 30Mg Tablets</v>
          </cell>
        </row>
        <row r="634">
          <cell r="A634">
            <v>180670492</v>
          </cell>
          <cell r="B634">
            <v>635</v>
          </cell>
          <cell r="C634" t="str">
            <v>Metformin Tabs 500Mg (56'S)</v>
          </cell>
        </row>
        <row r="635">
          <cell r="A635">
            <v>189710454</v>
          </cell>
          <cell r="B635">
            <v>636</v>
          </cell>
          <cell r="C635" t="str">
            <v>Methyldopa Tabs 250Mg (500'S)</v>
          </cell>
        </row>
        <row r="636">
          <cell r="A636">
            <v>189710452</v>
          </cell>
          <cell r="B636">
            <v>637</v>
          </cell>
          <cell r="C636" t="str">
            <v>Methylphenidate Tabs 10Mg (30'S)</v>
          </cell>
        </row>
        <row r="637">
          <cell r="A637">
            <v>189711057</v>
          </cell>
          <cell r="B637">
            <v>638</v>
          </cell>
          <cell r="C637" t="str">
            <v>Metoclopramide Tabs 10Mg (100'S)</v>
          </cell>
        </row>
        <row r="638">
          <cell r="A638">
            <v>189710264</v>
          </cell>
          <cell r="B638">
            <v>639</v>
          </cell>
          <cell r="C638" t="str">
            <v>Metronidazole Tabs 200Mg (250'S)</v>
          </cell>
        </row>
        <row r="639">
          <cell r="A639">
            <v>189710451</v>
          </cell>
          <cell r="B639">
            <v>640</v>
          </cell>
          <cell r="C639" t="str">
            <v>Metronidazole Tabs 400Mg (500'S)</v>
          </cell>
        </row>
        <row r="640">
          <cell r="A640">
            <v>180105359</v>
          </cell>
          <cell r="B640">
            <v>641</v>
          </cell>
          <cell r="C640" t="str">
            <v>Morphine Sulphate Tabs 10Mg (60'S)</v>
          </cell>
        </row>
        <row r="641">
          <cell r="A641">
            <v>180105391</v>
          </cell>
          <cell r="B641">
            <v>642</v>
          </cell>
          <cell r="C641" t="str">
            <v>Morphine Sulphate Tabs 30Mg (60'S)</v>
          </cell>
        </row>
        <row r="642">
          <cell r="A642">
            <v>181778178</v>
          </cell>
          <cell r="B642">
            <v>643</v>
          </cell>
          <cell r="C642" t="str">
            <v>Omeprazole 10Mg E C Dispersible Tabs (28'S)</v>
          </cell>
        </row>
        <row r="643">
          <cell r="A643">
            <v>189710362</v>
          </cell>
          <cell r="B643">
            <v>644</v>
          </cell>
          <cell r="C643" t="str">
            <v>Naproxen Tabs 250Mg (250'S)</v>
          </cell>
        </row>
        <row r="644">
          <cell r="A644">
            <v>189710202</v>
          </cell>
          <cell r="B644">
            <v>645</v>
          </cell>
          <cell r="C644" t="str">
            <v>~Niclosamide Tabs 500Mg (4'S)</v>
          </cell>
        </row>
        <row r="645">
          <cell r="A645">
            <v>181917398</v>
          </cell>
          <cell r="B645">
            <v>646</v>
          </cell>
          <cell r="C645" t="str">
            <v>Nicotinamide Tabs 100Mg (84'S)</v>
          </cell>
        </row>
        <row r="646">
          <cell r="A646">
            <v>189710364</v>
          </cell>
          <cell r="B646">
            <v>647</v>
          </cell>
          <cell r="C646" t="str">
            <v>Nifedipine Caps  5Mg (100'S)</v>
          </cell>
        </row>
        <row r="647">
          <cell r="A647">
            <v>189710326</v>
          </cell>
          <cell r="B647">
            <v>648</v>
          </cell>
          <cell r="C647" t="str">
            <v>Nifedipine Caps 10Mg (100'S)</v>
          </cell>
        </row>
        <row r="648">
          <cell r="A648">
            <v>189710152</v>
          </cell>
          <cell r="B648">
            <v>649</v>
          </cell>
          <cell r="C648" t="str">
            <v>~Nitrazepam Tabs 5Mg</v>
          </cell>
        </row>
        <row r="649">
          <cell r="A649">
            <v>189714356</v>
          </cell>
          <cell r="B649">
            <v>650</v>
          </cell>
          <cell r="C649" t="str">
            <v>Nitrofurantoin Caps  50Mg (50'S)</v>
          </cell>
        </row>
        <row r="650">
          <cell r="A650">
            <v>189714357</v>
          </cell>
          <cell r="B650">
            <v>651</v>
          </cell>
          <cell r="C650" t="str">
            <v>Nitrofurantoin Caps 100Mg (50'S)</v>
          </cell>
        </row>
        <row r="651">
          <cell r="A651">
            <v>180146299</v>
          </cell>
          <cell r="B651">
            <v>652</v>
          </cell>
          <cell r="C651" t="str">
            <v>~Nitroxoline Tabs 100Mg</v>
          </cell>
        </row>
        <row r="652">
          <cell r="A652">
            <v>189714135</v>
          </cell>
          <cell r="B652">
            <v>653</v>
          </cell>
          <cell r="C652" t="str">
            <v>Norethisterone Tabs 5Mg (30'S)</v>
          </cell>
        </row>
        <row r="653">
          <cell r="A653">
            <v>189707481</v>
          </cell>
          <cell r="B653">
            <v>654</v>
          </cell>
          <cell r="C653" t="str">
            <v>Oestradiol Valerate Norgestrol Tabs</v>
          </cell>
        </row>
        <row r="654">
          <cell r="A654">
            <v>189710165</v>
          </cell>
          <cell r="B654">
            <v>655</v>
          </cell>
          <cell r="C654" t="str">
            <v>~Conj. Oestrogens Tabs 0.625Mg (500'S)</v>
          </cell>
        </row>
        <row r="655">
          <cell r="A655">
            <v>181892393</v>
          </cell>
          <cell r="B655">
            <v>656</v>
          </cell>
          <cell r="C655" t="str">
            <v>Conj. Oestrogens Tabs 1.25Mg (28'S)</v>
          </cell>
        </row>
        <row r="656">
          <cell r="A656">
            <v>180001400</v>
          </cell>
          <cell r="B656">
            <v>657</v>
          </cell>
          <cell r="C656" t="str">
            <v>~Conj Oestrogens Medrogestone Tabs 0.625Mg</v>
          </cell>
        </row>
        <row r="657">
          <cell r="A657">
            <v>180001412</v>
          </cell>
          <cell r="B657">
            <v>658</v>
          </cell>
          <cell r="C657" t="str">
            <v>~Conj Oestrogens Medrogestone Tabs 1.25Mg</v>
          </cell>
        </row>
        <row r="658">
          <cell r="A658">
            <v>189710250</v>
          </cell>
          <cell r="B658">
            <v>659</v>
          </cell>
          <cell r="C658" t="str">
            <v>Orphenadrine Tabs 50Mg (100'S)</v>
          </cell>
        </row>
        <row r="659">
          <cell r="A659">
            <v>180155484</v>
          </cell>
          <cell r="B659">
            <v>660</v>
          </cell>
          <cell r="C659" t="str">
            <v>Paracetamol Tabs 500Mg (20'S)</v>
          </cell>
        </row>
        <row r="660">
          <cell r="A660" t="str">
            <v>PREPACK  20</v>
          </cell>
          <cell r="B660">
            <v>661</v>
          </cell>
          <cell r="C660" t="str">
            <v>~Paracetamol Codeine Caffeine Meprobamabte Tabs (20'S)</v>
          </cell>
        </row>
        <row r="661">
          <cell r="A661">
            <v>189714367</v>
          </cell>
          <cell r="B661">
            <v>662</v>
          </cell>
          <cell r="C661" t="str">
            <v>Paracetamol Codeine Caffeine Meprobamate Tabs (500'S)</v>
          </cell>
        </row>
        <row r="662">
          <cell r="A662">
            <v>180155498</v>
          </cell>
          <cell r="B662">
            <v>663</v>
          </cell>
          <cell r="C662" t="str">
            <v>Paracetamol Codeine Tabs (20'S)</v>
          </cell>
        </row>
        <row r="663">
          <cell r="A663">
            <v>189753433</v>
          </cell>
          <cell r="B663">
            <v>664</v>
          </cell>
          <cell r="C663" t="str">
            <v>Paracetamol Tabs 500Mg (500'S)</v>
          </cell>
        </row>
        <row r="664">
          <cell r="A664">
            <v>189714173</v>
          </cell>
          <cell r="B664">
            <v>665</v>
          </cell>
          <cell r="C664" t="str">
            <v>~Pericyazine Tabs 2.5Mg</v>
          </cell>
        </row>
        <row r="665">
          <cell r="A665">
            <v>189715374</v>
          </cell>
          <cell r="B665">
            <v>666</v>
          </cell>
          <cell r="C665" t="str">
            <v>~Pericyazine Tabs 10Mg</v>
          </cell>
        </row>
        <row r="666">
          <cell r="A666">
            <v>181821889</v>
          </cell>
          <cell r="B666">
            <v>667</v>
          </cell>
          <cell r="C666" t="str">
            <v>Paroxetine 20Mg Tabs (30'S)</v>
          </cell>
        </row>
        <row r="667">
          <cell r="A667" t="str">
            <v>MOTIVATION</v>
          </cell>
          <cell r="B667">
            <v>668</v>
          </cell>
          <cell r="C667" t="str">
            <v>Pamidronic Acid 15Mg/5ml Inj</v>
          </cell>
        </row>
        <row r="668">
          <cell r="A668" t="str">
            <v>DELETED</v>
          </cell>
          <cell r="B668">
            <v>669</v>
          </cell>
          <cell r="C668" t="str">
            <v>~Phenobarbitone Tabs 15Mg</v>
          </cell>
        </row>
        <row r="669">
          <cell r="A669">
            <v>181923404</v>
          </cell>
          <cell r="B669">
            <v>670</v>
          </cell>
          <cell r="C669" t="str">
            <v>Pantoprazole 20Mg Tabs (28'S)</v>
          </cell>
        </row>
        <row r="670">
          <cell r="A670">
            <v>180155499</v>
          </cell>
          <cell r="B670">
            <v>671</v>
          </cell>
          <cell r="C670" t="str">
            <v>Phenobarbitone Tabs 30Mg (84'S)</v>
          </cell>
        </row>
        <row r="671">
          <cell r="A671">
            <v>181860070</v>
          </cell>
          <cell r="B671">
            <v>672</v>
          </cell>
          <cell r="C671" t="str">
            <v>Ropinirole Hcl 5Mg Tabs (84'S)</v>
          </cell>
        </row>
        <row r="672">
          <cell r="A672">
            <v>189710550</v>
          </cell>
          <cell r="B672">
            <v>673</v>
          </cell>
          <cell r="C672" t="str">
            <v>Phenytoin Tabs  50Mg (Chewable Infatabs)</v>
          </cell>
        </row>
        <row r="673">
          <cell r="A673">
            <v>189715312</v>
          </cell>
          <cell r="B673">
            <v>674</v>
          </cell>
          <cell r="C673" t="str">
            <v>Phenytoin Caps 100Mg (100'S)</v>
          </cell>
        </row>
        <row r="674">
          <cell r="A674">
            <v>189714158</v>
          </cell>
          <cell r="B674">
            <v>675</v>
          </cell>
          <cell r="C674" t="str">
            <v>~Pimozide Tabs 1Mg (75'S)</v>
          </cell>
        </row>
        <row r="675">
          <cell r="A675">
            <v>181917399</v>
          </cell>
          <cell r="B675">
            <v>676</v>
          </cell>
          <cell r="C675" t="str">
            <v>Potassium Chloride S R Tabs 600Mg (100'S)</v>
          </cell>
        </row>
        <row r="676">
          <cell r="A676">
            <v>189710324</v>
          </cell>
          <cell r="B676">
            <v>677</v>
          </cell>
          <cell r="C676" t="str">
            <v>Praziquantel Tabs 600Mg (10'S)</v>
          </cell>
        </row>
        <row r="677">
          <cell r="A677">
            <v>189710416</v>
          </cell>
          <cell r="B677">
            <v>678</v>
          </cell>
          <cell r="C677" t="str">
            <v>~Prazosin Tabs 1Mg (100'S)</v>
          </cell>
        </row>
        <row r="678">
          <cell r="A678">
            <v>189710356</v>
          </cell>
          <cell r="B678">
            <v>679</v>
          </cell>
          <cell r="C678" t="str">
            <v>~Prazosin Tabs 2Mg (100'S)</v>
          </cell>
        </row>
        <row r="679">
          <cell r="A679">
            <v>189710355</v>
          </cell>
          <cell r="B679">
            <v>680</v>
          </cell>
          <cell r="C679" t="str">
            <v>Prazosin Tabs 5Mg (30'S)</v>
          </cell>
        </row>
        <row r="680">
          <cell r="A680">
            <v>181860002</v>
          </cell>
          <cell r="B680">
            <v>681</v>
          </cell>
          <cell r="C680" t="str">
            <v>Prednisone Tabs 5Mg (56'S)</v>
          </cell>
        </row>
        <row r="681">
          <cell r="A681">
            <v>189714134</v>
          </cell>
          <cell r="B681">
            <v>682</v>
          </cell>
          <cell r="C681" t="str">
            <v>Prednisone Tabs 5Mg (100'S)</v>
          </cell>
        </row>
        <row r="682">
          <cell r="A682">
            <v>189716004</v>
          </cell>
          <cell r="B682">
            <v>683</v>
          </cell>
          <cell r="C682" t="str">
            <v>Propranolol Tabs 10Mg (50'S)</v>
          </cell>
        </row>
        <row r="683">
          <cell r="A683">
            <v>189710272</v>
          </cell>
          <cell r="B683">
            <v>684</v>
          </cell>
          <cell r="C683" t="str">
            <v>~Probenecid Tabs 500Mg</v>
          </cell>
        </row>
        <row r="684">
          <cell r="A684">
            <v>189710270</v>
          </cell>
          <cell r="B684">
            <v>685</v>
          </cell>
          <cell r="C684" t="str">
            <v>Prochlorperazine Tabs 5Mg (250'S)</v>
          </cell>
        </row>
        <row r="685">
          <cell r="A685">
            <v>189710047</v>
          </cell>
          <cell r="B685">
            <v>686</v>
          </cell>
          <cell r="C685" t="str">
            <v>Promethazine Tabs 10Mg (100'S)</v>
          </cell>
        </row>
        <row r="686">
          <cell r="A686">
            <v>189710049</v>
          </cell>
          <cell r="B686">
            <v>687</v>
          </cell>
          <cell r="C686" t="str">
            <v>Promethazine Tabs 25Mg (100'S)</v>
          </cell>
        </row>
        <row r="687">
          <cell r="A687">
            <v>189711059</v>
          </cell>
          <cell r="B687">
            <v>688</v>
          </cell>
          <cell r="C687" t="str">
            <v>Propranolol Tabs 10Mg (250'S)</v>
          </cell>
        </row>
        <row r="688">
          <cell r="A688">
            <v>189711060</v>
          </cell>
          <cell r="B688">
            <v>689</v>
          </cell>
          <cell r="C688" t="str">
            <v>Propranolol Tabs 40Mg (250'S)</v>
          </cell>
        </row>
        <row r="689">
          <cell r="A689">
            <v>189710287</v>
          </cell>
          <cell r="B689">
            <v>690</v>
          </cell>
          <cell r="C689" t="str">
            <v>~Pseudoephedrine 60Mg Tabs (20'S)</v>
          </cell>
        </row>
        <row r="690">
          <cell r="A690">
            <v>189711049</v>
          </cell>
          <cell r="B690">
            <v>691</v>
          </cell>
          <cell r="C690" t="str">
            <v>~Phytomenadione Chew Tabs 10Mg</v>
          </cell>
        </row>
        <row r="691">
          <cell r="A691">
            <v>189710487</v>
          </cell>
          <cell r="B691">
            <v>692</v>
          </cell>
          <cell r="C691" t="str">
            <v>~Pyrazinamide Tabs 500Mg (1000'S)</v>
          </cell>
        </row>
        <row r="692">
          <cell r="A692">
            <v>189753390</v>
          </cell>
          <cell r="B692">
            <v>693</v>
          </cell>
          <cell r="C692" t="str">
            <v>~Quinidine Sulphate Tabs 200Mg</v>
          </cell>
        </row>
        <row r="693">
          <cell r="A693">
            <v>180280763</v>
          </cell>
          <cell r="B693">
            <v>694</v>
          </cell>
          <cell r="C693" t="str">
            <v>Quinine Sulphate Tabs 300Mg (100'S)</v>
          </cell>
        </row>
        <row r="694">
          <cell r="A694">
            <v>181809452</v>
          </cell>
          <cell r="B694">
            <v>695</v>
          </cell>
          <cell r="C694" t="str">
            <v>Ropinirole Hcl 0.25Mg Tabs (84'S)</v>
          </cell>
        </row>
        <row r="695">
          <cell r="A695">
            <v>189710792</v>
          </cell>
          <cell r="B695">
            <v>696</v>
          </cell>
          <cell r="C695" t="str">
            <v>Saccharine Tabs 15Mg (500'S)</v>
          </cell>
        </row>
        <row r="696">
          <cell r="A696" t="str">
            <v>PREPACK 28</v>
          </cell>
          <cell r="B696">
            <v>697</v>
          </cell>
          <cell r="C696" t="str">
            <v>Warfarin Tabs 5Mg (28'S)</v>
          </cell>
        </row>
        <row r="697">
          <cell r="A697" t="str">
            <v>PREPACK 28</v>
          </cell>
          <cell r="B697">
            <v>698</v>
          </cell>
          <cell r="C697" t="str">
            <v>Potassium Chloride 600Mg Tabs (28'S)</v>
          </cell>
        </row>
        <row r="698">
          <cell r="A698">
            <v>181932173</v>
          </cell>
          <cell r="B698">
            <v>699</v>
          </cell>
          <cell r="C698" t="str">
            <v>Campaign: Needle Hypodermic 29G (0.33Mm) X 8Mm</v>
          </cell>
        </row>
        <row r="699">
          <cell r="A699">
            <v>180280771</v>
          </cell>
          <cell r="B699">
            <v>700</v>
          </cell>
          <cell r="C699" t="str">
            <v>Sodium Acid Phosphate Tabs</v>
          </cell>
        </row>
        <row r="700">
          <cell r="A700">
            <v>180961889</v>
          </cell>
          <cell r="B700">
            <v>701</v>
          </cell>
          <cell r="C700" t="str">
            <v>Syringe Safety 3Ml 23Gx25mm (0.6Mm) Needle</v>
          </cell>
        </row>
        <row r="701">
          <cell r="A701">
            <v>181874441</v>
          </cell>
          <cell r="B701">
            <v>702</v>
          </cell>
          <cell r="C701" t="str">
            <v>Raltegravir 400Mg Tablet 56'S</v>
          </cell>
        </row>
        <row r="702">
          <cell r="A702">
            <v>189710245</v>
          </cell>
          <cell r="B702">
            <v>703</v>
          </cell>
          <cell r="C702" t="str">
            <v>Spironolactone Tabs  25Mg (200'S)</v>
          </cell>
        </row>
        <row r="703">
          <cell r="A703">
            <v>189711050</v>
          </cell>
          <cell r="B703">
            <v>704</v>
          </cell>
          <cell r="C703" t="str">
            <v>Spironolactone Tabs 100Mg (60'S)</v>
          </cell>
        </row>
        <row r="704">
          <cell r="A704">
            <v>189710196</v>
          </cell>
          <cell r="B704">
            <v>705</v>
          </cell>
          <cell r="C704" t="str">
            <v>Sucralfate Tabs 1Gm (120'S)</v>
          </cell>
        </row>
        <row r="705">
          <cell r="A705">
            <v>189714546</v>
          </cell>
          <cell r="B705">
            <v>707</v>
          </cell>
          <cell r="C705" t="str">
            <v>Sulphasalazine Tabs 500Mg (100'S)</v>
          </cell>
        </row>
        <row r="706">
          <cell r="A706">
            <v>189712222</v>
          </cell>
          <cell r="B706">
            <v>708</v>
          </cell>
          <cell r="C706" t="str">
            <v>~Sulpiride Caps 50Mg (100'S)</v>
          </cell>
        </row>
        <row r="707">
          <cell r="A707">
            <v>189714155</v>
          </cell>
          <cell r="B707">
            <v>709</v>
          </cell>
          <cell r="C707" t="str">
            <v>~Sulpiride Tabs 200Mg (50'S)</v>
          </cell>
        </row>
        <row r="708">
          <cell r="A708">
            <v>180045469</v>
          </cell>
          <cell r="B708">
            <v>710</v>
          </cell>
          <cell r="C708" t="str">
            <v>Terbinafine 250Mg Tabs (14'S)</v>
          </cell>
        </row>
        <row r="709">
          <cell r="A709">
            <v>181936074</v>
          </cell>
          <cell r="B709">
            <v>711</v>
          </cell>
          <cell r="C709" t="str">
            <v>Amlodipine Tabs 10Mg (28'S)</v>
          </cell>
        </row>
        <row r="710">
          <cell r="A710">
            <v>189762885</v>
          </cell>
          <cell r="B710">
            <v>712</v>
          </cell>
          <cell r="C710" t="str">
            <v>Theophylline Anh Tabs 200Mg (500'S)</v>
          </cell>
        </row>
        <row r="711">
          <cell r="A711">
            <v>189762887</v>
          </cell>
          <cell r="B711">
            <v>713</v>
          </cell>
          <cell r="C711" t="str">
            <v>~Theophylline Anh Tabs 300Mg (500'S)</v>
          </cell>
        </row>
        <row r="712">
          <cell r="A712" t="str">
            <v>*</v>
          </cell>
          <cell r="B712">
            <v>714</v>
          </cell>
          <cell r="C712" t="str">
            <v>Celecoxib 200Mg Capsulg</v>
          </cell>
        </row>
        <row r="713">
          <cell r="A713">
            <v>181868878</v>
          </cell>
          <cell r="B713">
            <v>715</v>
          </cell>
          <cell r="C713" t="str">
            <v>Diclofenac Sodium 25Mg Tabs (15'S)</v>
          </cell>
        </row>
        <row r="714">
          <cell r="A714">
            <v>181868881</v>
          </cell>
          <cell r="B714">
            <v>716</v>
          </cell>
          <cell r="C714" t="str">
            <v>Diclofenac Sodium 25Mg Tabs (84'S)</v>
          </cell>
        </row>
        <row r="715">
          <cell r="A715">
            <v>180105309</v>
          </cell>
          <cell r="B715">
            <v>717</v>
          </cell>
          <cell r="C715" t="str">
            <v>Diclofenac Sodium 50Mg Tabs (15'S)</v>
          </cell>
        </row>
        <row r="716">
          <cell r="A716">
            <v>181860085</v>
          </cell>
          <cell r="B716">
            <v>718</v>
          </cell>
          <cell r="C716" t="str">
            <v>Thyroxine Sod Tabs 0.05Mg (28'S)</v>
          </cell>
        </row>
        <row r="717">
          <cell r="A717">
            <v>189710280</v>
          </cell>
          <cell r="B717">
            <v>719</v>
          </cell>
          <cell r="C717" t="str">
            <v>Thyroxine Sod Tabs 0.1Mg (100'S)</v>
          </cell>
        </row>
        <row r="718">
          <cell r="A718">
            <v>189710034</v>
          </cell>
          <cell r="B718">
            <v>720</v>
          </cell>
          <cell r="C718" t="str">
            <v>~Tilidine Caps 50Mg</v>
          </cell>
        </row>
        <row r="719">
          <cell r="A719">
            <v>189710279</v>
          </cell>
          <cell r="B719">
            <v>721</v>
          </cell>
          <cell r="C719" t="str">
            <v>~Tolbutamide 500Mg Tabs</v>
          </cell>
        </row>
        <row r="720">
          <cell r="A720">
            <v>189718982</v>
          </cell>
          <cell r="B720">
            <v>722</v>
          </cell>
          <cell r="C720" t="str">
            <v>Tranexamic Acid Tabs 500Mg (100'S)</v>
          </cell>
        </row>
        <row r="721">
          <cell r="A721">
            <v>189710444</v>
          </cell>
          <cell r="B721">
            <v>723</v>
          </cell>
          <cell r="C721" t="str">
            <v>~Trifluoperazine Tabs 2Mg</v>
          </cell>
        </row>
        <row r="722">
          <cell r="A722">
            <v>189710346</v>
          </cell>
          <cell r="B722">
            <v>724</v>
          </cell>
          <cell r="C722" t="str">
            <v>~Trifluoperazine Tabs 5Mg (250'S)</v>
          </cell>
        </row>
        <row r="723">
          <cell r="A723">
            <v>189710424</v>
          </cell>
          <cell r="B723">
            <v>725</v>
          </cell>
          <cell r="C723" t="str">
            <v>~Trihexyphenidyl Tabs 2Mg (100'S)</v>
          </cell>
        </row>
        <row r="724">
          <cell r="A724">
            <v>180339609</v>
          </cell>
          <cell r="B724">
            <v>726</v>
          </cell>
          <cell r="C724" t="str">
            <v>Verapamil Tabs  40Mg (84'S)</v>
          </cell>
        </row>
        <row r="725">
          <cell r="A725">
            <v>181798187</v>
          </cell>
          <cell r="B725">
            <v>727</v>
          </cell>
          <cell r="C725" t="str">
            <v>Vitamin A Caps 100 000Iu (50'S)</v>
          </cell>
        </row>
        <row r="726">
          <cell r="A726">
            <v>180316241</v>
          </cell>
          <cell r="B726">
            <v>728</v>
          </cell>
          <cell r="C726" t="str">
            <v>Vitamin B Co Strong Tabs (1000'S)</v>
          </cell>
        </row>
        <row r="727">
          <cell r="A727">
            <v>189710344</v>
          </cell>
          <cell r="B727">
            <v>729</v>
          </cell>
          <cell r="C727" t="str">
            <v>Thiamine Tabs 100Mg (100'S)</v>
          </cell>
        </row>
        <row r="728">
          <cell r="A728">
            <v>189710278</v>
          </cell>
          <cell r="B728">
            <v>730</v>
          </cell>
          <cell r="C728" t="str">
            <v>Vitamin B6 Tabs 25Mg (100'S)</v>
          </cell>
        </row>
        <row r="729">
          <cell r="A729">
            <v>189751371</v>
          </cell>
          <cell r="B729">
            <v>731</v>
          </cell>
          <cell r="C729" t="str">
            <v>~Vitamin C Tabs 100Mg (100'S)</v>
          </cell>
        </row>
        <row r="730">
          <cell r="A730" t="str">
            <v>QUOTE</v>
          </cell>
          <cell r="B730">
            <v>732</v>
          </cell>
          <cell r="C730" t="str">
            <v>~Vitamin E Caps 100Mg</v>
          </cell>
        </row>
        <row r="731">
          <cell r="A731">
            <v>181879123</v>
          </cell>
          <cell r="B731">
            <v>733</v>
          </cell>
          <cell r="C731" t="str">
            <v>Moxifloxacin Tabs 400Mg (30'S)</v>
          </cell>
        </row>
        <row r="732">
          <cell r="A732">
            <v>189759084</v>
          </cell>
          <cell r="B732">
            <v>734</v>
          </cell>
          <cell r="C732" t="str">
            <v>Warfarin Sodium Tabs 5Mg (100'S)</v>
          </cell>
        </row>
        <row r="733">
          <cell r="A733">
            <v>180348494</v>
          </cell>
          <cell r="B733">
            <v>735</v>
          </cell>
          <cell r="C733" t="str">
            <v>Cabergoline 0.5Mg Tablet (4'S)</v>
          </cell>
        </row>
        <row r="734">
          <cell r="A734">
            <v>180969517</v>
          </cell>
          <cell r="B734">
            <v>736</v>
          </cell>
          <cell r="C734" t="str">
            <v>Fluorouracil Inj 500Mg 10Ml</v>
          </cell>
        </row>
        <row r="735">
          <cell r="A735">
            <v>189715286</v>
          </cell>
          <cell r="B735">
            <v>737</v>
          </cell>
          <cell r="C735" t="str">
            <v>Methotrexate Inj 1000Mg</v>
          </cell>
        </row>
        <row r="736">
          <cell r="A736">
            <v>181837506</v>
          </cell>
          <cell r="B736">
            <v>738</v>
          </cell>
          <cell r="C736" t="str">
            <v>Tenofovir 300 Emtricibine 200Mg Tablet (28'S)</v>
          </cell>
        </row>
        <row r="737">
          <cell r="A737">
            <v>181892380</v>
          </cell>
          <cell r="B737">
            <v>739</v>
          </cell>
          <cell r="C737" t="str">
            <v>Glimepiride 2Mg Tablet (28'S)</v>
          </cell>
        </row>
        <row r="738">
          <cell r="A738">
            <v>189710834</v>
          </cell>
          <cell r="B738">
            <v>740</v>
          </cell>
          <cell r="C738" t="str">
            <v>Chlorambucil Tabs 2Mg (25'S)</v>
          </cell>
        </row>
        <row r="739">
          <cell r="A739">
            <v>189714915</v>
          </cell>
          <cell r="B739">
            <v>741</v>
          </cell>
          <cell r="C739" t="str">
            <v>Cyclophosphamide Inj  500Mg</v>
          </cell>
        </row>
        <row r="740">
          <cell r="A740">
            <v>189714914</v>
          </cell>
          <cell r="B740">
            <v>742</v>
          </cell>
          <cell r="C740" t="str">
            <v>Cyclophosphamide Inj  200Mg</v>
          </cell>
        </row>
        <row r="741">
          <cell r="A741">
            <v>189762107</v>
          </cell>
          <cell r="B741">
            <v>743</v>
          </cell>
          <cell r="C741" t="str">
            <v>Doxorubicin Inj 10Mg</v>
          </cell>
        </row>
        <row r="742">
          <cell r="A742">
            <v>189762108</v>
          </cell>
          <cell r="B742">
            <v>744</v>
          </cell>
          <cell r="C742" t="str">
            <v>Doxorubicin Inj 50Mg</v>
          </cell>
        </row>
        <row r="743">
          <cell r="A743">
            <v>189712651</v>
          </cell>
          <cell r="B743">
            <v>745</v>
          </cell>
          <cell r="C743" t="str">
            <v>Fluorescein Strips 1Mg</v>
          </cell>
        </row>
        <row r="744">
          <cell r="A744">
            <v>180141782</v>
          </cell>
          <cell r="B744">
            <v>746</v>
          </cell>
          <cell r="C744" t="str">
            <v>Test Pregnancy Dipstick</v>
          </cell>
        </row>
        <row r="745">
          <cell r="A745">
            <v>189762820</v>
          </cell>
          <cell r="B745">
            <v>747</v>
          </cell>
          <cell r="C745" t="str">
            <v>Test Strip Blood Glucose (Glycotronic)</v>
          </cell>
        </row>
        <row r="746">
          <cell r="A746">
            <v>189706876</v>
          </cell>
          <cell r="B746">
            <v>748</v>
          </cell>
          <cell r="C746" t="str">
            <v>Test Strip Blood Glucose (Refloflux)</v>
          </cell>
        </row>
        <row r="747">
          <cell r="A747">
            <v>180074243</v>
          </cell>
          <cell r="B747">
            <v>749</v>
          </cell>
          <cell r="C747" t="str">
            <v>~Test Strip Urine Glucose (Lenstrip)</v>
          </cell>
        </row>
        <row r="748">
          <cell r="A748">
            <v>189712095</v>
          </cell>
          <cell r="B748">
            <v>750</v>
          </cell>
          <cell r="C748" t="str">
            <v>~Test Strip Urine Glucose Ketones</v>
          </cell>
        </row>
        <row r="749">
          <cell r="A749">
            <v>189703120</v>
          </cell>
          <cell r="B749">
            <v>751</v>
          </cell>
          <cell r="C749" t="str">
            <v>~Test Strip Urine Glucose Ketones Protein</v>
          </cell>
        </row>
        <row r="750">
          <cell r="A750">
            <v>181753073</v>
          </cell>
          <cell r="B750">
            <v>752</v>
          </cell>
          <cell r="C750" t="str">
            <v>Test Strip Blood Glucose (One Touch)</v>
          </cell>
        </row>
        <row r="751">
          <cell r="A751">
            <v>189714816</v>
          </cell>
          <cell r="B751">
            <v>753</v>
          </cell>
          <cell r="C751" t="str">
            <v>Test Strip Urine Glucose Protein Ketones (Combur 9)</v>
          </cell>
        </row>
        <row r="752">
          <cell r="A752">
            <v>189714821</v>
          </cell>
          <cell r="B752">
            <v>754</v>
          </cell>
          <cell r="C752" t="str">
            <v>Test Strip Urine Glucose Protein Ketones Sg</v>
          </cell>
        </row>
        <row r="753">
          <cell r="A753" t="str">
            <v>QUOTE EYE</v>
          </cell>
          <cell r="B753">
            <v>755</v>
          </cell>
          <cell r="C753" t="str">
            <v>Silicone Oil Inj  10Ml</v>
          </cell>
        </row>
        <row r="754">
          <cell r="A754">
            <v>189710989</v>
          </cell>
          <cell r="B754">
            <v>756</v>
          </cell>
          <cell r="C754" t="str">
            <v>~Meglumine Diatrizoate Inj 30% 250Ml</v>
          </cell>
        </row>
        <row r="755">
          <cell r="A755" t="str">
            <v>MOTIVATION</v>
          </cell>
          <cell r="B755">
            <v>757</v>
          </cell>
          <cell r="C755" t="str">
            <v>Tenecteplase 40Mg</v>
          </cell>
        </row>
        <row r="756">
          <cell r="A756">
            <v>189715769</v>
          </cell>
          <cell r="B756">
            <v>758</v>
          </cell>
          <cell r="C756" t="str">
            <v>~Meglumine Diatrizoate Inj 60% 10X100ml</v>
          </cell>
        </row>
        <row r="757">
          <cell r="A757">
            <v>180221924</v>
          </cell>
          <cell r="B757">
            <v>759</v>
          </cell>
          <cell r="C757" t="str">
            <v>Vinorelbine Tartrate Inj 50Mg</v>
          </cell>
        </row>
        <row r="758">
          <cell r="A758">
            <v>189710947</v>
          </cell>
          <cell r="B758">
            <v>760</v>
          </cell>
          <cell r="C758" t="str">
            <v>~Meglumine Iothalamate Inj 60% 50Ml</v>
          </cell>
        </row>
        <row r="759">
          <cell r="A759">
            <v>189710262</v>
          </cell>
          <cell r="B759">
            <v>761</v>
          </cell>
          <cell r="C759" t="str">
            <v>Mebeverine Tabs 135Mg (100'S)</v>
          </cell>
        </row>
        <row r="760">
          <cell r="A760">
            <v>180322990</v>
          </cell>
          <cell r="B760">
            <v>762</v>
          </cell>
          <cell r="C760" t="str">
            <v>Bicalutamide Tabs 50Mg (30'S)</v>
          </cell>
        </row>
        <row r="761">
          <cell r="A761">
            <v>189710624</v>
          </cell>
          <cell r="B761">
            <v>763</v>
          </cell>
          <cell r="C761" t="str">
            <v>Mitomycin Inj  2Mg</v>
          </cell>
        </row>
        <row r="762">
          <cell r="A762">
            <v>189714589</v>
          </cell>
          <cell r="B762">
            <v>764</v>
          </cell>
          <cell r="C762" t="str">
            <v>Tamoxifen Citrate Tabs 20Mg (30'S)</v>
          </cell>
        </row>
        <row r="763">
          <cell r="A763">
            <v>189710632</v>
          </cell>
          <cell r="B763">
            <v>765</v>
          </cell>
          <cell r="C763" t="str">
            <v>Vincristine Sulphate Inj 2Mg</v>
          </cell>
        </row>
        <row r="764">
          <cell r="A764">
            <v>181875225</v>
          </cell>
          <cell r="B764">
            <v>2000</v>
          </cell>
          <cell r="C764" t="str">
            <v>Lancets Blood Single Use</v>
          </cell>
        </row>
        <row r="765">
          <cell r="A765">
            <v>181932181</v>
          </cell>
          <cell r="B765">
            <v>2001</v>
          </cell>
          <cell r="C765" t="str">
            <v>Needle Disposable 18G X 1.5" (Pink)</v>
          </cell>
        </row>
        <row r="766">
          <cell r="A766">
            <v>181932179</v>
          </cell>
          <cell r="B766">
            <v>2002</v>
          </cell>
          <cell r="C766" t="str">
            <v>Needle Disposable 20G X 1.5" (Yellow)</v>
          </cell>
        </row>
        <row r="767">
          <cell r="A767">
            <v>181932178</v>
          </cell>
          <cell r="B767">
            <v>2003</v>
          </cell>
          <cell r="C767" t="str">
            <v>Needle Disposable 21G X 1.5" (Green)</v>
          </cell>
        </row>
        <row r="768">
          <cell r="A768">
            <v>181932177</v>
          </cell>
          <cell r="B768">
            <v>2004</v>
          </cell>
          <cell r="C768" t="str">
            <v>Needle Disposable 22G X 1.25" (Black)</v>
          </cell>
        </row>
        <row r="769">
          <cell r="A769">
            <v>181932176</v>
          </cell>
          <cell r="B769">
            <v>2005</v>
          </cell>
          <cell r="C769" t="str">
            <v>Needle Disposable 23G X 1" (Blue)</v>
          </cell>
        </row>
        <row r="770">
          <cell r="A770">
            <v>181932175</v>
          </cell>
          <cell r="B770">
            <v>2006</v>
          </cell>
          <cell r="C770" t="str">
            <v>Needle Disposable 25G X 0.6" (Orange)</v>
          </cell>
        </row>
        <row r="771">
          <cell r="A771">
            <v>181932174</v>
          </cell>
          <cell r="B771">
            <v>2007</v>
          </cell>
          <cell r="C771" t="str">
            <v>Needle Disposable 26G X 0.6" (Brown)</v>
          </cell>
        </row>
        <row r="772">
          <cell r="A772">
            <v>180219999</v>
          </cell>
          <cell r="B772">
            <v>2008</v>
          </cell>
          <cell r="C772" t="str">
            <v>Syringe Disposable  2Ml Two Part</v>
          </cell>
        </row>
        <row r="773">
          <cell r="A773">
            <v>180220000</v>
          </cell>
          <cell r="B773">
            <v>2009</v>
          </cell>
          <cell r="C773" t="str">
            <v>Syringe Disposable  5Ml Two Part</v>
          </cell>
        </row>
        <row r="774">
          <cell r="A774">
            <v>180220001</v>
          </cell>
          <cell r="B774">
            <v>2010</v>
          </cell>
          <cell r="C774" t="str">
            <v>Syringe Disposable 10Ml Two Part</v>
          </cell>
        </row>
        <row r="775">
          <cell r="A775">
            <v>180226586</v>
          </cell>
          <cell r="B775">
            <v>2011</v>
          </cell>
          <cell r="C775" t="str">
            <v>Syringe Disposable 20Ml Two Part</v>
          </cell>
        </row>
        <row r="776">
          <cell r="A776">
            <v>189715392</v>
          </cell>
          <cell r="B776">
            <v>2012</v>
          </cell>
          <cell r="C776" t="str">
            <v>Syringe Disposable 60Ml</v>
          </cell>
        </row>
        <row r="777">
          <cell r="A777">
            <v>181908027</v>
          </cell>
          <cell r="B777">
            <v>2013</v>
          </cell>
          <cell r="C777" t="str">
            <v>Syringe Disposable Insulin 1.0Ml</v>
          </cell>
        </row>
        <row r="778">
          <cell r="A778">
            <v>180329818</v>
          </cell>
          <cell r="B778">
            <v>2014</v>
          </cell>
          <cell r="C778" t="str">
            <v>Needle Biopsy Single 14G X  75Mm</v>
          </cell>
        </row>
        <row r="779">
          <cell r="A779">
            <v>180219810</v>
          </cell>
          <cell r="B779">
            <v>2015</v>
          </cell>
          <cell r="C779" t="str">
            <v>Needle Biopsy Single 14G X 114Mm</v>
          </cell>
        </row>
        <row r="780">
          <cell r="A780">
            <v>189706262</v>
          </cell>
          <cell r="B780">
            <v>2016</v>
          </cell>
          <cell r="C780" t="str">
            <v>Needle Disposable Spinal 18G X 3.5"(90Mm)</v>
          </cell>
        </row>
        <row r="781">
          <cell r="A781">
            <v>181916239</v>
          </cell>
          <cell r="B781">
            <v>2017</v>
          </cell>
          <cell r="C781" t="str">
            <v>Test H I V Initial (Screening Test)</v>
          </cell>
        </row>
        <row r="782">
          <cell r="A782">
            <v>181932184</v>
          </cell>
          <cell r="B782">
            <v>2018</v>
          </cell>
          <cell r="C782" t="str">
            <v>Needle Disposable Spinal 22G X 3.5"(90Mm)</v>
          </cell>
        </row>
        <row r="783">
          <cell r="A783">
            <v>181908018</v>
          </cell>
          <cell r="B783">
            <v>2019</v>
          </cell>
          <cell r="C783" t="str">
            <v>Needle Disposable Spinal 25G X 3.5"(90Mm)</v>
          </cell>
        </row>
        <row r="784">
          <cell r="A784">
            <v>189702865</v>
          </cell>
          <cell r="B784">
            <v>2020</v>
          </cell>
          <cell r="C784" t="str">
            <v>Needle Disposable Dental Long  27G</v>
          </cell>
        </row>
        <row r="785">
          <cell r="A785">
            <v>189706937</v>
          </cell>
          <cell r="B785">
            <v>2021</v>
          </cell>
          <cell r="C785" t="str">
            <v>Needle Disposable Dental Short 30G</v>
          </cell>
        </row>
        <row r="786">
          <cell r="A786">
            <v>180019360</v>
          </cell>
          <cell r="B786">
            <v>2022</v>
          </cell>
          <cell r="C786" t="str">
            <v>Admin Set Blood Plasma 10 Drops 18G Needle</v>
          </cell>
        </row>
        <row r="787">
          <cell r="A787">
            <v>180034708</v>
          </cell>
          <cell r="B787">
            <v>2023</v>
          </cell>
          <cell r="C787" t="str">
            <v>Admin Set Blood 10 Drops Adult</v>
          </cell>
        </row>
        <row r="788">
          <cell r="A788">
            <v>180034561</v>
          </cell>
          <cell r="B788">
            <v>2024</v>
          </cell>
          <cell r="C788" t="str">
            <v>Admin Set Control Volume (Fluids) 50Ml</v>
          </cell>
        </row>
        <row r="789">
          <cell r="A789">
            <v>180965681</v>
          </cell>
          <cell r="B789">
            <v>2025</v>
          </cell>
          <cell r="C789" t="str">
            <v>Admin Set Fluid 20 Drops Adult</v>
          </cell>
        </row>
        <row r="790">
          <cell r="A790">
            <v>180965679</v>
          </cell>
          <cell r="B790">
            <v>2026</v>
          </cell>
          <cell r="C790" t="str">
            <v>Admin Set Fluid 60 Drops Paediatric</v>
          </cell>
        </row>
        <row r="791">
          <cell r="A791">
            <v>189711169</v>
          </cell>
          <cell r="B791">
            <v>2027</v>
          </cell>
          <cell r="C791" t="str">
            <v>Admin Set Control Volume (Blood &amp; T P N) 150Ml</v>
          </cell>
        </row>
        <row r="792">
          <cell r="A792">
            <v>189711169</v>
          </cell>
          <cell r="B792">
            <v>2028</v>
          </cell>
          <cell r="C792" t="str">
            <v>Admin Set Control Volume &amp; Membrane (Fluid)</v>
          </cell>
        </row>
        <row r="793">
          <cell r="A793">
            <v>189705608</v>
          </cell>
          <cell r="B793">
            <v>2029</v>
          </cell>
          <cell r="C793" t="str">
            <v>Half Darrows + Glucose 5% 200Ml</v>
          </cell>
        </row>
        <row r="794">
          <cell r="A794">
            <v>189713827</v>
          </cell>
          <cell r="B794">
            <v>2030</v>
          </cell>
          <cell r="C794" t="str">
            <v>Sut Polyest 4/0 1/2Tp 13Mm Cardio</v>
          </cell>
        </row>
        <row r="795">
          <cell r="A795">
            <v>180211868</v>
          </cell>
          <cell r="B795">
            <v>2031</v>
          </cell>
          <cell r="C795" t="str">
            <v>Sut Synthabs 6/0 Flat Cutting 8Mm</v>
          </cell>
        </row>
        <row r="796">
          <cell r="A796">
            <v>180056346</v>
          </cell>
          <cell r="B796">
            <v>2032</v>
          </cell>
          <cell r="C796" t="str">
            <v>Neonatal Maintenance Potassium Free 200Ml</v>
          </cell>
        </row>
        <row r="797">
          <cell r="A797">
            <v>189761512</v>
          </cell>
          <cell r="B797">
            <v>2033</v>
          </cell>
          <cell r="C797" t="str">
            <v>Sodium Chl 0.45% &amp; Glucose 2.5% 1000Ml</v>
          </cell>
        </row>
        <row r="798">
          <cell r="A798">
            <v>189761516</v>
          </cell>
          <cell r="B798">
            <v>2034</v>
          </cell>
          <cell r="C798" t="str">
            <v>Dextrose  5% Sol For Iv Infus  200Ml</v>
          </cell>
        </row>
        <row r="799">
          <cell r="A799">
            <v>180018990</v>
          </cell>
          <cell r="B799">
            <v>2035</v>
          </cell>
          <cell r="C799" t="str">
            <v>Dextrose  5% Sol For Iv Infus 1000Ml</v>
          </cell>
        </row>
        <row r="800">
          <cell r="A800">
            <v>189711067</v>
          </cell>
          <cell r="B800">
            <v>2036</v>
          </cell>
          <cell r="C800" t="str">
            <v>Sodium Chl 0.9% &amp; Glucose 5% 1000Ml</v>
          </cell>
        </row>
        <row r="801">
          <cell r="A801">
            <v>189715161</v>
          </cell>
          <cell r="B801">
            <v>2037</v>
          </cell>
          <cell r="C801" t="str">
            <v>Admin Device Controlled Flow (5Ml-250Ml/hour)</v>
          </cell>
        </row>
        <row r="802">
          <cell r="A802">
            <v>189715211</v>
          </cell>
          <cell r="B802">
            <v>2038</v>
          </cell>
          <cell r="C802" t="str">
            <v>Winged Infusion Set Continuous 19G</v>
          </cell>
        </row>
        <row r="803">
          <cell r="A803">
            <v>180034596</v>
          </cell>
          <cell r="B803">
            <v>2039</v>
          </cell>
          <cell r="C803" t="str">
            <v>Winged Infusion Set Continuous 21G</v>
          </cell>
        </row>
        <row r="804">
          <cell r="A804">
            <v>180034613</v>
          </cell>
          <cell r="B804">
            <v>2040</v>
          </cell>
          <cell r="C804" t="str">
            <v>Winged Infusion Set Continuous 23G</v>
          </cell>
        </row>
        <row r="805">
          <cell r="A805">
            <v>180040414</v>
          </cell>
          <cell r="B805">
            <v>2041</v>
          </cell>
          <cell r="C805" t="str">
            <v>Winged Infusion Set Intermitt 19G</v>
          </cell>
        </row>
        <row r="806">
          <cell r="A806">
            <v>189715212</v>
          </cell>
          <cell r="B806">
            <v>2042</v>
          </cell>
          <cell r="C806" t="str">
            <v>Winged Infusion Set Intermitt 21G</v>
          </cell>
        </row>
        <row r="807">
          <cell r="A807">
            <v>189715213</v>
          </cell>
          <cell r="B807">
            <v>2043</v>
          </cell>
          <cell r="C807" t="str">
            <v>Winged Infusion Set Intermitt 23G</v>
          </cell>
        </row>
        <row r="808">
          <cell r="A808">
            <v>180034900</v>
          </cell>
          <cell r="B808">
            <v>2044</v>
          </cell>
          <cell r="C808" t="str">
            <v>Intravenous Cannula 14G</v>
          </cell>
        </row>
        <row r="809">
          <cell r="A809">
            <v>180192388</v>
          </cell>
          <cell r="B809">
            <v>2045</v>
          </cell>
          <cell r="C809" t="str">
            <v>Intravenous Cannula 16G</v>
          </cell>
        </row>
        <row r="810">
          <cell r="A810">
            <v>180007195</v>
          </cell>
          <cell r="B810">
            <v>2046</v>
          </cell>
          <cell r="C810" t="str">
            <v>Intravenous Cannula 18G</v>
          </cell>
        </row>
        <row r="811">
          <cell r="A811">
            <v>180192393</v>
          </cell>
          <cell r="B811">
            <v>2047</v>
          </cell>
          <cell r="C811" t="str">
            <v>Intravenous Cannula 20G</v>
          </cell>
        </row>
        <row r="812">
          <cell r="A812">
            <v>180192392</v>
          </cell>
          <cell r="B812">
            <v>2048</v>
          </cell>
          <cell r="C812" t="str">
            <v>Intravenous Cannula 22G</v>
          </cell>
        </row>
        <row r="813">
          <cell r="A813">
            <v>180109518</v>
          </cell>
          <cell r="B813">
            <v>2049</v>
          </cell>
          <cell r="C813" t="str">
            <v>Intravenous Cannula 24G</v>
          </cell>
        </row>
        <row r="814">
          <cell r="A814">
            <v>180058953</v>
          </cell>
          <cell r="B814">
            <v>2050</v>
          </cell>
          <cell r="C814" t="str">
            <v>Electrolyte No 2 Sol 1000Ml</v>
          </cell>
        </row>
        <row r="815">
          <cell r="A815">
            <v>180019333</v>
          </cell>
          <cell r="B815">
            <v>2051</v>
          </cell>
          <cell r="C815" t="str">
            <v>Maintelyte &amp; Dextrose 10% 1000Ml</v>
          </cell>
        </row>
        <row r="816">
          <cell r="A816">
            <v>180031182</v>
          </cell>
          <cell r="B816">
            <v>2052</v>
          </cell>
          <cell r="C816" t="str">
            <v>Maintelyte &amp; Dextrose  5% 1000Ml</v>
          </cell>
        </row>
        <row r="817">
          <cell r="A817">
            <v>180106599</v>
          </cell>
          <cell r="B817">
            <v>2053</v>
          </cell>
          <cell r="C817" t="str">
            <v>Mannitol Inj For I.V  20% 500Ml</v>
          </cell>
        </row>
        <row r="818">
          <cell r="A818">
            <v>189761561</v>
          </cell>
          <cell r="B818">
            <v>2054</v>
          </cell>
          <cell r="C818" t="str">
            <v>Mannitol For Irrigation 3000Ml</v>
          </cell>
        </row>
        <row r="819">
          <cell r="A819">
            <v>189711064</v>
          </cell>
          <cell r="B819">
            <v>2055</v>
          </cell>
          <cell r="C819" t="str">
            <v>Neonatal Maintenance Dextrose 10% 200Ml</v>
          </cell>
        </row>
        <row r="820">
          <cell r="A820">
            <v>180031056</v>
          </cell>
          <cell r="B820">
            <v>2056</v>
          </cell>
          <cell r="C820" t="str">
            <v>Plasmalyte B 1000Ml</v>
          </cell>
        </row>
        <row r="821">
          <cell r="A821">
            <v>189761537</v>
          </cell>
          <cell r="B821">
            <v>2057</v>
          </cell>
          <cell r="C821" t="str">
            <v>Ringer Lactate  200Ml</v>
          </cell>
        </row>
        <row r="822">
          <cell r="A822">
            <v>180035962</v>
          </cell>
          <cell r="B822">
            <v>2058</v>
          </cell>
          <cell r="C822" t="str">
            <v>Ringer Lactate Modified 1000Ml</v>
          </cell>
        </row>
        <row r="823">
          <cell r="A823">
            <v>189761551</v>
          </cell>
          <cell r="B823">
            <v>2059</v>
          </cell>
          <cell r="C823" t="str">
            <v>Sodium Chl 0.45% 1000Ml</v>
          </cell>
        </row>
        <row r="824">
          <cell r="A824">
            <v>180031088</v>
          </cell>
          <cell r="B824">
            <v>2060</v>
          </cell>
          <cell r="C824" t="str">
            <v>Sodium Chl 0.9%   200Ml</v>
          </cell>
        </row>
        <row r="825">
          <cell r="A825">
            <v>180031142</v>
          </cell>
          <cell r="B825">
            <v>2061</v>
          </cell>
          <cell r="C825" t="str">
            <v>Sodium Chl 0.9%  1000Ml</v>
          </cell>
        </row>
        <row r="826">
          <cell r="A826">
            <v>189761566</v>
          </cell>
          <cell r="B826">
            <v>2062</v>
          </cell>
          <cell r="C826" t="str">
            <v>Sodium Chl 0.9% Irrigation 1000Ml (Pour Bottle)</v>
          </cell>
        </row>
        <row r="827">
          <cell r="A827">
            <v>180006415</v>
          </cell>
          <cell r="B827">
            <v>2063</v>
          </cell>
          <cell r="C827" t="str">
            <v>Water For Irrigation 1000Ml (Pour Bottle)</v>
          </cell>
        </row>
        <row r="828">
          <cell r="A828">
            <v>189707113</v>
          </cell>
          <cell r="B828">
            <v>2064</v>
          </cell>
          <cell r="C828" t="str">
            <v>Bandage Conforming Gauze  25Mm</v>
          </cell>
        </row>
        <row r="829">
          <cell r="A829">
            <v>181932774</v>
          </cell>
          <cell r="B829">
            <v>2065</v>
          </cell>
          <cell r="C829" t="str">
            <v>Bandage Light Support 50Mmx4.5M Cotton Crepe</v>
          </cell>
        </row>
        <row r="830">
          <cell r="A830">
            <v>180233905</v>
          </cell>
          <cell r="B830">
            <v>2066</v>
          </cell>
          <cell r="C830" t="str">
            <v>Tube Endobroncheal Double Lumen 39Ch Left</v>
          </cell>
        </row>
        <row r="831">
          <cell r="A831">
            <v>181932776</v>
          </cell>
          <cell r="B831">
            <v>2067</v>
          </cell>
          <cell r="C831" t="str">
            <v>Bandage Light Support 100Mmx4.5M Cotton Crepe</v>
          </cell>
        </row>
        <row r="832">
          <cell r="A832">
            <v>181932777</v>
          </cell>
          <cell r="B832">
            <v>2068</v>
          </cell>
          <cell r="C832" t="str">
            <v>Bandage Light Support 150Mmx4.5M Cotton Crepe</v>
          </cell>
        </row>
        <row r="833">
          <cell r="A833">
            <v>189701725</v>
          </cell>
          <cell r="B833">
            <v>2069</v>
          </cell>
          <cell r="C833" t="str">
            <v>Bandage Cotton Crepe 50Mm</v>
          </cell>
        </row>
        <row r="834">
          <cell r="A834">
            <v>180057310</v>
          </cell>
          <cell r="B834">
            <v>2070</v>
          </cell>
          <cell r="C834" t="str">
            <v>Bandage Heavy Support 75Mm (Compression)</v>
          </cell>
        </row>
        <row r="835">
          <cell r="A835">
            <v>180057316</v>
          </cell>
          <cell r="B835">
            <v>2071</v>
          </cell>
          <cell r="C835" t="str">
            <v>Bandage Heavy Support 100Mm (Compression)</v>
          </cell>
        </row>
        <row r="836">
          <cell r="A836">
            <v>189701728</v>
          </cell>
          <cell r="B836">
            <v>2072</v>
          </cell>
          <cell r="C836" t="str">
            <v>Bandage Cotton Crepe 150Mm</v>
          </cell>
        </row>
        <row r="837">
          <cell r="A837">
            <v>180386556</v>
          </cell>
          <cell r="B837">
            <v>2073</v>
          </cell>
          <cell r="C837" t="str">
            <v>Test Malaria Rapid P. Falciparum</v>
          </cell>
        </row>
        <row r="838">
          <cell r="A838" t="str">
            <v>QUOTE EYE</v>
          </cell>
          <cell r="B838">
            <v>2074</v>
          </cell>
          <cell r="C838" t="str">
            <v>Knife Ophthalmic 19Ga V-Lance Blade</v>
          </cell>
        </row>
        <row r="839">
          <cell r="A839">
            <v>189714648</v>
          </cell>
          <cell r="B839">
            <v>2075</v>
          </cell>
          <cell r="C839" t="str">
            <v>~Potassium Hydroxyquinolone Sulphate Benzoyl Perox 25G</v>
          </cell>
        </row>
        <row r="840">
          <cell r="A840">
            <v>189753742</v>
          </cell>
          <cell r="B840">
            <v>2076</v>
          </cell>
          <cell r="C840" t="str">
            <v>Aspirin Tabs 300Mg Soluble (14'S)</v>
          </cell>
        </row>
        <row r="841">
          <cell r="A841">
            <v>189701750</v>
          </cell>
          <cell r="B841">
            <v>2077</v>
          </cell>
          <cell r="C841" t="str">
            <v>Bandage Cast P.O.P Roll Leno 50Mm</v>
          </cell>
        </row>
        <row r="842">
          <cell r="A842">
            <v>189701751</v>
          </cell>
          <cell r="B842">
            <v>2078</v>
          </cell>
          <cell r="C842" t="str">
            <v>Bandage Cast P.O.P Roll Leno 75Mm</v>
          </cell>
        </row>
        <row r="843">
          <cell r="A843">
            <v>189701752</v>
          </cell>
          <cell r="B843">
            <v>2079</v>
          </cell>
          <cell r="C843" t="str">
            <v>Bandage Cast P.O.P Roll Leno 100Mm</v>
          </cell>
        </row>
        <row r="844">
          <cell r="A844">
            <v>189701753</v>
          </cell>
          <cell r="B844">
            <v>2080</v>
          </cell>
          <cell r="C844" t="str">
            <v>Bandage Cast P.O.P Roll Leno 150Mm</v>
          </cell>
        </row>
        <row r="845">
          <cell r="A845">
            <v>189705243</v>
          </cell>
          <cell r="B845">
            <v>2081</v>
          </cell>
          <cell r="C845" t="str">
            <v>Bandage Cast P.O.P Roll Leno 200Mm</v>
          </cell>
        </row>
        <row r="846">
          <cell r="A846">
            <v>189712053</v>
          </cell>
          <cell r="B846">
            <v>2082</v>
          </cell>
          <cell r="C846" t="str">
            <v>Bandage Cast P.O.P Slab 100Mm</v>
          </cell>
        </row>
        <row r="847">
          <cell r="A847">
            <v>189712054</v>
          </cell>
          <cell r="B847">
            <v>2083</v>
          </cell>
          <cell r="C847" t="str">
            <v>Bandage Cast P.O.P Slab 150Mm</v>
          </cell>
        </row>
        <row r="848">
          <cell r="A848">
            <v>189701758</v>
          </cell>
          <cell r="B848">
            <v>2084</v>
          </cell>
          <cell r="C848" t="str">
            <v>Bandage Compression Porous Elastic Adhesive  25Mm</v>
          </cell>
        </row>
        <row r="849">
          <cell r="A849">
            <v>189713516</v>
          </cell>
          <cell r="B849">
            <v>2085</v>
          </cell>
          <cell r="C849" t="str">
            <v>Rifampicin Caps 450Mg (100'S)</v>
          </cell>
        </row>
        <row r="850">
          <cell r="A850">
            <v>189701760</v>
          </cell>
          <cell r="B850">
            <v>2086</v>
          </cell>
          <cell r="C850" t="str">
            <v>Bandage Compression Porous Elastic Adhesive  75Mm</v>
          </cell>
        </row>
        <row r="851">
          <cell r="A851">
            <v>180961926</v>
          </cell>
          <cell r="B851">
            <v>2088</v>
          </cell>
          <cell r="C851" t="str">
            <v>Syringe Safety 5Ml 21Gx40mm (0.8Mm) Needle</v>
          </cell>
        </row>
        <row r="852">
          <cell r="A852">
            <v>181817504</v>
          </cell>
          <cell r="B852">
            <v>2089</v>
          </cell>
          <cell r="C852" t="str">
            <v>~Rif60 Inh 30 Disp Tabs (28'S)</v>
          </cell>
        </row>
        <row r="853">
          <cell r="A853">
            <v>181879049</v>
          </cell>
          <cell r="B853">
            <v>2090</v>
          </cell>
          <cell r="C853" t="str">
            <v>Rif  60 Inh 60 Disp Tabs (56'S)</v>
          </cell>
        </row>
        <row r="854">
          <cell r="A854">
            <v>189703623</v>
          </cell>
          <cell r="B854">
            <v>2091</v>
          </cell>
          <cell r="C854" t="str">
            <v>Bandage Retention Tubular Elastic Sz 2  20Mm</v>
          </cell>
        </row>
        <row r="855">
          <cell r="A855">
            <v>189703625</v>
          </cell>
          <cell r="B855">
            <v>2092</v>
          </cell>
          <cell r="C855" t="str">
            <v>Bandage Retention Tubular Elastic Sz 3  30Mm</v>
          </cell>
        </row>
        <row r="856">
          <cell r="A856">
            <v>180342050</v>
          </cell>
          <cell r="B856">
            <v>2093</v>
          </cell>
          <cell r="C856" t="str">
            <v>~Rif  60 Inh 30 Pza 150 (Bulk/section21)</v>
          </cell>
        </row>
        <row r="857">
          <cell r="A857">
            <v>181817577</v>
          </cell>
          <cell r="B857">
            <v>2094</v>
          </cell>
          <cell r="C857" t="str">
            <v>~Rif  60 Inh 30 Pza 150 (56'S)</v>
          </cell>
        </row>
        <row r="858">
          <cell r="A858">
            <v>180161755</v>
          </cell>
          <cell r="B858">
            <v>2095</v>
          </cell>
          <cell r="C858" t="str">
            <v>~Cefuroxime 125Mg/5ml Susp 100Ml</v>
          </cell>
        </row>
        <row r="859">
          <cell r="A859">
            <v>180175071</v>
          </cell>
          <cell r="B859">
            <v>2096</v>
          </cell>
          <cell r="C859" t="str">
            <v>Bandage Retention Tubular Orthopaedic 100Mm</v>
          </cell>
        </row>
        <row r="860">
          <cell r="A860">
            <v>180175079</v>
          </cell>
          <cell r="B860">
            <v>2097</v>
          </cell>
          <cell r="C860" t="str">
            <v>Bandage Retention Tubular Orthopaedic 150Mm</v>
          </cell>
        </row>
        <row r="861">
          <cell r="A861">
            <v>180175081</v>
          </cell>
          <cell r="B861">
            <v>2098</v>
          </cell>
          <cell r="C861" t="str">
            <v>Bandage Retention Tubular Orthopaedic 200Mm</v>
          </cell>
        </row>
        <row r="862">
          <cell r="A862">
            <v>180175084</v>
          </cell>
          <cell r="B862">
            <v>2099</v>
          </cell>
          <cell r="C862" t="str">
            <v>Bandage Retention Tubular Orthopaedic 250Mm</v>
          </cell>
        </row>
        <row r="863">
          <cell r="A863">
            <v>180002810</v>
          </cell>
          <cell r="B863">
            <v>2100</v>
          </cell>
          <cell r="C863" t="str">
            <v>Vancomycin Inj 1G/30ml 30Ml</v>
          </cell>
        </row>
        <row r="864">
          <cell r="A864">
            <v>180282878</v>
          </cell>
          <cell r="B864">
            <v>2101</v>
          </cell>
          <cell r="C864" t="str">
            <v>Bandage Tubular Sustained  45Mm</v>
          </cell>
        </row>
        <row r="865">
          <cell r="A865">
            <v>180282879</v>
          </cell>
          <cell r="B865">
            <v>2102</v>
          </cell>
          <cell r="C865" t="str">
            <v>Bandage Tubular Sustained Size B 62.5Mm</v>
          </cell>
        </row>
        <row r="866">
          <cell r="A866">
            <v>180240820</v>
          </cell>
          <cell r="B866">
            <v>2103</v>
          </cell>
          <cell r="C866" t="str">
            <v>Bandage Tubular Sustained Size C 67.5Mm</v>
          </cell>
        </row>
        <row r="867">
          <cell r="A867">
            <v>180232886</v>
          </cell>
          <cell r="B867">
            <v>2104</v>
          </cell>
          <cell r="C867" t="str">
            <v>Bandage Tubular Sustained Size D 75Mm</v>
          </cell>
        </row>
        <row r="868">
          <cell r="A868">
            <v>181845376</v>
          </cell>
          <cell r="B868">
            <v>2105</v>
          </cell>
          <cell r="C868" t="str">
            <v>Bandage Tubular Sustained Size E 87.5Mm</v>
          </cell>
        </row>
        <row r="869">
          <cell r="A869">
            <v>180282881</v>
          </cell>
          <cell r="B869">
            <v>2106</v>
          </cell>
          <cell r="C869" t="str">
            <v>Bandage Tubular Sustained Size F 100Mm</v>
          </cell>
        </row>
        <row r="870">
          <cell r="A870">
            <v>180238178</v>
          </cell>
          <cell r="B870">
            <v>2107</v>
          </cell>
          <cell r="C870" t="str">
            <v>Bandage Tubular Sustained Size G 120Mm</v>
          </cell>
        </row>
        <row r="871">
          <cell r="A871">
            <v>181793241</v>
          </cell>
          <cell r="B871">
            <v>2108</v>
          </cell>
          <cell r="C871" t="str">
            <v>~Duloxetine 60Mg Tabs (28'S)</v>
          </cell>
        </row>
        <row r="872">
          <cell r="A872">
            <v>181817509</v>
          </cell>
          <cell r="B872">
            <v>2109</v>
          </cell>
          <cell r="C872" t="str">
            <v>~Rif 60 Inh 30 Disp Tabs (84'S)</v>
          </cell>
        </row>
        <row r="873">
          <cell r="A873">
            <v>189701746</v>
          </cell>
          <cell r="B873">
            <v>2110</v>
          </cell>
          <cell r="C873" t="str">
            <v>Bandage Retention W O W  75Mm</v>
          </cell>
        </row>
        <row r="874">
          <cell r="A874">
            <v>180973785</v>
          </cell>
          <cell r="B874">
            <v>2111</v>
          </cell>
          <cell r="C874" t="str">
            <v>Bandage Retention W O W 100Mm</v>
          </cell>
        </row>
        <row r="875">
          <cell r="A875" t="str">
            <v>QUOTE</v>
          </cell>
          <cell r="B875">
            <v>2112</v>
          </cell>
          <cell r="C875" t="str">
            <v>Gore-Tex Sutures Ptfe Cv-2 122Cm</v>
          </cell>
        </row>
        <row r="876">
          <cell r="A876">
            <v>189752731</v>
          </cell>
          <cell r="B876">
            <v>2113</v>
          </cell>
          <cell r="C876" t="str">
            <v>Tube Endobroncheal Double Lumen 41Ch Left</v>
          </cell>
        </row>
        <row r="877">
          <cell r="A877">
            <v>181790811</v>
          </cell>
          <cell r="B877">
            <v>2114</v>
          </cell>
          <cell r="C877" t="str">
            <v>Tolterodine L-Tartrate 4Mg Tablets (28'S)</v>
          </cell>
        </row>
        <row r="878">
          <cell r="A878">
            <v>189701764</v>
          </cell>
          <cell r="B878">
            <v>2115</v>
          </cell>
          <cell r="C878" t="str">
            <v>Cotton Wool Absorbent 500G Interleaved</v>
          </cell>
        </row>
        <row r="879">
          <cell r="A879">
            <v>189704611</v>
          </cell>
          <cell r="B879">
            <v>2116</v>
          </cell>
          <cell r="C879" t="str">
            <v>Cotton Wool Absorbent Balls Medium 1G</v>
          </cell>
        </row>
        <row r="880">
          <cell r="A880">
            <v>180279429</v>
          </cell>
          <cell r="B880">
            <v>2117</v>
          </cell>
          <cell r="C880" t="str">
            <v>~Mefloquine Tabs 250Mg (6'S)</v>
          </cell>
        </row>
        <row r="881">
          <cell r="A881">
            <v>180258200</v>
          </cell>
          <cell r="B881">
            <v>2119</v>
          </cell>
          <cell r="C881" t="str">
            <v>Tpn 3007A</v>
          </cell>
        </row>
        <row r="882">
          <cell r="A882">
            <v>180101098</v>
          </cell>
          <cell r="B882">
            <v>2121</v>
          </cell>
          <cell r="C882" t="str">
            <v>Fluconazole Inj 2Mg/ml I V Infusion 100Ml</v>
          </cell>
        </row>
        <row r="883">
          <cell r="A883">
            <v>180963720</v>
          </cell>
          <cell r="B883">
            <v>2122</v>
          </cell>
          <cell r="C883" t="str">
            <v>Dressing Wound Absorbent Charcoal Silver 105Mmx105mm</v>
          </cell>
        </row>
        <row r="884">
          <cell r="A884">
            <v>181760941</v>
          </cell>
          <cell r="B884">
            <v>2123</v>
          </cell>
          <cell r="C884" t="str">
            <v>Dressing Wound Absorbent Charcoal Silver 105Mmx190mm</v>
          </cell>
        </row>
        <row r="885">
          <cell r="A885" t="str">
            <v>QUOTE EYE</v>
          </cell>
          <cell r="B885">
            <v>2124</v>
          </cell>
          <cell r="C885" t="str">
            <v>Merocel Eye Spear 180 10/Pouch(spongette Triangular</v>
          </cell>
        </row>
        <row r="886">
          <cell r="A886">
            <v>189702882</v>
          </cell>
          <cell r="B886">
            <v>2125</v>
          </cell>
          <cell r="C886" t="str">
            <v>Dressing Paraffin Gauze 100Mmx100mm</v>
          </cell>
        </row>
        <row r="887">
          <cell r="A887">
            <v>180057791</v>
          </cell>
          <cell r="B887">
            <v>2126</v>
          </cell>
          <cell r="C887" t="str">
            <v>Dressing Paraffin Gauze  95Mmx 7M</v>
          </cell>
        </row>
        <row r="888">
          <cell r="A888">
            <v>180119640</v>
          </cell>
          <cell r="B888">
            <v>2127</v>
          </cell>
          <cell r="C888" t="str">
            <v>Dressing Post-Op Wound  83Mmx120mm</v>
          </cell>
        </row>
        <row r="889">
          <cell r="A889">
            <v>180115783</v>
          </cell>
          <cell r="B889">
            <v>2128</v>
          </cell>
          <cell r="C889" t="str">
            <v>Dressing Post-Op Wound  83Mmx180mm</v>
          </cell>
        </row>
        <row r="890">
          <cell r="A890">
            <v>180051455</v>
          </cell>
          <cell r="B890">
            <v>2129</v>
          </cell>
          <cell r="C890" t="str">
            <v>Dressing Post-Op Wound  83Mmx240mm</v>
          </cell>
        </row>
        <row r="891">
          <cell r="A891">
            <v>181767552</v>
          </cell>
          <cell r="B891">
            <v>2130</v>
          </cell>
          <cell r="C891" t="str">
            <v>Dressing Wound Protease Modulat  28Cm</v>
          </cell>
        </row>
        <row r="892">
          <cell r="A892">
            <v>181767553</v>
          </cell>
          <cell r="B892">
            <v>2131</v>
          </cell>
          <cell r="C892" t="str">
            <v>Dressing Wound Protease Modulat 123Cm</v>
          </cell>
        </row>
        <row r="893">
          <cell r="A893">
            <v>189713990</v>
          </cell>
          <cell r="B893">
            <v>2132</v>
          </cell>
          <cell r="C893" t="str">
            <v>Eye Pad Oval Autoclavable</v>
          </cell>
        </row>
        <row r="894">
          <cell r="A894">
            <v>189712059</v>
          </cell>
          <cell r="B894">
            <v>2133</v>
          </cell>
          <cell r="C894" t="str">
            <v>Felt Adhesive 230Mmx450mmx5mm</v>
          </cell>
        </row>
        <row r="895">
          <cell r="A895">
            <v>180973911</v>
          </cell>
          <cell r="B895">
            <v>2134</v>
          </cell>
          <cell r="C895" t="str">
            <v>Gauze Plugging Absorbent X-Ray 75Mmx900mm 12Ply</v>
          </cell>
        </row>
        <row r="896">
          <cell r="A896">
            <v>189701808</v>
          </cell>
          <cell r="B896">
            <v>2135</v>
          </cell>
          <cell r="C896" t="str">
            <v>Gauze Ribbon Absorbent Cotton 25Mmx10m</v>
          </cell>
        </row>
        <row r="897">
          <cell r="A897">
            <v>181845534</v>
          </cell>
          <cell r="B897">
            <v>2136</v>
          </cell>
          <cell r="C897" t="str">
            <v>Atazanavir 150Mg Capsule,(56)</v>
          </cell>
        </row>
        <row r="898">
          <cell r="A898">
            <v>189712661</v>
          </cell>
          <cell r="B898">
            <v>2137</v>
          </cell>
          <cell r="C898" t="str">
            <v>Oxidised Cellulose Absorbable Gauze  50Mmx70mm</v>
          </cell>
        </row>
        <row r="899">
          <cell r="A899">
            <v>189701729</v>
          </cell>
          <cell r="B899">
            <v>2138</v>
          </cell>
          <cell r="C899" t="str">
            <v>Padding Orthopaedic Natural   50Mm</v>
          </cell>
        </row>
        <row r="900">
          <cell r="A900">
            <v>189701730</v>
          </cell>
          <cell r="B900">
            <v>2139</v>
          </cell>
          <cell r="C900" t="str">
            <v>Padding Orthopaedic Natural   75Mm</v>
          </cell>
        </row>
        <row r="901">
          <cell r="A901">
            <v>189701731</v>
          </cell>
          <cell r="B901">
            <v>2140</v>
          </cell>
          <cell r="C901" t="str">
            <v>Padding Orthopaedic Natural  100Mm</v>
          </cell>
        </row>
        <row r="902">
          <cell r="A902">
            <v>189701732</v>
          </cell>
          <cell r="B902">
            <v>2141</v>
          </cell>
          <cell r="C902" t="str">
            <v>Padding Orthopaedic Natural  150Mm</v>
          </cell>
        </row>
        <row r="903">
          <cell r="A903">
            <v>189710276</v>
          </cell>
          <cell r="B903">
            <v>2142</v>
          </cell>
          <cell r="C903" t="str">
            <v>~Pizotifen 0.5Mg Tabs (100'S)</v>
          </cell>
        </row>
        <row r="904">
          <cell r="A904" t="str">
            <v>QUOTE EYE</v>
          </cell>
          <cell r="B904">
            <v>2144</v>
          </cell>
          <cell r="C904" t="str">
            <v>Sut Polyest 11/0 1/2Sp 30Cm</v>
          </cell>
        </row>
        <row r="905">
          <cell r="A905">
            <v>180072329</v>
          </cell>
          <cell r="B905">
            <v>2149</v>
          </cell>
          <cell r="C905" t="str">
            <v>Skin Traction Kit Adult</v>
          </cell>
        </row>
        <row r="906">
          <cell r="A906">
            <v>189705314</v>
          </cell>
          <cell r="B906">
            <v>2150</v>
          </cell>
          <cell r="C906" t="str">
            <v>Skin Traction Kit Child</v>
          </cell>
        </row>
        <row r="907">
          <cell r="A907">
            <v>180312708</v>
          </cell>
          <cell r="B907">
            <v>2151</v>
          </cell>
          <cell r="C907" t="str">
            <v>Sponge Gelatin Absorbable 70Mmx50mmx 1Mm</v>
          </cell>
        </row>
        <row r="908">
          <cell r="A908">
            <v>189705303</v>
          </cell>
          <cell r="B908">
            <v>2152</v>
          </cell>
          <cell r="C908" t="str">
            <v>Swabs Abdominal X-Ray 170Mmx200mm  8G</v>
          </cell>
        </row>
        <row r="909">
          <cell r="A909">
            <v>189705023</v>
          </cell>
          <cell r="B909">
            <v>2153</v>
          </cell>
          <cell r="C909" t="str">
            <v>Swabs Abdominal X-Ray 370Mmx450mm 36G</v>
          </cell>
        </row>
        <row r="910">
          <cell r="A910">
            <v>189703187</v>
          </cell>
          <cell r="B910">
            <v>2154</v>
          </cell>
          <cell r="C910" t="str">
            <v>~Swabs Gauze Green 100Mmx100mm 12Ply</v>
          </cell>
        </row>
        <row r="911">
          <cell r="A911">
            <v>189711679</v>
          </cell>
          <cell r="B911">
            <v>2155</v>
          </cell>
          <cell r="C911" t="str">
            <v>~Pentoxyfylline Tabs 400Mg (100'S)</v>
          </cell>
        </row>
        <row r="912">
          <cell r="A912">
            <v>4142</v>
          </cell>
          <cell r="B912">
            <v>2156</v>
          </cell>
          <cell r="C912" t="str">
            <v>Dressing Biatain-Ibu Softhold 10X20cm</v>
          </cell>
        </row>
        <row r="913">
          <cell r="A913">
            <v>189712072</v>
          </cell>
          <cell r="B913">
            <v>2157</v>
          </cell>
          <cell r="C913" t="str">
            <v>Swabs Gauze Absorbent 100Mmx100mm  8 Ply Non-Sterile</v>
          </cell>
        </row>
        <row r="914">
          <cell r="A914">
            <v>189705320</v>
          </cell>
          <cell r="B914">
            <v>2158</v>
          </cell>
          <cell r="C914" t="str">
            <v>~Swabs Gauze Absorbent 100Mmx100mm 12Ply</v>
          </cell>
        </row>
        <row r="915">
          <cell r="A915">
            <v>189712074</v>
          </cell>
          <cell r="B915">
            <v>2159</v>
          </cell>
          <cell r="C915" t="str">
            <v>~Swabs Gauze X-Ray   75Mmx75mm 12Ply</v>
          </cell>
        </row>
        <row r="916">
          <cell r="A916">
            <v>181808910</v>
          </cell>
          <cell r="B916">
            <v>2160</v>
          </cell>
          <cell r="C916" t="str">
            <v>Glove Exam Synt P/l Free Small</v>
          </cell>
        </row>
        <row r="917">
          <cell r="A917">
            <v>189705873</v>
          </cell>
          <cell r="B917">
            <v>2161</v>
          </cell>
          <cell r="C917" t="str">
            <v>Swabs Alcohol  24Mmx30mm</v>
          </cell>
        </row>
        <row r="918">
          <cell r="A918">
            <v>189707122</v>
          </cell>
          <cell r="B918">
            <v>2162</v>
          </cell>
          <cell r="C918" t="str">
            <v>Swabs Cleansing   65Mm</v>
          </cell>
        </row>
        <row r="919">
          <cell r="A919">
            <v>180290833</v>
          </cell>
          <cell r="B919">
            <v>2163</v>
          </cell>
          <cell r="C919" t="str">
            <v>Swabs Surgical Dissecting X-Ray 10Mm</v>
          </cell>
        </row>
        <row r="920">
          <cell r="A920" t="str">
            <v>QUOTE</v>
          </cell>
          <cell r="B920">
            <v>2164</v>
          </cell>
          <cell r="C920" t="str">
            <v>Swabs Tonsil  25Mmx100mm 100</v>
          </cell>
        </row>
        <row r="921">
          <cell r="A921" t="str">
            <v>QUOTE EYE</v>
          </cell>
          <cell r="B921">
            <v>2165</v>
          </cell>
          <cell r="C921" t="str">
            <v>Sut Nylon 10/0 30Cm Black</v>
          </cell>
        </row>
        <row r="922">
          <cell r="A922">
            <v>181931954</v>
          </cell>
          <cell r="B922">
            <v>2166</v>
          </cell>
          <cell r="C922" t="str">
            <v>Tape Surgical Adhesive Paper  25Mm X 5M</v>
          </cell>
        </row>
        <row r="923">
          <cell r="A923">
            <v>189705318</v>
          </cell>
          <cell r="B923">
            <v>2167</v>
          </cell>
          <cell r="C923" t="str">
            <v>~Tape Surgical Microporous  50Mm</v>
          </cell>
        </row>
        <row r="924">
          <cell r="A924">
            <v>181931956</v>
          </cell>
          <cell r="B924">
            <v>2168</v>
          </cell>
          <cell r="C924" t="str">
            <v>Tape Surgical Adhesive Paper  75Mm X 5M</v>
          </cell>
        </row>
        <row r="925">
          <cell r="A925">
            <v>189715623</v>
          </cell>
          <cell r="B925">
            <v>2169</v>
          </cell>
          <cell r="C925" t="str">
            <v>Admin Set Blood 10 Drops High Capacity</v>
          </cell>
        </row>
        <row r="926">
          <cell r="A926">
            <v>180059305</v>
          </cell>
          <cell r="B926">
            <v>2170</v>
          </cell>
          <cell r="C926" t="str">
            <v>Tape Zinc Oxide Surgical Adhesive 25Mm</v>
          </cell>
        </row>
        <row r="927">
          <cell r="A927">
            <v>180177501</v>
          </cell>
          <cell r="B927">
            <v>2171</v>
          </cell>
          <cell r="C927" t="str">
            <v>Sheath Incontinence 25-Small No Latex</v>
          </cell>
        </row>
        <row r="928">
          <cell r="A928">
            <v>180059314</v>
          </cell>
          <cell r="B928">
            <v>2172</v>
          </cell>
          <cell r="C928" t="str">
            <v>Tape Zinc Oxide Surgical Adhesive 75Mm</v>
          </cell>
        </row>
        <row r="929">
          <cell r="A929">
            <v>180009240</v>
          </cell>
          <cell r="B929">
            <v>2173</v>
          </cell>
          <cell r="C929" t="str">
            <v>Tape Autoclave Adhesive 12Mm</v>
          </cell>
        </row>
        <row r="930">
          <cell r="A930">
            <v>180177513</v>
          </cell>
          <cell r="B930">
            <v>2174</v>
          </cell>
          <cell r="C930" t="str">
            <v>Sheath Incontinence 30-Medium No Latex</v>
          </cell>
        </row>
        <row r="931">
          <cell r="A931">
            <v>180158744</v>
          </cell>
          <cell r="B931">
            <v>2175</v>
          </cell>
          <cell r="C931" t="str">
            <v>Bag Sterilization  No  3</v>
          </cell>
        </row>
        <row r="932">
          <cell r="A932">
            <v>180158748</v>
          </cell>
          <cell r="B932">
            <v>2176</v>
          </cell>
          <cell r="C932" t="str">
            <v>Bag Sterilization  No  4</v>
          </cell>
        </row>
        <row r="933">
          <cell r="A933">
            <v>180158751</v>
          </cell>
          <cell r="B933">
            <v>2177</v>
          </cell>
          <cell r="C933" t="str">
            <v>Bag Sterilization  No  5</v>
          </cell>
        </row>
        <row r="934">
          <cell r="A934">
            <v>180973899</v>
          </cell>
          <cell r="B934">
            <v>2178</v>
          </cell>
          <cell r="C934" t="str">
            <v>Dressing Wound Abs. Adh.Border Sacral 18(22)X18(22)</v>
          </cell>
        </row>
        <row r="935">
          <cell r="A935">
            <v>180158754</v>
          </cell>
          <cell r="B935">
            <v>2179</v>
          </cell>
          <cell r="C935" t="str">
            <v>Bag Sterilization  No  7</v>
          </cell>
        </row>
        <row r="936">
          <cell r="A936">
            <v>180158757</v>
          </cell>
          <cell r="B936">
            <v>2180</v>
          </cell>
          <cell r="C936" t="str">
            <v>Bag Sterilization  No  8</v>
          </cell>
        </row>
        <row r="937">
          <cell r="A937">
            <v>189708894</v>
          </cell>
          <cell r="B937">
            <v>2181</v>
          </cell>
          <cell r="C937" t="str">
            <v>~Cefuroxime 250Mg Injection</v>
          </cell>
        </row>
        <row r="938">
          <cell r="A938">
            <v>180158761</v>
          </cell>
          <cell r="B938">
            <v>2182</v>
          </cell>
          <cell r="C938" t="str">
            <v>Bag Sterilization  No 11</v>
          </cell>
        </row>
        <row r="939">
          <cell r="A939">
            <v>180158769</v>
          </cell>
          <cell r="B939">
            <v>2183</v>
          </cell>
          <cell r="C939" t="str">
            <v>Bag Sterilization  No 12</v>
          </cell>
        </row>
        <row r="940">
          <cell r="A940">
            <v>180082906</v>
          </cell>
          <cell r="B940">
            <v>2184</v>
          </cell>
          <cell r="C940" t="str">
            <v>Immunoglobulin, Human, Normal 2.5-3G Inj.</v>
          </cell>
        </row>
        <row r="941">
          <cell r="A941">
            <v>180082250</v>
          </cell>
          <cell r="B941">
            <v>2185</v>
          </cell>
          <cell r="C941" t="str">
            <v>Immunoglobulin, Human, Normal 1G Inject.</v>
          </cell>
        </row>
        <row r="942">
          <cell r="A942" t="str">
            <v>RT 276</v>
          </cell>
          <cell r="B942">
            <v>2186</v>
          </cell>
          <cell r="C942" t="str">
            <v>Sanitary Towels Maternity With Loops</v>
          </cell>
        </row>
        <row r="943">
          <cell r="A943">
            <v>181799367</v>
          </cell>
          <cell r="B943">
            <v>2187</v>
          </cell>
          <cell r="C943" t="str">
            <v>Total Phospholipids 240Mg/3ml Vial</v>
          </cell>
        </row>
        <row r="944">
          <cell r="A944">
            <v>189705629</v>
          </cell>
          <cell r="B944">
            <v>2188</v>
          </cell>
          <cell r="C944" t="str">
            <v>Bottle Amber Rectan Plastic  50Ml</v>
          </cell>
        </row>
        <row r="945">
          <cell r="A945">
            <v>189705631</v>
          </cell>
          <cell r="B945">
            <v>2189</v>
          </cell>
          <cell r="C945" t="str">
            <v>Bottle Amber Rectan Plastic 100Ml</v>
          </cell>
        </row>
        <row r="946">
          <cell r="A946">
            <v>189705633</v>
          </cell>
          <cell r="B946">
            <v>2190</v>
          </cell>
          <cell r="C946" t="str">
            <v>Bottle Amber Rectan Plastic 200Ml</v>
          </cell>
        </row>
        <row r="947">
          <cell r="A947">
            <v>180013033</v>
          </cell>
          <cell r="B947">
            <v>2191</v>
          </cell>
          <cell r="C947" t="str">
            <v>Bottle Amber Round Plastic 500Ml</v>
          </cell>
        </row>
        <row r="948">
          <cell r="A948">
            <v>180028879</v>
          </cell>
          <cell r="B948">
            <v>2192</v>
          </cell>
          <cell r="C948" t="str">
            <v>Bottle Dropper Eye 15Ml</v>
          </cell>
        </row>
        <row r="949">
          <cell r="A949">
            <v>181798157</v>
          </cell>
          <cell r="B949">
            <v>4001</v>
          </cell>
          <cell r="C949" t="str">
            <v>Hydralazine Tabs 25Mg (56'S)</v>
          </cell>
        </row>
        <row r="950">
          <cell r="A950">
            <v>180158856</v>
          </cell>
          <cell r="B950">
            <v>2194</v>
          </cell>
          <cell r="C950" t="str">
            <v>Bottle Spray Cap Fit Screw Neck 28/400 (#2191)</v>
          </cell>
        </row>
        <row r="951">
          <cell r="A951">
            <v>180009282</v>
          </cell>
          <cell r="B951">
            <v>2195</v>
          </cell>
          <cell r="C951" t="str">
            <v>Cap Theatre Green (Balaclava)</v>
          </cell>
        </row>
        <row r="952">
          <cell r="A952">
            <v>180323803</v>
          </cell>
          <cell r="B952">
            <v>2196</v>
          </cell>
          <cell r="C952" t="str">
            <v>Digoxin Tabs 0.25Mg (14'S)</v>
          </cell>
        </row>
        <row r="953">
          <cell r="A953">
            <v>180967261</v>
          </cell>
          <cell r="B953">
            <v>2197</v>
          </cell>
          <cell r="C953" t="str">
            <v>Clamps Umbilical Cord</v>
          </cell>
        </row>
        <row r="954">
          <cell r="A954">
            <v>180295467</v>
          </cell>
          <cell r="B954">
            <v>2198</v>
          </cell>
          <cell r="C954" t="str">
            <v>Collar Cervical Foam Large</v>
          </cell>
        </row>
        <row r="955">
          <cell r="A955">
            <v>180295463</v>
          </cell>
          <cell r="B955">
            <v>2200</v>
          </cell>
          <cell r="C955" t="str">
            <v>Collar Cervical Foam Medium</v>
          </cell>
        </row>
        <row r="956">
          <cell r="A956">
            <v>180295461</v>
          </cell>
          <cell r="B956">
            <v>2202</v>
          </cell>
          <cell r="C956" t="str">
            <v>Collar Cervical Foam Small</v>
          </cell>
        </row>
        <row r="957">
          <cell r="A957">
            <v>180012892</v>
          </cell>
          <cell r="B957">
            <v>2204</v>
          </cell>
          <cell r="C957" t="str">
            <v>Mask Surgical Theatre Filter &gt; 99%</v>
          </cell>
        </row>
        <row r="958">
          <cell r="A958">
            <v>180009400</v>
          </cell>
          <cell r="B958">
            <v>2205</v>
          </cell>
          <cell r="C958" t="str">
            <v>Mask Face Ward Queen Charlotte</v>
          </cell>
        </row>
        <row r="959">
          <cell r="A959">
            <v>180339414</v>
          </cell>
          <cell r="B959">
            <v>2206</v>
          </cell>
          <cell r="C959" t="str">
            <v>Carbamazepine Tabs 200Mg (56'S)</v>
          </cell>
        </row>
        <row r="960">
          <cell r="A960">
            <v>180339437</v>
          </cell>
          <cell r="B960">
            <v>2207</v>
          </cell>
          <cell r="C960" t="str">
            <v>Carbamazepine Tabs 200Mg (84'S)</v>
          </cell>
        </row>
        <row r="961">
          <cell r="A961" t="str">
            <v>QUOTE EYE</v>
          </cell>
          <cell r="B961">
            <v>2208</v>
          </cell>
          <cell r="C961" t="str">
            <v>Sut Polyprop 10/0 Straight And Curved Needle 30Cm</v>
          </cell>
        </row>
        <row r="962">
          <cell r="A962" t="str">
            <v>MOTIVATION</v>
          </cell>
          <cell r="B962">
            <v>2209</v>
          </cell>
          <cell r="C962" t="str">
            <v>Epoetin Alfa 100Mcg/0.3Ml</v>
          </cell>
        </row>
        <row r="963">
          <cell r="A963" t="str">
            <v>QUOTE</v>
          </cell>
          <cell r="B963">
            <v>2210</v>
          </cell>
          <cell r="C963" t="str">
            <v>~Form Provincial Doctors Box</v>
          </cell>
        </row>
        <row r="964">
          <cell r="A964" t="str">
            <v>QUOTE</v>
          </cell>
          <cell r="B964">
            <v>2211</v>
          </cell>
          <cell r="C964" t="str">
            <v>Artesunate 60Mg Vial</v>
          </cell>
        </row>
        <row r="965">
          <cell r="A965">
            <v>189713535</v>
          </cell>
          <cell r="B965">
            <v>2212</v>
          </cell>
          <cell r="C965" t="str">
            <v>Glove Examination Latex  Large</v>
          </cell>
        </row>
        <row r="966">
          <cell r="A966">
            <v>189713534</v>
          </cell>
          <cell r="B966">
            <v>2213</v>
          </cell>
          <cell r="C966" t="str">
            <v>Glove Examination Latex  Medium</v>
          </cell>
        </row>
        <row r="967">
          <cell r="A967">
            <v>189713533</v>
          </cell>
          <cell r="B967">
            <v>2214</v>
          </cell>
          <cell r="C967" t="str">
            <v>Glove Examination Latex  Small</v>
          </cell>
        </row>
        <row r="968">
          <cell r="A968">
            <v>180169317</v>
          </cell>
          <cell r="B968">
            <v>2215</v>
          </cell>
          <cell r="C968" t="str">
            <v>Haemosolvate Factor 9 500Iu 10Ml</v>
          </cell>
        </row>
        <row r="969">
          <cell r="A969">
            <v>181750136</v>
          </cell>
          <cell r="B969">
            <v>2216</v>
          </cell>
          <cell r="C969" t="str">
            <v>Glove Surgical Non Latex Size 6.5</v>
          </cell>
        </row>
        <row r="970">
          <cell r="A970" t="str">
            <v>QUOTE EYE</v>
          </cell>
          <cell r="B970">
            <v>2217</v>
          </cell>
          <cell r="C970" t="str">
            <v>Sut Polyprop 10/0 3/8Tc 20Cm Blue Mono</v>
          </cell>
        </row>
        <row r="971">
          <cell r="A971" t="str">
            <v>QUOTE EYE</v>
          </cell>
          <cell r="B971">
            <v>2218</v>
          </cell>
          <cell r="C971" t="str">
            <v>Sut Polyest 5/0 45Cm White Braided</v>
          </cell>
        </row>
        <row r="972">
          <cell r="A972">
            <v>180282649</v>
          </cell>
          <cell r="B972">
            <v>2219</v>
          </cell>
          <cell r="C972" t="str">
            <v>Magnesium Chloride 500-700Mg S R Tabs (60'S)</v>
          </cell>
        </row>
        <row r="973">
          <cell r="A973">
            <v>181750138</v>
          </cell>
          <cell r="B973">
            <v>2220</v>
          </cell>
          <cell r="C973" t="str">
            <v>Glove Surgical Non Latex Size 7.0</v>
          </cell>
        </row>
        <row r="974">
          <cell r="A974">
            <v>180075722</v>
          </cell>
          <cell r="B974">
            <v>2221</v>
          </cell>
          <cell r="C974" t="str">
            <v>~Chlomipramine Hcl 12.5Mg/ml 2Ml Inj</v>
          </cell>
        </row>
        <row r="975">
          <cell r="A975">
            <v>180008342</v>
          </cell>
          <cell r="B975">
            <v>2222</v>
          </cell>
          <cell r="C975" t="str">
            <v>Glove Surgical Latex Long Size 6.0</v>
          </cell>
        </row>
        <row r="976">
          <cell r="A976">
            <v>180008344</v>
          </cell>
          <cell r="B976">
            <v>2223</v>
          </cell>
          <cell r="C976" t="str">
            <v>Glove Surgical Latex Long Size 6.5</v>
          </cell>
        </row>
        <row r="977">
          <cell r="A977">
            <v>180008346</v>
          </cell>
          <cell r="B977">
            <v>2224</v>
          </cell>
          <cell r="C977" t="str">
            <v>Glove Surgical Latex Long Size 7.0</v>
          </cell>
        </row>
        <row r="978">
          <cell r="A978">
            <v>180008349</v>
          </cell>
          <cell r="B978">
            <v>2225</v>
          </cell>
          <cell r="C978" t="str">
            <v>Glove Surgical Latex Long Size 7.5</v>
          </cell>
        </row>
        <row r="979">
          <cell r="A979">
            <v>180008353</v>
          </cell>
          <cell r="B979">
            <v>2226</v>
          </cell>
          <cell r="C979" t="str">
            <v>Glove Surgical Latex Long Size 8.0</v>
          </cell>
        </row>
        <row r="980">
          <cell r="A980">
            <v>180008356</v>
          </cell>
          <cell r="B980">
            <v>2227</v>
          </cell>
          <cell r="C980" t="str">
            <v>Glove Surgical Latex Long Size 8.5</v>
          </cell>
        </row>
        <row r="981">
          <cell r="A981">
            <v>189714493</v>
          </cell>
          <cell r="B981">
            <v>2228</v>
          </cell>
          <cell r="C981" t="str">
            <v>Indapamide Tabs 2.5Mg (30'S)</v>
          </cell>
        </row>
        <row r="982">
          <cell r="A982">
            <v>189708030</v>
          </cell>
          <cell r="B982">
            <v>2236</v>
          </cell>
          <cell r="C982" t="str">
            <v>~Erythromycin Topical Lotion 20Mg/ml</v>
          </cell>
        </row>
        <row r="983">
          <cell r="A983">
            <v>189703389</v>
          </cell>
          <cell r="B983">
            <v>2237</v>
          </cell>
          <cell r="C983" t="str">
            <v>Measure Spoon Medical  5Ml</v>
          </cell>
        </row>
        <row r="984">
          <cell r="A984" t="str">
            <v>RT 189</v>
          </cell>
          <cell r="B984">
            <v>2238</v>
          </cell>
          <cell r="C984" t="str">
            <v>Razor Blades Safety</v>
          </cell>
        </row>
        <row r="985">
          <cell r="A985">
            <v>181892379</v>
          </cell>
          <cell r="B985">
            <v>2239</v>
          </cell>
          <cell r="C985" t="str">
            <v>Glimepiride 1Mg Tablet (28'S)</v>
          </cell>
        </row>
        <row r="986">
          <cell r="A986">
            <v>180009502</v>
          </cell>
          <cell r="B986">
            <v>2240</v>
          </cell>
          <cell r="C986" t="str">
            <v>Thermometer Oral Long Bulb</v>
          </cell>
        </row>
        <row r="987">
          <cell r="A987">
            <v>181777177</v>
          </cell>
          <cell r="B987">
            <v>2241</v>
          </cell>
          <cell r="C987" t="str">
            <v>Tube Endo T Cuffed Intub L/mask 8Mm</v>
          </cell>
        </row>
        <row r="988">
          <cell r="A988">
            <v>180009261</v>
          </cell>
          <cell r="B988">
            <v>2242</v>
          </cell>
          <cell r="C988" t="str">
            <v>Spatula Tongue Hardwood</v>
          </cell>
        </row>
        <row r="989">
          <cell r="A989">
            <v>189701591</v>
          </cell>
          <cell r="B989">
            <v>2243</v>
          </cell>
          <cell r="C989" t="str">
            <v>Heels Walking Rubber Large</v>
          </cell>
        </row>
        <row r="990">
          <cell r="A990">
            <v>189701636</v>
          </cell>
          <cell r="B990">
            <v>2244</v>
          </cell>
          <cell r="C990" t="str">
            <v>Heels Walking Rubber Medium</v>
          </cell>
        </row>
        <row r="991">
          <cell r="A991">
            <v>189701699</v>
          </cell>
          <cell r="B991">
            <v>2245</v>
          </cell>
          <cell r="C991" t="str">
            <v>Heels Walking Rubber Small</v>
          </cell>
        </row>
        <row r="992">
          <cell r="A992">
            <v>180001368</v>
          </cell>
          <cell r="B992">
            <v>2246</v>
          </cell>
          <cell r="C992" t="str">
            <v>Applicator (Orange Stick)</v>
          </cell>
        </row>
        <row r="993">
          <cell r="A993">
            <v>180158942</v>
          </cell>
          <cell r="B993">
            <v>2247</v>
          </cell>
          <cell r="C993" t="str">
            <v>Spatula Vaginal Aylesbury</v>
          </cell>
        </row>
        <row r="994">
          <cell r="A994" t="str">
            <v>RT 276</v>
          </cell>
          <cell r="B994">
            <v>2248</v>
          </cell>
          <cell r="C994" t="str">
            <v>~Sanitary Towels Maternity Without Loops</v>
          </cell>
        </row>
        <row r="995">
          <cell r="A995">
            <v>181930749</v>
          </cell>
          <cell r="B995">
            <v>766</v>
          </cell>
          <cell r="C995" t="str">
            <v>Amniotic Membrane Perforator</v>
          </cell>
        </row>
        <row r="996">
          <cell r="A996" t="str">
            <v>QUOTE</v>
          </cell>
          <cell r="B996">
            <v>767</v>
          </cell>
          <cell r="C996" t="str">
            <v>Autoclave Check Indicator</v>
          </cell>
        </row>
        <row r="997">
          <cell r="A997" t="str">
            <v>QUOTE</v>
          </cell>
          <cell r="B997">
            <v>768</v>
          </cell>
          <cell r="C997" t="str">
            <v>Bandage Reston  200Mmx298mm</v>
          </cell>
        </row>
        <row r="998">
          <cell r="A998" t="str">
            <v>QUOTE</v>
          </cell>
          <cell r="B998">
            <v>769</v>
          </cell>
          <cell r="C998" t="str">
            <v>Bandage Reston  216Mmx279mm</v>
          </cell>
        </row>
        <row r="999">
          <cell r="A999" t="str">
            <v>RT  20</v>
          </cell>
          <cell r="B999">
            <v>770</v>
          </cell>
          <cell r="C999" t="str">
            <v>Electrodes E.C.G Adult</v>
          </cell>
        </row>
        <row r="1000">
          <cell r="A1000">
            <v>180210944</v>
          </cell>
          <cell r="B1000">
            <v>771</v>
          </cell>
          <cell r="C1000" t="str">
            <v>Sut Polyprop 2/0 1/2Tp 26Mm Cardio</v>
          </cell>
        </row>
        <row r="1001">
          <cell r="A1001" t="str">
            <v>QUOTE</v>
          </cell>
          <cell r="B1001">
            <v>772</v>
          </cell>
          <cell r="C1001" t="str">
            <v>Splints Aluminium Finger  0.5"</v>
          </cell>
        </row>
        <row r="1002">
          <cell r="A1002">
            <v>181772157</v>
          </cell>
          <cell r="B1002">
            <v>773</v>
          </cell>
          <cell r="C1002" t="str">
            <v>Total Phospholipids 100Mg 4Ml (Survanta)</v>
          </cell>
        </row>
        <row r="1003">
          <cell r="A1003">
            <v>189714103</v>
          </cell>
          <cell r="B1003">
            <v>774</v>
          </cell>
          <cell r="C1003" t="str">
            <v>Pouch Urostomy Two Piece 38Mm Transparent Drainable</v>
          </cell>
        </row>
        <row r="1004">
          <cell r="A1004" t="str">
            <v>QUOTE</v>
          </cell>
          <cell r="B1004">
            <v>775</v>
          </cell>
          <cell r="C1004" t="str">
            <v>Suction Bottle Liners W/o Valve 2L</v>
          </cell>
        </row>
        <row r="1005">
          <cell r="A1005" t="str">
            <v>QUOTE</v>
          </cell>
          <cell r="B1005">
            <v>776</v>
          </cell>
          <cell r="C1005" t="str">
            <v>Suction Bottle Liners With Valve 2L</v>
          </cell>
        </row>
        <row r="1006">
          <cell r="A1006" t="str">
            <v>QUOTE</v>
          </cell>
          <cell r="B1006">
            <v>777</v>
          </cell>
          <cell r="C1006" t="str">
            <v>Suction Bottle Valves</v>
          </cell>
        </row>
        <row r="1007">
          <cell r="A1007">
            <v>181789626</v>
          </cell>
          <cell r="B1007">
            <v>778</v>
          </cell>
          <cell r="C1007" t="str">
            <v>Thermometer Vaccine Dial</v>
          </cell>
        </row>
        <row r="1008">
          <cell r="A1008">
            <v>180327923</v>
          </cell>
          <cell r="B1008">
            <v>779</v>
          </cell>
          <cell r="C1008" t="str">
            <v>Thermometer Minimum Maximum</v>
          </cell>
        </row>
        <row r="1009">
          <cell r="A1009">
            <v>180961902</v>
          </cell>
          <cell r="B1009">
            <v>780</v>
          </cell>
          <cell r="C1009" t="str">
            <v>Syringe Safety 3Ml 21Gx40mm (0.8Mm) Needle</v>
          </cell>
        </row>
        <row r="1010">
          <cell r="A1010">
            <v>189711416</v>
          </cell>
          <cell r="B1010">
            <v>781</v>
          </cell>
          <cell r="C1010" t="str">
            <v>Bag Urine Drainage Paediatric 55Mmx150mm</v>
          </cell>
        </row>
        <row r="1011">
          <cell r="A1011">
            <v>189702998</v>
          </cell>
          <cell r="B1011">
            <v>783</v>
          </cell>
          <cell r="C1011" t="str">
            <v>Bag Urine Drainage Single End</v>
          </cell>
        </row>
        <row r="1012">
          <cell r="A1012">
            <v>180226129</v>
          </cell>
          <cell r="B1012">
            <v>784</v>
          </cell>
          <cell r="C1012" t="str">
            <v>Cath.Ureth.Foley 2Way  8Fg  3Ml Silicone</v>
          </cell>
        </row>
        <row r="1013">
          <cell r="A1013">
            <v>181848612</v>
          </cell>
          <cell r="B1013">
            <v>785</v>
          </cell>
          <cell r="C1013" t="str">
            <v>Filter Breath Viral Adult Angled 15Id-22Od</v>
          </cell>
        </row>
        <row r="1014">
          <cell r="A1014">
            <v>181848609</v>
          </cell>
          <cell r="B1014">
            <v>786</v>
          </cell>
          <cell r="C1014" t="str">
            <v>Filter Breath Viral Adult Straight 15Id-22Od</v>
          </cell>
        </row>
        <row r="1015">
          <cell r="A1015">
            <v>181848622</v>
          </cell>
          <cell r="B1015">
            <v>787</v>
          </cell>
          <cell r="C1015" t="str">
            <v>Filter Breath Intensive Care Anaesthesia</v>
          </cell>
        </row>
        <row r="1016">
          <cell r="A1016">
            <v>181848615</v>
          </cell>
          <cell r="B1016">
            <v>788</v>
          </cell>
          <cell r="C1016" t="str">
            <v>Filter Breath Viral Paed Angled 15Id-22Od</v>
          </cell>
        </row>
        <row r="1017">
          <cell r="A1017" t="str">
            <v>*</v>
          </cell>
          <cell r="B1017">
            <v>789</v>
          </cell>
          <cell r="C1017" t="str">
            <v>Filter Breath Viral Paed Straight 15Id-22Id</v>
          </cell>
        </row>
        <row r="1018">
          <cell r="A1018">
            <v>181848618</v>
          </cell>
          <cell r="B1018">
            <v>790</v>
          </cell>
          <cell r="C1018" t="str">
            <v>Filter Breath Viral Neonatal Straight 15Id-22Od</v>
          </cell>
        </row>
        <row r="1019">
          <cell r="A1019" t="str">
            <v>MOTIVATION</v>
          </cell>
          <cell r="B1019">
            <v>791</v>
          </cell>
          <cell r="C1019" t="str">
            <v>Cathether Arterial 88Fg 2.7Mm</v>
          </cell>
        </row>
        <row r="1020">
          <cell r="A1020">
            <v>189703036</v>
          </cell>
          <cell r="B1020">
            <v>792</v>
          </cell>
          <cell r="C1020" t="str">
            <v>Cyclizine Hcl 50Mg Suppositories 6'S</v>
          </cell>
        </row>
        <row r="1021">
          <cell r="A1021">
            <v>180233832</v>
          </cell>
          <cell r="B1021">
            <v>793</v>
          </cell>
          <cell r="C1021" t="str">
            <v>Meropenem Trihydrate 500Mg Inj</v>
          </cell>
        </row>
        <row r="1022">
          <cell r="A1022">
            <v>180233880</v>
          </cell>
          <cell r="B1022">
            <v>794</v>
          </cell>
          <cell r="C1022" t="str">
            <v>Meropenem Trihydrate 1G Inj</v>
          </cell>
        </row>
        <row r="1023">
          <cell r="A1023">
            <v>180772105</v>
          </cell>
          <cell r="B1023">
            <v>795</v>
          </cell>
          <cell r="C1023" t="str">
            <v>Glove Surg Sterile Latex H/all 7</v>
          </cell>
        </row>
        <row r="1024">
          <cell r="A1024">
            <v>180772100</v>
          </cell>
          <cell r="B1024">
            <v>796</v>
          </cell>
          <cell r="C1024" t="str">
            <v>Glove Surg Sterile Latex H/all 8</v>
          </cell>
        </row>
        <row r="1025">
          <cell r="A1025">
            <v>180772099</v>
          </cell>
          <cell r="B1025">
            <v>797</v>
          </cell>
          <cell r="C1025" t="str">
            <v>Glove Surg Sterile Latex H/all 8.5</v>
          </cell>
        </row>
        <row r="1026">
          <cell r="A1026">
            <v>181813052</v>
          </cell>
          <cell r="B1026">
            <v>798</v>
          </cell>
          <cell r="C1026" t="str">
            <v>Glove Surg Sterile Synt H/all 6.5</v>
          </cell>
        </row>
        <row r="1027">
          <cell r="A1027">
            <v>181813053</v>
          </cell>
          <cell r="B1027">
            <v>799</v>
          </cell>
          <cell r="C1027" t="str">
            <v>Glove Surg Sterile Synt H/all 7</v>
          </cell>
        </row>
        <row r="1028">
          <cell r="A1028">
            <v>181811511</v>
          </cell>
          <cell r="B1028">
            <v>800</v>
          </cell>
          <cell r="C1028" t="str">
            <v>Glove Surg Sterile Synt H/all 7.5</v>
          </cell>
        </row>
        <row r="1029">
          <cell r="A1029">
            <v>181932147</v>
          </cell>
          <cell r="B1029">
            <v>801</v>
          </cell>
          <cell r="C1029" t="str">
            <v>Cath.Ureth.Nelaton  8Fg 400Mm Pvc 2 Eye</v>
          </cell>
        </row>
        <row r="1030">
          <cell r="A1030">
            <v>181932138</v>
          </cell>
          <cell r="B1030">
            <v>802</v>
          </cell>
          <cell r="C1030" t="str">
            <v>Cath.Ureth.Nelaton 10Fg 400Mm Pvc 2 Eye</v>
          </cell>
        </row>
        <row r="1031">
          <cell r="A1031">
            <v>181932139</v>
          </cell>
          <cell r="B1031">
            <v>803</v>
          </cell>
          <cell r="C1031" t="str">
            <v>Cath.Ureth.Nelaton 12Fg 400Mm Pvc 2 Eye</v>
          </cell>
        </row>
        <row r="1032">
          <cell r="A1032">
            <v>181932142</v>
          </cell>
          <cell r="B1032">
            <v>804</v>
          </cell>
          <cell r="C1032" t="str">
            <v>Cath.Ureth.Nelaton 16Fg 400Mm Pvc 2 Eye</v>
          </cell>
        </row>
        <row r="1033">
          <cell r="A1033">
            <v>181815037</v>
          </cell>
          <cell r="B1033">
            <v>805</v>
          </cell>
          <cell r="C1033" t="str">
            <v>Glove Surg Sterile Synt H/all 8</v>
          </cell>
        </row>
        <row r="1034">
          <cell r="A1034">
            <v>181815039</v>
          </cell>
          <cell r="B1034">
            <v>806</v>
          </cell>
          <cell r="C1034" t="str">
            <v>Glove Surg Sterile Synt H/all 8.5</v>
          </cell>
        </row>
        <row r="1035">
          <cell r="A1035">
            <v>180179985</v>
          </cell>
          <cell r="B1035">
            <v>807</v>
          </cell>
          <cell r="C1035" t="str">
            <v>Cath.Ureth.Foley 2Way 16Fg 30Ml Silicone</v>
          </cell>
        </row>
        <row r="1036">
          <cell r="A1036">
            <v>180179988</v>
          </cell>
          <cell r="B1036">
            <v>808</v>
          </cell>
          <cell r="C1036" t="str">
            <v>Cath.Ureth.Foley 2Way 18Fg 30Ml Silicone</v>
          </cell>
        </row>
        <row r="1037">
          <cell r="A1037">
            <v>180179994</v>
          </cell>
          <cell r="B1037">
            <v>809</v>
          </cell>
          <cell r="C1037" t="str">
            <v>Cath.Ureth.Foley 2Way 20Fg 30Ml Silicone</v>
          </cell>
        </row>
        <row r="1038">
          <cell r="A1038">
            <v>180180000</v>
          </cell>
          <cell r="B1038">
            <v>810</v>
          </cell>
          <cell r="C1038" t="str">
            <v>Cath.Ureth.Foley 2Way 22Fg 30Ml Silicone</v>
          </cell>
        </row>
        <row r="1039">
          <cell r="A1039">
            <v>180180002</v>
          </cell>
          <cell r="B1039">
            <v>811</v>
          </cell>
          <cell r="C1039" t="str">
            <v>Cath.Ureth.Foley 2Way 24Fg 30Ml Silicone</v>
          </cell>
        </row>
        <row r="1040">
          <cell r="A1040">
            <v>180056697</v>
          </cell>
          <cell r="B1040">
            <v>812</v>
          </cell>
          <cell r="C1040" t="str">
            <v>Cath Suction Respiratory  6Fg (Control Airport) 350Mm</v>
          </cell>
        </row>
        <row r="1041">
          <cell r="A1041">
            <v>180226254</v>
          </cell>
          <cell r="B1041">
            <v>813</v>
          </cell>
          <cell r="C1041" t="str">
            <v>Cath Suction Respiratory  8Fg (Control Airport) 350Mm</v>
          </cell>
        </row>
        <row r="1042">
          <cell r="A1042">
            <v>180226256</v>
          </cell>
          <cell r="B1042">
            <v>814</v>
          </cell>
          <cell r="C1042" t="str">
            <v>Cath Suction Respiratory 10Fg (Control Airport) 350Mm</v>
          </cell>
        </row>
        <row r="1043">
          <cell r="A1043">
            <v>180056764</v>
          </cell>
          <cell r="B1043">
            <v>815</v>
          </cell>
          <cell r="C1043" t="str">
            <v>Cath Suction Respiratory 12Fg (Control Airport) 500Mm</v>
          </cell>
        </row>
        <row r="1044">
          <cell r="A1044">
            <v>180056769</v>
          </cell>
          <cell r="B1044">
            <v>816</v>
          </cell>
          <cell r="C1044" t="str">
            <v>Cath Suction Respiratory 14Fg (Control Airport) 500Mm</v>
          </cell>
        </row>
        <row r="1045">
          <cell r="A1045">
            <v>180057497</v>
          </cell>
          <cell r="B1045">
            <v>817</v>
          </cell>
          <cell r="C1045" t="str">
            <v>Drainage Sheet Corrugated Silicone Sterile</v>
          </cell>
        </row>
        <row r="1046">
          <cell r="A1046">
            <v>180150382</v>
          </cell>
          <cell r="B1046">
            <v>818</v>
          </cell>
          <cell r="C1046" t="str">
            <v>Drainage System Chest U/water Adult</v>
          </cell>
        </row>
        <row r="1047">
          <cell r="A1047">
            <v>189706983</v>
          </cell>
          <cell r="B1047">
            <v>819</v>
          </cell>
          <cell r="C1047" t="str">
            <v>Drainage System Wound Portable 3.0Mm.Needle Ster.500Ml</v>
          </cell>
        </row>
        <row r="1048">
          <cell r="A1048">
            <v>189706984</v>
          </cell>
          <cell r="B1048">
            <v>820</v>
          </cell>
          <cell r="C1048" t="str">
            <v>Drainage System Wound Portable 6.0Mm.Needle Ster. 500Ml</v>
          </cell>
        </row>
        <row r="1049">
          <cell r="A1049">
            <v>180057515</v>
          </cell>
          <cell r="B1049">
            <v>821</v>
          </cell>
          <cell r="C1049" t="str">
            <v>Mucous Extractor 6Fg &amp; 10Fg</v>
          </cell>
        </row>
        <row r="1050">
          <cell r="A1050">
            <v>189706081</v>
          </cell>
          <cell r="B1050">
            <v>822</v>
          </cell>
          <cell r="C1050" t="str">
            <v>Sheath Incontinence 35-Large Latex</v>
          </cell>
        </row>
        <row r="1051">
          <cell r="A1051">
            <v>189706079</v>
          </cell>
          <cell r="B1051">
            <v>823</v>
          </cell>
          <cell r="C1051" t="str">
            <v>Sheath Incontinence 25-Small Latex</v>
          </cell>
        </row>
        <row r="1052">
          <cell r="A1052">
            <v>180286737</v>
          </cell>
          <cell r="B1052">
            <v>824</v>
          </cell>
          <cell r="C1052" t="str">
            <v>Tube Drain Penrose Latex 300Mmx 6Mm</v>
          </cell>
        </row>
        <row r="1053">
          <cell r="A1053">
            <v>181777094</v>
          </cell>
          <cell r="B1053">
            <v>825</v>
          </cell>
          <cell r="C1053" t="str">
            <v>Bag Rebreathing 1L Antistat 22F Stra/neck Rubber</v>
          </cell>
        </row>
        <row r="1054">
          <cell r="A1054">
            <v>180057626</v>
          </cell>
          <cell r="B1054">
            <v>826</v>
          </cell>
          <cell r="C1054" t="str">
            <v>~Tube Drain Penrose Latex 300Mmx18mm</v>
          </cell>
        </row>
        <row r="1055">
          <cell r="A1055">
            <v>189712864</v>
          </cell>
          <cell r="B1055">
            <v>827</v>
          </cell>
          <cell r="C1055" t="str">
            <v>Tube Drain Pensil Silicone 350Mmx 6Mm</v>
          </cell>
        </row>
        <row r="1056">
          <cell r="A1056">
            <v>189717408</v>
          </cell>
          <cell r="B1056">
            <v>828</v>
          </cell>
          <cell r="C1056" t="str">
            <v>Tube Drain Pensil Silicone 350Mmx20mm</v>
          </cell>
        </row>
        <row r="1057">
          <cell r="A1057">
            <v>189705491</v>
          </cell>
          <cell r="B1057">
            <v>829</v>
          </cell>
          <cell r="C1057" t="str">
            <v>Tube Duodenal Levin 12Fg</v>
          </cell>
        </row>
        <row r="1058">
          <cell r="A1058">
            <v>189706151</v>
          </cell>
          <cell r="B1058">
            <v>830</v>
          </cell>
          <cell r="C1058" t="str">
            <v>Tube Duodenal Ryles 10Fg</v>
          </cell>
        </row>
        <row r="1059">
          <cell r="A1059">
            <v>189706152</v>
          </cell>
          <cell r="B1059">
            <v>831</v>
          </cell>
          <cell r="C1059" t="str">
            <v>Tube Duodenal Ryles 12Fg</v>
          </cell>
        </row>
        <row r="1060">
          <cell r="A1060">
            <v>189706153</v>
          </cell>
          <cell r="B1060">
            <v>832</v>
          </cell>
          <cell r="C1060" t="str">
            <v>Tube Duodenal Ryles 14Fg</v>
          </cell>
        </row>
        <row r="1061">
          <cell r="A1061">
            <v>189706154</v>
          </cell>
          <cell r="B1061">
            <v>833</v>
          </cell>
          <cell r="C1061" t="str">
            <v>Tube Duodenal Ryles 16Fg</v>
          </cell>
        </row>
        <row r="1062">
          <cell r="A1062">
            <v>181777095</v>
          </cell>
          <cell r="B1062">
            <v>834</v>
          </cell>
          <cell r="C1062" t="str">
            <v>Bag Rebreathing 2L Antistat 22F Stra/neck Rubber</v>
          </cell>
        </row>
        <row r="1063">
          <cell r="A1063">
            <v>189702899</v>
          </cell>
          <cell r="B1063">
            <v>835</v>
          </cell>
          <cell r="C1063" t="str">
            <v>Tube Nasal Feeding  5Fg 40Cm</v>
          </cell>
        </row>
        <row r="1064">
          <cell r="A1064">
            <v>181848642</v>
          </cell>
          <cell r="B1064">
            <v>836</v>
          </cell>
          <cell r="C1064" t="str">
            <v>Bag Rebreathing 2L Tape/neck 22Mm Latex Free</v>
          </cell>
        </row>
        <row r="1065">
          <cell r="A1065">
            <v>189702900</v>
          </cell>
          <cell r="B1065">
            <v>837</v>
          </cell>
          <cell r="C1065" t="str">
            <v>Tube Nasal Feeding  8Fg 40Cm</v>
          </cell>
        </row>
        <row r="1066">
          <cell r="A1066" t="str">
            <v>QUOTE</v>
          </cell>
          <cell r="B1066">
            <v>838</v>
          </cell>
          <cell r="C1066" t="str">
            <v>Chemo Ports Adults</v>
          </cell>
        </row>
        <row r="1067">
          <cell r="A1067">
            <v>189741081</v>
          </cell>
          <cell r="B1067">
            <v>839</v>
          </cell>
          <cell r="C1067" t="str">
            <v>Airway Pharyngeal 0</v>
          </cell>
        </row>
        <row r="1068">
          <cell r="A1068">
            <v>189741080</v>
          </cell>
          <cell r="B1068">
            <v>840</v>
          </cell>
          <cell r="C1068" t="str">
            <v>Airway Pharyngeal 00</v>
          </cell>
        </row>
        <row r="1069">
          <cell r="A1069">
            <v>180330216</v>
          </cell>
          <cell r="B1069">
            <v>841</v>
          </cell>
          <cell r="C1069" t="str">
            <v>Airway Pharyngeal 000</v>
          </cell>
        </row>
        <row r="1070">
          <cell r="A1070">
            <v>189741082</v>
          </cell>
          <cell r="B1070">
            <v>842</v>
          </cell>
          <cell r="C1070" t="str">
            <v>Airway Pharyngeal 1</v>
          </cell>
        </row>
        <row r="1071">
          <cell r="A1071">
            <v>189701193</v>
          </cell>
          <cell r="B1071">
            <v>843</v>
          </cell>
          <cell r="C1071" t="str">
            <v>Airway Pharyngeal 2</v>
          </cell>
        </row>
        <row r="1072">
          <cell r="A1072">
            <v>189701192</v>
          </cell>
          <cell r="B1072">
            <v>844</v>
          </cell>
          <cell r="C1072" t="str">
            <v>Airway Pharyngeal 3</v>
          </cell>
        </row>
        <row r="1073">
          <cell r="A1073">
            <v>189701191</v>
          </cell>
          <cell r="B1073">
            <v>845</v>
          </cell>
          <cell r="C1073" t="str">
            <v>Airway Pharyngeal 4</v>
          </cell>
        </row>
        <row r="1074">
          <cell r="A1074">
            <v>189706964</v>
          </cell>
          <cell r="B1074">
            <v>846</v>
          </cell>
          <cell r="C1074" t="str">
            <v>Cannula Nasal Adult Low Flow Oxygen</v>
          </cell>
        </row>
        <row r="1075">
          <cell r="A1075">
            <v>189713942</v>
          </cell>
          <cell r="B1075">
            <v>847</v>
          </cell>
          <cell r="C1075" t="str">
            <v>Harness Anaesthetic Four Tail Adult</v>
          </cell>
        </row>
        <row r="1076">
          <cell r="A1076">
            <v>180385651</v>
          </cell>
          <cell r="B1076">
            <v>848</v>
          </cell>
          <cell r="C1076" t="str">
            <v>Humidifier &amp; Valve 500Ml Capacity</v>
          </cell>
        </row>
        <row r="1077">
          <cell r="A1077" t="str">
            <v>RT  13 012</v>
          </cell>
          <cell r="B1077">
            <v>849</v>
          </cell>
          <cell r="C1077" t="str">
            <v>Mask Anaesthetic Clear Sz 0</v>
          </cell>
        </row>
        <row r="1078">
          <cell r="A1078">
            <v>181777316</v>
          </cell>
          <cell r="B1078">
            <v>850</v>
          </cell>
          <cell r="C1078" t="str">
            <v>Mask Anaesthetic Clear Sz 1</v>
          </cell>
        </row>
        <row r="1079">
          <cell r="A1079">
            <v>181815041</v>
          </cell>
          <cell r="B1079">
            <v>851</v>
          </cell>
          <cell r="C1079" t="str">
            <v>Glove Surg Sterile Synt H/all 9</v>
          </cell>
        </row>
        <row r="1080">
          <cell r="A1080" t="str">
            <v>*</v>
          </cell>
          <cell r="B1080">
            <v>852</v>
          </cell>
          <cell r="C1080" t="str">
            <v>~Fresh Dried Plasma (F D P) 200Ml</v>
          </cell>
        </row>
        <row r="1081">
          <cell r="A1081">
            <v>180385373</v>
          </cell>
          <cell r="B1081">
            <v>853</v>
          </cell>
          <cell r="C1081" t="str">
            <v>Mask Oxygen Diluter 24% Adult</v>
          </cell>
        </row>
        <row r="1082">
          <cell r="A1082" t="str">
            <v>RT  13 085</v>
          </cell>
          <cell r="B1082">
            <v>854</v>
          </cell>
          <cell r="C1082" t="str">
            <v>Mask Oxygen Paed</v>
          </cell>
        </row>
        <row r="1083">
          <cell r="A1083">
            <v>180198178</v>
          </cell>
          <cell r="B1083">
            <v>855</v>
          </cell>
          <cell r="C1083" t="str">
            <v>Nebulizer For Beta 2 &amp; Mask Adult</v>
          </cell>
        </row>
        <row r="1084">
          <cell r="A1084">
            <v>181848641</v>
          </cell>
          <cell r="B1084">
            <v>856</v>
          </cell>
          <cell r="C1084" t="str">
            <v>Nebulizer For Beta 2 &amp; Mask Paed</v>
          </cell>
        </row>
        <row r="1085">
          <cell r="A1085">
            <v>180368131</v>
          </cell>
          <cell r="B1085">
            <v>857</v>
          </cell>
          <cell r="C1085" t="str">
            <v>Tube Endotracheal Cuff Dual  5.0</v>
          </cell>
        </row>
        <row r="1086">
          <cell r="A1086">
            <v>180364694</v>
          </cell>
          <cell r="B1086">
            <v>858</v>
          </cell>
          <cell r="C1086" t="str">
            <v>Tube Endotracheal Cuff Dual  6.0</v>
          </cell>
        </row>
        <row r="1087">
          <cell r="A1087">
            <v>180370549</v>
          </cell>
          <cell r="B1087">
            <v>859</v>
          </cell>
          <cell r="C1087" t="str">
            <v>Tube Endotracheal Cuff Dual  6.5</v>
          </cell>
        </row>
        <row r="1088">
          <cell r="A1088">
            <v>180366943</v>
          </cell>
          <cell r="B1088">
            <v>860</v>
          </cell>
          <cell r="C1088" t="str">
            <v>Tube Endotracheal Cuff Dual  7.0</v>
          </cell>
        </row>
        <row r="1089">
          <cell r="A1089">
            <v>180385188</v>
          </cell>
          <cell r="B1089">
            <v>861</v>
          </cell>
          <cell r="C1089" t="str">
            <v>Tube Endotracheal Cuff Dual  7.5</v>
          </cell>
        </row>
        <row r="1090">
          <cell r="A1090">
            <v>180369374</v>
          </cell>
          <cell r="B1090">
            <v>862</v>
          </cell>
          <cell r="C1090" t="str">
            <v>Tube Endotracheal Cuff Dual  8.0</v>
          </cell>
        </row>
        <row r="1091">
          <cell r="A1091">
            <v>180379365</v>
          </cell>
          <cell r="B1091">
            <v>863</v>
          </cell>
          <cell r="C1091" t="str">
            <v>Tube Endotracheal Cuff Dual  8.5</v>
          </cell>
        </row>
        <row r="1092">
          <cell r="A1092">
            <v>180383564</v>
          </cell>
          <cell r="B1092">
            <v>864</v>
          </cell>
          <cell r="C1092" t="str">
            <v>Tube Endotracheal Cuff Dual  9.0</v>
          </cell>
        </row>
        <row r="1093">
          <cell r="A1093">
            <v>189712992</v>
          </cell>
          <cell r="B1093">
            <v>865</v>
          </cell>
          <cell r="C1093" t="str">
            <v>Tube Endotracheal Non Cuff Dual 2.5</v>
          </cell>
        </row>
        <row r="1094">
          <cell r="A1094">
            <v>180240846</v>
          </cell>
          <cell r="B1094">
            <v>866</v>
          </cell>
          <cell r="C1094" t="str">
            <v>Tube Endotracheal Non Cuff Dual 3.0</v>
          </cell>
        </row>
        <row r="1095">
          <cell r="A1095">
            <v>189712995</v>
          </cell>
          <cell r="B1095">
            <v>867</v>
          </cell>
          <cell r="C1095" t="str">
            <v>Tube Endotracheal Non Cuff Dual 3.5</v>
          </cell>
        </row>
        <row r="1096">
          <cell r="A1096">
            <v>180390270</v>
          </cell>
          <cell r="B1096">
            <v>868</v>
          </cell>
          <cell r="C1096" t="str">
            <v>Scalpel Surgical Blades No. 10</v>
          </cell>
        </row>
        <row r="1097">
          <cell r="A1097">
            <v>180390271</v>
          </cell>
          <cell r="B1097">
            <v>869</v>
          </cell>
          <cell r="C1097" t="str">
            <v>Scalpel Surgical Blades No. 11</v>
          </cell>
        </row>
        <row r="1098">
          <cell r="A1098" t="str">
            <v>QUOTE</v>
          </cell>
          <cell r="B1098">
            <v>870</v>
          </cell>
          <cell r="C1098" t="str">
            <v>Electrosurgical Plate Disposable Adults</v>
          </cell>
        </row>
        <row r="1099">
          <cell r="A1099">
            <v>180390273</v>
          </cell>
          <cell r="B1099">
            <v>871</v>
          </cell>
          <cell r="C1099" t="str">
            <v>Scalpel Surgical Blades No. 15</v>
          </cell>
        </row>
        <row r="1100">
          <cell r="A1100">
            <v>180390274</v>
          </cell>
          <cell r="B1100">
            <v>872</v>
          </cell>
          <cell r="C1100" t="str">
            <v>Scalpel Surgical Blades No. 20</v>
          </cell>
        </row>
        <row r="1101">
          <cell r="A1101">
            <v>180390276</v>
          </cell>
          <cell r="B1101">
            <v>873</v>
          </cell>
          <cell r="C1101" t="str">
            <v>Scalpel Surgical Blades No. 21</v>
          </cell>
        </row>
        <row r="1102">
          <cell r="A1102">
            <v>180390279</v>
          </cell>
          <cell r="B1102">
            <v>874</v>
          </cell>
          <cell r="C1102" t="str">
            <v>Scalpel Surgical Blades No. 22</v>
          </cell>
        </row>
        <row r="1103">
          <cell r="A1103">
            <v>180390281</v>
          </cell>
          <cell r="B1103">
            <v>875</v>
          </cell>
          <cell r="C1103" t="str">
            <v>Scalpel Surgical Blades No. 23</v>
          </cell>
        </row>
        <row r="1104">
          <cell r="A1104" t="str">
            <v>QUOTE</v>
          </cell>
          <cell r="B1104">
            <v>876</v>
          </cell>
          <cell r="C1104" t="str">
            <v>Electrosurgical Plate Disposable Paeds</v>
          </cell>
        </row>
        <row r="1105">
          <cell r="A1105" t="str">
            <v>QUOTE STOMA</v>
          </cell>
          <cell r="B1105">
            <v>877</v>
          </cell>
          <cell r="C1105" t="str">
            <v>Clips Stoma For Drainable Pouch</v>
          </cell>
        </row>
        <row r="1106">
          <cell r="A1106">
            <v>189712802</v>
          </cell>
          <cell r="B1106">
            <v>878</v>
          </cell>
          <cell r="C1106" t="str">
            <v>Pouch Ostomy  44Mm Opaque Green</v>
          </cell>
        </row>
        <row r="1107">
          <cell r="A1107">
            <v>189712939</v>
          </cell>
          <cell r="B1107">
            <v>879</v>
          </cell>
          <cell r="C1107" t="str">
            <v>Needle Biopsy Iliac  15G 1.8Mm</v>
          </cell>
        </row>
        <row r="1108">
          <cell r="A1108" t="str">
            <v>QUOTE STOMA</v>
          </cell>
          <cell r="B1108">
            <v>880</v>
          </cell>
          <cell r="C1108" t="str">
            <v>Flange  45Mm (Cut To 32Mm)</v>
          </cell>
        </row>
        <row r="1109">
          <cell r="A1109" t="str">
            <v>QUOTE STOMA</v>
          </cell>
          <cell r="B1109">
            <v>881</v>
          </cell>
          <cell r="C1109" t="str">
            <v>Flange  57Mm Flexible</v>
          </cell>
        </row>
        <row r="1110">
          <cell r="A1110" t="str">
            <v>QUOTE STOMA</v>
          </cell>
          <cell r="B1110">
            <v>882</v>
          </cell>
          <cell r="C1110" t="str">
            <v>Flange 102Mm (Cut To 89Mm) 14206</v>
          </cell>
        </row>
        <row r="1111">
          <cell r="A1111" t="str">
            <v>QUOTE STOMA</v>
          </cell>
          <cell r="B1111">
            <v>883</v>
          </cell>
          <cell r="C1111" t="str">
            <v>Flange  45Mm Stomahesive</v>
          </cell>
        </row>
        <row r="1112">
          <cell r="A1112">
            <v>180191289</v>
          </cell>
          <cell r="B1112">
            <v>884</v>
          </cell>
          <cell r="C1112" t="str">
            <v>Dressing Hydrocolloid Ulcer 10Cmx10cm</v>
          </cell>
        </row>
        <row r="1113">
          <cell r="A1113">
            <v>180177639</v>
          </cell>
          <cell r="B1113">
            <v>885</v>
          </cell>
          <cell r="C1113" t="str">
            <v>Dorzolamide Eye Drops 20Mg/ml 5Ml</v>
          </cell>
        </row>
        <row r="1114">
          <cell r="A1114" t="str">
            <v>QUOTE STOMA</v>
          </cell>
          <cell r="B1114">
            <v>886</v>
          </cell>
          <cell r="C1114" t="str">
            <v>Skin Barrier Stoma 10X10cm</v>
          </cell>
        </row>
        <row r="1115">
          <cell r="A1115">
            <v>180343642</v>
          </cell>
          <cell r="B1115">
            <v>887</v>
          </cell>
          <cell r="C1115" t="str">
            <v>Tacrolimus Caps 1Mg (100'S)</v>
          </cell>
        </row>
        <row r="1116">
          <cell r="A1116">
            <v>180155487</v>
          </cell>
          <cell r="B1116">
            <v>888</v>
          </cell>
          <cell r="C1116" t="str">
            <v>Carvedilol 25Mg Scored Tabs (30'S)</v>
          </cell>
        </row>
        <row r="1117">
          <cell r="A1117" t="str">
            <v>QUOTE</v>
          </cell>
          <cell r="B1117">
            <v>889</v>
          </cell>
          <cell r="C1117" t="str">
            <v>Needle Port Adults</v>
          </cell>
        </row>
        <row r="1118">
          <cell r="A1118">
            <v>180961888</v>
          </cell>
          <cell r="B1118">
            <v>890</v>
          </cell>
          <cell r="C1118" t="str">
            <v>Syringe Safety 3Ml 25Gx25mm (0.5Mm) Needle</v>
          </cell>
        </row>
        <row r="1119">
          <cell r="A1119" t="str">
            <v>*</v>
          </cell>
          <cell r="B1119">
            <v>891</v>
          </cell>
          <cell r="C1119" t="str">
            <v>Insulin Lispro/protamine</v>
          </cell>
        </row>
        <row r="1120">
          <cell r="A1120">
            <v>180961890</v>
          </cell>
          <cell r="B1120">
            <v>892</v>
          </cell>
          <cell r="C1120" t="str">
            <v>Syringe Safety 3Ml 22Gx25mm (0.7Mm) Needle</v>
          </cell>
        </row>
        <row r="1121">
          <cell r="A1121">
            <v>180961903</v>
          </cell>
          <cell r="B1121">
            <v>893</v>
          </cell>
          <cell r="C1121" t="str">
            <v>Syringe Safety 3Ml 20Gx25mm (0.9Mm) Needle</v>
          </cell>
        </row>
        <row r="1122">
          <cell r="A1122">
            <v>180211656</v>
          </cell>
          <cell r="B1122">
            <v>894</v>
          </cell>
          <cell r="C1122" t="str">
            <v>Bonewax Sterile</v>
          </cell>
        </row>
        <row r="1123">
          <cell r="A1123" t="str">
            <v>QUOTE EYE</v>
          </cell>
          <cell r="B1123">
            <v>895</v>
          </cell>
          <cell r="C1123" t="str">
            <v>Cannula Eye Irrigation 30G Rycroft</v>
          </cell>
        </row>
        <row r="1124">
          <cell r="A1124">
            <v>3025090</v>
          </cell>
          <cell r="B1124">
            <v>896</v>
          </cell>
          <cell r="C1124" t="str">
            <v>~Sut Polyest 1 1/2Rc 24Mm 75Cm</v>
          </cell>
        </row>
        <row r="1125">
          <cell r="A1125" t="str">
            <v>MOTIVATION</v>
          </cell>
          <cell r="B1125">
            <v>897</v>
          </cell>
          <cell r="C1125" t="str">
            <v>~Anaculet Hydrochlorhide 30Mg Tabs</v>
          </cell>
        </row>
        <row r="1126">
          <cell r="A1126">
            <v>180956885</v>
          </cell>
          <cell r="B1126">
            <v>898</v>
          </cell>
          <cell r="C1126" t="str">
            <v>Sut Polyest 3/0 1/2Tp 26Mm</v>
          </cell>
        </row>
        <row r="1127">
          <cell r="A1127">
            <v>189704617</v>
          </cell>
          <cell r="B1127">
            <v>899</v>
          </cell>
          <cell r="C1127" t="str">
            <v>Syringe Disposable 10Ml Three Part</v>
          </cell>
        </row>
        <row r="1128">
          <cell r="A1128" t="str">
            <v>3025130 DEL</v>
          </cell>
          <cell r="B1128">
            <v>900</v>
          </cell>
          <cell r="C1128" t="str">
            <v>~Sut Polyest 4/0 3/8Tp 17Mm</v>
          </cell>
        </row>
        <row r="1129">
          <cell r="A1129">
            <v>189703347</v>
          </cell>
          <cell r="B1129">
            <v>901</v>
          </cell>
          <cell r="C1129" t="str">
            <v>Sut Nylon 0 1/2Rc 40Mm</v>
          </cell>
        </row>
        <row r="1130">
          <cell r="A1130">
            <v>180212752</v>
          </cell>
          <cell r="B1130">
            <v>902</v>
          </cell>
          <cell r="C1130" t="str">
            <v>Sut Nylon 0 3/8Cc 90Mm</v>
          </cell>
        </row>
        <row r="1131">
          <cell r="A1131">
            <v>189703348</v>
          </cell>
          <cell r="B1131">
            <v>903</v>
          </cell>
          <cell r="C1131" t="str">
            <v>Sut Nylon 1 1/2Rc 50Mm</v>
          </cell>
        </row>
        <row r="1132">
          <cell r="A1132">
            <v>189706111</v>
          </cell>
          <cell r="B1132">
            <v>904</v>
          </cell>
          <cell r="C1132" t="str">
            <v>Sut Nylon 1 3/8Cc 90Mm</v>
          </cell>
        </row>
        <row r="1133">
          <cell r="A1133">
            <v>180212819</v>
          </cell>
          <cell r="B1133">
            <v>905</v>
          </cell>
          <cell r="C1133" t="str">
            <v>Sut Nylon 2/0 3/8Cc 25Mm</v>
          </cell>
        </row>
        <row r="1134">
          <cell r="A1134">
            <v>189704899</v>
          </cell>
          <cell r="B1134">
            <v>906</v>
          </cell>
          <cell r="C1134" t="str">
            <v>Sut Nylon 2/0 3/8Rc 26Mm</v>
          </cell>
        </row>
        <row r="1135">
          <cell r="A1135">
            <v>180211856</v>
          </cell>
          <cell r="B1135">
            <v>907</v>
          </cell>
          <cell r="C1135" t="str">
            <v>Sut Nylon 2/0 3/8Cc 90Mm</v>
          </cell>
        </row>
        <row r="1136">
          <cell r="A1136">
            <v>180212751</v>
          </cell>
          <cell r="B1136">
            <v>908</v>
          </cell>
          <cell r="C1136" t="str">
            <v>Sut Nylon 2/0 3/8Rc 45Mm</v>
          </cell>
        </row>
        <row r="1137">
          <cell r="A1137">
            <v>180320710</v>
          </cell>
          <cell r="B1137">
            <v>909</v>
          </cell>
          <cell r="C1137" t="str">
            <v>~Sut Nylon 3/0 3/8Cc 25Mm</v>
          </cell>
        </row>
        <row r="1138">
          <cell r="A1138">
            <v>189759132</v>
          </cell>
          <cell r="B1138">
            <v>910</v>
          </cell>
          <cell r="C1138" t="str">
            <v>Sut Polyprop 3/0 3/8Rc 24Mm</v>
          </cell>
        </row>
        <row r="1139">
          <cell r="A1139">
            <v>180211863</v>
          </cell>
          <cell r="B1139">
            <v>911</v>
          </cell>
          <cell r="C1139" t="str">
            <v>Sut Nylon 4/0 3/8Rc 19Mm</v>
          </cell>
        </row>
        <row r="1140">
          <cell r="A1140">
            <v>180211301</v>
          </cell>
          <cell r="B1140">
            <v>912</v>
          </cell>
          <cell r="C1140" t="str">
            <v>Sut Nylon 5/0 3/8Cc 12Mm</v>
          </cell>
        </row>
        <row r="1141">
          <cell r="A1141" t="str">
            <v>QUOTE</v>
          </cell>
          <cell r="B1141">
            <v>913</v>
          </cell>
          <cell r="C1141" t="str">
            <v>Sut Nylon 5/0 3/8Rc 13Mm</v>
          </cell>
        </row>
        <row r="1142">
          <cell r="A1142">
            <v>180139121</v>
          </cell>
          <cell r="B1142">
            <v>914</v>
          </cell>
          <cell r="C1142" t="str">
            <v>Sut Nylon 10/0 3/8Sp 6 - 6.5Mm</v>
          </cell>
        </row>
        <row r="1143">
          <cell r="A1143">
            <v>189704908</v>
          </cell>
          <cell r="B1143">
            <v>915</v>
          </cell>
          <cell r="C1143" t="str">
            <v>Sut Chromic 0 Ligation</v>
          </cell>
        </row>
        <row r="1144">
          <cell r="A1144">
            <v>180138009</v>
          </cell>
          <cell r="B1144">
            <v>916</v>
          </cell>
          <cell r="C1144" t="str">
            <v>Sut Chromic 0 1/2Rc 26.6Mm</v>
          </cell>
        </row>
        <row r="1145">
          <cell r="A1145">
            <v>180139131</v>
          </cell>
          <cell r="B1145">
            <v>917</v>
          </cell>
          <cell r="C1145" t="str">
            <v>~Sut Chromic 0 1/2Rc 36Mm 75Cm Gen Clos</v>
          </cell>
        </row>
        <row r="1146">
          <cell r="A1146">
            <v>180961932</v>
          </cell>
          <cell r="B1146">
            <v>918</v>
          </cell>
          <cell r="C1146" t="str">
            <v>Syringe Safety 5Ml 20Gx25mm (0.9Mm) Needle</v>
          </cell>
        </row>
        <row r="1147">
          <cell r="A1147" t="str">
            <v>DELETED</v>
          </cell>
          <cell r="B1147">
            <v>919</v>
          </cell>
          <cell r="C1147" t="str">
            <v>~Sut Chromic 0 1/2Ct 35Mm 75Cm G I</v>
          </cell>
        </row>
        <row r="1148">
          <cell r="A1148">
            <v>180319915</v>
          </cell>
          <cell r="B1148">
            <v>920</v>
          </cell>
          <cell r="C1148" t="str">
            <v>Sut Chromic 0 1/2Tp 40Mm</v>
          </cell>
        </row>
        <row r="1149">
          <cell r="A1149">
            <v>180211860</v>
          </cell>
          <cell r="B1149">
            <v>921</v>
          </cell>
          <cell r="C1149" t="str">
            <v>Sut Chromic 0 1/2Ct 40Mm</v>
          </cell>
        </row>
        <row r="1150">
          <cell r="A1150">
            <v>180957063</v>
          </cell>
          <cell r="B1150">
            <v>922</v>
          </cell>
          <cell r="C1150" t="str">
            <v>Sut Synthabs 15X8cm Sup Mesh</v>
          </cell>
        </row>
        <row r="1151">
          <cell r="A1151">
            <v>189704907</v>
          </cell>
          <cell r="B1151">
            <v>923</v>
          </cell>
          <cell r="C1151" t="str">
            <v>Sut Chromic 1 Ligation</v>
          </cell>
        </row>
        <row r="1152">
          <cell r="A1152" t="str">
            <v>DELETED</v>
          </cell>
          <cell r="B1152">
            <v>924</v>
          </cell>
          <cell r="C1152" t="str">
            <v>~Sut Chromic 1 1/2Rc 36Mm 90Cm Gen Clos</v>
          </cell>
        </row>
        <row r="1153">
          <cell r="A1153">
            <v>189754301</v>
          </cell>
          <cell r="B1153">
            <v>925</v>
          </cell>
          <cell r="C1153" t="str">
            <v>Sut Chromic 1 1/2Rc 40Mm</v>
          </cell>
        </row>
        <row r="1154">
          <cell r="A1154">
            <v>189763018</v>
          </cell>
          <cell r="B1154">
            <v>926</v>
          </cell>
          <cell r="C1154" t="str">
            <v>Sut Chromic 1 1/2Tp 30Mm</v>
          </cell>
        </row>
        <row r="1155">
          <cell r="A1155">
            <v>189703342</v>
          </cell>
          <cell r="B1155">
            <v>927</v>
          </cell>
          <cell r="C1155" t="str">
            <v>Sut Chromic 1 1/2Tp 40Mm</v>
          </cell>
        </row>
        <row r="1156">
          <cell r="A1156" t="str">
            <v>QUOTE EYE</v>
          </cell>
          <cell r="B1156">
            <v>928</v>
          </cell>
          <cell r="C1156" t="str">
            <v>Cannula Subtenon Anaesthesia</v>
          </cell>
        </row>
        <row r="1157">
          <cell r="A1157">
            <v>180232959</v>
          </cell>
          <cell r="B1157">
            <v>929</v>
          </cell>
          <cell r="C1157" t="str">
            <v>~Sut Chromic 2 Ligation 150Cm</v>
          </cell>
        </row>
        <row r="1158">
          <cell r="A1158">
            <v>180139523</v>
          </cell>
          <cell r="B1158">
            <v>930</v>
          </cell>
          <cell r="C1158" t="str">
            <v>Sut Chromic 2 1/2Rc 40Mm</v>
          </cell>
        </row>
        <row r="1159">
          <cell r="A1159">
            <v>180319923</v>
          </cell>
          <cell r="B1159">
            <v>931</v>
          </cell>
          <cell r="C1159" t="str">
            <v>Sut Chromic 2 1/2Tp 45Mm</v>
          </cell>
        </row>
        <row r="1160">
          <cell r="A1160">
            <v>180139522</v>
          </cell>
          <cell r="B1160">
            <v>932</v>
          </cell>
          <cell r="C1160" t="str">
            <v>Sut Chromic 2 1/2Tc 35Mm</v>
          </cell>
        </row>
        <row r="1161">
          <cell r="A1161">
            <v>180173814</v>
          </cell>
          <cell r="B1161">
            <v>933</v>
          </cell>
          <cell r="C1161" t="str">
            <v>Sut Silk 3/0 1/2Tp 17.4Mm Cardio</v>
          </cell>
        </row>
        <row r="1162">
          <cell r="A1162">
            <v>180319914</v>
          </cell>
          <cell r="B1162">
            <v>934</v>
          </cell>
          <cell r="C1162" t="str">
            <v>~Sut Chromic 2/0 1/2Rc 26.6Mm 75Cm Gen Clos</v>
          </cell>
        </row>
        <row r="1163">
          <cell r="A1163">
            <v>180212754</v>
          </cell>
          <cell r="B1163">
            <v>935</v>
          </cell>
          <cell r="C1163" t="str">
            <v>Sut Chromic 2/0 1/2Rc 36Mm</v>
          </cell>
        </row>
        <row r="1164">
          <cell r="A1164">
            <v>189706132</v>
          </cell>
          <cell r="B1164">
            <v>936</v>
          </cell>
          <cell r="C1164" t="str">
            <v>Sut Chromic 2/0 1/2Tp 30Mm</v>
          </cell>
        </row>
        <row r="1165">
          <cell r="A1165">
            <v>180210844</v>
          </cell>
          <cell r="B1165">
            <v>937</v>
          </cell>
          <cell r="C1165" t="str">
            <v>Sut Chromic 2/0 1/2Tp 37Mm-40Mm</v>
          </cell>
        </row>
        <row r="1166">
          <cell r="A1166">
            <v>189754048</v>
          </cell>
          <cell r="B1166">
            <v>938</v>
          </cell>
          <cell r="C1166" t="str">
            <v>Sut Chromic 2/0 1/2Tc 25Mm</v>
          </cell>
        </row>
        <row r="1167">
          <cell r="A1167">
            <v>189757133</v>
          </cell>
          <cell r="B1167">
            <v>939</v>
          </cell>
          <cell r="C1167" t="str">
            <v>Sut Chromic 2/0 3/8Tp 45Mm</v>
          </cell>
        </row>
        <row r="1168">
          <cell r="A1168" t="str">
            <v>QUOTE</v>
          </cell>
          <cell r="B1168">
            <v>940</v>
          </cell>
          <cell r="C1168" t="str">
            <v>Cath Prostatectomy Latex 3-Way</v>
          </cell>
        </row>
        <row r="1169">
          <cell r="A1169" t="str">
            <v>QUOTE</v>
          </cell>
          <cell r="B1169">
            <v>941</v>
          </cell>
          <cell r="C1169" t="str">
            <v>Sut Chromic 3/0 3/8Cc 63Mm</v>
          </cell>
        </row>
        <row r="1170">
          <cell r="A1170">
            <v>189704905</v>
          </cell>
          <cell r="B1170">
            <v>942</v>
          </cell>
          <cell r="C1170" t="str">
            <v>Sut Chromic 3/0 1/2Tp 30Mm</v>
          </cell>
        </row>
        <row r="1171">
          <cell r="A1171">
            <v>180319910</v>
          </cell>
          <cell r="B1171">
            <v>943</v>
          </cell>
          <cell r="C1171" t="str">
            <v>Sut Chromic 3/0 3/8Rc 19Mm</v>
          </cell>
        </row>
        <row r="1172">
          <cell r="A1172">
            <v>180137926</v>
          </cell>
          <cell r="B1172">
            <v>944</v>
          </cell>
          <cell r="C1172" t="str">
            <v>Sut Chromic 3/0 3/8Rc 30Mm</v>
          </cell>
        </row>
        <row r="1173">
          <cell r="A1173">
            <v>189758933</v>
          </cell>
          <cell r="B1173">
            <v>945</v>
          </cell>
          <cell r="C1173" t="str">
            <v>Sut Chromic 4/0 1/2Tp 20Mm</v>
          </cell>
        </row>
        <row r="1174">
          <cell r="A1174">
            <v>180319909</v>
          </cell>
          <cell r="B1174">
            <v>946</v>
          </cell>
          <cell r="C1174" t="str">
            <v>Sut Chromic 4/0 1/2Tp 26Mm</v>
          </cell>
        </row>
        <row r="1175">
          <cell r="A1175" t="str">
            <v>3021170 NOT</v>
          </cell>
          <cell r="B1175">
            <v>947</v>
          </cell>
          <cell r="C1175" t="str">
            <v>~Sut Chromic 4/0 3/8Cc 16Mm Cutic</v>
          </cell>
        </row>
        <row r="1176">
          <cell r="A1176">
            <v>181930538</v>
          </cell>
          <cell r="B1176">
            <v>948</v>
          </cell>
          <cell r="C1176" t="str">
            <v>Vaccine Oral Polio Bivalent 20 Dose Vial</v>
          </cell>
        </row>
        <row r="1177">
          <cell r="A1177">
            <v>180173143</v>
          </cell>
          <cell r="B1177">
            <v>949</v>
          </cell>
          <cell r="C1177" t="str">
            <v>~Sut Plain 0 1/2Ct 36Mm</v>
          </cell>
        </row>
        <row r="1178">
          <cell r="A1178">
            <v>180139494</v>
          </cell>
          <cell r="B1178">
            <v>950</v>
          </cell>
          <cell r="C1178" t="str">
            <v>Sut Plain 2/0 Ligation</v>
          </cell>
        </row>
        <row r="1179">
          <cell r="A1179">
            <v>180173900</v>
          </cell>
          <cell r="B1179">
            <v>951</v>
          </cell>
          <cell r="C1179" t="str">
            <v>Sut Stainless Steel 5 1/2Cc 48Mm 4X45cm Sternum</v>
          </cell>
        </row>
        <row r="1180">
          <cell r="A1180">
            <v>180318956</v>
          </cell>
          <cell r="B1180">
            <v>952</v>
          </cell>
          <cell r="C1180" t="str">
            <v>Sut Plain 2/0 1/2Tp 36Mm</v>
          </cell>
        </row>
        <row r="1181">
          <cell r="A1181">
            <v>180173138</v>
          </cell>
          <cell r="B1181">
            <v>953</v>
          </cell>
          <cell r="C1181" t="str">
            <v>Sut Plain 2/0 3/8Rc 24Mm</v>
          </cell>
        </row>
        <row r="1182">
          <cell r="A1182">
            <v>189704911</v>
          </cell>
          <cell r="B1182">
            <v>954</v>
          </cell>
          <cell r="C1182" t="str">
            <v>Sut Plain 3/0 Ligation</v>
          </cell>
        </row>
        <row r="1183">
          <cell r="A1183">
            <v>180026006</v>
          </cell>
          <cell r="B1183">
            <v>955</v>
          </cell>
          <cell r="C1183" t="str">
            <v>Sut Plain 4/0 1/2Tp 26Mm</v>
          </cell>
        </row>
        <row r="1184">
          <cell r="A1184" t="str">
            <v>DELETED</v>
          </cell>
          <cell r="B1184">
            <v>956</v>
          </cell>
          <cell r="C1184" t="str">
            <v>~Darbepoetin Alpha 50Ug Pre-Filled Syringe</v>
          </cell>
        </row>
        <row r="1185">
          <cell r="A1185">
            <v>181936065</v>
          </cell>
          <cell r="B1185">
            <v>957</v>
          </cell>
          <cell r="C1185" t="str">
            <v>Dolutegravir 50Mg Tablets (30'S)</v>
          </cell>
        </row>
        <row r="1186">
          <cell r="A1186">
            <v>180211864</v>
          </cell>
          <cell r="B1186">
            <v>958</v>
          </cell>
          <cell r="C1186" t="str">
            <v>Sut Plain 3/0 3/8Rc 26Mm Cutic</v>
          </cell>
        </row>
        <row r="1187">
          <cell r="A1187" t="str">
            <v>QUOTE EYE</v>
          </cell>
          <cell r="B1187">
            <v>959</v>
          </cell>
          <cell r="C1187" t="str">
            <v>Cannula Eye Reverse Simcoe Re-Useable</v>
          </cell>
        </row>
        <row r="1188">
          <cell r="A1188">
            <v>180139240</v>
          </cell>
          <cell r="B1188">
            <v>960</v>
          </cell>
          <cell r="C1188" t="str">
            <v>Sut Polyester Fibre 1/2Tp 48Mm (Shirodkar)</v>
          </cell>
        </row>
        <row r="1189">
          <cell r="A1189">
            <v>189712209</v>
          </cell>
          <cell r="B1189">
            <v>961</v>
          </cell>
          <cell r="C1189" t="str">
            <v>Sut Polyest 4/0 1/2Tp 20Mm</v>
          </cell>
        </row>
        <row r="1190">
          <cell r="A1190">
            <v>180961923</v>
          </cell>
          <cell r="B1190">
            <v>962</v>
          </cell>
          <cell r="C1190" t="str">
            <v>Syringe Safety 5Ml 21Gx25mm (0.8Mm) Needle</v>
          </cell>
        </row>
        <row r="1191">
          <cell r="A1191">
            <v>180212864</v>
          </cell>
          <cell r="B1191">
            <v>963</v>
          </cell>
          <cell r="C1191" t="str">
            <v>~Sut Monosyn 0 1/2Rc 36Mm Violet</v>
          </cell>
        </row>
        <row r="1192">
          <cell r="A1192">
            <v>180232878</v>
          </cell>
          <cell r="B1192">
            <v>964</v>
          </cell>
          <cell r="C1192" t="str">
            <v>~Sut Monosyn 0 1/2Rc 40Mm Violet</v>
          </cell>
        </row>
        <row r="1193">
          <cell r="A1193">
            <v>180961912</v>
          </cell>
          <cell r="B1193">
            <v>965</v>
          </cell>
          <cell r="C1193" t="str">
            <v>Syringe Safety 5Ml 22Gx25mm (0.7Mm) Needle</v>
          </cell>
        </row>
        <row r="1194">
          <cell r="A1194">
            <v>189755553</v>
          </cell>
          <cell r="B1194">
            <v>966</v>
          </cell>
          <cell r="C1194" t="str">
            <v>~Sut Monosyn 0 1/2Tp 40Mm Violet</v>
          </cell>
        </row>
        <row r="1195">
          <cell r="A1195">
            <v>180956853</v>
          </cell>
          <cell r="B1195">
            <v>967</v>
          </cell>
          <cell r="C1195" t="str">
            <v>Sut Monosyn 1 1/2Rc 40Mm</v>
          </cell>
        </row>
        <row r="1196">
          <cell r="A1196">
            <v>180956862</v>
          </cell>
          <cell r="B1196">
            <v>968</v>
          </cell>
          <cell r="C1196" t="str">
            <v>Sut Monosyn 1 1/2Tp 40Mm</v>
          </cell>
        </row>
        <row r="1197">
          <cell r="A1197">
            <v>180046816</v>
          </cell>
          <cell r="B1197">
            <v>969</v>
          </cell>
          <cell r="C1197" t="str">
            <v>Sut Monosyn 2/0 1/2Rc 36Mm</v>
          </cell>
        </row>
        <row r="1198">
          <cell r="A1198">
            <v>180956818</v>
          </cell>
          <cell r="B1198">
            <v>970</v>
          </cell>
          <cell r="C1198" t="str">
            <v>Sut Monosyn 2/0 1/2Tp 36Mm</v>
          </cell>
        </row>
        <row r="1199">
          <cell r="A1199">
            <v>180330422</v>
          </cell>
          <cell r="B1199">
            <v>971</v>
          </cell>
          <cell r="C1199" t="str">
            <v>Sut Monosyn 2/0 1/2Tp 30Mm</v>
          </cell>
        </row>
        <row r="1200">
          <cell r="A1200" t="str">
            <v>3024045 DEL</v>
          </cell>
          <cell r="B1200">
            <v>972</v>
          </cell>
          <cell r="C1200" t="str">
            <v>~Sut Monosyn 4/0 Straight 18Mm Violet</v>
          </cell>
        </row>
        <row r="1201">
          <cell r="A1201" t="str">
            <v>QUOTE EYE</v>
          </cell>
          <cell r="B1201">
            <v>973</v>
          </cell>
          <cell r="C1201" t="str">
            <v>Knife Visco Canalostomy</v>
          </cell>
        </row>
        <row r="1202">
          <cell r="A1202">
            <v>180956905</v>
          </cell>
          <cell r="B1202">
            <v>974</v>
          </cell>
          <cell r="C1202" t="str">
            <v>Sut Polyprop 5/0 1/2Tp 17-17,4Mm</v>
          </cell>
        </row>
        <row r="1203">
          <cell r="A1203">
            <v>180323807</v>
          </cell>
          <cell r="B1203">
            <v>975</v>
          </cell>
          <cell r="C1203" t="str">
            <v>Digoxin Tabs 0.25Mg (28'S)</v>
          </cell>
        </row>
        <row r="1204">
          <cell r="A1204">
            <v>180320702</v>
          </cell>
          <cell r="B1204">
            <v>976</v>
          </cell>
          <cell r="C1204" t="str">
            <v>Sut Silk 0 3/8Cc 90Mm</v>
          </cell>
        </row>
        <row r="1205">
          <cell r="A1205">
            <v>180240736</v>
          </cell>
          <cell r="B1205">
            <v>977</v>
          </cell>
          <cell r="C1205" t="str">
            <v>Sut Silk 1 Ligation</v>
          </cell>
        </row>
        <row r="1206">
          <cell r="A1206">
            <v>180320703</v>
          </cell>
          <cell r="B1206">
            <v>978</v>
          </cell>
          <cell r="C1206" t="str">
            <v>Sut Silk 1 3/8Cc 90Mm</v>
          </cell>
        </row>
        <row r="1207">
          <cell r="A1207" t="str">
            <v>QUOTE</v>
          </cell>
          <cell r="B1207">
            <v>979</v>
          </cell>
          <cell r="C1207" t="str">
            <v>Sut Silk 2 3/8Cc 90Mm</v>
          </cell>
        </row>
        <row r="1208">
          <cell r="A1208">
            <v>189760500</v>
          </cell>
          <cell r="B1208">
            <v>980</v>
          </cell>
          <cell r="C1208" t="str">
            <v>~Sut Silk 2/0 Ligation 180Cm Black</v>
          </cell>
        </row>
        <row r="1209">
          <cell r="A1209">
            <v>180320701</v>
          </cell>
          <cell r="B1209">
            <v>981</v>
          </cell>
          <cell r="C1209" t="str">
            <v>Sut Silk 2/0 Straight Cc 60Mm</v>
          </cell>
        </row>
        <row r="1210">
          <cell r="A1210">
            <v>180320700</v>
          </cell>
          <cell r="B1210">
            <v>982</v>
          </cell>
          <cell r="C1210" t="str">
            <v>Sut Silk 2/0 3/8Cc 80Mm</v>
          </cell>
        </row>
        <row r="1211">
          <cell r="A1211">
            <v>180138697</v>
          </cell>
          <cell r="B1211">
            <v>983</v>
          </cell>
          <cell r="C1211" t="str">
            <v>Sut Silk 2/0 3/8Rc 26Mm</v>
          </cell>
        </row>
        <row r="1212">
          <cell r="A1212">
            <v>189751292</v>
          </cell>
          <cell r="B1212">
            <v>984</v>
          </cell>
          <cell r="C1212" t="str">
            <v>Sut Silk 3/0 Ligation 17X45cm Pre-Cut</v>
          </cell>
        </row>
        <row r="1213">
          <cell r="A1213">
            <v>180138659</v>
          </cell>
          <cell r="B1213">
            <v>985</v>
          </cell>
          <cell r="C1213" t="str">
            <v>Sut Silk 3/0 3/8Rc 24Mm</v>
          </cell>
        </row>
        <row r="1214">
          <cell r="A1214" t="str">
            <v>DELETED</v>
          </cell>
          <cell r="B1214">
            <v>986</v>
          </cell>
          <cell r="C1214" t="str">
            <v>~Sut Silk 4/0 3/8Cc 20Mm Black Plastic</v>
          </cell>
        </row>
        <row r="1215">
          <cell r="A1215" t="str">
            <v>QUOTE EYE</v>
          </cell>
          <cell r="B1215">
            <v>987</v>
          </cell>
          <cell r="C1215" t="str">
            <v>~Sut Silk 5/0 3/8Cc 16Mm Black</v>
          </cell>
        </row>
        <row r="1216">
          <cell r="A1216">
            <v>189713811</v>
          </cell>
          <cell r="B1216">
            <v>988</v>
          </cell>
          <cell r="C1216" t="str">
            <v>~Sut Silk 6/0 3/8Rc 11Mm Black</v>
          </cell>
        </row>
        <row r="1217">
          <cell r="A1217">
            <v>180956880</v>
          </cell>
          <cell r="B1217">
            <v>989</v>
          </cell>
          <cell r="C1217" t="str">
            <v>Sut Silk 7/0 3/8Rc 8Mm</v>
          </cell>
        </row>
        <row r="1218">
          <cell r="A1218">
            <v>181891013</v>
          </cell>
          <cell r="B1218">
            <v>990</v>
          </cell>
          <cell r="C1218" t="str">
            <v>Enoxaparin 80Mg Inj Prefilled Syringe</v>
          </cell>
        </row>
        <row r="1219">
          <cell r="A1219">
            <v>181804148</v>
          </cell>
          <cell r="B1219">
            <v>991</v>
          </cell>
          <cell r="C1219" t="str">
            <v>Skin Stapler Disposable</v>
          </cell>
        </row>
        <row r="1220">
          <cell r="A1220">
            <v>180956931</v>
          </cell>
          <cell r="B1220">
            <v>992</v>
          </cell>
          <cell r="C1220" t="str">
            <v>Tape Umbilical Cotton</v>
          </cell>
        </row>
        <row r="1221">
          <cell r="A1221">
            <v>180185965</v>
          </cell>
          <cell r="B1221">
            <v>993</v>
          </cell>
          <cell r="C1221" t="str">
            <v>Sut Synthabs 0 1/2Rc 36Mm</v>
          </cell>
        </row>
        <row r="1222">
          <cell r="A1222">
            <v>180185957</v>
          </cell>
          <cell r="B1222">
            <v>994</v>
          </cell>
          <cell r="C1222" t="str">
            <v>Sut Synthabs 0 1/2Tp 26Mm</v>
          </cell>
        </row>
        <row r="1223">
          <cell r="A1223" t="str">
            <v>3021620 +</v>
          </cell>
          <cell r="B1223">
            <v>995</v>
          </cell>
          <cell r="C1223" t="str">
            <v>~Sut Synthabs 0 1/2Tp 40Mm 90Cm</v>
          </cell>
        </row>
        <row r="1224">
          <cell r="A1224">
            <v>180956849</v>
          </cell>
          <cell r="B1224">
            <v>996</v>
          </cell>
          <cell r="C1224" t="str">
            <v>Sut Synthabs 0 1/2Tp 36Mm</v>
          </cell>
        </row>
        <row r="1225">
          <cell r="A1225">
            <v>180232960</v>
          </cell>
          <cell r="B1225">
            <v>997</v>
          </cell>
          <cell r="C1225" t="str">
            <v>Sut Synthabs 0 1/2Tc 36Mm</v>
          </cell>
        </row>
        <row r="1226">
          <cell r="A1226" t="str">
            <v>3021920 DEL</v>
          </cell>
          <cell r="B1226">
            <v>998</v>
          </cell>
          <cell r="C1226" t="str">
            <v>~Sut Synthabs 1 1/2Rc 36Mm 90Cm</v>
          </cell>
        </row>
        <row r="1227">
          <cell r="A1227">
            <v>180319928</v>
          </cell>
          <cell r="B1227">
            <v>999</v>
          </cell>
          <cell r="C1227" t="str">
            <v>Sut Synthabs 1 1/2Rc 40Mm</v>
          </cell>
        </row>
        <row r="1228">
          <cell r="A1228">
            <v>180328370</v>
          </cell>
          <cell r="B1228">
            <v>1000</v>
          </cell>
          <cell r="C1228" t="str">
            <v>Sut Synthabs 1 1/2Tp 48Mm</v>
          </cell>
        </row>
        <row r="1229">
          <cell r="A1229">
            <v>180325840</v>
          </cell>
          <cell r="B1229">
            <v>1001</v>
          </cell>
          <cell r="C1229" t="str">
            <v>Sut Synthabs 1 1/2Tc 36Mm</v>
          </cell>
        </row>
        <row r="1230">
          <cell r="A1230" t="str">
            <v>3021950 DEL</v>
          </cell>
          <cell r="B1230">
            <v>1002</v>
          </cell>
          <cell r="C1230" t="str">
            <v>~Sut Synthabs 2/0 1/2Rc 40Mm 90Cm</v>
          </cell>
        </row>
        <row r="1231">
          <cell r="A1231">
            <v>180185936</v>
          </cell>
          <cell r="B1231">
            <v>1003</v>
          </cell>
          <cell r="C1231" t="str">
            <v>Sut Synthabs 2/0 1/2Tp 26Mm</v>
          </cell>
        </row>
        <row r="1232">
          <cell r="A1232" t="str">
            <v>3021610 DEL</v>
          </cell>
          <cell r="B1232">
            <v>1004</v>
          </cell>
          <cell r="C1232" t="str">
            <v>~Sut Synthabs 2/0 1/2Tp 37Mm 70Cm</v>
          </cell>
        </row>
        <row r="1233">
          <cell r="A1233">
            <v>189760422</v>
          </cell>
          <cell r="B1233">
            <v>1005</v>
          </cell>
          <cell r="C1233" t="str">
            <v>Sut Synthabs 2/0 1/2Tp 40Mm</v>
          </cell>
        </row>
        <row r="1234">
          <cell r="A1234" t="str">
            <v>DELETED</v>
          </cell>
          <cell r="B1234">
            <v>1006</v>
          </cell>
          <cell r="C1234" t="str">
            <v>~Sut Synthabs 2/0 Str Cut 60Mm 70Cm Cutic</v>
          </cell>
        </row>
        <row r="1235">
          <cell r="A1235">
            <v>180185880</v>
          </cell>
          <cell r="B1235">
            <v>1007</v>
          </cell>
          <cell r="C1235" t="str">
            <v>Sut Synthabs 3/0 1/2Tp 20-22Mm</v>
          </cell>
        </row>
        <row r="1236">
          <cell r="A1236">
            <v>180185899</v>
          </cell>
          <cell r="B1236">
            <v>1008</v>
          </cell>
          <cell r="C1236" t="str">
            <v>Sut Synthabs 3/0 1/2Tp 30Mm</v>
          </cell>
        </row>
        <row r="1237">
          <cell r="A1237">
            <v>180185872</v>
          </cell>
          <cell r="B1237">
            <v>1009</v>
          </cell>
          <cell r="C1237" t="str">
            <v>Sut Synthabs 3/0 3/8Rc 20Mm</v>
          </cell>
        </row>
        <row r="1238">
          <cell r="A1238" t="str">
            <v>QUOTE</v>
          </cell>
          <cell r="B1238">
            <v>1010</v>
          </cell>
          <cell r="C1238" t="str">
            <v>Sut Synthabs 3/0 1/2Rc 22Mm</v>
          </cell>
        </row>
        <row r="1239">
          <cell r="A1239" t="str">
            <v>DELETED</v>
          </cell>
          <cell r="B1239">
            <v>1011</v>
          </cell>
          <cell r="C1239" t="str">
            <v>Sut Synthabs 3/0 3/8Cc 25Mm</v>
          </cell>
        </row>
        <row r="1240">
          <cell r="A1240" t="str">
            <v>QUOTE</v>
          </cell>
          <cell r="B1240">
            <v>1012</v>
          </cell>
          <cell r="C1240" t="str">
            <v>Sut Synthabs 4/0 1/2Tp 22Mm</v>
          </cell>
        </row>
        <row r="1241">
          <cell r="A1241">
            <v>180185862</v>
          </cell>
          <cell r="B1241">
            <v>1013</v>
          </cell>
          <cell r="C1241" t="str">
            <v>Sut Synthabs 5/0 3/8Rc 19Mm</v>
          </cell>
        </row>
        <row r="1242">
          <cell r="A1242">
            <v>180212842</v>
          </cell>
          <cell r="B1242">
            <v>1014</v>
          </cell>
          <cell r="C1242" t="str">
            <v>Sut Synthabs 6/0 1/4Sp  8Mm</v>
          </cell>
        </row>
        <row r="1243">
          <cell r="A1243">
            <v>180956777</v>
          </cell>
          <cell r="B1243">
            <v>1015</v>
          </cell>
          <cell r="C1243" t="str">
            <v>Sut Synthabs 5/0 5/8Tp 27Mm</v>
          </cell>
        </row>
        <row r="1244">
          <cell r="A1244">
            <v>180075520</v>
          </cell>
          <cell r="B1244">
            <v>2249</v>
          </cell>
          <cell r="C1244" t="str">
            <v>Atracurium Inj 50Mg/5ml 5Ml</v>
          </cell>
        </row>
        <row r="1245">
          <cell r="A1245">
            <v>180142176</v>
          </cell>
          <cell r="B1245">
            <v>2250</v>
          </cell>
          <cell r="C1245" t="str">
            <v>Atorvastatin Tabs 10Mg (28'S)</v>
          </cell>
        </row>
        <row r="1246">
          <cell r="A1246">
            <v>180219005</v>
          </cell>
          <cell r="B1246">
            <v>2251</v>
          </cell>
          <cell r="C1246" t="str">
            <v>~Lamivudine Tabs 150Mg (60'S)</v>
          </cell>
        </row>
        <row r="1247">
          <cell r="A1247">
            <v>180964704</v>
          </cell>
          <cell r="B1247">
            <v>2252</v>
          </cell>
          <cell r="C1247" t="str">
            <v>Calcium Carbonate Sol 500Mg (10'S)</v>
          </cell>
        </row>
        <row r="1248">
          <cell r="A1248">
            <v>189712676</v>
          </cell>
          <cell r="B1248">
            <v>2253</v>
          </cell>
          <cell r="C1248" t="str">
            <v>Isotretinoin Caps 10Mg (60'S)</v>
          </cell>
        </row>
        <row r="1249">
          <cell r="A1249">
            <v>189712688</v>
          </cell>
          <cell r="B1249">
            <v>2254</v>
          </cell>
          <cell r="C1249" t="str">
            <v>Isotretinoin Caps 20Mg (60'S)</v>
          </cell>
        </row>
        <row r="1250">
          <cell r="A1250" t="str">
            <v>MOTIVATION</v>
          </cell>
          <cell r="B1250">
            <v>2255</v>
          </cell>
          <cell r="C1250" t="str">
            <v>~Diclophenac Gel 100Mg</v>
          </cell>
        </row>
        <row r="1251">
          <cell r="A1251">
            <v>180231590</v>
          </cell>
          <cell r="B1251">
            <v>2256</v>
          </cell>
          <cell r="C1251" t="str">
            <v>Pancreatin Caps 25,000 (100'S)</v>
          </cell>
        </row>
        <row r="1252">
          <cell r="A1252">
            <v>180346276</v>
          </cell>
          <cell r="B1252">
            <v>2257</v>
          </cell>
          <cell r="C1252" t="str">
            <v>Dressing Wound Abs. Non-Adh.&amp; Adh.Border 11X11cm</v>
          </cell>
        </row>
        <row r="1253">
          <cell r="A1253" t="str">
            <v>QUOTE</v>
          </cell>
          <cell r="B1253">
            <v>2258</v>
          </cell>
          <cell r="C1253" t="str">
            <v>Dressing Hydrocolloid &amp; Border 20Cmx23cm</v>
          </cell>
        </row>
        <row r="1254">
          <cell r="A1254" t="str">
            <v>QUOTE</v>
          </cell>
          <cell r="B1254">
            <v>2259</v>
          </cell>
          <cell r="C1254" t="str">
            <v>Vaccine Hepatitis A Inactivated Adult</v>
          </cell>
        </row>
        <row r="1255">
          <cell r="A1255">
            <v>180326881</v>
          </cell>
          <cell r="B1255">
            <v>2260</v>
          </cell>
          <cell r="C1255" t="str">
            <v>Bismuth Subgallate Zinc Ointment</v>
          </cell>
        </row>
        <row r="1256">
          <cell r="A1256">
            <v>180822125</v>
          </cell>
          <cell r="B1256">
            <v>2261</v>
          </cell>
          <cell r="C1256" t="str">
            <v>Bag Drainage Acute Dialysis 3L</v>
          </cell>
        </row>
        <row r="1257">
          <cell r="A1257">
            <v>181821882</v>
          </cell>
          <cell r="B1257">
            <v>2262</v>
          </cell>
          <cell r="C1257" t="str">
            <v>Chlorpheniramine Tabs 4Mg (10'S)</v>
          </cell>
        </row>
        <row r="1258">
          <cell r="A1258">
            <v>180123451</v>
          </cell>
          <cell r="B1258">
            <v>2263</v>
          </cell>
          <cell r="C1258" t="str">
            <v>Azithromycin 200Mg/5ml Susp 15Ml</v>
          </cell>
        </row>
        <row r="1259">
          <cell r="A1259">
            <v>181826964</v>
          </cell>
          <cell r="B1259">
            <v>2264</v>
          </cell>
          <cell r="C1259" t="str">
            <v>~Formaldehyde Sol 2.5L 1% In Spore 2.5L</v>
          </cell>
        </row>
        <row r="1260">
          <cell r="A1260">
            <v>181896255</v>
          </cell>
          <cell r="B1260">
            <v>2265</v>
          </cell>
          <cell r="C1260" t="str">
            <v>Lamivudine &amp; Zidovudine 150/300Mg (60')</v>
          </cell>
        </row>
        <row r="1261">
          <cell r="A1261">
            <v>180076016</v>
          </cell>
          <cell r="B1261">
            <v>2266</v>
          </cell>
          <cell r="C1261" t="str">
            <v>Heparin Inj 25000Iu/ml 5Ml</v>
          </cell>
        </row>
        <row r="1262">
          <cell r="A1262">
            <v>189711644</v>
          </cell>
          <cell r="B1262">
            <v>2267</v>
          </cell>
          <cell r="C1262" t="str">
            <v>~Insulin Ultratard Hm 10Ml</v>
          </cell>
        </row>
        <row r="1263">
          <cell r="A1263">
            <v>180258207</v>
          </cell>
          <cell r="B1263">
            <v>2268</v>
          </cell>
          <cell r="C1263" t="str">
            <v>Tpn 3008A</v>
          </cell>
        </row>
        <row r="1264">
          <cell r="A1264">
            <v>181923350</v>
          </cell>
          <cell r="B1264">
            <v>2269</v>
          </cell>
          <cell r="C1264" t="str">
            <v>Ferrous Sulphate Co Tabs (84'S)</v>
          </cell>
        </row>
        <row r="1265">
          <cell r="A1265">
            <v>189713751</v>
          </cell>
          <cell r="B1265">
            <v>2270</v>
          </cell>
          <cell r="C1265" t="str">
            <v>Folic Acid Tabs 5Mg (28'S)</v>
          </cell>
        </row>
        <row r="1266">
          <cell r="A1266">
            <v>181827546</v>
          </cell>
          <cell r="B1266">
            <v>2271</v>
          </cell>
          <cell r="C1266" t="str">
            <v>Griseofulvin Tabs 500Mg (28'S)</v>
          </cell>
        </row>
        <row r="1267">
          <cell r="A1267">
            <v>180140321</v>
          </cell>
          <cell r="B1267">
            <v>2272</v>
          </cell>
          <cell r="C1267" t="str">
            <v>Incontinence Diaper Adult, Small</v>
          </cell>
        </row>
        <row r="1268">
          <cell r="A1268">
            <v>189715299</v>
          </cell>
          <cell r="B1268">
            <v>2273</v>
          </cell>
          <cell r="C1268" t="str">
            <v>Incontinence Diaper Adult, Medium</v>
          </cell>
        </row>
        <row r="1269">
          <cell r="A1269">
            <v>189708823</v>
          </cell>
          <cell r="B1269">
            <v>2274</v>
          </cell>
          <cell r="C1269" t="str">
            <v>Incontinence Diaper Adult, Large</v>
          </cell>
        </row>
        <row r="1270">
          <cell r="A1270">
            <v>189753372</v>
          </cell>
          <cell r="B1270">
            <v>2275</v>
          </cell>
          <cell r="C1270" t="str">
            <v>Sodium Chloride Powder 500G</v>
          </cell>
        </row>
        <row r="1271">
          <cell r="A1271">
            <v>180075794</v>
          </cell>
          <cell r="B1271">
            <v>2276</v>
          </cell>
          <cell r="C1271" t="str">
            <v>Dextrose In Water Inj 50% 20Ml</v>
          </cell>
        </row>
        <row r="1272">
          <cell r="A1272">
            <v>180190405</v>
          </cell>
          <cell r="B1272">
            <v>2278</v>
          </cell>
          <cell r="C1272" t="str">
            <v>Hydrochlorothiazide Tabs 25Mg (28'S)</v>
          </cell>
        </row>
        <row r="1273">
          <cell r="A1273">
            <v>189715426</v>
          </cell>
          <cell r="B1273">
            <v>2279</v>
          </cell>
          <cell r="C1273" t="str">
            <v>Sulphur Ointment B.P. 500G</v>
          </cell>
        </row>
        <row r="1274">
          <cell r="A1274">
            <v>181872084</v>
          </cell>
          <cell r="B1274">
            <v>2280</v>
          </cell>
          <cell r="C1274" t="str">
            <v>Dressing Wound Adh Trans 80X100 &amp; Paper Frame</v>
          </cell>
        </row>
        <row r="1275">
          <cell r="A1275">
            <v>181808915</v>
          </cell>
          <cell r="B1275">
            <v>2281</v>
          </cell>
          <cell r="C1275" t="str">
            <v>Tpn Multi Bag Adult Mp &amp; Hc With Eletrolytes 1.5-2L</v>
          </cell>
        </row>
        <row r="1276">
          <cell r="A1276">
            <v>189714588</v>
          </cell>
          <cell r="B1276">
            <v>2282</v>
          </cell>
          <cell r="C1276" t="str">
            <v>Tamoxifen Citrate Tabs 10Mg</v>
          </cell>
        </row>
        <row r="1277">
          <cell r="A1277">
            <v>181896198</v>
          </cell>
          <cell r="B1277">
            <v>2283</v>
          </cell>
          <cell r="C1277" t="str">
            <v>Lamivudine 150Mg Scored Tabs (60'S)</v>
          </cell>
        </row>
        <row r="1278">
          <cell r="A1278">
            <v>180948499</v>
          </cell>
          <cell r="B1278">
            <v>2285</v>
          </cell>
          <cell r="C1278" t="str">
            <v>Itn Baby 102/Tpn 1601N</v>
          </cell>
        </row>
        <row r="1279">
          <cell r="A1279">
            <v>189711810</v>
          </cell>
          <cell r="B1279">
            <v>2286</v>
          </cell>
          <cell r="C1279" t="str">
            <v>Methyldopa Tabs 250Mg (56'S)</v>
          </cell>
        </row>
        <row r="1280">
          <cell r="A1280" t="str">
            <v>PREPACK 28</v>
          </cell>
          <cell r="B1280">
            <v>2287</v>
          </cell>
          <cell r="C1280" t="str">
            <v>Ferrous Fumurate &amp; Folic Acid (28'S) 200Mg/0.1Mg</v>
          </cell>
        </row>
        <row r="1281">
          <cell r="A1281">
            <v>189710260</v>
          </cell>
          <cell r="B1281">
            <v>2288</v>
          </cell>
          <cell r="C1281" t="str">
            <v>Verapamil Tabs  80Mg (250'S)</v>
          </cell>
        </row>
        <row r="1282">
          <cell r="A1282" t="str">
            <v>QUOTE</v>
          </cell>
          <cell r="B1282">
            <v>2289</v>
          </cell>
          <cell r="C1282" t="str">
            <v>Eye Shields (Peadiatric)</v>
          </cell>
        </row>
        <row r="1283">
          <cell r="A1283">
            <v>189714405</v>
          </cell>
          <cell r="B1283">
            <v>2291</v>
          </cell>
          <cell r="C1283" t="str">
            <v>Aspirin Tabs 300Mg Soluble (96'S)</v>
          </cell>
        </row>
        <row r="1284">
          <cell r="A1284">
            <v>189708024</v>
          </cell>
          <cell r="B1284">
            <v>2292</v>
          </cell>
          <cell r="C1284" t="str">
            <v>Amikacin Inj 500Mg/2ml 2Ml</v>
          </cell>
        </row>
        <row r="1285">
          <cell r="A1285" t="str">
            <v>QUOTE</v>
          </cell>
          <cell r="B1285">
            <v>2293</v>
          </cell>
          <cell r="C1285" t="str">
            <v>~Ammonium 12% 5L</v>
          </cell>
        </row>
        <row r="1286">
          <cell r="A1286">
            <v>189757933</v>
          </cell>
          <cell r="B1286">
            <v>2294</v>
          </cell>
          <cell r="C1286" t="str">
            <v>Folic Acid Tabs 5Mg (Ward 100)</v>
          </cell>
        </row>
        <row r="1287">
          <cell r="A1287" t="str">
            <v>PREPACK 100</v>
          </cell>
          <cell r="B1287">
            <v>2295</v>
          </cell>
          <cell r="C1287" t="str">
            <v>Hydrochlorothiazide Tabs 25Mg (Ward 100)</v>
          </cell>
        </row>
        <row r="1288">
          <cell r="A1288">
            <v>189710330</v>
          </cell>
          <cell r="B1288">
            <v>2296</v>
          </cell>
          <cell r="C1288" t="str">
            <v>~Cloxacillin Caps 250Mg (Ward 100)</v>
          </cell>
        </row>
        <row r="1289">
          <cell r="A1289">
            <v>189755220</v>
          </cell>
          <cell r="B1289">
            <v>2297</v>
          </cell>
          <cell r="C1289" t="str">
            <v>Immunoglobulin Anti-D Amp 2Ml</v>
          </cell>
        </row>
        <row r="1290">
          <cell r="A1290">
            <v>180238188</v>
          </cell>
          <cell r="B1290">
            <v>2298</v>
          </cell>
          <cell r="C1290" t="str">
            <v>Applicator Haemolysis</v>
          </cell>
        </row>
        <row r="1291">
          <cell r="A1291">
            <v>189710268</v>
          </cell>
          <cell r="B1291">
            <v>2299</v>
          </cell>
          <cell r="C1291" t="str">
            <v>Azathioprine Tabs 50Mg (100'S)</v>
          </cell>
        </row>
        <row r="1292">
          <cell r="A1292">
            <v>189710127</v>
          </cell>
          <cell r="B1292">
            <v>2300</v>
          </cell>
          <cell r="C1292" t="str">
            <v>Baclofen Tabs 10Mg (30'S)</v>
          </cell>
        </row>
        <row r="1293">
          <cell r="A1293">
            <v>189710126</v>
          </cell>
          <cell r="B1293">
            <v>2301</v>
          </cell>
          <cell r="C1293" t="str">
            <v>Baclofen Tabs 25Mg (30'S)</v>
          </cell>
        </row>
        <row r="1294">
          <cell r="A1294">
            <v>189715305</v>
          </cell>
          <cell r="B1294">
            <v>2303</v>
          </cell>
          <cell r="C1294" t="str">
            <v>Carbamazepine Tabs 200Mg C R (30'S)</v>
          </cell>
        </row>
        <row r="1295">
          <cell r="A1295">
            <v>189708315</v>
          </cell>
          <cell r="B1295">
            <v>2304</v>
          </cell>
          <cell r="C1295" t="str">
            <v>Betaxolol Eye Drops 5Mg/ml 5Ml</v>
          </cell>
        </row>
        <row r="1296">
          <cell r="A1296">
            <v>180339400</v>
          </cell>
          <cell r="B1296">
            <v>2305</v>
          </cell>
          <cell r="C1296" t="str">
            <v>~Aluminium Hydrox Magnesium Trisil Tabs (24'S)</v>
          </cell>
        </row>
        <row r="1297">
          <cell r="A1297">
            <v>180385636</v>
          </cell>
          <cell r="B1297">
            <v>2306</v>
          </cell>
          <cell r="C1297" t="str">
            <v>Tube Endo Cuff Dual 8.5 Reinforced</v>
          </cell>
        </row>
        <row r="1298">
          <cell r="A1298">
            <v>189710186</v>
          </cell>
          <cell r="B1298">
            <v>2307</v>
          </cell>
          <cell r="C1298" t="str">
            <v>Calcitriol Caps 0.25Mcg (30'S)</v>
          </cell>
        </row>
        <row r="1299">
          <cell r="A1299">
            <v>189710283</v>
          </cell>
          <cell r="B1299">
            <v>2308</v>
          </cell>
          <cell r="C1299" t="str">
            <v>Carbidopa 25Mg Levodopa 100Mg Tabs (100'S)</v>
          </cell>
        </row>
        <row r="1300">
          <cell r="A1300">
            <v>181775871</v>
          </cell>
          <cell r="B1300">
            <v>2309</v>
          </cell>
          <cell r="C1300" t="str">
            <v>Campaign: Chlorhexidine Sol In Alcohol 0.5% 500Ml</v>
          </cell>
        </row>
        <row r="1301">
          <cell r="A1301">
            <v>189708190</v>
          </cell>
          <cell r="B1301">
            <v>2310</v>
          </cell>
          <cell r="C1301" t="str">
            <v>Cefotaxime Inj 1G</v>
          </cell>
        </row>
        <row r="1302">
          <cell r="A1302">
            <v>181932807</v>
          </cell>
          <cell r="B1302">
            <v>2311</v>
          </cell>
          <cell r="C1302" t="str">
            <v>~Amino Acid Combination Without Glutamine</v>
          </cell>
        </row>
        <row r="1303">
          <cell r="A1303">
            <v>181775871</v>
          </cell>
          <cell r="B1303">
            <v>2312</v>
          </cell>
          <cell r="C1303" t="str">
            <v>Chlorhexidine Sol In Alcohol 0.5% 500Ml</v>
          </cell>
        </row>
        <row r="1304">
          <cell r="A1304" t="str">
            <v>MOTIVATION</v>
          </cell>
          <cell r="B1304">
            <v>2313</v>
          </cell>
          <cell r="C1304" t="str">
            <v>Peginterferon Injection 180Mcg 0.5Ml</v>
          </cell>
        </row>
        <row r="1305">
          <cell r="A1305">
            <v>180000664</v>
          </cell>
          <cell r="B1305">
            <v>2314</v>
          </cell>
          <cell r="C1305" t="str">
            <v>Clonazepam Tabs 0.5Mg (90'S)</v>
          </cell>
        </row>
        <row r="1306">
          <cell r="A1306">
            <v>189711400</v>
          </cell>
          <cell r="B1306">
            <v>2315</v>
          </cell>
          <cell r="C1306" t="str">
            <v>Clonazepam Oral Drops 2.5Mg 10Ml</v>
          </cell>
        </row>
        <row r="1307">
          <cell r="A1307">
            <v>180231970</v>
          </cell>
          <cell r="B1307">
            <v>2316</v>
          </cell>
          <cell r="C1307" t="str">
            <v>~Itraconazole 10Mg/ml Solution</v>
          </cell>
        </row>
        <row r="1308">
          <cell r="A1308" t="str">
            <v>QUOTE</v>
          </cell>
          <cell r="B1308">
            <v>2317</v>
          </cell>
          <cell r="C1308" t="str">
            <v>Dressing Hydrocolloid &amp; Border 15Cmx18cm</v>
          </cell>
        </row>
        <row r="1309">
          <cell r="A1309">
            <v>181772178</v>
          </cell>
          <cell r="B1309">
            <v>2318</v>
          </cell>
          <cell r="C1309" t="str">
            <v>Quetiapine I R Tabs 300Mg (60'S)</v>
          </cell>
        </row>
        <row r="1310">
          <cell r="A1310">
            <v>189711430</v>
          </cell>
          <cell r="B1310">
            <v>2319</v>
          </cell>
          <cell r="C1310" t="str">
            <v>~Cyclopentolate Eye Drops 1% 15Ml</v>
          </cell>
        </row>
        <row r="1311">
          <cell r="A1311">
            <v>189709124</v>
          </cell>
          <cell r="B1311">
            <v>2320</v>
          </cell>
          <cell r="C1311" t="str">
            <v>Cyproterone Tabs 50Mg (20'S)</v>
          </cell>
        </row>
        <row r="1312">
          <cell r="A1312">
            <v>189711204</v>
          </cell>
          <cell r="B1312">
            <v>2321</v>
          </cell>
          <cell r="C1312" t="str">
            <v>Dexamethasone Eye Drops 0.1% 5Ml</v>
          </cell>
        </row>
        <row r="1313">
          <cell r="A1313">
            <v>180159337</v>
          </cell>
          <cell r="B1313">
            <v>2322</v>
          </cell>
          <cell r="C1313" t="str">
            <v>Dextran 70 In Sodium Chl 0.9%  500Ml</v>
          </cell>
        </row>
        <row r="1314">
          <cell r="A1314">
            <v>189710334</v>
          </cell>
          <cell r="B1314">
            <v>2323</v>
          </cell>
          <cell r="C1314" t="str">
            <v>Phenoxymethyl Penicillin Tabs 250Mg (100'S)</v>
          </cell>
        </row>
        <row r="1315">
          <cell r="A1315" t="str">
            <v>*</v>
          </cell>
          <cell r="B1315">
            <v>2324</v>
          </cell>
          <cell r="C1315" t="str">
            <v>Potassium Citrate 500G</v>
          </cell>
        </row>
        <row r="1316">
          <cell r="A1316" t="str">
            <v>MOTIVATION</v>
          </cell>
          <cell r="B1316">
            <v>2325</v>
          </cell>
          <cell r="C1316" t="str">
            <v>Olanzapine 10Mg Inj</v>
          </cell>
        </row>
        <row r="1317">
          <cell r="A1317">
            <v>181917410</v>
          </cell>
          <cell r="B1317">
            <v>2326</v>
          </cell>
          <cell r="C1317" t="str">
            <v>Tramadol Hcl 200Mg Caps/tabs (60'S)</v>
          </cell>
        </row>
        <row r="1318">
          <cell r="A1318">
            <v>189710758</v>
          </cell>
          <cell r="B1318">
            <v>2327</v>
          </cell>
          <cell r="C1318" t="str">
            <v>Dinoprostone Inj 5Mg/ml 1Ml</v>
          </cell>
        </row>
        <row r="1319">
          <cell r="A1319">
            <v>189753544</v>
          </cell>
          <cell r="B1319">
            <v>2328</v>
          </cell>
          <cell r="C1319" t="str">
            <v>Dinoprostone Gel 1Mg/3g In Syringe</v>
          </cell>
        </row>
        <row r="1320">
          <cell r="A1320" t="str">
            <v>QUOTE</v>
          </cell>
          <cell r="B1320">
            <v>2329</v>
          </cell>
          <cell r="C1320" t="str">
            <v>Tpn Itn3015x/ Itn3015x-Dpn</v>
          </cell>
        </row>
        <row r="1321">
          <cell r="A1321">
            <v>181897254</v>
          </cell>
          <cell r="B1321">
            <v>2330</v>
          </cell>
          <cell r="C1321" t="str">
            <v>Campaign: Vaccine Measles 10 Dose (Measbio)</v>
          </cell>
        </row>
        <row r="1322">
          <cell r="A1322">
            <v>180948498</v>
          </cell>
          <cell r="B1322">
            <v>2331</v>
          </cell>
          <cell r="C1322" t="str">
            <v>Itn Baby 101/Tpn 1005N</v>
          </cell>
        </row>
        <row r="1323">
          <cell r="A1323">
            <v>189715235</v>
          </cell>
          <cell r="B1323">
            <v>2332</v>
          </cell>
          <cell r="C1323" t="str">
            <v>Dobutamine Inj 12.5Mg/ml 20Ml</v>
          </cell>
        </row>
        <row r="1324">
          <cell r="A1324" t="str">
            <v>QUOTE</v>
          </cell>
          <cell r="B1324">
            <v>2333</v>
          </cell>
          <cell r="C1324" t="str">
            <v>Eye Shields (Adult)</v>
          </cell>
        </row>
        <row r="1325">
          <cell r="A1325">
            <v>189753434</v>
          </cell>
          <cell r="B1325">
            <v>2334</v>
          </cell>
          <cell r="C1325" t="str">
            <v>Paracetamol Tabs 500Mg (Ward 100)</v>
          </cell>
        </row>
        <row r="1326">
          <cell r="A1326">
            <v>181783266</v>
          </cell>
          <cell r="B1326">
            <v>2335</v>
          </cell>
          <cell r="C1326" t="str">
            <v>~Alfuzosin Xi Tabs 10Mg (30'S)</v>
          </cell>
        </row>
        <row r="1327">
          <cell r="A1327">
            <v>181826115</v>
          </cell>
          <cell r="B1327">
            <v>2336</v>
          </cell>
          <cell r="C1327" t="str">
            <v>Senna Standardised Tabs (20'S)</v>
          </cell>
        </row>
        <row r="1328">
          <cell r="A1328" t="str">
            <v>QUOTE</v>
          </cell>
          <cell r="B1328">
            <v>2337</v>
          </cell>
          <cell r="C1328" t="str">
            <v>~Ethanolamine Inj 5% 5Ml</v>
          </cell>
        </row>
        <row r="1329">
          <cell r="A1329">
            <v>189710143</v>
          </cell>
          <cell r="B1329">
            <v>2338</v>
          </cell>
          <cell r="C1329" t="str">
            <v>~Ethosuximide Caps 250Mg</v>
          </cell>
        </row>
        <row r="1330">
          <cell r="A1330">
            <v>180136948</v>
          </cell>
          <cell r="B1330">
            <v>2339</v>
          </cell>
          <cell r="C1330" t="str">
            <v>Tube Endotracheal Non Cuff Oral 3.5</v>
          </cell>
        </row>
        <row r="1331">
          <cell r="A1331" t="str">
            <v>QUOTE</v>
          </cell>
          <cell r="B1331">
            <v>2340</v>
          </cell>
          <cell r="C1331" t="str">
            <v>Labels White 75Mm X 30Mm (2 To View)</v>
          </cell>
        </row>
        <row r="1332">
          <cell r="A1332">
            <v>189712783</v>
          </cell>
          <cell r="B1332">
            <v>2341</v>
          </cell>
          <cell r="C1332" t="str">
            <v>Flumazenil Inj 0.1Mg/ml 5Ml</v>
          </cell>
        </row>
        <row r="1333">
          <cell r="A1333">
            <v>189712687</v>
          </cell>
          <cell r="B1333">
            <v>2342</v>
          </cell>
          <cell r="C1333" t="str">
            <v>~Flunarizine Caps 5Mg</v>
          </cell>
        </row>
        <row r="1334">
          <cell r="A1334">
            <v>189712353</v>
          </cell>
          <cell r="B1334">
            <v>2343</v>
          </cell>
          <cell r="C1334" t="str">
            <v>Fluoxetine Caps 20Mg (28/30'S)</v>
          </cell>
        </row>
        <row r="1335">
          <cell r="A1335">
            <v>189712312</v>
          </cell>
          <cell r="B1335">
            <v>2344</v>
          </cell>
          <cell r="C1335" t="str">
            <v>~Gelatin Pectin Oral Paste 30G</v>
          </cell>
        </row>
        <row r="1336">
          <cell r="A1336" t="str">
            <v>QUOTE</v>
          </cell>
          <cell r="B1336">
            <v>2345</v>
          </cell>
          <cell r="C1336" t="str">
            <v>Urea Crystals 500G</v>
          </cell>
        </row>
        <row r="1337">
          <cell r="A1337">
            <v>180966049</v>
          </cell>
          <cell r="B1337">
            <v>2346</v>
          </cell>
          <cell r="C1337" t="str">
            <v>Tpn Nutri 1403La</v>
          </cell>
        </row>
        <row r="1338">
          <cell r="A1338">
            <v>181886851</v>
          </cell>
          <cell r="B1338">
            <v>2347</v>
          </cell>
          <cell r="C1338" t="str">
            <v>Azithromycin Tabs 500Mg (2'S)</v>
          </cell>
        </row>
        <row r="1339">
          <cell r="A1339">
            <v>189762990</v>
          </cell>
          <cell r="B1339">
            <v>2360</v>
          </cell>
          <cell r="C1339" t="str">
            <v>Mesalazine Tabs 400Mg (90'S)</v>
          </cell>
        </row>
        <row r="1340">
          <cell r="A1340" t="str">
            <v>QUOTE</v>
          </cell>
          <cell r="B1340">
            <v>2349</v>
          </cell>
          <cell r="C1340" t="str">
            <v>Itn Paed 108/Tpn 1700A</v>
          </cell>
        </row>
        <row r="1341">
          <cell r="A1341" t="str">
            <v>RT  15</v>
          </cell>
          <cell r="B1341">
            <v>2350</v>
          </cell>
          <cell r="C1341" t="str">
            <v>Knife Ophthalmic Crescent Angles Bevel Up Satin</v>
          </cell>
        </row>
        <row r="1342">
          <cell r="A1342">
            <v>189759199</v>
          </cell>
          <cell r="B1342">
            <v>2351</v>
          </cell>
          <cell r="C1342" t="str">
            <v>~Buprenorphine Tabs 0.2Mg</v>
          </cell>
        </row>
        <row r="1343">
          <cell r="A1343">
            <v>180956891</v>
          </cell>
          <cell r="B1343">
            <v>2352</v>
          </cell>
          <cell r="C1343" t="str">
            <v>Sut Polyest 2/0 1/2Tp 25Mm 10X90cm Cardio</v>
          </cell>
        </row>
        <row r="1344">
          <cell r="A1344">
            <v>180291039</v>
          </cell>
          <cell r="B1344">
            <v>2353</v>
          </cell>
          <cell r="C1344" t="str">
            <v>Azithromycin Tabs 500Mg (3'S)</v>
          </cell>
        </row>
        <row r="1345">
          <cell r="A1345" t="str">
            <v>QUOTE</v>
          </cell>
          <cell r="B1345">
            <v>2354</v>
          </cell>
          <cell r="C1345" t="str">
            <v>Saquinavir Caps 200Mg (270'S)</v>
          </cell>
        </row>
        <row r="1346">
          <cell r="A1346">
            <v>180258010</v>
          </cell>
          <cell r="B1346">
            <v>2355</v>
          </cell>
          <cell r="C1346" t="str">
            <v>Amino Acid  9 Dextrose 20 Fat 10  2530Ml</v>
          </cell>
        </row>
        <row r="1347">
          <cell r="A1347">
            <v>180229548</v>
          </cell>
          <cell r="B1347">
            <v>2356</v>
          </cell>
          <cell r="C1347" t="str">
            <v>`Gelatin Pectin Oral Paste  5G</v>
          </cell>
        </row>
        <row r="1348">
          <cell r="A1348">
            <v>181840032</v>
          </cell>
          <cell r="B1348">
            <v>2357</v>
          </cell>
          <cell r="C1348" t="str">
            <v>Formoterol Fumarate 12Mcg 120 M.D.I</v>
          </cell>
        </row>
        <row r="1349">
          <cell r="A1349">
            <v>180309135</v>
          </cell>
          <cell r="B1349">
            <v>2358</v>
          </cell>
          <cell r="C1349" t="str">
            <v>Glucagon Inj 1Mg 1Ml</v>
          </cell>
        </row>
        <row r="1350">
          <cell r="A1350">
            <v>181798189</v>
          </cell>
          <cell r="B1350">
            <v>2359</v>
          </cell>
          <cell r="C1350" t="str">
            <v>Thiamine Tabs 100Mg (28'S)</v>
          </cell>
        </row>
        <row r="1351">
          <cell r="A1351">
            <v>180169780</v>
          </cell>
          <cell r="B1351">
            <v>2361</v>
          </cell>
          <cell r="C1351" t="str">
            <v>Haemosolvate Factor 8 500Iu 10Ml</v>
          </cell>
        </row>
        <row r="1352">
          <cell r="A1352" t="str">
            <v>DELETED</v>
          </cell>
          <cell r="B1352">
            <v>2362</v>
          </cell>
          <cell r="C1352" t="str">
            <v>~Serum Cholinesterase Inj 45Mg</v>
          </cell>
        </row>
        <row r="1353">
          <cell r="A1353">
            <v>181923352</v>
          </cell>
          <cell r="B1353">
            <v>2363</v>
          </cell>
          <cell r="C1353" t="str">
            <v>Haloperidol Tabs 5Mg (28'S)</v>
          </cell>
        </row>
        <row r="1354">
          <cell r="A1354">
            <v>181923353</v>
          </cell>
          <cell r="B1354">
            <v>2364</v>
          </cell>
          <cell r="C1354" t="str">
            <v>Haloperidol Tabs 5Mg (56'S)</v>
          </cell>
        </row>
        <row r="1355">
          <cell r="A1355" t="str">
            <v>DELETED</v>
          </cell>
          <cell r="B1355">
            <v>2365</v>
          </cell>
          <cell r="C1355" t="str">
            <v>~Heparin Inj  1000Iu/ml 1Ml</v>
          </cell>
        </row>
        <row r="1356">
          <cell r="A1356">
            <v>181860086</v>
          </cell>
          <cell r="B1356">
            <v>2366</v>
          </cell>
          <cell r="C1356" t="str">
            <v>Thyroxine Sod Tabs 0.1Mg (28'S)</v>
          </cell>
        </row>
        <row r="1357">
          <cell r="A1357">
            <v>180373081</v>
          </cell>
          <cell r="B1357">
            <v>2367</v>
          </cell>
          <cell r="C1357" t="str">
            <v>Adenosine Inj 6Mg/2ml</v>
          </cell>
        </row>
        <row r="1358">
          <cell r="A1358" t="str">
            <v>QUOTE</v>
          </cell>
          <cell r="B1358">
            <v>2368</v>
          </cell>
          <cell r="C1358" t="str">
            <v>~Dithranol Powder 25G</v>
          </cell>
        </row>
        <row r="1359">
          <cell r="A1359" t="str">
            <v>QUOTE</v>
          </cell>
          <cell r="B1359">
            <v>2369</v>
          </cell>
          <cell r="C1359" t="str">
            <v>Labels Eye Ear Nasal Drops</v>
          </cell>
        </row>
        <row r="1360">
          <cell r="A1360">
            <v>181829416</v>
          </cell>
          <cell r="B1360">
            <v>2370</v>
          </cell>
          <cell r="C1360" t="str">
            <v>~Betahistine Hcl 24Mg Tabs (20'S)</v>
          </cell>
        </row>
        <row r="1361">
          <cell r="A1361" t="str">
            <v>PPP09</v>
          </cell>
          <cell r="B1361">
            <v>2371</v>
          </cell>
          <cell r="C1361" t="str">
            <v>Vaccine Rota Single Dose</v>
          </cell>
        </row>
        <row r="1362">
          <cell r="A1362">
            <v>180351608</v>
          </cell>
          <cell r="B1362">
            <v>2372</v>
          </cell>
          <cell r="C1362" t="str">
            <v>Immunoglobulin Anti-Hepatitis B   2Ml</v>
          </cell>
        </row>
        <row r="1363">
          <cell r="A1363">
            <v>180230649</v>
          </cell>
          <cell r="B1363">
            <v>2373</v>
          </cell>
          <cell r="C1363" t="str">
            <v>Fluconazole Caps  50Mg (14'S)</v>
          </cell>
        </row>
        <row r="1364">
          <cell r="A1364">
            <v>189710812</v>
          </cell>
          <cell r="B1364">
            <v>2374</v>
          </cell>
          <cell r="C1364" t="str">
            <v>Methyldopa Tabs 250Mg (84'S)</v>
          </cell>
        </row>
        <row r="1365">
          <cell r="A1365">
            <v>189712342</v>
          </cell>
          <cell r="B1365">
            <v>2375</v>
          </cell>
          <cell r="C1365" t="str">
            <v>Verapamil Tabs 120Mg (250'S)</v>
          </cell>
        </row>
        <row r="1366">
          <cell r="A1366" t="str">
            <v>QUOTE</v>
          </cell>
          <cell r="B1366">
            <v>2376</v>
          </cell>
          <cell r="C1366" t="str">
            <v>Propylthiouracil Tabs 50Mg</v>
          </cell>
        </row>
        <row r="1367">
          <cell r="A1367">
            <v>180138162</v>
          </cell>
          <cell r="B1367">
            <v>2377</v>
          </cell>
          <cell r="C1367" t="str">
            <v>Sut Synthabs 3/0 Ligation 135Cm</v>
          </cell>
        </row>
        <row r="1368">
          <cell r="A1368">
            <v>180309126</v>
          </cell>
          <cell r="B1368">
            <v>2378</v>
          </cell>
          <cell r="C1368" t="str">
            <v>Insulin Humulin N 3Ml Penset</v>
          </cell>
        </row>
        <row r="1369">
          <cell r="A1369">
            <v>180076205</v>
          </cell>
          <cell r="B1369">
            <v>2379</v>
          </cell>
          <cell r="C1369" t="str">
            <v>~Insulin Actraphane Hm  1.5Ml Penset</v>
          </cell>
        </row>
        <row r="1370">
          <cell r="A1370">
            <v>180070808</v>
          </cell>
          <cell r="B1370">
            <v>2381</v>
          </cell>
          <cell r="C1370" t="str">
            <v>Iron Polyisomaltose Inj 2Ml</v>
          </cell>
        </row>
        <row r="1371">
          <cell r="A1371">
            <v>181900960</v>
          </cell>
          <cell r="B1371">
            <v>2382</v>
          </cell>
          <cell r="C1371" t="str">
            <v>Abacavir Lamivudine Tabs 600Mg/300mg</v>
          </cell>
        </row>
        <row r="1372">
          <cell r="A1372">
            <v>180103512</v>
          </cell>
          <cell r="B1372">
            <v>2383</v>
          </cell>
          <cell r="C1372" t="str">
            <v>Gabapentin 400Mg Caps (100'S)</v>
          </cell>
        </row>
        <row r="1373">
          <cell r="A1373">
            <v>189710827</v>
          </cell>
          <cell r="B1373">
            <v>2384</v>
          </cell>
          <cell r="C1373" t="str">
            <v>Isosorbide Dinitrate Tabs 40Mg</v>
          </cell>
        </row>
        <row r="1374">
          <cell r="A1374">
            <v>181773023</v>
          </cell>
          <cell r="B1374">
            <v>2385</v>
          </cell>
          <cell r="C1374" t="str">
            <v>Isosorbide-5-Mononitrate Tabs 20Mg (56'S)</v>
          </cell>
        </row>
        <row r="1375">
          <cell r="A1375" t="str">
            <v>QUOTE</v>
          </cell>
          <cell r="B1375">
            <v>2386</v>
          </cell>
          <cell r="C1375" t="str">
            <v>Lamotrigine Oral Suspension</v>
          </cell>
        </row>
        <row r="1376">
          <cell r="A1376">
            <v>180362560</v>
          </cell>
          <cell r="B1376">
            <v>2387</v>
          </cell>
          <cell r="C1376" t="str">
            <v>Levobunolol Eye Drops 0.5% (5/7.5Ml)</v>
          </cell>
        </row>
        <row r="1377">
          <cell r="A1377">
            <v>189710597</v>
          </cell>
          <cell r="B1377">
            <v>2388</v>
          </cell>
          <cell r="C1377" t="str">
            <v>~Lincomycin Inj 600Mg 2Ml</v>
          </cell>
        </row>
        <row r="1378">
          <cell r="A1378">
            <v>189715733</v>
          </cell>
          <cell r="B1378">
            <v>2389</v>
          </cell>
          <cell r="C1378" t="str">
            <v>Vaccine Non Epi Pneumococcal</v>
          </cell>
        </row>
        <row r="1379">
          <cell r="A1379">
            <v>181892381</v>
          </cell>
          <cell r="B1379">
            <v>2390</v>
          </cell>
          <cell r="C1379" t="str">
            <v>Glimepiride 4Mg Tablets (28'S)</v>
          </cell>
        </row>
        <row r="1380">
          <cell r="A1380">
            <v>189705085</v>
          </cell>
          <cell r="B1380">
            <v>2391</v>
          </cell>
          <cell r="C1380" t="str">
            <v>~Magnesium Trisilicate Mixt Co</v>
          </cell>
        </row>
        <row r="1381">
          <cell r="A1381">
            <v>180342019</v>
          </cell>
          <cell r="B1381">
            <v>2392</v>
          </cell>
          <cell r="C1381" t="str">
            <v>Doxycycline Caps 100Mg (14'S)</v>
          </cell>
        </row>
        <row r="1382">
          <cell r="A1382" t="str">
            <v>QUOTE</v>
          </cell>
          <cell r="B1382">
            <v>2393</v>
          </cell>
          <cell r="C1382" t="str">
            <v>Admin Set Volumetric Inf Trinity</v>
          </cell>
        </row>
        <row r="1383">
          <cell r="A1383">
            <v>189710197</v>
          </cell>
          <cell r="B1383">
            <v>2394</v>
          </cell>
          <cell r="C1383" t="str">
            <v>~Metolazone Tabs 2.5Mg</v>
          </cell>
        </row>
        <row r="1384">
          <cell r="A1384" t="str">
            <v>QUOTE</v>
          </cell>
          <cell r="B1384">
            <v>2395</v>
          </cell>
          <cell r="C1384" t="str">
            <v>Cath Peritoneal Dialysis 47Cm 1 Cuff</v>
          </cell>
        </row>
        <row r="1385">
          <cell r="A1385" t="str">
            <v>QUOTE</v>
          </cell>
          <cell r="B1385">
            <v>2396</v>
          </cell>
          <cell r="C1385" t="str">
            <v>Escitalopram 10Mg Tablets</v>
          </cell>
        </row>
        <row r="1386">
          <cell r="A1386">
            <v>180956884</v>
          </cell>
          <cell r="B1386">
            <v>2397</v>
          </cell>
          <cell r="C1386" t="str">
            <v>Sut Polyest 3/0 3/8Tc 16.8Mm Cardio</v>
          </cell>
        </row>
        <row r="1387">
          <cell r="A1387">
            <v>189711536</v>
          </cell>
          <cell r="B1387">
            <v>2398</v>
          </cell>
          <cell r="C1387" t="str">
            <v>~Nitrofurantoin Susp 25Mg/5ml</v>
          </cell>
        </row>
        <row r="1388">
          <cell r="A1388">
            <v>189708057</v>
          </cell>
          <cell r="B1388">
            <v>2399</v>
          </cell>
          <cell r="C1388" t="str">
            <v>Neomycin Polymixin Dexamethazone Eye Drops 5Ml</v>
          </cell>
        </row>
        <row r="1389">
          <cell r="A1389">
            <v>189711212</v>
          </cell>
          <cell r="B1389">
            <v>2400</v>
          </cell>
          <cell r="C1389" t="str">
            <v>Chloramphenicol 0.5% And Dexamethazone Eye Drops</v>
          </cell>
        </row>
        <row r="1390">
          <cell r="A1390">
            <v>189755066</v>
          </cell>
          <cell r="B1390">
            <v>2401</v>
          </cell>
          <cell r="C1390" t="str">
            <v>Neomycin Polymixin Dexamethasone Eye Oint 3.5G</v>
          </cell>
        </row>
        <row r="1391">
          <cell r="A1391">
            <v>180309128</v>
          </cell>
          <cell r="B1391">
            <v>2402</v>
          </cell>
          <cell r="C1391" t="str">
            <v>Insulin Humulin R 3Ml Penset</v>
          </cell>
        </row>
        <row r="1392">
          <cell r="A1392">
            <v>180339610</v>
          </cell>
          <cell r="B1392">
            <v>2403</v>
          </cell>
          <cell r="C1392" t="str">
            <v>Vitamin B6 Tabs 25Mg (28'S)</v>
          </cell>
        </row>
        <row r="1393">
          <cell r="A1393" t="str">
            <v>QUOTE</v>
          </cell>
          <cell r="B1393">
            <v>3941</v>
          </cell>
          <cell r="C1393" t="str">
            <v>Bandage Cast Water Resistant Padding 100Mmx2.4M</v>
          </cell>
        </row>
        <row r="1394">
          <cell r="A1394">
            <v>180034782</v>
          </cell>
          <cell r="B1394">
            <v>2405</v>
          </cell>
          <cell r="C1394" t="str">
            <v>~Salmetrol Disks 50Mcg (Powder For Inhalation)</v>
          </cell>
        </row>
        <row r="1395">
          <cell r="A1395" t="str">
            <v>QUOTE</v>
          </cell>
          <cell r="B1395">
            <v>2406</v>
          </cell>
          <cell r="C1395" t="str">
            <v>Cath Single Lumen 14G 20Cm Cvc + Adapter</v>
          </cell>
        </row>
        <row r="1396">
          <cell r="A1396">
            <v>181809456</v>
          </cell>
          <cell r="B1396">
            <v>2407</v>
          </cell>
          <cell r="C1396" t="str">
            <v>Ropinirole Hcl 0.5Mg Tabs (84'S)</v>
          </cell>
        </row>
        <row r="1397">
          <cell r="A1397">
            <v>180035478</v>
          </cell>
          <cell r="B1397">
            <v>2409</v>
          </cell>
          <cell r="C1397" t="str">
            <v>Potassium Permanganate Powder 500G</v>
          </cell>
        </row>
        <row r="1398">
          <cell r="A1398" t="str">
            <v>PREPACK 200</v>
          </cell>
          <cell r="B1398">
            <v>2410</v>
          </cell>
          <cell r="C1398" t="str">
            <v>Vitamin B Co Strong Tabs (Ward 200)</v>
          </cell>
        </row>
        <row r="1399">
          <cell r="A1399" t="str">
            <v>QUOTE</v>
          </cell>
          <cell r="B1399">
            <v>2411</v>
          </cell>
          <cell r="C1399" t="str">
            <v>~Nitrogen Liquid (Histofreeze)</v>
          </cell>
        </row>
        <row r="1400">
          <cell r="A1400">
            <v>189762886</v>
          </cell>
          <cell r="B1400">
            <v>2412</v>
          </cell>
          <cell r="C1400" t="str">
            <v>Theophylline Anh Tabs 300Mg (60'S)</v>
          </cell>
        </row>
        <row r="1401">
          <cell r="A1401">
            <v>180076445</v>
          </cell>
          <cell r="B1401">
            <v>2413</v>
          </cell>
          <cell r="C1401" t="str">
            <v>Ocreotide Ampoule 0.1Mg/ml</v>
          </cell>
        </row>
        <row r="1402">
          <cell r="A1402">
            <v>180264457</v>
          </cell>
          <cell r="B1402">
            <v>2414</v>
          </cell>
          <cell r="C1402" t="str">
            <v>Bandage Compression Ventilated 75Mm</v>
          </cell>
        </row>
        <row r="1403">
          <cell r="A1403">
            <v>181907967</v>
          </cell>
          <cell r="B1403">
            <v>2415</v>
          </cell>
          <cell r="C1403" t="str">
            <v>Drainage Kit Suprapubic 16F</v>
          </cell>
        </row>
        <row r="1404">
          <cell r="A1404" t="str">
            <v>QUOTE</v>
          </cell>
          <cell r="B1404">
            <v>2416</v>
          </cell>
          <cell r="C1404" t="str">
            <v>Tube Endo Cuff Dual 5.0 Reinforced</v>
          </cell>
        </row>
        <row r="1405">
          <cell r="A1405">
            <v>180186474</v>
          </cell>
          <cell r="B1405">
            <v>2417</v>
          </cell>
          <cell r="C1405" t="str">
            <v>Cefepime Inj 500Mg</v>
          </cell>
        </row>
        <row r="1406">
          <cell r="A1406" t="str">
            <v>QUOTE EYE</v>
          </cell>
          <cell r="B1406">
            <v>2418</v>
          </cell>
          <cell r="C1406" t="str">
            <v>Knife Ophthalmic 15 Degrees Stab Knife</v>
          </cell>
        </row>
        <row r="1407">
          <cell r="A1407">
            <v>180059469</v>
          </cell>
          <cell r="B1407">
            <v>2419</v>
          </cell>
          <cell r="C1407" t="str">
            <v>Bandage Support Triangular Non-Woven</v>
          </cell>
        </row>
        <row r="1408">
          <cell r="A1408">
            <v>189705153</v>
          </cell>
          <cell r="B1408">
            <v>2420</v>
          </cell>
          <cell r="C1408" t="str">
            <v>Chlorhexidine Scrub  4%  500Ml</v>
          </cell>
        </row>
        <row r="1409">
          <cell r="A1409" t="str">
            <v>MOTIVATION</v>
          </cell>
          <cell r="B1409">
            <v>2421</v>
          </cell>
          <cell r="C1409" t="str">
            <v>Dermacarrier 6 To 1</v>
          </cell>
        </row>
        <row r="1410">
          <cell r="A1410">
            <v>189712078</v>
          </cell>
          <cell r="B1410">
            <v>2422</v>
          </cell>
          <cell r="C1410" t="str">
            <v>Dressing Tulle Gras 100Mmx100mm</v>
          </cell>
        </row>
        <row r="1411">
          <cell r="A1411">
            <v>180059550</v>
          </cell>
          <cell r="B1411">
            <v>2423</v>
          </cell>
          <cell r="C1411" t="str">
            <v>Dressing Burn First Aid 10Cmx10cm</v>
          </cell>
        </row>
        <row r="1412">
          <cell r="A1412">
            <v>189711806</v>
          </cell>
          <cell r="B1412">
            <v>2424</v>
          </cell>
          <cell r="C1412" t="str">
            <v>Metformin Tabs 850Mg (28'S)</v>
          </cell>
        </row>
        <row r="1413">
          <cell r="A1413" t="str">
            <v>QUOTE EYE</v>
          </cell>
          <cell r="B1413">
            <v>2425</v>
          </cell>
          <cell r="C1413" t="str">
            <v>Carboxymethylcellulose Eye Drops 0,4Ml</v>
          </cell>
        </row>
        <row r="1414">
          <cell r="A1414">
            <v>180096628</v>
          </cell>
          <cell r="B1414">
            <v>2426</v>
          </cell>
          <cell r="C1414" t="str">
            <v>Gauze Absorbent Cotton 0.9Mx5m</v>
          </cell>
        </row>
        <row r="1415">
          <cell r="A1415">
            <v>189705284</v>
          </cell>
          <cell r="B1415">
            <v>2427</v>
          </cell>
          <cell r="C1415" t="str">
            <v>Pad Surgical Absorbent Sterile 100Mmx100mm</v>
          </cell>
        </row>
        <row r="1416">
          <cell r="A1416">
            <v>189714570</v>
          </cell>
          <cell r="B1416">
            <v>2428</v>
          </cell>
          <cell r="C1416" t="str">
            <v>Vitamins And Mineral, Prenatal.</v>
          </cell>
        </row>
        <row r="1417">
          <cell r="A1417">
            <v>180221034</v>
          </cell>
          <cell r="B1417">
            <v>2429</v>
          </cell>
          <cell r="C1417" t="str">
            <v>Anastrazole Tabs 1Mg (30'S)</v>
          </cell>
        </row>
        <row r="1418">
          <cell r="A1418">
            <v>180177700</v>
          </cell>
          <cell r="B1418">
            <v>2430</v>
          </cell>
          <cell r="C1418" t="str">
            <v>Bag Urine Drainage Leg Long Tube</v>
          </cell>
        </row>
        <row r="1419">
          <cell r="A1419">
            <v>180138153</v>
          </cell>
          <cell r="B1419">
            <v>2431</v>
          </cell>
          <cell r="C1419" t="str">
            <v>Mesalazine Supps 500Mg (20'S)</v>
          </cell>
        </row>
        <row r="1420">
          <cell r="A1420">
            <v>189705298</v>
          </cell>
          <cell r="B1420">
            <v>2432</v>
          </cell>
          <cell r="C1420" t="str">
            <v>~Swabs Gauze Absorbent Sterile 100Mmx100mm 12Ply</v>
          </cell>
        </row>
        <row r="1421">
          <cell r="A1421">
            <v>189703186</v>
          </cell>
          <cell r="B1421">
            <v>2434</v>
          </cell>
          <cell r="C1421" t="str">
            <v>~Swabs Gauze X-Ray 100Mmx100mm 12Ply</v>
          </cell>
        </row>
        <row r="1422">
          <cell r="A1422">
            <v>189705316</v>
          </cell>
          <cell r="B1422">
            <v>2435</v>
          </cell>
          <cell r="C1422" t="str">
            <v>~Tape Surgical Microporous  12.5Mm</v>
          </cell>
        </row>
        <row r="1423">
          <cell r="A1423">
            <v>189712265</v>
          </cell>
          <cell r="B1423">
            <v>2408</v>
          </cell>
          <cell r="C1423" t="str">
            <v>Sennosides A &amp; B Syrup 71Ml</v>
          </cell>
        </row>
        <row r="1424">
          <cell r="A1424">
            <v>189762882</v>
          </cell>
          <cell r="B1424">
            <v>2436</v>
          </cell>
          <cell r="C1424" t="str">
            <v>Theophylline Anh Tabs 200Mg (60'S)</v>
          </cell>
        </row>
        <row r="1425">
          <cell r="A1425">
            <v>180053598</v>
          </cell>
          <cell r="B1425">
            <v>2437</v>
          </cell>
          <cell r="C1425" t="str">
            <v>Lanzoprazole Caps 30Mg (14'S)</v>
          </cell>
        </row>
        <row r="1426">
          <cell r="A1426">
            <v>181839842</v>
          </cell>
          <cell r="B1426">
            <v>2438</v>
          </cell>
          <cell r="C1426" t="str">
            <v>Azithromycin 500Mg Injection</v>
          </cell>
        </row>
        <row r="1427">
          <cell r="A1427">
            <v>180099041</v>
          </cell>
          <cell r="B1427">
            <v>2439</v>
          </cell>
          <cell r="C1427" t="str">
            <v>~Halofantrine Tabs 250Mg</v>
          </cell>
        </row>
        <row r="1428">
          <cell r="A1428">
            <v>189712153</v>
          </cell>
          <cell r="B1428">
            <v>2440</v>
          </cell>
          <cell r="C1428" t="str">
            <v>~Triamcinolone Acetonide Inj 25Mg/ml 5Ml</v>
          </cell>
        </row>
        <row r="1429">
          <cell r="A1429" t="str">
            <v>PREPACK 28</v>
          </cell>
          <cell r="B1429">
            <v>2441</v>
          </cell>
          <cell r="C1429" t="str">
            <v>~Trifluoperazine Tabs 5Mg (28'S)</v>
          </cell>
        </row>
        <row r="1430">
          <cell r="A1430">
            <v>180187188</v>
          </cell>
          <cell r="B1430">
            <v>2442</v>
          </cell>
          <cell r="C1430" t="str">
            <v>~Valaciclovir 500Mg Tabs</v>
          </cell>
        </row>
        <row r="1431">
          <cell r="A1431" t="str">
            <v>QUOTE</v>
          </cell>
          <cell r="B1431">
            <v>2443</v>
          </cell>
          <cell r="C1431" t="str">
            <v>Aminosteril-N-Hepa 8% Dextrose 35% Fat 10% 2500Ml</v>
          </cell>
        </row>
        <row r="1432">
          <cell r="A1432">
            <v>180168725</v>
          </cell>
          <cell r="B1432">
            <v>2444</v>
          </cell>
          <cell r="C1432" t="str">
            <v>~Test Tuberculin P P D Lyop 0.1Ml</v>
          </cell>
        </row>
        <row r="1433">
          <cell r="A1433">
            <v>180142392</v>
          </cell>
          <cell r="B1433">
            <v>2445</v>
          </cell>
          <cell r="C1433" t="str">
            <v>~Teicoplanin Inj 200Mg</v>
          </cell>
        </row>
        <row r="1434">
          <cell r="A1434">
            <v>189715112</v>
          </cell>
          <cell r="B1434">
            <v>2446</v>
          </cell>
          <cell r="C1434" t="str">
            <v>Ultrasound Gel High Viscosity 250Ml</v>
          </cell>
        </row>
        <row r="1435">
          <cell r="A1435">
            <v>189709599</v>
          </cell>
          <cell r="B1435">
            <v>2447</v>
          </cell>
          <cell r="C1435" t="str">
            <v>Vaccine Hepatitis B Adult Single Dose 1Ml</v>
          </cell>
        </row>
        <row r="1436">
          <cell r="A1436">
            <v>180076998</v>
          </cell>
          <cell r="B1436">
            <v>2448</v>
          </cell>
          <cell r="C1436" t="str">
            <v>Verapamil Inj 2.5Mg/ml 2Ml</v>
          </cell>
        </row>
        <row r="1437">
          <cell r="A1437" t="str">
            <v>PREPACK 10ML</v>
          </cell>
          <cell r="B1437">
            <v>2449</v>
          </cell>
          <cell r="C1437" t="str">
            <v>Acetic Acid Ear Drops 1% In Normal Saline</v>
          </cell>
        </row>
        <row r="1438">
          <cell r="A1438">
            <v>180352238</v>
          </cell>
          <cell r="B1438">
            <v>2450</v>
          </cell>
          <cell r="C1438" t="str">
            <v>Haemosolvate Factor 9 Bypass (1000Iu)</v>
          </cell>
        </row>
        <row r="1439">
          <cell r="A1439">
            <v>181777604</v>
          </cell>
          <cell r="B1439">
            <v>2451</v>
          </cell>
          <cell r="C1439" t="str">
            <v>Laryngeal Mask Airway Size 2.5 Autoclavable Silicone</v>
          </cell>
        </row>
        <row r="1440">
          <cell r="A1440">
            <v>189700006</v>
          </cell>
          <cell r="B1440">
            <v>2452</v>
          </cell>
          <cell r="C1440" t="str">
            <v>Thiamine Inj 100Mg/ml 10Ml</v>
          </cell>
        </row>
        <row r="1441">
          <cell r="A1441">
            <v>180959227</v>
          </cell>
          <cell r="B1441">
            <v>2453</v>
          </cell>
          <cell r="C1441" t="str">
            <v>Methylprednisolone Ointment  20G</v>
          </cell>
        </row>
        <row r="1442">
          <cell r="A1442">
            <v>180948507</v>
          </cell>
          <cell r="B1442">
            <v>2454</v>
          </cell>
          <cell r="C1442" t="str">
            <v>Itn Paed 106/Tpn 1502A</v>
          </cell>
        </row>
        <row r="1443">
          <cell r="A1443">
            <v>180949032</v>
          </cell>
          <cell r="B1443">
            <v>2455</v>
          </cell>
          <cell r="C1443" t="str">
            <v>~Erythromycin Tabs 250Mg (20'S)</v>
          </cell>
        </row>
        <row r="1444">
          <cell r="A1444" t="str">
            <v>QUOTE</v>
          </cell>
          <cell r="B1444">
            <v>2456</v>
          </cell>
          <cell r="C1444" t="str">
            <v>Catheter Cholangio 16G X 15"</v>
          </cell>
        </row>
        <row r="1445">
          <cell r="A1445" t="str">
            <v>QUOTE</v>
          </cell>
          <cell r="B1445">
            <v>2457</v>
          </cell>
          <cell r="C1445" t="str">
            <v>Form Patient Referral</v>
          </cell>
        </row>
        <row r="1446">
          <cell r="A1446">
            <v>181922278</v>
          </cell>
          <cell r="B1446">
            <v>2458</v>
          </cell>
          <cell r="C1446" t="str">
            <v>Zidovudine Caps 100Mg (100'S)</v>
          </cell>
        </row>
        <row r="1447">
          <cell r="A1447">
            <v>181876058</v>
          </cell>
          <cell r="B1447">
            <v>2459</v>
          </cell>
          <cell r="C1447" t="str">
            <v>Darunavir 300Mg  Tablet(120's)</v>
          </cell>
        </row>
        <row r="1448">
          <cell r="A1448">
            <v>189715484</v>
          </cell>
          <cell r="B1448">
            <v>2460</v>
          </cell>
          <cell r="C1448" t="str">
            <v>~Zinc Undecenoate Powder 50G</v>
          </cell>
        </row>
        <row r="1449">
          <cell r="A1449">
            <v>189711118</v>
          </cell>
          <cell r="B1449">
            <v>2461</v>
          </cell>
          <cell r="C1449" t="str">
            <v>Salbutamol 1Mg/ml Injection</v>
          </cell>
        </row>
        <row r="1450">
          <cell r="A1450">
            <v>180031255</v>
          </cell>
          <cell r="B1450">
            <v>2462</v>
          </cell>
          <cell r="C1450" t="str">
            <v>~Test Tuberculin P P D Liquid 25</v>
          </cell>
        </row>
        <row r="1451">
          <cell r="A1451" t="str">
            <v>PREPACK 10ML</v>
          </cell>
          <cell r="B1451">
            <v>2463</v>
          </cell>
          <cell r="C1451" t="str">
            <v>Sodium Chl 0.9% Nose Drops</v>
          </cell>
        </row>
        <row r="1452">
          <cell r="A1452">
            <v>189715645</v>
          </cell>
          <cell r="B1452">
            <v>2464</v>
          </cell>
          <cell r="C1452" t="str">
            <v>~Test Strip Urine Glucose Protein Blood (Ecur-4-Test)</v>
          </cell>
        </row>
        <row r="1453">
          <cell r="A1453">
            <v>180075509</v>
          </cell>
          <cell r="B1453">
            <v>2465</v>
          </cell>
          <cell r="C1453" t="str">
            <v>Amiodarone Inj 50Mg/ml 3Ml</v>
          </cell>
        </row>
        <row r="1454">
          <cell r="A1454">
            <v>180279436</v>
          </cell>
          <cell r="B1454">
            <v>2466</v>
          </cell>
          <cell r="C1454" t="str">
            <v>~Temazepam Caps 10Mg</v>
          </cell>
        </row>
        <row r="1455">
          <cell r="A1455">
            <v>189715348</v>
          </cell>
          <cell r="B1455">
            <v>2467</v>
          </cell>
          <cell r="C1455" t="str">
            <v>~Diclofenac Supps 25Mg</v>
          </cell>
        </row>
        <row r="1456">
          <cell r="A1456">
            <v>181867269</v>
          </cell>
          <cell r="B1456">
            <v>2468</v>
          </cell>
          <cell r="C1456" t="str">
            <v>Quetiapine X R 200Mg Tabs (60'S)</v>
          </cell>
        </row>
        <row r="1457">
          <cell r="A1457">
            <v>180229107</v>
          </cell>
          <cell r="B1457">
            <v>2469</v>
          </cell>
          <cell r="C1457" t="str">
            <v>Glove Surgical Low Allergy Size 6.5</v>
          </cell>
        </row>
        <row r="1458">
          <cell r="A1458">
            <v>189711674</v>
          </cell>
          <cell r="B1458">
            <v>2470</v>
          </cell>
          <cell r="C1458" t="str">
            <v>~Streptokinase Inj 1500  00Iu Inj</v>
          </cell>
        </row>
        <row r="1459">
          <cell r="A1459">
            <v>181848636</v>
          </cell>
          <cell r="B1459">
            <v>2471</v>
          </cell>
          <cell r="C1459" t="str">
            <v>Needle Bonemarrow  11G X 100Mm</v>
          </cell>
        </row>
        <row r="1460">
          <cell r="A1460" t="str">
            <v>QUOTE SAVP</v>
          </cell>
          <cell r="B1460">
            <v>2472</v>
          </cell>
          <cell r="C1460" t="str">
            <v>Spider Antivenom 5Ml (050)</v>
          </cell>
        </row>
        <row r="1461">
          <cell r="A1461">
            <v>189712704</v>
          </cell>
          <cell r="B1461">
            <v>2473</v>
          </cell>
          <cell r="C1461" t="str">
            <v>Sodium Polystyrene Sulphonate Powder 454G</v>
          </cell>
        </row>
        <row r="1462">
          <cell r="A1462">
            <v>180270223</v>
          </cell>
          <cell r="B1462">
            <v>2474</v>
          </cell>
          <cell r="C1462" t="str">
            <v>Paclitaxel Inj 100Mg</v>
          </cell>
        </row>
        <row r="1463">
          <cell r="A1463">
            <v>189710516</v>
          </cell>
          <cell r="B1463">
            <v>2475</v>
          </cell>
          <cell r="C1463" t="str">
            <v>Hydrocortisone Tabs 10Mg (100'S)</v>
          </cell>
        </row>
        <row r="1464">
          <cell r="A1464">
            <v>189711434</v>
          </cell>
          <cell r="B1464">
            <v>2476</v>
          </cell>
          <cell r="C1464" t="str">
            <v>~Sodium Cromoglycate Inhaler 1Mg Complete</v>
          </cell>
        </row>
        <row r="1465">
          <cell r="A1465">
            <v>180034733</v>
          </cell>
          <cell r="B1465">
            <v>2477</v>
          </cell>
          <cell r="C1465" t="str">
            <v>~Sodium Cromoglycate Inhaler 5Mg Complete</v>
          </cell>
        </row>
        <row r="1466">
          <cell r="A1466">
            <v>189700087</v>
          </cell>
          <cell r="B1466">
            <v>2478</v>
          </cell>
          <cell r="C1466" t="str">
            <v>~Sodium Chloride 0.9% Inj 5Ml</v>
          </cell>
        </row>
        <row r="1467">
          <cell r="A1467">
            <v>181906772</v>
          </cell>
          <cell r="B1467">
            <v>2479</v>
          </cell>
          <cell r="C1467" t="str">
            <v>Vaccine Human Papillomavirus(hpv)</v>
          </cell>
        </row>
        <row r="1468">
          <cell r="A1468">
            <v>181896256</v>
          </cell>
          <cell r="B1468">
            <v>2480</v>
          </cell>
          <cell r="C1468" t="str">
            <v>Tenofovir Emitrici Efavirenz 300/200/600Mg Tablets</v>
          </cell>
        </row>
        <row r="1469">
          <cell r="A1469">
            <v>181854507</v>
          </cell>
          <cell r="B1469">
            <v>2481</v>
          </cell>
          <cell r="C1469" t="str">
            <v>Didanosine 250Mg Enteric Coated Beadlets Capsule 30S</v>
          </cell>
        </row>
        <row r="1470">
          <cell r="A1470">
            <v>181773382</v>
          </cell>
          <cell r="B1470">
            <v>2482</v>
          </cell>
          <cell r="C1470" t="str">
            <v>Budesonide M D I 200Mcg 300Dose</v>
          </cell>
        </row>
        <row r="1471">
          <cell r="A1471">
            <v>180350983</v>
          </cell>
          <cell r="B1471">
            <v>2483</v>
          </cell>
          <cell r="C1471" t="str">
            <v>~Quetiapine I R Tabs 25Mg (100'S)</v>
          </cell>
        </row>
        <row r="1472">
          <cell r="A1472">
            <v>181896191</v>
          </cell>
          <cell r="B1472">
            <v>2484</v>
          </cell>
          <cell r="C1472" t="str">
            <v>Abacavir 300Mg Tabs (60'S)</v>
          </cell>
        </row>
        <row r="1473">
          <cell r="A1473" t="str">
            <v>QUOTE</v>
          </cell>
          <cell r="B1473">
            <v>2485</v>
          </cell>
          <cell r="C1473" t="str">
            <v>Vaccine Hepatitis A Inactivated Paediatric</v>
          </cell>
        </row>
        <row r="1474">
          <cell r="A1474">
            <v>180772102</v>
          </cell>
          <cell r="B1474">
            <v>2486</v>
          </cell>
          <cell r="C1474" t="str">
            <v>Glove Surg Sterile Latex H/all 7.5</v>
          </cell>
        </row>
        <row r="1475">
          <cell r="A1475">
            <v>189711802</v>
          </cell>
          <cell r="B1475">
            <v>2487</v>
          </cell>
          <cell r="C1475" t="str">
            <v>Propranolol Tabs 40Mg (56'S)</v>
          </cell>
        </row>
        <row r="1476">
          <cell r="A1476" t="str">
            <v>PREPACK 28</v>
          </cell>
          <cell r="B1476">
            <v>2488</v>
          </cell>
          <cell r="C1476" t="str">
            <v>~Sulpiride Caps 50Mg (28'S)</v>
          </cell>
        </row>
        <row r="1477">
          <cell r="A1477">
            <v>181798184</v>
          </cell>
          <cell r="B1477">
            <v>2489</v>
          </cell>
          <cell r="C1477" t="str">
            <v>Spiranolactone Tabs  25Mg (28'S)</v>
          </cell>
        </row>
        <row r="1478">
          <cell r="A1478">
            <v>181781837</v>
          </cell>
          <cell r="B1478">
            <v>2490</v>
          </cell>
          <cell r="C1478" t="str">
            <v>~Pyrimethamine Sulfadoxine Tabs</v>
          </cell>
        </row>
        <row r="1479">
          <cell r="A1479">
            <v>189710277</v>
          </cell>
          <cell r="B1479">
            <v>2491</v>
          </cell>
          <cell r="C1479" t="str">
            <v>Pyridostigmine Tabs 60Mg (150'S)</v>
          </cell>
        </row>
        <row r="1480">
          <cell r="A1480">
            <v>180116028</v>
          </cell>
          <cell r="B1480">
            <v>2492</v>
          </cell>
          <cell r="C1480" t="str">
            <v>Budesonide M D I 100Mcg 300Dose</v>
          </cell>
        </row>
        <row r="1481">
          <cell r="A1481">
            <v>180383536</v>
          </cell>
          <cell r="B1481">
            <v>2493</v>
          </cell>
          <cell r="C1481" t="str">
            <v>Sut Polyest   1 1/2Tp 36-37Mm Gen.Closure</v>
          </cell>
        </row>
        <row r="1482">
          <cell r="A1482" t="str">
            <v>QUOTE</v>
          </cell>
          <cell r="B1482">
            <v>2494</v>
          </cell>
          <cell r="C1482" t="str">
            <v>Labels Yellow 52Mm X 23Mm (Aerosol Date)</v>
          </cell>
        </row>
        <row r="1483">
          <cell r="A1483">
            <v>189712345</v>
          </cell>
          <cell r="B1483">
            <v>2495</v>
          </cell>
          <cell r="C1483" t="str">
            <v>Prednisolone Acetate Eye Drops 1% 5Ml</v>
          </cell>
        </row>
        <row r="1484">
          <cell r="A1484">
            <v>180075808</v>
          </cell>
          <cell r="B1484">
            <v>2496</v>
          </cell>
          <cell r="C1484" t="str">
            <v>~Dimercaprol Inj 50Mg/ml</v>
          </cell>
        </row>
        <row r="1485">
          <cell r="A1485">
            <v>180348818</v>
          </cell>
          <cell r="B1485">
            <v>2497</v>
          </cell>
          <cell r="C1485" t="str">
            <v>Interferon Alfa 2A Inj 4.5Mill Units</v>
          </cell>
        </row>
        <row r="1486">
          <cell r="A1486">
            <v>189708272</v>
          </cell>
          <cell r="B1486">
            <v>2499</v>
          </cell>
          <cell r="C1486" t="str">
            <v>Sut Silk 1 Ligation 10X75cm Pre-Cut</v>
          </cell>
        </row>
        <row r="1487">
          <cell r="A1487">
            <v>181746097</v>
          </cell>
          <cell r="B1487">
            <v>2500</v>
          </cell>
          <cell r="C1487" t="str">
            <v>Lyophilised Plasma I.V Infusion 50Ml</v>
          </cell>
        </row>
        <row r="1488">
          <cell r="A1488">
            <v>180351552</v>
          </cell>
          <cell r="B1488">
            <v>2501</v>
          </cell>
          <cell r="C1488" t="str">
            <v>Lyophilised Plasma I.V Infusion 200Ml</v>
          </cell>
        </row>
        <row r="1489">
          <cell r="A1489">
            <v>181798190</v>
          </cell>
          <cell r="B1489">
            <v>2502</v>
          </cell>
          <cell r="C1489" t="str">
            <v>Campaign: Vitamin A Caps 200 000Iu (50'S)</v>
          </cell>
        </row>
        <row r="1490">
          <cell r="A1490" t="str">
            <v>QUOTE</v>
          </cell>
          <cell r="B1490">
            <v>2503</v>
          </cell>
          <cell r="C1490" t="str">
            <v>Cath Malecot 2 Wings Size 24</v>
          </cell>
        </row>
        <row r="1491">
          <cell r="A1491">
            <v>180075757</v>
          </cell>
          <cell r="B1491">
            <v>2504</v>
          </cell>
          <cell r="C1491" t="str">
            <v>Desmopressin I V 4Mcg/ml</v>
          </cell>
        </row>
        <row r="1492">
          <cell r="A1492">
            <v>180136947</v>
          </cell>
          <cell r="B1492">
            <v>2505</v>
          </cell>
          <cell r="C1492" t="str">
            <v>Tube Endotracheal Non Cuff Oral 3.0</v>
          </cell>
        </row>
        <row r="1493">
          <cell r="A1493" t="str">
            <v>QUOTE</v>
          </cell>
          <cell r="B1493">
            <v>2506</v>
          </cell>
          <cell r="C1493" t="str">
            <v>Cath Embolectomy 5Fg 80Cm</v>
          </cell>
        </row>
        <row r="1494">
          <cell r="A1494" t="str">
            <v>*</v>
          </cell>
          <cell r="B1494">
            <v>2507</v>
          </cell>
          <cell r="C1494" t="str">
            <v>~Baby Formula - Pelargon/ Melegi</v>
          </cell>
        </row>
        <row r="1495">
          <cell r="A1495">
            <v>180090442</v>
          </cell>
          <cell r="B1495">
            <v>2508</v>
          </cell>
          <cell r="C1495" t="str">
            <v>Cyproterone Inj 100Mg/ml</v>
          </cell>
        </row>
        <row r="1496">
          <cell r="A1496">
            <v>189712275</v>
          </cell>
          <cell r="B1496">
            <v>2509</v>
          </cell>
          <cell r="C1496" t="str">
            <v>Ophthalmic Irrigation Sol 15Ml</v>
          </cell>
        </row>
        <row r="1497">
          <cell r="A1497">
            <v>181817585</v>
          </cell>
          <cell r="B1497">
            <v>2510</v>
          </cell>
          <cell r="C1497" t="str">
            <v>Ofloxacin Tabs 400Mg (56'S)</v>
          </cell>
        </row>
        <row r="1498">
          <cell r="A1498">
            <v>181892392</v>
          </cell>
          <cell r="B1498">
            <v>2511</v>
          </cell>
          <cell r="C1498" t="str">
            <v>Conj. Oestrogens Tabs 0.625Mg (28'S)</v>
          </cell>
        </row>
        <row r="1499">
          <cell r="A1499">
            <v>180300085</v>
          </cell>
          <cell r="B1499">
            <v>2512</v>
          </cell>
          <cell r="C1499" t="str">
            <v>Mycophenolate Mofetil Caps 250Mg (100'S)</v>
          </cell>
        </row>
        <row r="1500">
          <cell r="A1500">
            <v>189706001</v>
          </cell>
          <cell r="B1500">
            <v>2513</v>
          </cell>
          <cell r="C1500" t="str">
            <v>Metronidazole Susp 200Mg/5ml 100Ml</v>
          </cell>
        </row>
        <row r="1501">
          <cell r="A1501">
            <v>181787184</v>
          </cell>
          <cell r="B1501">
            <v>2514</v>
          </cell>
          <cell r="C1501" t="str">
            <v>Ribavarin 200Mg Tablets</v>
          </cell>
        </row>
        <row r="1502">
          <cell r="A1502">
            <v>180320705</v>
          </cell>
          <cell r="B1502">
            <v>2515</v>
          </cell>
          <cell r="C1502" t="str">
            <v>Sut Polyprop 3/0 1/2Tp 26Mm Cardio</v>
          </cell>
        </row>
        <row r="1503">
          <cell r="A1503">
            <v>181897254</v>
          </cell>
          <cell r="B1503">
            <v>2516</v>
          </cell>
          <cell r="C1503" t="str">
            <v>Vaccine Measles 10 Dose (Measbio)</v>
          </cell>
        </row>
        <row r="1504">
          <cell r="A1504">
            <v>189704616</v>
          </cell>
          <cell r="B1504">
            <v>2517</v>
          </cell>
          <cell r="C1504" t="str">
            <v>Campaign: Syringe Hypodermic  5Ml Three-Part</v>
          </cell>
        </row>
        <row r="1505">
          <cell r="A1505">
            <v>189715224</v>
          </cell>
          <cell r="B1505">
            <v>2518</v>
          </cell>
          <cell r="C1505" t="str">
            <v>~Hydrogen Peroxide Sol 6% 2.5L (20 Vol)</v>
          </cell>
        </row>
        <row r="1506">
          <cell r="A1506">
            <v>180186078</v>
          </cell>
          <cell r="B1506">
            <v>2519</v>
          </cell>
          <cell r="C1506" t="str">
            <v>Sut Synthabs 5/0 1/4Sp 8.5Mm</v>
          </cell>
        </row>
        <row r="1507">
          <cell r="A1507">
            <v>189710253</v>
          </cell>
          <cell r="B1507">
            <v>2520</v>
          </cell>
          <cell r="C1507" t="str">
            <v>Hexoprenaline Tabs 0.5Mg</v>
          </cell>
        </row>
        <row r="1508">
          <cell r="A1508">
            <v>180076590</v>
          </cell>
          <cell r="B1508">
            <v>2521</v>
          </cell>
          <cell r="C1508" t="str">
            <v>Propofol Inj (1%)10Mg/ml 20Ml</v>
          </cell>
        </row>
        <row r="1509">
          <cell r="A1509">
            <v>189742497</v>
          </cell>
          <cell r="B1509">
            <v>2522</v>
          </cell>
          <cell r="C1509" t="str">
            <v>Sut Synthabs 2/0 5/8Tp 26-27Mm</v>
          </cell>
        </row>
        <row r="1510">
          <cell r="A1510">
            <v>180350988</v>
          </cell>
          <cell r="B1510">
            <v>2523</v>
          </cell>
          <cell r="C1510" t="str">
            <v>Sildenafil 50Mg Tablets (4'S)</v>
          </cell>
        </row>
        <row r="1511">
          <cell r="A1511">
            <v>180229118</v>
          </cell>
          <cell r="B1511">
            <v>2524</v>
          </cell>
          <cell r="C1511" t="str">
            <v>Gown Hospital Long Sleeves Large</v>
          </cell>
        </row>
        <row r="1512">
          <cell r="A1512" t="str">
            <v>QUOTE</v>
          </cell>
          <cell r="B1512">
            <v>2525</v>
          </cell>
          <cell r="C1512" t="str">
            <v>~Brilliant Green Powder</v>
          </cell>
        </row>
        <row r="1513">
          <cell r="A1513">
            <v>189742596</v>
          </cell>
          <cell r="B1513">
            <v>2526</v>
          </cell>
          <cell r="C1513" t="str">
            <v>Dressing Wound Absorbent Cavity 100Mm</v>
          </cell>
        </row>
        <row r="1514">
          <cell r="A1514" t="str">
            <v>QUOTE</v>
          </cell>
          <cell r="B1514">
            <v>2527</v>
          </cell>
          <cell r="C1514" t="str">
            <v>~Ubiquinone Tabs 30Mg</v>
          </cell>
        </row>
        <row r="1515">
          <cell r="A1515" t="str">
            <v>QUOTE RT 15</v>
          </cell>
          <cell r="B1515">
            <v>425</v>
          </cell>
          <cell r="C1515" t="str">
            <v>Needle Retrobulbar Adult (Opthalmic)</v>
          </cell>
        </row>
        <row r="1516">
          <cell r="A1516">
            <v>181891011</v>
          </cell>
          <cell r="B1516">
            <v>2529</v>
          </cell>
          <cell r="C1516" t="str">
            <v>Enoxaparin 60Mg Inj Prefilled Syringe</v>
          </cell>
        </row>
        <row r="1517">
          <cell r="A1517">
            <v>180968974</v>
          </cell>
          <cell r="B1517">
            <v>2530</v>
          </cell>
          <cell r="C1517" t="str">
            <v>~Fenoterol Ipratropium Inhaler Complete</v>
          </cell>
        </row>
        <row r="1518">
          <cell r="A1518">
            <v>189710313</v>
          </cell>
          <cell r="B1518">
            <v>2531</v>
          </cell>
          <cell r="C1518" t="str">
            <v>~Ergotamine Caffeine And Cyclizine Tabs 100Mg</v>
          </cell>
        </row>
        <row r="1519">
          <cell r="A1519">
            <v>189711429</v>
          </cell>
          <cell r="B1519">
            <v>2532</v>
          </cell>
          <cell r="C1519" t="str">
            <v>Cyclopentolate Phenylephrine Eye Drops</v>
          </cell>
        </row>
        <row r="1520">
          <cell r="A1520">
            <v>189714317</v>
          </cell>
          <cell r="B1520">
            <v>2533</v>
          </cell>
          <cell r="C1520" t="str">
            <v>~Cyanide Poisoning Antidote Kit</v>
          </cell>
        </row>
        <row r="1521">
          <cell r="A1521">
            <v>189707427</v>
          </cell>
          <cell r="B1521">
            <v>2534</v>
          </cell>
          <cell r="C1521" t="str">
            <v>~Codeine Phosphate Syrup 100Ml</v>
          </cell>
        </row>
        <row r="1522">
          <cell r="A1522">
            <v>189710836</v>
          </cell>
          <cell r="B1522">
            <v>2535</v>
          </cell>
          <cell r="C1522" t="str">
            <v>Clotrimazole Vag Tabs 500Mg (1'S)</v>
          </cell>
        </row>
        <row r="1523">
          <cell r="A1523">
            <v>180324917</v>
          </cell>
          <cell r="B1523">
            <v>2536</v>
          </cell>
          <cell r="C1523" t="str">
            <v>Anaesthetic Set, Jackson Reese/mapleson F.</v>
          </cell>
        </row>
        <row r="1524">
          <cell r="A1524">
            <v>189712262</v>
          </cell>
          <cell r="B1524">
            <v>2537</v>
          </cell>
          <cell r="C1524" t="str">
            <v>Chlorhexidine Sol 20%  500Ml</v>
          </cell>
        </row>
        <row r="1525">
          <cell r="A1525">
            <v>189705870</v>
          </cell>
          <cell r="B1525">
            <v>2538</v>
          </cell>
          <cell r="C1525" t="str">
            <v>~Chloramphenicol Eye Oint 2.5Mg Applicaps</v>
          </cell>
        </row>
        <row r="1526">
          <cell r="A1526">
            <v>181919423</v>
          </cell>
          <cell r="B1526">
            <v>2539</v>
          </cell>
          <cell r="C1526" t="str">
            <v>Tpn Multi Bag Adult Hp &amp; Hc W/out Electrolytes-(1.5-2L)</v>
          </cell>
        </row>
        <row r="1527">
          <cell r="A1527" t="str">
            <v>QUOTE</v>
          </cell>
          <cell r="B1527">
            <v>2540</v>
          </cell>
          <cell r="C1527" t="str">
            <v>~Boric Acid Powder 500Gm</v>
          </cell>
        </row>
        <row r="1528">
          <cell r="A1528">
            <v>189712126</v>
          </cell>
          <cell r="B1528">
            <v>2541</v>
          </cell>
          <cell r="C1528" t="str">
            <v>Bisacodyl Supps  5Mg Paediatric</v>
          </cell>
        </row>
        <row r="1529">
          <cell r="A1529">
            <v>189714844</v>
          </cell>
          <cell r="B1529">
            <v>2542</v>
          </cell>
          <cell r="C1529" t="str">
            <v>Benzoin Tincture Compund B.P 20Ml</v>
          </cell>
        </row>
        <row r="1530">
          <cell r="A1530">
            <v>180961919</v>
          </cell>
          <cell r="B1530">
            <v>2543</v>
          </cell>
          <cell r="C1530" t="str">
            <v>Syringe Safety 5Ml 22Gx40mm (0.7Mm) Needle</v>
          </cell>
        </row>
        <row r="1531">
          <cell r="A1531" t="str">
            <v>QUOTE</v>
          </cell>
          <cell r="B1531">
            <v>2544</v>
          </cell>
          <cell r="C1531" t="str">
            <v>Form Clinic Stock Control Card(2)</v>
          </cell>
        </row>
        <row r="1532">
          <cell r="A1532">
            <v>181922609</v>
          </cell>
          <cell r="B1532">
            <v>2545</v>
          </cell>
          <cell r="C1532" t="str">
            <v>Vaccine Hexaxim Single Dose</v>
          </cell>
        </row>
        <row r="1533">
          <cell r="A1533" t="str">
            <v>QUOTE</v>
          </cell>
          <cell r="B1533">
            <v>2546</v>
          </cell>
          <cell r="C1533" t="str">
            <v>Labels Eye Ear Nasal Ointment</v>
          </cell>
        </row>
        <row r="1534">
          <cell r="A1534">
            <v>180330417</v>
          </cell>
          <cell r="B1534">
            <v>2547</v>
          </cell>
          <cell r="C1534" t="str">
            <v>~Sut 2/0 1/2Tp 70Cm 26Mm Gi Monofil. Synthabs.</v>
          </cell>
        </row>
        <row r="1535">
          <cell r="A1535">
            <v>180256112</v>
          </cell>
          <cell r="B1535">
            <v>2548</v>
          </cell>
          <cell r="C1535" t="str">
            <v>Acyclovir Disp Tabs 200Mg (25'S)</v>
          </cell>
        </row>
        <row r="1536">
          <cell r="A1536">
            <v>180334471</v>
          </cell>
          <cell r="B1536">
            <v>2549</v>
          </cell>
          <cell r="C1536" t="str">
            <v>~Vaccine Pentaxim Single Dose</v>
          </cell>
        </row>
        <row r="1537">
          <cell r="A1537">
            <v>189711870</v>
          </cell>
          <cell r="B1537">
            <v>2550</v>
          </cell>
          <cell r="C1537" t="str">
            <v>Cover Bedpan Paper</v>
          </cell>
        </row>
        <row r="1538">
          <cell r="A1538">
            <v>181906447</v>
          </cell>
          <cell r="B1538">
            <v>2551</v>
          </cell>
          <cell r="C1538" t="str">
            <v>Bag Brown No 10</v>
          </cell>
        </row>
        <row r="1539">
          <cell r="A1539" t="str">
            <v>.</v>
          </cell>
          <cell r="B1539">
            <v>2552</v>
          </cell>
          <cell r="C1539" t="str">
            <v>Itn Baby 104/Tpn 1603A</v>
          </cell>
        </row>
        <row r="1540">
          <cell r="A1540">
            <v>181906446</v>
          </cell>
          <cell r="B1540">
            <v>2553</v>
          </cell>
          <cell r="C1540" t="str">
            <v>Bag Brown No  4</v>
          </cell>
        </row>
        <row r="1541">
          <cell r="A1541" t="str">
            <v>QUOTE EYE</v>
          </cell>
          <cell r="B1541">
            <v>2554</v>
          </cell>
          <cell r="C1541" t="str">
            <v>Cannula Visco Canalostomy (149-40)</v>
          </cell>
        </row>
        <row r="1542">
          <cell r="A1542">
            <v>180952970</v>
          </cell>
          <cell r="B1542">
            <v>2555</v>
          </cell>
          <cell r="C1542" t="str">
            <v>Bandage Cast Synthetic Non-Fibre Glass 125Mmx3.6M</v>
          </cell>
        </row>
        <row r="1543">
          <cell r="A1543">
            <v>181859999</v>
          </cell>
          <cell r="B1543">
            <v>2556</v>
          </cell>
          <cell r="C1543" t="str">
            <v>Naproxen 250Mg Tabs (56'S)</v>
          </cell>
        </row>
        <row r="1544">
          <cell r="A1544" t="str">
            <v>QUOTE</v>
          </cell>
          <cell r="B1544">
            <v>2559</v>
          </cell>
          <cell r="C1544" t="str">
            <v>Tube Endo Cuff Dual 5.5 Reinforced</v>
          </cell>
        </row>
        <row r="1545">
          <cell r="A1545" t="str">
            <v>QUOTE</v>
          </cell>
          <cell r="B1545">
            <v>2558</v>
          </cell>
          <cell r="C1545" t="str">
            <v>Tube Endo Cuff Dual 4.5 Reinforced</v>
          </cell>
        </row>
        <row r="1546">
          <cell r="A1546" t="str">
            <v>QUOTE</v>
          </cell>
          <cell r="B1546">
            <v>2560</v>
          </cell>
          <cell r="C1546" t="str">
            <v>Tube Endo Cuff Dual 4.0 Reinforced</v>
          </cell>
        </row>
        <row r="1547">
          <cell r="A1547">
            <v>180772046</v>
          </cell>
          <cell r="B1547">
            <v>2528</v>
          </cell>
          <cell r="C1547" t="str">
            <v>~Oestradiol/ Norethisterone Comb Tabs</v>
          </cell>
        </row>
        <row r="1548">
          <cell r="A1548">
            <v>180260242</v>
          </cell>
          <cell r="B1548">
            <v>2561</v>
          </cell>
          <cell r="C1548" t="str">
            <v>Cath.Ureth.Foley 2Way 10Fg  5Ml Coated</v>
          </cell>
        </row>
        <row r="1549">
          <cell r="A1549">
            <v>189717339</v>
          </cell>
          <cell r="B1549">
            <v>2562</v>
          </cell>
          <cell r="C1549" t="str">
            <v>Cath.Ureth.Foley 2Way 12Fg  5Ml Silicone</v>
          </cell>
        </row>
        <row r="1550">
          <cell r="A1550">
            <v>180031042</v>
          </cell>
          <cell r="B1550">
            <v>2563</v>
          </cell>
          <cell r="C1550" t="str">
            <v>Plasmalyte B  200Ml</v>
          </cell>
        </row>
        <row r="1551">
          <cell r="A1551" t="str">
            <v>QUOTE</v>
          </cell>
          <cell r="B1551">
            <v>2564</v>
          </cell>
          <cell r="C1551" t="str">
            <v>Tpn 107</v>
          </cell>
        </row>
        <row r="1552">
          <cell r="A1552" t="str">
            <v>QUOTE</v>
          </cell>
          <cell r="B1552">
            <v>2565</v>
          </cell>
          <cell r="C1552" t="str">
            <v>Form Clinic Stock Control Card(1)</v>
          </cell>
        </row>
        <row r="1553">
          <cell r="A1553" t="str">
            <v>MOTIVATION</v>
          </cell>
          <cell r="B1553">
            <v>2566</v>
          </cell>
          <cell r="C1553" t="str">
            <v>~Epoetin Alfa 150Mcg/0.3Ml</v>
          </cell>
        </row>
        <row r="1554">
          <cell r="A1554" t="str">
            <v>QUOTE</v>
          </cell>
          <cell r="B1554">
            <v>2557</v>
          </cell>
          <cell r="C1554" t="str">
            <v>Needle Bonemarrow 16G Aspiration</v>
          </cell>
        </row>
        <row r="1555">
          <cell r="A1555">
            <v>181854508</v>
          </cell>
          <cell r="B1555">
            <v>2567</v>
          </cell>
          <cell r="C1555" t="str">
            <v>Didanosine 400Mg Enteric Coated Tablet 30'S</v>
          </cell>
        </row>
        <row r="1556">
          <cell r="A1556">
            <v>180348815</v>
          </cell>
          <cell r="B1556">
            <v>2568</v>
          </cell>
          <cell r="C1556" t="str">
            <v>Interferon Alfa 2A Inj 3.0Mill Units</v>
          </cell>
        </row>
        <row r="1557">
          <cell r="A1557">
            <v>180051445</v>
          </cell>
          <cell r="B1557">
            <v>2569</v>
          </cell>
          <cell r="C1557" t="str">
            <v>Dressing Wound Adh Trans 280Mmx300mm</v>
          </cell>
        </row>
        <row r="1558">
          <cell r="A1558">
            <v>180051446</v>
          </cell>
          <cell r="B1558">
            <v>2570</v>
          </cell>
          <cell r="C1558" t="str">
            <v>Dressing Wound Adh Trans 280Mmx450mm</v>
          </cell>
        </row>
        <row r="1559">
          <cell r="A1559">
            <v>181919420</v>
          </cell>
          <cell r="B1559">
            <v>2571</v>
          </cell>
          <cell r="C1559" t="str">
            <v>Tpn Multi Bag Adult Sp &amp; Sc With Electrolyte 1.5L-2L</v>
          </cell>
        </row>
        <row r="1560">
          <cell r="A1560">
            <v>180254530</v>
          </cell>
          <cell r="B1560">
            <v>2572</v>
          </cell>
          <cell r="C1560" t="str">
            <v>Dressing Film Transparent I.V 60Mmx85mm</v>
          </cell>
        </row>
        <row r="1561">
          <cell r="A1561">
            <v>180090033</v>
          </cell>
          <cell r="B1561">
            <v>2573</v>
          </cell>
          <cell r="C1561" t="str">
            <v>Fenoterol U D V 1.25Mg/2ml</v>
          </cell>
        </row>
        <row r="1562">
          <cell r="A1562">
            <v>180339585</v>
          </cell>
          <cell r="B1562">
            <v>2574</v>
          </cell>
          <cell r="C1562" t="str">
            <v>Orphenadrine Tabs 50Mg (56'S)</v>
          </cell>
        </row>
        <row r="1563">
          <cell r="A1563">
            <v>180339586</v>
          </cell>
          <cell r="B1563">
            <v>2575</v>
          </cell>
          <cell r="C1563" t="str">
            <v>Orphenadrine Tabs 50Mg (84'S)</v>
          </cell>
        </row>
        <row r="1564">
          <cell r="A1564">
            <v>180948561</v>
          </cell>
          <cell r="B1564">
            <v>2576</v>
          </cell>
          <cell r="C1564" t="str">
            <v>Tpn 7002A</v>
          </cell>
        </row>
        <row r="1565">
          <cell r="A1565">
            <v>181781571</v>
          </cell>
          <cell r="B1565">
            <v>2577</v>
          </cell>
          <cell r="C1565" t="str">
            <v>Tpn 5002A</v>
          </cell>
        </row>
        <row r="1566">
          <cell r="A1566">
            <v>189710415</v>
          </cell>
          <cell r="B1566">
            <v>2578</v>
          </cell>
          <cell r="C1566" t="str">
            <v>Paracetamol Codeine (100'S)</v>
          </cell>
        </row>
        <row r="1567">
          <cell r="A1567" t="str">
            <v>QUOTE</v>
          </cell>
          <cell r="B1567">
            <v>2579</v>
          </cell>
          <cell r="C1567" t="str">
            <v>Dressing Hydrocolloid Ulcer 20Cmx30cm</v>
          </cell>
        </row>
        <row r="1568">
          <cell r="A1568">
            <v>181845923</v>
          </cell>
          <cell r="B1568">
            <v>2580</v>
          </cell>
          <cell r="C1568" t="str">
            <v>Gown Hospital Long Sleeve Extra Large</v>
          </cell>
        </row>
        <row r="1569">
          <cell r="A1569" t="str">
            <v>QUOTE</v>
          </cell>
          <cell r="B1569">
            <v>2581</v>
          </cell>
          <cell r="C1569" t="str">
            <v>Form Clinic Visit</v>
          </cell>
        </row>
        <row r="1570">
          <cell r="A1570">
            <v>181804849</v>
          </cell>
          <cell r="B1570">
            <v>2582</v>
          </cell>
          <cell r="C1570" t="str">
            <v>Oxaliplatin 50Mg/10ml</v>
          </cell>
        </row>
        <row r="1571">
          <cell r="A1571">
            <v>180358287</v>
          </cell>
          <cell r="B1571">
            <v>2583</v>
          </cell>
          <cell r="C1571" t="str">
            <v>Bupropion Xl 300Mg (60'S)</v>
          </cell>
        </row>
        <row r="1572">
          <cell r="A1572" t="str">
            <v>REPACKING</v>
          </cell>
          <cell r="B1572">
            <v>2584</v>
          </cell>
          <cell r="C1572" t="str">
            <v>~Thermal Transfer Ribbons 92Mm X 600M</v>
          </cell>
        </row>
        <row r="1573">
          <cell r="A1573" t="str">
            <v>MOT</v>
          </cell>
          <cell r="B1573">
            <v>2585</v>
          </cell>
          <cell r="C1573" t="str">
            <v>Pouch Urostomy One Piece (Convexity)</v>
          </cell>
        </row>
        <row r="1574">
          <cell r="A1574" t="str">
            <v>*</v>
          </cell>
          <cell r="B1574">
            <v>2587</v>
          </cell>
          <cell r="C1574" t="str">
            <v>~Filter Breath Intensive Care Anesth.</v>
          </cell>
        </row>
        <row r="1575">
          <cell r="A1575">
            <v>181849315</v>
          </cell>
          <cell r="B1575">
            <v>2588</v>
          </cell>
          <cell r="C1575" t="str">
            <v>Tube Trach Cuff + Inner Cannula 8.0</v>
          </cell>
        </row>
        <row r="1576">
          <cell r="A1576">
            <v>181892499</v>
          </cell>
          <cell r="B1576">
            <v>2589</v>
          </cell>
          <cell r="C1576" t="str">
            <v>Etravirine 100Mg Tablet(112/120)</v>
          </cell>
        </row>
        <row r="1577">
          <cell r="A1577">
            <v>180056296</v>
          </cell>
          <cell r="B1577">
            <v>2590</v>
          </cell>
          <cell r="C1577" t="str">
            <v>Injection Cap-Instopper (Bulls Eye)</v>
          </cell>
        </row>
        <row r="1578">
          <cell r="A1578">
            <v>181750139</v>
          </cell>
          <cell r="B1578">
            <v>2591</v>
          </cell>
          <cell r="C1578" t="str">
            <v>Glove Surgical Non Latex Size 7.5</v>
          </cell>
        </row>
        <row r="1579">
          <cell r="A1579">
            <v>180257846</v>
          </cell>
          <cell r="B1579">
            <v>2592</v>
          </cell>
          <cell r="C1579" t="str">
            <v>Benzydamine &amp; Chlorhexidine Gluconate - 200Ml</v>
          </cell>
        </row>
        <row r="1580">
          <cell r="A1580">
            <v>180185843</v>
          </cell>
          <cell r="B1580">
            <v>2594</v>
          </cell>
          <cell r="C1580" t="str">
            <v>Sut Synthabs 5/0 3/8Rc 12Mm</v>
          </cell>
        </row>
        <row r="1581">
          <cell r="A1581">
            <v>180229109</v>
          </cell>
          <cell r="B1581">
            <v>2595</v>
          </cell>
          <cell r="C1581" t="str">
            <v>Glove Surgical Low Allergy Size 7.0</v>
          </cell>
        </row>
        <row r="1582">
          <cell r="A1582">
            <v>189714425</v>
          </cell>
          <cell r="B1582">
            <v>2596</v>
          </cell>
          <cell r="C1582" t="str">
            <v>~Bumetanide 0.5Mg Tabs</v>
          </cell>
        </row>
        <row r="1583">
          <cell r="A1583">
            <v>180124272</v>
          </cell>
          <cell r="B1583">
            <v>2597</v>
          </cell>
          <cell r="C1583" t="str">
            <v>Glyceryl Trinitrate 1Mg/ml</v>
          </cell>
        </row>
        <row r="1584">
          <cell r="A1584">
            <v>181902532</v>
          </cell>
          <cell r="B1584">
            <v>2599</v>
          </cell>
          <cell r="C1584" t="str">
            <v>Subdermal Implant Etonogestrel 68Mg With Applicator</v>
          </cell>
        </row>
        <row r="1585">
          <cell r="A1585" t="str">
            <v>QUOTE</v>
          </cell>
          <cell r="B1585">
            <v>2600</v>
          </cell>
          <cell r="C1585" t="str">
            <v>~Dimethylsulfoxide Purim (99%)</v>
          </cell>
        </row>
        <row r="1586">
          <cell r="A1586" t="str">
            <v>QUOTE</v>
          </cell>
          <cell r="B1586">
            <v>2601</v>
          </cell>
          <cell r="C1586" t="str">
            <v>Breathing Filter 1944</v>
          </cell>
        </row>
        <row r="1587">
          <cell r="A1587">
            <v>189750639</v>
          </cell>
          <cell r="B1587">
            <v>2602</v>
          </cell>
          <cell r="C1587" t="str">
            <v>Inhaler Device Child Wth Mask &amp; Valve</v>
          </cell>
        </row>
        <row r="1588">
          <cell r="A1588" t="str">
            <v>.</v>
          </cell>
          <cell r="B1588">
            <v>2603</v>
          </cell>
          <cell r="C1588" t="str">
            <v>Tpn 8010A</v>
          </cell>
        </row>
        <row r="1589">
          <cell r="A1589" t="str">
            <v>QUOTE</v>
          </cell>
          <cell r="B1589">
            <v>2604</v>
          </cell>
          <cell r="C1589" t="str">
            <v>Sheath Introducer 8.5Fr No Heamolstasis Valve</v>
          </cell>
        </row>
        <row r="1590">
          <cell r="A1590" t="str">
            <v>RT  20</v>
          </cell>
          <cell r="B1590">
            <v>2605</v>
          </cell>
          <cell r="C1590" t="str">
            <v>Electrodes E.C.G Neonatal</v>
          </cell>
        </row>
        <row r="1591">
          <cell r="A1591">
            <v>181882892</v>
          </cell>
          <cell r="B1591">
            <v>2606</v>
          </cell>
          <cell r="C1591" t="str">
            <v>Pouch Ileostomy One Piece 19-64Mm Opague Drainable</v>
          </cell>
        </row>
        <row r="1592">
          <cell r="A1592" t="str">
            <v>QUOTE</v>
          </cell>
          <cell r="B1592">
            <v>2607</v>
          </cell>
          <cell r="C1592" t="str">
            <v>Labels White 68Mm X 35Mm (1 To View) (Dispensing)</v>
          </cell>
        </row>
        <row r="1593">
          <cell r="A1593">
            <v>181807310</v>
          </cell>
          <cell r="B1593">
            <v>2608</v>
          </cell>
          <cell r="C1593" t="str">
            <v>Aripiprazole 5Mg Tabs (30'S)</v>
          </cell>
        </row>
        <row r="1594">
          <cell r="A1594">
            <v>189713055</v>
          </cell>
          <cell r="B1594">
            <v>2609</v>
          </cell>
          <cell r="C1594" t="str">
            <v>Tube Sump Drain Fuller Elliot 3Way 28Fg</v>
          </cell>
        </row>
        <row r="1595">
          <cell r="A1595">
            <v>189714315</v>
          </cell>
          <cell r="B1595">
            <v>2610</v>
          </cell>
          <cell r="C1595" t="str">
            <v>Tube Sump Drain Fuller Elliot 3Way 30Fg</v>
          </cell>
        </row>
        <row r="1596">
          <cell r="A1596">
            <v>189714316</v>
          </cell>
          <cell r="B1596">
            <v>2611</v>
          </cell>
          <cell r="C1596" t="str">
            <v>Tube Sump Drain Fuller Elliot 3Way 32Fg</v>
          </cell>
        </row>
        <row r="1597">
          <cell r="A1597">
            <v>180286745</v>
          </cell>
          <cell r="B1597">
            <v>2612</v>
          </cell>
          <cell r="C1597" t="str">
            <v>Tube Sump Drain Fuller Elliot 3Way 36Fg</v>
          </cell>
        </row>
        <row r="1598">
          <cell r="A1598" t="str">
            <v>QUOTE</v>
          </cell>
          <cell r="B1598">
            <v>2613</v>
          </cell>
          <cell r="C1598" t="str">
            <v>Cath Drainage Hematuria Silicone</v>
          </cell>
        </row>
        <row r="1599">
          <cell r="A1599" t="str">
            <v>DONATION</v>
          </cell>
          <cell r="B1599">
            <v>2614</v>
          </cell>
          <cell r="C1599" t="str">
            <v>Fluconazole Susp 50Mg/5ml 35Ml</v>
          </cell>
        </row>
        <row r="1600">
          <cell r="A1600" t="str">
            <v>DONATION</v>
          </cell>
          <cell r="B1600">
            <v>2615</v>
          </cell>
          <cell r="C1600" t="str">
            <v>Fluconazole Tabs 200Mg</v>
          </cell>
        </row>
        <row r="1601">
          <cell r="A1601" t="str">
            <v>DONATION</v>
          </cell>
          <cell r="B1601">
            <v>2616</v>
          </cell>
          <cell r="C1601" t="str">
            <v>Fluconazole Inj 2Mg/ml I V Infusion</v>
          </cell>
        </row>
        <row r="1602">
          <cell r="A1602">
            <v>181871663</v>
          </cell>
          <cell r="B1602">
            <v>2617</v>
          </cell>
          <cell r="C1602" t="str">
            <v>Lopinavir 100Mg Ritonavir 25Mg Coated Tablet (56'S)</v>
          </cell>
        </row>
        <row r="1603">
          <cell r="A1603">
            <v>189712268</v>
          </cell>
          <cell r="B1603">
            <v>2618</v>
          </cell>
          <cell r="C1603" t="str">
            <v>Melphalan Tabs 2Mg (25'S)</v>
          </cell>
        </row>
        <row r="1604">
          <cell r="A1604">
            <v>180174034</v>
          </cell>
          <cell r="B1604">
            <v>2619</v>
          </cell>
          <cell r="C1604" t="str">
            <v>Bandage Retention Crepe  75Mm</v>
          </cell>
        </row>
        <row r="1605">
          <cell r="A1605">
            <v>189710765</v>
          </cell>
          <cell r="B1605">
            <v>2620</v>
          </cell>
          <cell r="C1605" t="str">
            <v>~Piperacillin 2G Inj</v>
          </cell>
        </row>
        <row r="1606">
          <cell r="A1606">
            <v>189742595</v>
          </cell>
          <cell r="B1606">
            <v>2621</v>
          </cell>
          <cell r="C1606" t="str">
            <v>Dressing Wound Abs. Non-Adh.&amp; Adh.Border 11X11cm</v>
          </cell>
        </row>
        <row r="1607">
          <cell r="A1607">
            <v>189712865</v>
          </cell>
          <cell r="B1607">
            <v>2622</v>
          </cell>
          <cell r="C1607" t="str">
            <v>Tube Drain Pensil Silicone 350Mmx14mm</v>
          </cell>
        </row>
        <row r="1608">
          <cell r="A1608">
            <v>180329825</v>
          </cell>
          <cell r="B1608">
            <v>2623</v>
          </cell>
          <cell r="C1608" t="str">
            <v>Resuscitator Neonatal Single Use</v>
          </cell>
        </row>
        <row r="1609">
          <cell r="A1609" t="str">
            <v>*</v>
          </cell>
          <cell r="B1609">
            <v>2624</v>
          </cell>
          <cell r="C1609" t="str">
            <v>Fluconazole Susp 50Mg/5ml</v>
          </cell>
        </row>
        <row r="1610">
          <cell r="A1610" t="str">
            <v>QUOTE STOMA</v>
          </cell>
          <cell r="B1610">
            <v>2625</v>
          </cell>
          <cell r="C1610" t="str">
            <v>Flange  70Mm (Cut To 57Mm)</v>
          </cell>
        </row>
        <row r="1611">
          <cell r="A1611">
            <v>180191876</v>
          </cell>
          <cell r="B1611">
            <v>2626</v>
          </cell>
          <cell r="C1611" t="str">
            <v>Dressing Hydrocolloid Ulcer 20Cmx20cm</v>
          </cell>
        </row>
        <row r="1612">
          <cell r="A1612">
            <v>180057770</v>
          </cell>
          <cell r="B1612">
            <v>2627</v>
          </cell>
          <cell r="C1612" t="str">
            <v>Bag Urine Drainage Double End S3</v>
          </cell>
        </row>
        <row r="1613">
          <cell r="A1613">
            <v>181882897</v>
          </cell>
          <cell r="B1613">
            <v>2628</v>
          </cell>
          <cell r="C1613" t="str">
            <v>Pouch Ostomy One Piece 20-60Mm Clear Drainable</v>
          </cell>
        </row>
        <row r="1614">
          <cell r="A1614">
            <v>180190436</v>
          </cell>
          <cell r="B1614">
            <v>2629</v>
          </cell>
          <cell r="C1614" t="str">
            <v>Phenobarbitone Tabs 30Mg (28'S)</v>
          </cell>
        </row>
        <row r="1615">
          <cell r="A1615">
            <v>189711831</v>
          </cell>
          <cell r="B1615">
            <v>2631</v>
          </cell>
          <cell r="C1615" t="str">
            <v>Amitriptyline Tabs 25Mg (84'S)</v>
          </cell>
        </row>
        <row r="1616">
          <cell r="A1616">
            <v>189714759</v>
          </cell>
          <cell r="B1616">
            <v>2632</v>
          </cell>
          <cell r="C1616" t="str">
            <v>Ethosuximide Syr 250Mg/5ml 200Ml</v>
          </cell>
        </row>
        <row r="1617">
          <cell r="A1617">
            <v>181779726</v>
          </cell>
          <cell r="B1617">
            <v>2633</v>
          </cell>
          <cell r="C1617" t="str">
            <v>Flexible Et Introd.Stylet 2-4Mm</v>
          </cell>
        </row>
        <row r="1618">
          <cell r="A1618">
            <v>180185678</v>
          </cell>
          <cell r="B1618">
            <v>2634</v>
          </cell>
          <cell r="C1618" t="str">
            <v>Iron Sucrose Inj 100Mg</v>
          </cell>
        </row>
        <row r="1619">
          <cell r="A1619">
            <v>180208630</v>
          </cell>
          <cell r="B1619">
            <v>2635</v>
          </cell>
          <cell r="C1619" t="str">
            <v>Mannitol Inj 25% 50Ml</v>
          </cell>
        </row>
        <row r="1620">
          <cell r="A1620">
            <v>189762536</v>
          </cell>
          <cell r="B1620">
            <v>2636</v>
          </cell>
          <cell r="C1620" t="str">
            <v>Vaccine Mening Meningitis A C  Vial + Dil</v>
          </cell>
        </row>
        <row r="1621">
          <cell r="A1621">
            <v>180959495</v>
          </cell>
          <cell r="B1621">
            <v>2637</v>
          </cell>
          <cell r="C1621" t="str">
            <v>Methylprednisolone Cream 20G Aceponate 1Mg/1g  (Deth</v>
          </cell>
        </row>
        <row r="1622">
          <cell r="A1622">
            <v>189710338</v>
          </cell>
          <cell r="B1622">
            <v>2638</v>
          </cell>
          <cell r="C1622" t="str">
            <v>Amoxycillin Caps 250Mg (100'S)</v>
          </cell>
        </row>
        <row r="1623">
          <cell r="A1623">
            <v>189712347</v>
          </cell>
          <cell r="B1623">
            <v>2639</v>
          </cell>
          <cell r="C1623" t="str">
            <v>Carbamazepine Susp 100Mg/5ml 250Ml</v>
          </cell>
        </row>
        <row r="1624">
          <cell r="A1624">
            <v>180955319</v>
          </cell>
          <cell r="B1624">
            <v>2640</v>
          </cell>
          <cell r="C1624" t="str">
            <v>~Pyrimethamine Sulfadoxine Tabs</v>
          </cell>
        </row>
        <row r="1625">
          <cell r="A1625">
            <v>189703385</v>
          </cell>
          <cell r="B1625">
            <v>2641</v>
          </cell>
          <cell r="C1625" t="str">
            <v>Betamethasone Valerate Oint 15Gm</v>
          </cell>
        </row>
        <row r="1626">
          <cell r="A1626">
            <v>189714984</v>
          </cell>
          <cell r="B1626">
            <v>2642</v>
          </cell>
          <cell r="C1626" t="str">
            <v>Spectinomycin Inj 400Mg/ml 2G</v>
          </cell>
        </row>
        <row r="1627">
          <cell r="A1627" t="str">
            <v>QUOTE</v>
          </cell>
          <cell r="B1627">
            <v>2643</v>
          </cell>
          <cell r="C1627" t="str">
            <v>Kaltostat Sheet 10Cm X 20Cm</v>
          </cell>
        </row>
        <row r="1628">
          <cell r="A1628" t="str">
            <v>ADHD</v>
          </cell>
          <cell r="B1628">
            <v>2644</v>
          </cell>
          <cell r="C1628" t="str">
            <v>Atomoxetine Caps 40Mg (28'S)</v>
          </cell>
        </row>
        <row r="1629">
          <cell r="A1629">
            <v>180256023</v>
          </cell>
          <cell r="B1629">
            <v>2645</v>
          </cell>
          <cell r="C1629" t="str">
            <v>Carvedilol 12.5Mg Scored Tabs (30'S)</v>
          </cell>
        </row>
        <row r="1630">
          <cell r="A1630">
            <v>181770198</v>
          </cell>
          <cell r="B1630">
            <v>2646</v>
          </cell>
          <cell r="C1630" t="str">
            <v>Bleomycin Inj 15 I.U</v>
          </cell>
        </row>
        <row r="1631">
          <cell r="A1631">
            <v>189711522</v>
          </cell>
          <cell r="B1631">
            <v>2647</v>
          </cell>
          <cell r="C1631" t="str">
            <v>Amino Acid  7 Nitrogen Dextrose 1000Ml</v>
          </cell>
        </row>
        <row r="1632">
          <cell r="A1632">
            <v>180079580</v>
          </cell>
          <cell r="B1632">
            <v>2648</v>
          </cell>
          <cell r="C1632" t="str">
            <v>Ferrous Gluconate Syr 100Ml</v>
          </cell>
        </row>
        <row r="1633">
          <cell r="A1633">
            <v>180358280</v>
          </cell>
          <cell r="B1633">
            <v>2649</v>
          </cell>
          <cell r="C1633" t="str">
            <v>Venlafaxine X R 75Mg Caps (30'S)</v>
          </cell>
        </row>
        <row r="1634">
          <cell r="A1634">
            <v>180073563</v>
          </cell>
          <cell r="B1634">
            <v>2650</v>
          </cell>
          <cell r="C1634" t="str">
            <v>Dacarbazine Inj 200Mg</v>
          </cell>
        </row>
        <row r="1635">
          <cell r="A1635" t="str">
            <v>MOTIVATION</v>
          </cell>
          <cell r="B1635">
            <v>2651</v>
          </cell>
          <cell r="C1635" t="str">
            <v>~Darbepoetin Alpha 40Ug Prefilled Syringe</v>
          </cell>
        </row>
        <row r="1636">
          <cell r="A1636" t="str">
            <v>RT  15</v>
          </cell>
          <cell r="B1636">
            <v>2652</v>
          </cell>
          <cell r="C1636" t="str">
            <v>Ophthalmic Cautery</v>
          </cell>
        </row>
        <row r="1637">
          <cell r="A1637">
            <v>189711677</v>
          </cell>
          <cell r="B1637">
            <v>2653</v>
          </cell>
          <cell r="C1637" t="str">
            <v>Medroxyprogesterone Tabs 100Mg (100'S)</v>
          </cell>
        </row>
        <row r="1638">
          <cell r="A1638">
            <v>180969693</v>
          </cell>
          <cell r="B1638">
            <v>2654</v>
          </cell>
          <cell r="C1638" t="str">
            <v>Vinblastine Sulphate Inj 10Mg</v>
          </cell>
        </row>
        <row r="1639">
          <cell r="A1639">
            <v>181848648</v>
          </cell>
          <cell r="B1639">
            <v>2655</v>
          </cell>
          <cell r="C1639" t="str">
            <v>Articulated Flexible Stylet.6.5Mm-7.5Mm</v>
          </cell>
        </row>
        <row r="1640">
          <cell r="A1640">
            <v>180018948</v>
          </cell>
          <cell r="B1640">
            <v>2656</v>
          </cell>
          <cell r="C1640" t="str">
            <v>Ringer Lactate 1000Ml</v>
          </cell>
        </row>
        <row r="1641">
          <cell r="A1641">
            <v>180113691</v>
          </cell>
          <cell r="B1641">
            <v>2657</v>
          </cell>
          <cell r="C1641" t="str">
            <v>Cefazolin Inj 1G</v>
          </cell>
        </row>
        <row r="1642">
          <cell r="A1642">
            <v>181769646</v>
          </cell>
          <cell r="B1642">
            <v>2658</v>
          </cell>
          <cell r="C1642" t="str">
            <v>Methylphenidate Caps 30Mg L A (30'S)</v>
          </cell>
        </row>
        <row r="1643">
          <cell r="A1643">
            <v>189710261</v>
          </cell>
          <cell r="B1643">
            <v>2659</v>
          </cell>
          <cell r="C1643" t="str">
            <v>Metenolone Tabs 25Mg</v>
          </cell>
        </row>
        <row r="1644">
          <cell r="A1644">
            <v>189714510</v>
          </cell>
          <cell r="B1644">
            <v>2660</v>
          </cell>
          <cell r="C1644" t="str">
            <v>~Mesterolone Tabs 25Mg</v>
          </cell>
        </row>
        <row r="1645">
          <cell r="A1645">
            <v>189710669</v>
          </cell>
          <cell r="B1645">
            <v>2661</v>
          </cell>
          <cell r="C1645" t="str">
            <v>Mercaptopurine Tabs 50Mg (25'S)</v>
          </cell>
        </row>
        <row r="1646">
          <cell r="A1646">
            <v>189710955</v>
          </cell>
          <cell r="B1646">
            <v>2662</v>
          </cell>
          <cell r="C1646" t="str">
            <v>Methylprednisolone Succinate Inj 500Mg</v>
          </cell>
        </row>
        <row r="1647">
          <cell r="A1647">
            <v>180152041</v>
          </cell>
          <cell r="B1647">
            <v>2663</v>
          </cell>
          <cell r="C1647" t="str">
            <v>Rifampicin Vial &amp; Diluent 300Mg</v>
          </cell>
        </row>
        <row r="1648">
          <cell r="A1648">
            <v>189760476</v>
          </cell>
          <cell r="B1648">
            <v>2664</v>
          </cell>
          <cell r="C1648" t="str">
            <v>Oral Contraceptive Biphasic High</v>
          </cell>
        </row>
        <row r="1649">
          <cell r="A1649">
            <v>181744809</v>
          </cell>
          <cell r="B1649">
            <v>2665</v>
          </cell>
          <cell r="C1649" t="str">
            <v>Carboplatin Inj 450Mg</v>
          </cell>
        </row>
        <row r="1650">
          <cell r="A1650">
            <v>180076418</v>
          </cell>
          <cell r="B1650">
            <v>2666</v>
          </cell>
          <cell r="C1650" t="str">
            <v>Nandrolone Decanoate Inj 25Mg/ml</v>
          </cell>
        </row>
        <row r="1651">
          <cell r="A1651" t="str">
            <v>QUOTE</v>
          </cell>
          <cell r="B1651">
            <v>2667</v>
          </cell>
          <cell r="C1651" t="str">
            <v>Neomycin Inj 500Mg 10Ml</v>
          </cell>
        </row>
        <row r="1652">
          <cell r="A1652">
            <v>180012708</v>
          </cell>
          <cell r="B1652">
            <v>2668</v>
          </cell>
          <cell r="C1652" t="str">
            <v>Nifedipine Tabs 30Mg S R (28/30'S)</v>
          </cell>
        </row>
        <row r="1653">
          <cell r="A1653">
            <v>180187764</v>
          </cell>
          <cell r="B1653">
            <v>2669</v>
          </cell>
          <cell r="C1653" t="str">
            <v>Tretinoin Caps 10Mg (100'S)</v>
          </cell>
        </row>
        <row r="1654">
          <cell r="A1654">
            <v>180146470</v>
          </cell>
          <cell r="B1654">
            <v>2670</v>
          </cell>
          <cell r="C1654" t="str">
            <v>Vitamin C Tabs 100Mg (28'S)</v>
          </cell>
        </row>
        <row r="1655">
          <cell r="A1655">
            <v>189712326</v>
          </cell>
          <cell r="B1655">
            <v>2671</v>
          </cell>
          <cell r="C1655" t="str">
            <v>Mitoxantrone Inj 2Mg/ml 10Ml</v>
          </cell>
        </row>
        <row r="1656">
          <cell r="A1656">
            <v>180348859</v>
          </cell>
          <cell r="B1656">
            <v>2672</v>
          </cell>
          <cell r="C1656" t="str">
            <v>Cisplatin Inj 10Mg I.V</v>
          </cell>
        </row>
        <row r="1657">
          <cell r="A1657">
            <v>180348860</v>
          </cell>
          <cell r="B1657">
            <v>2673</v>
          </cell>
          <cell r="C1657" t="str">
            <v>Cisplatin Inj 50Mg I.V</v>
          </cell>
        </row>
        <row r="1658">
          <cell r="A1658">
            <v>181814080</v>
          </cell>
          <cell r="B1658">
            <v>2674</v>
          </cell>
          <cell r="C1658" t="str">
            <v>Lansoprazole Caps 30Mg (30'S)</v>
          </cell>
        </row>
        <row r="1659">
          <cell r="A1659">
            <v>189760486</v>
          </cell>
          <cell r="B1659">
            <v>2675</v>
          </cell>
          <cell r="C1659" t="str">
            <v>Acyclovir Susp 200Mg/5ml  125Ml</v>
          </cell>
        </row>
        <row r="1660">
          <cell r="A1660" t="str">
            <v>DELETED</v>
          </cell>
          <cell r="B1660">
            <v>2676</v>
          </cell>
          <cell r="C1660" t="str">
            <v>~Darbepoetin Alpha 60Ug Pre-Filled Syringe</v>
          </cell>
        </row>
        <row r="1661">
          <cell r="A1661">
            <v>189710899</v>
          </cell>
          <cell r="B1661">
            <v>2677</v>
          </cell>
          <cell r="C1661" t="str">
            <v>~Sodium Aurothiomalate Inj 50Mg 0.5Ml</v>
          </cell>
        </row>
        <row r="1662">
          <cell r="A1662">
            <v>180356528</v>
          </cell>
          <cell r="B1662">
            <v>2678</v>
          </cell>
          <cell r="C1662" t="str">
            <v>Bag Plastic Tablet White 104Mm X 160Mm Unprinted</v>
          </cell>
        </row>
        <row r="1663">
          <cell r="A1663">
            <v>181872083</v>
          </cell>
          <cell r="B1663">
            <v>2679</v>
          </cell>
          <cell r="C1663" t="str">
            <v>Lamivudine Tabs 300Mg (30'S)</v>
          </cell>
        </row>
        <row r="1664">
          <cell r="A1664">
            <v>181898983</v>
          </cell>
          <cell r="B1664">
            <v>2680</v>
          </cell>
          <cell r="C1664" t="str">
            <v>Zinc Supplement 10Mg/5ml Syrup 150Ml</v>
          </cell>
        </row>
        <row r="1665">
          <cell r="A1665">
            <v>189715285</v>
          </cell>
          <cell r="B1665">
            <v>2681</v>
          </cell>
          <cell r="C1665" t="str">
            <v>Methotrexate Inj   50Mg</v>
          </cell>
        </row>
        <row r="1666">
          <cell r="A1666">
            <v>189752693</v>
          </cell>
          <cell r="B1666">
            <v>2682</v>
          </cell>
          <cell r="C1666" t="str">
            <v>Methotrexate Tabs 2.5Mg (100'S)</v>
          </cell>
        </row>
        <row r="1667">
          <cell r="A1667">
            <v>180190636</v>
          </cell>
          <cell r="B1667">
            <v>2683</v>
          </cell>
          <cell r="C1667" t="str">
            <v>~Cetylpyridinium Benzocaine Lozenges (16'S)</v>
          </cell>
        </row>
        <row r="1668">
          <cell r="A1668">
            <v>189710053</v>
          </cell>
          <cell r="B1668">
            <v>2684</v>
          </cell>
          <cell r="C1668" t="str">
            <v>Lithium Carbonate Tabs 400Mg (100'S)</v>
          </cell>
        </row>
        <row r="1669">
          <cell r="A1669">
            <v>189710363</v>
          </cell>
          <cell r="B1669">
            <v>2685</v>
          </cell>
          <cell r="C1669" t="str">
            <v>~Nicotinamide Tabs 100Mg (100'S)</v>
          </cell>
        </row>
        <row r="1670">
          <cell r="A1670">
            <v>180957667</v>
          </cell>
          <cell r="B1670">
            <v>2686</v>
          </cell>
          <cell r="C1670" t="str">
            <v>Capecitabine 150Mg (60'S)</v>
          </cell>
        </row>
        <row r="1671">
          <cell r="A1671">
            <v>189710025</v>
          </cell>
          <cell r="B1671">
            <v>2687</v>
          </cell>
          <cell r="C1671" t="str">
            <v>Clozapine Tabs 100Mg (84'S)</v>
          </cell>
        </row>
        <row r="1672">
          <cell r="A1672" t="str">
            <v>QUOTE</v>
          </cell>
          <cell r="B1672">
            <v>2688</v>
          </cell>
          <cell r="C1672" t="str">
            <v>Admin Set Volumetric Inf Ivac</v>
          </cell>
        </row>
        <row r="1673">
          <cell r="A1673">
            <v>180206550</v>
          </cell>
          <cell r="B1673">
            <v>2689</v>
          </cell>
          <cell r="C1673" t="str">
            <v>~N-Acetylcysteine Granules 200Mg</v>
          </cell>
        </row>
        <row r="1674">
          <cell r="A1674">
            <v>180323313</v>
          </cell>
          <cell r="B1674">
            <v>2690</v>
          </cell>
          <cell r="C1674" t="str">
            <v>Haemosolvate Factor 9 Bypass (500Iu)</v>
          </cell>
        </row>
        <row r="1675">
          <cell r="A1675" t="str">
            <v>MOTIVATION</v>
          </cell>
          <cell r="B1675">
            <v>2691</v>
          </cell>
          <cell r="C1675" t="str">
            <v>~Darbepoetin Alpha 100Ug Prefilled Syringe</v>
          </cell>
        </row>
        <row r="1676">
          <cell r="A1676" t="str">
            <v>QUOTE</v>
          </cell>
          <cell r="B1676">
            <v>2693</v>
          </cell>
          <cell r="C1676" t="str">
            <v>Syringe Disposable Luer Lock  2.5Ml</v>
          </cell>
        </row>
        <row r="1677">
          <cell r="A1677">
            <v>180973876</v>
          </cell>
          <cell r="B1677">
            <v>2694</v>
          </cell>
          <cell r="C1677" t="str">
            <v>Dressing Wound Abs. Non-Adh.&amp; Adh.Border 15X15cm</v>
          </cell>
        </row>
        <row r="1678">
          <cell r="A1678">
            <v>180222634</v>
          </cell>
          <cell r="B1678">
            <v>2630</v>
          </cell>
          <cell r="C1678" t="str">
            <v>Tubing Silicone Id 6.0Mm Od 11.0Mm</v>
          </cell>
        </row>
        <row r="1679">
          <cell r="A1679">
            <v>180057796</v>
          </cell>
          <cell r="B1679">
            <v>2696</v>
          </cell>
          <cell r="C1679" t="str">
            <v>Cath Thoracic With Trocar 12Fg</v>
          </cell>
        </row>
        <row r="1680">
          <cell r="A1680">
            <v>180057797</v>
          </cell>
          <cell r="B1680">
            <v>2697</v>
          </cell>
          <cell r="C1680" t="str">
            <v>Cath Thoracic With Trocar 20Fg</v>
          </cell>
        </row>
        <row r="1681">
          <cell r="A1681">
            <v>180057812</v>
          </cell>
          <cell r="B1681">
            <v>2698</v>
          </cell>
          <cell r="C1681" t="str">
            <v>Cath Thoracic With Trocar 28Fg</v>
          </cell>
        </row>
        <row r="1682">
          <cell r="A1682">
            <v>180057814</v>
          </cell>
          <cell r="B1682">
            <v>2699</v>
          </cell>
          <cell r="C1682" t="str">
            <v>Cath Thoracic With Trocar 32Fg</v>
          </cell>
        </row>
        <row r="1683">
          <cell r="A1683">
            <v>189712502</v>
          </cell>
          <cell r="B1683">
            <v>2700</v>
          </cell>
          <cell r="C1683" t="str">
            <v>Cath Thoracic W/out Trocar 32Fg</v>
          </cell>
        </row>
        <row r="1684">
          <cell r="A1684" t="str">
            <v>QUOTE</v>
          </cell>
          <cell r="B1684">
            <v>2701</v>
          </cell>
          <cell r="C1684" t="str">
            <v>Tube Silicone Drain 15Fr Trocar</v>
          </cell>
        </row>
        <row r="1685">
          <cell r="A1685" t="str">
            <v>QUOTE</v>
          </cell>
          <cell r="B1685">
            <v>2702</v>
          </cell>
          <cell r="C1685" t="str">
            <v>Tube Silicone Drain 10Fr Trocar</v>
          </cell>
        </row>
        <row r="1686">
          <cell r="A1686" t="str">
            <v>QUOTE</v>
          </cell>
          <cell r="B1686">
            <v>2703</v>
          </cell>
          <cell r="C1686" t="str">
            <v>Cath Malecot 2 Wings Size 14</v>
          </cell>
        </row>
        <row r="1687">
          <cell r="A1687" t="str">
            <v>PREPACK DEPT</v>
          </cell>
          <cell r="B1687">
            <v>2704</v>
          </cell>
          <cell r="C1687" t="str">
            <v>Labels Yellow 49Mm X 23Mm (Last Until)</v>
          </cell>
        </row>
        <row r="1688">
          <cell r="A1688" t="str">
            <v>QUOTE</v>
          </cell>
          <cell r="B1688">
            <v>2705</v>
          </cell>
          <cell r="C1688" t="str">
            <v>Labels White 75Mm X 50Mm (1 To View) (Semi Gloss)</v>
          </cell>
        </row>
        <row r="1689">
          <cell r="A1689">
            <v>18</v>
          </cell>
          <cell r="B1689">
            <v>2706</v>
          </cell>
          <cell r="C1689" t="str">
            <v>Closed Suction System 6Fr</v>
          </cell>
        </row>
        <row r="1690">
          <cell r="A1690">
            <v>180136949</v>
          </cell>
          <cell r="B1690">
            <v>2707</v>
          </cell>
          <cell r="C1690" t="str">
            <v>Tube Endotracheal Non Cuff Oral 4.0</v>
          </cell>
        </row>
        <row r="1691">
          <cell r="A1691">
            <v>180018990</v>
          </cell>
          <cell r="B1691">
            <v>2708</v>
          </cell>
          <cell r="C1691" t="str">
            <v>Dextrose5% Sol For Iv Infus 1000Ml Hospital</v>
          </cell>
        </row>
        <row r="1692">
          <cell r="A1692" t="str">
            <v>QUOTE</v>
          </cell>
          <cell r="B1692">
            <v>2709</v>
          </cell>
          <cell r="C1692" t="str">
            <v>Catheter Arterial Seldinger 20Ga X 8Cm</v>
          </cell>
        </row>
        <row r="1693">
          <cell r="A1693">
            <v>180339595</v>
          </cell>
          <cell r="B1693">
            <v>2710</v>
          </cell>
          <cell r="C1693" t="str">
            <v>Phenobarbitone Tabs 30Mg (56'S)</v>
          </cell>
        </row>
        <row r="1694">
          <cell r="A1694">
            <v>181808903</v>
          </cell>
          <cell r="B1694">
            <v>2711</v>
          </cell>
          <cell r="C1694" t="str">
            <v>Glove Exam Synt P/l Free Large</v>
          </cell>
        </row>
        <row r="1695">
          <cell r="A1695">
            <v>189705493</v>
          </cell>
          <cell r="B1695">
            <v>2712</v>
          </cell>
          <cell r="C1695" t="str">
            <v>Tube Duodenal Levin 16Fg</v>
          </cell>
        </row>
        <row r="1696">
          <cell r="A1696">
            <v>180147765</v>
          </cell>
          <cell r="B1696">
            <v>2713</v>
          </cell>
          <cell r="C1696" t="str">
            <v>Resuscitation Set Infant 3.0Mm</v>
          </cell>
        </row>
        <row r="1697">
          <cell r="A1697">
            <v>180179982</v>
          </cell>
          <cell r="B1697">
            <v>2714</v>
          </cell>
          <cell r="C1697" t="str">
            <v>Cath.Ureth.Foley 2Way 14Fg  5Ml Silicone</v>
          </cell>
        </row>
        <row r="1698">
          <cell r="A1698" t="str">
            <v>DELETED</v>
          </cell>
          <cell r="B1698">
            <v>2715</v>
          </cell>
          <cell r="C1698" t="str">
            <v>Labels White 49Mm X 20Mm (2 To View) (Semi Gloss)</v>
          </cell>
        </row>
        <row r="1699">
          <cell r="A1699">
            <v>180339395</v>
          </cell>
          <cell r="B1699">
            <v>2716</v>
          </cell>
          <cell r="C1699" t="str">
            <v>~Ciprofloxacin Tabs 500Mg (1'S)</v>
          </cell>
        </row>
        <row r="1700">
          <cell r="A1700" t="str">
            <v>QUOTE</v>
          </cell>
          <cell r="B1700">
            <v>2717</v>
          </cell>
          <cell r="C1700" t="str">
            <v>Handswitching Pencil And Blate Sterile</v>
          </cell>
        </row>
        <row r="1701">
          <cell r="A1701">
            <v>189701733</v>
          </cell>
          <cell r="B1701">
            <v>2718</v>
          </cell>
          <cell r="C1701" t="str">
            <v>Padding Orthopaedic Natural  200Mm</v>
          </cell>
        </row>
        <row r="1702">
          <cell r="A1702">
            <v>180118058</v>
          </cell>
          <cell r="B1702">
            <v>2719</v>
          </cell>
          <cell r="C1702" t="str">
            <v>Carton Dispensary Medium (Brazier Bin)</v>
          </cell>
        </row>
        <row r="1703">
          <cell r="A1703">
            <v>180118054</v>
          </cell>
          <cell r="B1703">
            <v>2720</v>
          </cell>
          <cell r="C1703" t="str">
            <v>Carton Dispensary Small (Brazier Bin)</v>
          </cell>
        </row>
        <row r="1704">
          <cell r="A1704">
            <v>189716025</v>
          </cell>
          <cell r="B1704">
            <v>2721</v>
          </cell>
          <cell r="C1704" t="str">
            <v>Carton Dispensary Large (Brazier Bin)</v>
          </cell>
        </row>
        <row r="1705">
          <cell r="A1705">
            <v>189705227</v>
          </cell>
          <cell r="B1705">
            <v>2722</v>
          </cell>
          <cell r="C1705" t="str">
            <v>~Cap Theatre Green (Bonnet)</v>
          </cell>
        </row>
        <row r="1706">
          <cell r="A1706">
            <v>180031653</v>
          </cell>
          <cell r="B1706">
            <v>2723</v>
          </cell>
          <cell r="C1706" t="str">
            <v>Enteral Feed Bottle 500Ml</v>
          </cell>
        </row>
        <row r="1707">
          <cell r="A1707">
            <v>180007007</v>
          </cell>
          <cell r="B1707">
            <v>2724</v>
          </cell>
          <cell r="C1707" t="str">
            <v>Enteral Feed Set 15 Drops</v>
          </cell>
        </row>
        <row r="1708">
          <cell r="A1708">
            <v>189712208</v>
          </cell>
          <cell r="B1708">
            <v>2725</v>
          </cell>
          <cell r="C1708" t="str">
            <v>Sut Polyest 2/0 1/2Dp 20Mm Cardio</v>
          </cell>
        </row>
        <row r="1709">
          <cell r="A1709">
            <v>181892378</v>
          </cell>
          <cell r="B1709">
            <v>2727</v>
          </cell>
          <cell r="C1709" t="str">
            <v>Ferrous Sulphate Co Tabs (Ward 100)</v>
          </cell>
        </row>
        <row r="1710">
          <cell r="A1710" t="str">
            <v>QUOTE</v>
          </cell>
          <cell r="B1710">
            <v>2728</v>
          </cell>
          <cell r="C1710" t="str">
            <v>Carton Corrugated Stk 4 Swb (Repacking Unit)</v>
          </cell>
        </row>
        <row r="1711">
          <cell r="A1711" t="str">
            <v>*</v>
          </cell>
          <cell r="B1711">
            <v>2729</v>
          </cell>
          <cell r="C1711" t="str">
            <v>Electrosurgical Loop Electrodes</v>
          </cell>
        </row>
        <row r="1712">
          <cell r="A1712">
            <v>180013911</v>
          </cell>
          <cell r="B1712">
            <v>2730</v>
          </cell>
          <cell r="C1712" t="str">
            <v>~Eye Shield Plastic With Elastic Band</v>
          </cell>
        </row>
        <row r="1713">
          <cell r="A1713">
            <v>11848645</v>
          </cell>
          <cell r="B1713">
            <v>2731</v>
          </cell>
          <cell r="C1713" t="str">
            <v>Bag Rebreathing 0,5L 15Mm Tape/neck</v>
          </cell>
        </row>
        <row r="1714">
          <cell r="A1714">
            <v>181779719</v>
          </cell>
          <cell r="B1714">
            <v>2732</v>
          </cell>
          <cell r="C1714" t="str">
            <v>Flexible Et.Introd.Stylet 7-10Mm</v>
          </cell>
        </row>
        <row r="1715">
          <cell r="A1715">
            <v>180238185</v>
          </cell>
          <cell r="B1715">
            <v>2733</v>
          </cell>
          <cell r="C1715" t="str">
            <v>Tube Endotracheal Non Cuff Nasal 4.0</v>
          </cell>
        </row>
        <row r="1716">
          <cell r="A1716">
            <v>189709047</v>
          </cell>
          <cell r="B1716">
            <v>2734</v>
          </cell>
          <cell r="C1716" t="str">
            <v>Tube Endobroncheal Double Lumen 35Ch Left</v>
          </cell>
        </row>
        <row r="1717">
          <cell r="A1717">
            <v>180384749</v>
          </cell>
          <cell r="B1717">
            <v>2735</v>
          </cell>
          <cell r="C1717" t="str">
            <v>Tube Endo Cuff Dual 9.0 Reinforced</v>
          </cell>
        </row>
        <row r="1718">
          <cell r="A1718">
            <v>189705494</v>
          </cell>
          <cell r="B1718">
            <v>2736</v>
          </cell>
          <cell r="C1718" t="str">
            <v>Tube Duodenal Levin 18Fg</v>
          </cell>
        </row>
        <row r="1719">
          <cell r="A1719">
            <v>180240822</v>
          </cell>
          <cell r="B1719">
            <v>2737</v>
          </cell>
          <cell r="C1719" t="str">
            <v>Tube Endotracheal Cuff Oral  5.5</v>
          </cell>
        </row>
        <row r="1720">
          <cell r="A1720">
            <v>180329820</v>
          </cell>
          <cell r="B1720">
            <v>2738</v>
          </cell>
          <cell r="C1720" t="str">
            <v>Tube Endotracheal Cuff Oral  6.0</v>
          </cell>
        </row>
        <row r="1721">
          <cell r="A1721">
            <v>180238181</v>
          </cell>
          <cell r="B1721">
            <v>2739</v>
          </cell>
          <cell r="C1721" t="str">
            <v>Tube Endotracheal Cuff Oral  7.0</v>
          </cell>
        </row>
        <row r="1722">
          <cell r="A1722">
            <v>180329822</v>
          </cell>
          <cell r="B1722">
            <v>2740</v>
          </cell>
          <cell r="C1722" t="str">
            <v>Tube Endotracheal Cuff Oral  7.5</v>
          </cell>
        </row>
        <row r="1723">
          <cell r="A1723">
            <v>180240824</v>
          </cell>
          <cell r="B1723">
            <v>2741</v>
          </cell>
          <cell r="C1723" t="str">
            <v>Tube Endotracheal Cuff Oral  8.0</v>
          </cell>
        </row>
        <row r="1724">
          <cell r="A1724">
            <v>180240714</v>
          </cell>
          <cell r="B1724">
            <v>2742</v>
          </cell>
          <cell r="C1724" t="str">
            <v>Tube Endotracheal Cuff Oral  8.5</v>
          </cell>
        </row>
        <row r="1725">
          <cell r="A1725">
            <v>180329821</v>
          </cell>
          <cell r="B1725">
            <v>2743</v>
          </cell>
          <cell r="C1725" t="str">
            <v>Tube Endotracheal Cuff Oral  6.5</v>
          </cell>
        </row>
        <row r="1726">
          <cell r="A1726">
            <v>181851266</v>
          </cell>
          <cell r="B1726">
            <v>2744</v>
          </cell>
          <cell r="C1726" t="str">
            <v>Dressing Wound Dispersion 20Cm X 1M Roll</v>
          </cell>
        </row>
        <row r="1727">
          <cell r="A1727">
            <v>181848611</v>
          </cell>
          <cell r="B1727">
            <v>2745</v>
          </cell>
          <cell r="C1727" t="str">
            <v>Filter Breath Viral Adult &amp; Cath 15Mm Id, 22Mm</v>
          </cell>
        </row>
        <row r="1728">
          <cell r="A1728">
            <v>181777612</v>
          </cell>
          <cell r="B1728">
            <v>2746</v>
          </cell>
          <cell r="C1728" t="str">
            <v>Adaptor, Aerosol, T, With Port 22Mm,22f</v>
          </cell>
        </row>
        <row r="1729">
          <cell r="A1729">
            <v>181802353</v>
          </cell>
          <cell r="B1729">
            <v>2747</v>
          </cell>
          <cell r="C1729" t="str">
            <v>Laryngeal Mask Airway Size 005 Autoclavable Silicone</v>
          </cell>
        </row>
        <row r="1730">
          <cell r="A1730">
            <v>180329823</v>
          </cell>
          <cell r="B1730">
            <v>2748</v>
          </cell>
          <cell r="C1730" t="str">
            <v>Tube Endotracheal Cuff Oral  4.0</v>
          </cell>
        </row>
        <row r="1731">
          <cell r="A1731">
            <v>189706155</v>
          </cell>
          <cell r="B1731">
            <v>2749</v>
          </cell>
          <cell r="C1731" t="str">
            <v>Tube Duodenal Ryles 18Fg</v>
          </cell>
        </row>
        <row r="1732">
          <cell r="A1732">
            <v>180208573</v>
          </cell>
          <cell r="B1732">
            <v>2750</v>
          </cell>
          <cell r="C1732" t="str">
            <v>Topiramate Tabs 100Mg (60'S)</v>
          </cell>
        </row>
        <row r="1733">
          <cell r="A1733" t="str">
            <v>QUOTE</v>
          </cell>
          <cell r="B1733">
            <v>2751</v>
          </cell>
          <cell r="C1733" t="str">
            <v>Mask Oxygen T-Tube Trach.28% Adult</v>
          </cell>
        </row>
        <row r="1734">
          <cell r="A1734" t="str">
            <v>QUOTE</v>
          </cell>
          <cell r="B1734">
            <v>2752</v>
          </cell>
          <cell r="C1734" t="str">
            <v>Mask Oxygen T-Tube Trach.35% Adult</v>
          </cell>
        </row>
        <row r="1735">
          <cell r="A1735" t="str">
            <v>QUOTE</v>
          </cell>
          <cell r="B1735">
            <v>2753</v>
          </cell>
          <cell r="C1735" t="str">
            <v>Mask Oxygen T-Tube Trach.40% Adult</v>
          </cell>
        </row>
        <row r="1736">
          <cell r="A1736" t="str">
            <v>QUOTE</v>
          </cell>
          <cell r="B1736">
            <v>2754</v>
          </cell>
          <cell r="C1736" t="str">
            <v>Mask Oxygen T-Tube Trach.24% Adult</v>
          </cell>
        </row>
        <row r="1737">
          <cell r="A1737">
            <v>180959231</v>
          </cell>
          <cell r="B1737">
            <v>2755</v>
          </cell>
          <cell r="C1737" t="str">
            <v>Methylprednisolone Fatty Oint  20G</v>
          </cell>
        </row>
        <row r="1738">
          <cell r="A1738">
            <v>189714812</v>
          </cell>
          <cell r="B1738">
            <v>2756</v>
          </cell>
          <cell r="C1738" t="str">
            <v>~Test Strip Litmus Paper Blue</v>
          </cell>
        </row>
        <row r="1739">
          <cell r="A1739">
            <v>180242421</v>
          </cell>
          <cell r="B1739">
            <v>2757</v>
          </cell>
          <cell r="C1739" t="str">
            <v>`Test Strip Litmus Paper Red</v>
          </cell>
        </row>
        <row r="1740">
          <cell r="A1740">
            <v>181777616</v>
          </cell>
          <cell r="B1740">
            <v>2758</v>
          </cell>
          <cell r="C1740" t="str">
            <v>Tube Endobroncheal Double Lumen 28Ch Left</v>
          </cell>
        </row>
        <row r="1741">
          <cell r="A1741" t="str">
            <v>QUOTE STOMA</v>
          </cell>
          <cell r="B1741">
            <v>2759</v>
          </cell>
          <cell r="C1741" t="str">
            <v>Belt Stoma Children Adjustable</v>
          </cell>
        </row>
        <row r="1742">
          <cell r="A1742">
            <v>189714350</v>
          </cell>
          <cell r="B1742">
            <v>2760</v>
          </cell>
          <cell r="C1742" t="str">
            <v>~Minoxidil Tabs 5Mg (100'S)</v>
          </cell>
        </row>
        <row r="1743">
          <cell r="A1743">
            <v>180120095</v>
          </cell>
          <cell r="B1743">
            <v>2761</v>
          </cell>
          <cell r="C1743" t="str">
            <v>Measure Medicine Tumbler 5-50Ml</v>
          </cell>
        </row>
        <row r="1744">
          <cell r="A1744" t="str">
            <v>QUOTE</v>
          </cell>
          <cell r="B1744">
            <v>2762</v>
          </cell>
          <cell r="C1744" t="str">
            <v>Tube Endo Microlaryngeal 4Mm Dual</v>
          </cell>
        </row>
        <row r="1745">
          <cell r="A1745" t="str">
            <v>QUOTE</v>
          </cell>
          <cell r="B1745">
            <v>2763</v>
          </cell>
          <cell r="C1745" t="str">
            <v>Tube Endo Microlaryngeal 5Mm Dual</v>
          </cell>
        </row>
        <row r="1746">
          <cell r="A1746">
            <v>180054282</v>
          </cell>
          <cell r="B1746">
            <v>2764</v>
          </cell>
          <cell r="C1746" t="str">
            <v>Skingraft Blades (158X18.5X0.25Mm)</v>
          </cell>
        </row>
        <row r="1747">
          <cell r="A1747">
            <v>189706080</v>
          </cell>
          <cell r="B1747">
            <v>2765</v>
          </cell>
          <cell r="C1747" t="str">
            <v>Sheath Incontinence 30-Medium Latex</v>
          </cell>
        </row>
        <row r="1748">
          <cell r="A1748">
            <v>189711804</v>
          </cell>
          <cell r="B1748">
            <v>2766</v>
          </cell>
          <cell r="C1748" t="str">
            <v>Phenytoin Caps/tabs 100Mg (84'S)</v>
          </cell>
        </row>
        <row r="1749">
          <cell r="A1749">
            <v>180229093</v>
          </cell>
          <cell r="B1749">
            <v>2767</v>
          </cell>
          <cell r="C1749" t="str">
            <v>Container Ointment S/cap 100G</v>
          </cell>
        </row>
        <row r="1750">
          <cell r="A1750">
            <v>189758109</v>
          </cell>
          <cell r="B1750">
            <v>2768</v>
          </cell>
          <cell r="C1750" t="str">
            <v>~Spigot Plastic Autocl Tapered 10.2Mm To 3.5Mm</v>
          </cell>
        </row>
        <row r="1751">
          <cell r="A1751">
            <v>180166912</v>
          </cell>
          <cell r="B1751">
            <v>2769</v>
          </cell>
          <cell r="C1751" t="str">
            <v>Cytarabine Inj 500Mg</v>
          </cell>
        </row>
        <row r="1752">
          <cell r="A1752">
            <v>181902529</v>
          </cell>
          <cell r="B1752">
            <v>2770</v>
          </cell>
          <cell r="C1752" t="str">
            <v>Subdermal Implants Levonorgestrel 75Mg 2 Implants</v>
          </cell>
        </row>
        <row r="1753">
          <cell r="A1753">
            <v>189711112</v>
          </cell>
          <cell r="B1753">
            <v>2771</v>
          </cell>
          <cell r="C1753" t="str">
            <v>Daunorubicin Inj 20Mg</v>
          </cell>
        </row>
        <row r="1754">
          <cell r="A1754">
            <v>189711605</v>
          </cell>
          <cell r="B1754">
            <v>2772</v>
          </cell>
          <cell r="C1754" t="str">
            <v>~Amoxycillin 125Mg/5ml Susp 75Ml</v>
          </cell>
        </row>
        <row r="1755">
          <cell r="A1755">
            <v>181907965</v>
          </cell>
          <cell r="B1755">
            <v>2773</v>
          </cell>
          <cell r="C1755" t="str">
            <v>Drainage Kit Suprapubic 12F</v>
          </cell>
        </row>
        <row r="1756">
          <cell r="A1756">
            <v>189712802</v>
          </cell>
          <cell r="B1756">
            <v>2774</v>
          </cell>
          <cell r="C1756" t="str">
            <v>Pouch Ostomy Two Piece 45Mm Opaque Drainable</v>
          </cell>
        </row>
        <row r="1757">
          <cell r="A1757">
            <v>181932197</v>
          </cell>
          <cell r="B1757">
            <v>2775</v>
          </cell>
          <cell r="C1757" t="str">
            <v>Syringe Disposable Tuberculin 1.0Ml</v>
          </cell>
        </row>
        <row r="1758">
          <cell r="A1758">
            <v>181798136</v>
          </cell>
          <cell r="B1758">
            <v>2776</v>
          </cell>
          <cell r="C1758" t="str">
            <v>Citalopram Tabs 20Mg (28/30'S)</v>
          </cell>
        </row>
        <row r="1759">
          <cell r="A1759">
            <v>180188832</v>
          </cell>
          <cell r="B1759">
            <v>2777</v>
          </cell>
          <cell r="C1759" t="str">
            <v>Gemcitabine 1G Powder For Inj</v>
          </cell>
        </row>
        <row r="1760">
          <cell r="A1760">
            <v>180296022</v>
          </cell>
          <cell r="B1760">
            <v>2778</v>
          </cell>
          <cell r="C1760" t="str">
            <v>Desmopressin Nasal Spray 100Mcg/ml (5Ml)</v>
          </cell>
        </row>
        <row r="1761">
          <cell r="A1761">
            <v>189742259</v>
          </cell>
          <cell r="B1761">
            <v>2779</v>
          </cell>
          <cell r="C1761" t="str">
            <v>Linen Savers 510Mmx650mm</v>
          </cell>
        </row>
        <row r="1762">
          <cell r="A1762">
            <v>181907966</v>
          </cell>
          <cell r="B1762">
            <v>2780</v>
          </cell>
          <cell r="C1762" t="str">
            <v>Drainage Kit Suprapubic 14F</v>
          </cell>
        </row>
        <row r="1763">
          <cell r="A1763">
            <v>181936075</v>
          </cell>
          <cell r="B1763">
            <v>2781</v>
          </cell>
          <cell r="C1763" t="str">
            <v>Amlodipine Tabs 5Mg (28'S)</v>
          </cell>
        </row>
        <row r="1764">
          <cell r="A1764">
            <v>180240860</v>
          </cell>
          <cell r="B1764">
            <v>3942</v>
          </cell>
          <cell r="C1764" t="str">
            <v>Tube Endotracheal Non Cuff Nasal 3.0</v>
          </cell>
        </row>
        <row r="1765">
          <cell r="A1765">
            <v>180190323</v>
          </cell>
          <cell r="B1765">
            <v>2783</v>
          </cell>
          <cell r="C1765" t="str">
            <v>Sevoflurane B.P 250Ml</v>
          </cell>
        </row>
        <row r="1766">
          <cell r="A1766">
            <v>181811056</v>
          </cell>
          <cell r="B1766">
            <v>2784</v>
          </cell>
          <cell r="C1766" t="str">
            <v>Tpn 8804A (8004A)</v>
          </cell>
        </row>
        <row r="1767">
          <cell r="A1767" t="str">
            <v>QUOTE</v>
          </cell>
          <cell r="B1767">
            <v>2785</v>
          </cell>
          <cell r="C1767" t="str">
            <v>Punch Biopsy 6Mm</v>
          </cell>
        </row>
        <row r="1768">
          <cell r="A1768">
            <v>180973884</v>
          </cell>
          <cell r="B1768">
            <v>2786</v>
          </cell>
          <cell r="C1768" t="str">
            <v>Dressing Wound Abs. Non-Adh. 17.5X17.5Cm</v>
          </cell>
        </row>
        <row r="1769">
          <cell r="A1769" t="str">
            <v>QUOTE</v>
          </cell>
          <cell r="B1769">
            <v>2787</v>
          </cell>
          <cell r="C1769" t="str">
            <v>Cath Malecot 2 Wings Size 16</v>
          </cell>
        </row>
        <row r="1770">
          <cell r="A1770">
            <v>189712489</v>
          </cell>
          <cell r="B1770">
            <v>2788</v>
          </cell>
          <cell r="C1770" t="str">
            <v>Cath Thoracic With Trocar 16Fg</v>
          </cell>
        </row>
        <row r="1771">
          <cell r="A1771">
            <v>181747103</v>
          </cell>
          <cell r="B1771">
            <v>2789</v>
          </cell>
          <cell r="C1771" t="str">
            <v>Filgastrim 300Mcg, 0,5Ml Prefilled</v>
          </cell>
        </row>
        <row r="1772">
          <cell r="A1772" t="str">
            <v>SECTION 21</v>
          </cell>
          <cell r="B1772">
            <v>2790</v>
          </cell>
          <cell r="C1772" t="str">
            <v>Primaquine Tabs 15Mg</v>
          </cell>
        </row>
        <row r="1773">
          <cell r="A1773" t="str">
            <v>QUOTE</v>
          </cell>
          <cell r="B1773">
            <v>2791</v>
          </cell>
          <cell r="C1773" t="str">
            <v>Adrenocorticotrophic Hormone 40Iu/ml Vial</v>
          </cell>
        </row>
        <row r="1774">
          <cell r="A1774">
            <v>181800243</v>
          </cell>
          <cell r="B1774">
            <v>2792</v>
          </cell>
          <cell r="C1774" t="str">
            <v>Set Pressure Monitoring Arterial With Flush Device</v>
          </cell>
        </row>
        <row r="1775">
          <cell r="A1775">
            <v>189701779</v>
          </cell>
          <cell r="B1775">
            <v>2793</v>
          </cell>
          <cell r="C1775" t="str">
            <v>Dressing Standard First Aid  50Mmx1m</v>
          </cell>
        </row>
        <row r="1776">
          <cell r="A1776">
            <v>180295179</v>
          </cell>
          <cell r="B1776">
            <v>2794</v>
          </cell>
          <cell r="C1776" t="str">
            <v>~Paper Sterilization Green 100X140cm</v>
          </cell>
        </row>
        <row r="1777">
          <cell r="A1777">
            <v>189705228</v>
          </cell>
          <cell r="B1777">
            <v>2795</v>
          </cell>
          <cell r="C1777" t="str">
            <v>Overshoes Single Use All Sizes</v>
          </cell>
        </row>
        <row r="1778">
          <cell r="A1778">
            <v>180329827</v>
          </cell>
          <cell r="B1778">
            <v>2796</v>
          </cell>
          <cell r="C1778" t="str">
            <v>Tube Endotracheal Cuff Nasal 6.5</v>
          </cell>
        </row>
        <row r="1779">
          <cell r="A1779" t="str">
            <v>QUOTE STOMA</v>
          </cell>
          <cell r="B1779">
            <v>2797</v>
          </cell>
          <cell r="C1779" t="str">
            <v>~Flange 70Mm Combihesive</v>
          </cell>
        </row>
        <row r="1780">
          <cell r="A1780">
            <v>189712803</v>
          </cell>
          <cell r="B1780">
            <v>2798</v>
          </cell>
          <cell r="C1780" t="str">
            <v>Pouch Ostomy  57Mm Opaque 3813J</v>
          </cell>
        </row>
        <row r="1781">
          <cell r="A1781">
            <v>180254416</v>
          </cell>
          <cell r="B1781">
            <v>2799</v>
          </cell>
          <cell r="C1781" t="str">
            <v>Carvedilol 6.25Mg Scored Tabs (30'S)</v>
          </cell>
        </row>
        <row r="1782">
          <cell r="A1782">
            <v>180229538</v>
          </cell>
          <cell r="B1782">
            <v>2800</v>
          </cell>
          <cell r="C1782" t="str">
            <v>Sut Chromic 1 1/2Tp 48Mm</v>
          </cell>
        </row>
        <row r="1783">
          <cell r="A1783" t="str">
            <v>QUOTE</v>
          </cell>
          <cell r="B1783">
            <v>2801</v>
          </cell>
          <cell r="C1783" t="str">
            <v>Band Circling 240 Style 2.5 Eye Specialist</v>
          </cell>
        </row>
        <row r="1784">
          <cell r="A1784" t="str">
            <v>3027310 DEL</v>
          </cell>
          <cell r="B1784">
            <v>2802</v>
          </cell>
          <cell r="C1784" t="str">
            <v>~Surgical Steel 4 Heavy Rc 48Mm 12  (2420-09)</v>
          </cell>
        </row>
        <row r="1785">
          <cell r="A1785" t="str">
            <v>PREPACK  50</v>
          </cell>
          <cell r="B1785">
            <v>2803</v>
          </cell>
          <cell r="C1785" t="str">
            <v>~Praziquantel Tabs 500Mg (Ward 50)</v>
          </cell>
        </row>
        <row r="1786">
          <cell r="A1786">
            <v>180320714</v>
          </cell>
          <cell r="B1786">
            <v>2804</v>
          </cell>
          <cell r="C1786" t="str">
            <v>Ligaclips Ligation Medium</v>
          </cell>
        </row>
        <row r="1787">
          <cell r="A1787">
            <v>180048823</v>
          </cell>
          <cell r="B1787">
            <v>2805</v>
          </cell>
          <cell r="C1787" t="str">
            <v>~Ligaclips Ligatation Medium/large</v>
          </cell>
        </row>
        <row r="1788">
          <cell r="A1788" t="str">
            <v>QUOTE</v>
          </cell>
          <cell r="B1788">
            <v>2806</v>
          </cell>
          <cell r="C1788" t="str">
            <v>Sleeve Silicone 270 Style 1.65 Eye Specialist</v>
          </cell>
        </row>
        <row r="1789">
          <cell r="A1789" t="str">
            <v>QUOTE</v>
          </cell>
          <cell r="B1789">
            <v>2807</v>
          </cell>
          <cell r="C1789" t="str">
            <v>Tire Silicone 277 Style 7X32mm</v>
          </cell>
        </row>
        <row r="1790">
          <cell r="A1790">
            <v>181808985</v>
          </cell>
          <cell r="B1790">
            <v>2808</v>
          </cell>
          <cell r="C1790" t="str">
            <v>Somatropin 15 Inj</v>
          </cell>
        </row>
        <row r="1791">
          <cell r="A1791" t="str">
            <v>3024800 DEL</v>
          </cell>
          <cell r="B1791">
            <v>2809</v>
          </cell>
          <cell r="C1791" t="str">
            <v>~Sut Silk 8/0 1/2Rc 8Mm Blue</v>
          </cell>
        </row>
        <row r="1792">
          <cell r="A1792">
            <v>180214054</v>
          </cell>
          <cell r="B1792">
            <v>2810</v>
          </cell>
          <cell r="C1792" t="str">
            <v>Oestradiol Transdermal B 25Ug(1.6Mg)</v>
          </cell>
        </row>
        <row r="1793">
          <cell r="A1793">
            <v>180966087</v>
          </cell>
          <cell r="B1793">
            <v>2811</v>
          </cell>
          <cell r="C1793" t="str">
            <v>~Rif  60 Inh 30 Pza 150 Sachet (56'S)</v>
          </cell>
        </row>
        <row r="1794">
          <cell r="A1794">
            <v>180320699</v>
          </cell>
          <cell r="B1794">
            <v>2812</v>
          </cell>
          <cell r="C1794" t="str">
            <v>Sut Silk 3/0 3/8Rc 19Mm</v>
          </cell>
        </row>
        <row r="1795">
          <cell r="A1795">
            <v>180144073</v>
          </cell>
          <cell r="B1795">
            <v>2813</v>
          </cell>
          <cell r="C1795" t="str">
            <v>Botulinum Toxin Type A (I M Use)</v>
          </cell>
        </row>
        <row r="1796">
          <cell r="A1796">
            <v>189707139</v>
          </cell>
          <cell r="B1796">
            <v>2814</v>
          </cell>
          <cell r="C1796" t="str">
            <v>Stitch Cutter Long</v>
          </cell>
        </row>
        <row r="1797">
          <cell r="A1797" t="str">
            <v>QUOTE</v>
          </cell>
          <cell r="B1797">
            <v>2815</v>
          </cell>
          <cell r="C1797" t="str">
            <v>Tube Endo Microlaryngeal 6Mm Dual</v>
          </cell>
        </row>
        <row r="1798">
          <cell r="A1798" t="str">
            <v>RT  13 031</v>
          </cell>
          <cell r="B1798">
            <v>2816</v>
          </cell>
          <cell r="C1798" t="str">
            <v>Connector Swivel Male &amp; Female 15Mm</v>
          </cell>
        </row>
        <row r="1799">
          <cell r="A1799">
            <v>181813595</v>
          </cell>
          <cell r="B1799">
            <v>2817</v>
          </cell>
          <cell r="C1799" t="str">
            <v>Pemetrexed Disodium 500Mg Powder For Solution Vial</v>
          </cell>
        </row>
        <row r="1800">
          <cell r="A1800" t="str">
            <v>QUOTE STOMA</v>
          </cell>
          <cell r="B1800">
            <v>2818</v>
          </cell>
          <cell r="C1800" t="str">
            <v>Adaptor For Pouch Night Drain</v>
          </cell>
        </row>
        <row r="1801">
          <cell r="A1801">
            <v>189761385</v>
          </cell>
          <cell r="B1801">
            <v>2819</v>
          </cell>
          <cell r="C1801" t="str">
            <v>Hydroxyurea Caps 500Mg (100'S)</v>
          </cell>
        </row>
        <row r="1802">
          <cell r="A1802" t="str">
            <v>QUOTE</v>
          </cell>
          <cell r="B1802">
            <v>2820</v>
          </cell>
          <cell r="C1802" t="str">
            <v>Dialysis G.F.E 11</v>
          </cell>
        </row>
        <row r="1803">
          <cell r="A1803" t="str">
            <v>QUOTE</v>
          </cell>
          <cell r="B1803">
            <v>2821</v>
          </cell>
          <cell r="C1803" t="str">
            <v>Dialysis G.F.E  9</v>
          </cell>
        </row>
        <row r="1804">
          <cell r="A1804" t="str">
            <v>QUOTE 14075</v>
          </cell>
          <cell r="B1804">
            <v>2822</v>
          </cell>
          <cell r="C1804" t="str">
            <v>Fistula &amp; Wound Management System</v>
          </cell>
        </row>
        <row r="1805">
          <cell r="A1805">
            <v>189702735</v>
          </cell>
          <cell r="B1805">
            <v>3943</v>
          </cell>
          <cell r="C1805" t="str">
            <v>Capreomycin 1G Injection</v>
          </cell>
        </row>
        <row r="1806">
          <cell r="A1806" t="str">
            <v>QUOTE STOMA</v>
          </cell>
          <cell r="B1806">
            <v>2824</v>
          </cell>
          <cell r="C1806" t="str">
            <v>Pouch Ostomy 102Mm Transparent Sterile</v>
          </cell>
        </row>
        <row r="1807">
          <cell r="A1807" t="str">
            <v>QUOTE 14065</v>
          </cell>
          <cell r="B1807">
            <v>2825</v>
          </cell>
          <cell r="C1807" t="str">
            <v>Fistula And System Management Midi</v>
          </cell>
        </row>
        <row r="1808">
          <cell r="A1808">
            <v>181790514</v>
          </cell>
          <cell r="B1808">
            <v>2826</v>
          </cell>
          <cell r="C1808" t="str">
            <v>Tpn 8003A</v>
          </cell>
        </row>
        <row r="1809">
          <cell r="A1809">
            <v>189706340</v>
          </cell>
          <cell r="B1809">
            <v>2827</v>
          </cell>
          <cell r="C1809" t="str">
            <v>Amoxycillin 250Mg/5ml Susp 100Ml</v>
          </cell>
        </row>
        <row r="1810">
          <cell r="A1810">
            <v>189712510</v>
          </cell>
          <cell r="B1810">
            <v>2828</v>
          </cell>
          <cell r="C1810" t="str">
            <v>Cath Thoracic W/out Trocar 24Fg</v>
          </cell>
        </row>
        <row r="1811">
          <cell r="A1811">
            <v>180056681</v>
          </cell>
          <cell r="B1811">
            <v>2829</v>
          </cell>
          <cell r="C1811" t="str">
            <v>Cath Suction Respiratory  5Fg (Control Airport) 350Mm</v>
          </cell>
        </row>
        <row r="1812">
          <cell r="A1812" t="str">
            <v>DELETED</v>
          </cell>
          <cell r="B1812">
            <v>2830</v>
          </cell>
          <cell r="C1812" t="str">
            <v>~Sut Synthabs 1 1/2Rc 48Mm 90Cm</v>
          </cell>
        </row>
        <row r="1813">
          <cell r="A1813">
            <v>189707813</v>
          </cell>
          <cell r="B1813">
            <v>2831</v>
          </cell>
          <cell r="C1813" t="str">
            <v>Sut Nylon 1 3/8Cc 90Mm 2X75mm With Vinyl Tubing</v>
          </cell>
        </row>
        <row r="1814">
          <cell r="A1814" t="str">
            <v>QUOTE</v>
          </cell>
          <cell r="B1814">
            <v>2832</v>
          </cell>
          <cell r="C1814" t="str">
            <v>Sut Ethicon 5.0 11Mm 3/8</v>
          </cell>
        </row>
        <row r="1815">
          <cell r="A1815" t="str">
            <v>QUOTE</v>
          </cell>
          <cell r="B1815">
            <v>2833</v>
          </cell>
          <cell r="C1815" t="str">
            <v>Sut Synthabs 3.0 Vicryl</v>
          </cell>
        </row>
        <row r="1816">
          <cell r="A1816">
            <v>180350719</v>
          </cell>
          <cell r="B1816">
            <v>2834</v>
          </cell>
          <cell r="C1816" t="str">
            <v>Cycloserine Caps 250Mg (100'S)</v>
          </cell>
        </row>
        <row r="1817">
          <cell r="A1817">
            <v>180330424</v>
          </cell>
          <cell r="B1817">
            <v>2835</v>
          </cell>
          <cell r="C1817" t="str">
            <v>~Sut 6/0 3/8Rc 11Mm  Monofilament</v>
          </cell>
        </row>
        <row r="1818">
          <cell r="A1818" t="str">
            <v>QUOTE</v>
          </cell>
          <cell r="B1818">
            <v>2836</v>
          </cell>
          <cell r="C1818" t="str">
            <v>Suction Reservoir 450Ml</v>
          </cell>
        </row>
        <row r="1819">
          <cell r="A1819">
            <v>180157321</v>
          </cell>
          <cell r="B1819">
            <v>2837</v>
          </cell>
          <cell r="C1819" t="str">
            <v>Clarithromycin Inj 500Mg</v>
          </cell>
        </row>
        <row r="1820">
          <cell r="A1820">
            <v>181776079</v>
          </cell>
          <cell r="B1820">
            <v>2838</v>
          </cell>
          <cell r="C1820" t="str">
            <v>Catheter Mount 90Mm Right Angled Swived</v>
          </cell>
        </row>
        <row r="1821">
          <cell r="A1821">
            <v>180132386</v>
          </cell>
          <cell r="B1821">
            <v>2839</v>
          </cell>
          <cell r="C1821" t="str">
            <v>Pantoprazole Sodium 40Mg Tablets</v>
          </cell>
        </row>
        <row r="1822">
          <cell r="A1822">
            <v>189704603</v>
          </cell>
          <cell r="B1822">
            <v>2840</v>
          </cell>
          <cell r="C1822" t="str">
            <v>~Tape Surgical Synthetic  25Mm</v>
          </cell>
        </row>
        <row r="1823">
          <cell r="A1823">
            <v>189704605</v>
          </cell>
          <cell r="B1823">
            <v>2841</v>
          </cell>
          <cell r="C1823" t="str">
            <v>Tape Surgical Adhesive Synthetic Film 75Mm X5m</v>
          </cell>
        </row>
        <row r="1824">
          <cell r="A1824">
            <v>189704606</v>
          </cell>
          <cell r="B1824">
            <v>2842</v>
          </cell>
          <cell r="C1824" t="str">
            <v>~Tape Surgical Synthetic 100Mm</v>
          </cell>
        </row>
        <row r="1825">
          <cell r="A1825">
            <v>181906552</v>
          </cell>
          <cell r="B1825">
            <v>2843</v>
          </cell>
          <cell r="C1825" t="str">
            <v>Glove Exam Obs &amp; Gynae Small</v>
          </cell>
        </row>
        <row r="1826">
          <cell r="A1826">
            <v>181906553</v>
          </cell>
          <cell r="B1826">
            <v>2844</v>
          </cell>
          <cell r="C1826" t="str">
            <v>Glove Exam Obs &amp; Gynae Medium</v>
          </cell>
        </row>
        <row r="1827">
          <cell r="A1827">
            <v>181906554</v>
          </cell>
          <cell r="B1827">
            <v>2845</v>
          </cell>
          <cell r="C1827" t="str">
            <v>Glove Exam Obs &amp; Gynae Large</v>
          </cell>
        </row>
        <row r="1828">
          <cell r="A1828" t="str">
            <v>MOTIVATION</v>
          </cell>
          <cell r="B1828">
            <v>2846</v>
          </cell>
          <cell r="C1828" t="str">
            <v>Pov-Iodine Non-Adherent Dressing 50Mmx50mm</v>
          </cell>
        </row>
        <row r="1829">
          <cell r="A1829" t="str">
            <v>MOTIVATION</v>
          </cell>
          <cell r="B1829">
            <v>2847</v>
          </cell>
          <cell r="C1829" t="str">
            <v>Pov-Iodine Non-Adherent Dressing 95Mmx 95 Mm</v>
          </cell>
        </row>
        <row r="1830">
          <cell r="A1830" t="str">
            <v>QUOTE</v>
          </cell>
          <cell r="B1830">
            <v>2848</v>
          </cell>
          <cell r="C1830" t="str">
            <v>Loop Electrode 15 X 10Mm</v>
          </cell>
        </row>
        <row r="1831">
          <cell r="A1831">
            <v>180295040</v>
          </cell>
          <cell r="B1831">
            <v>2849</v>
          </cell>
          <cell r="C1831" t="str">
            <v>Vial Tablet Amber 100Ml</v>
          </cell>
        </row>
        <row r="1832">
          <cell r="A1832">
            <v>180158734</v>
          </cell>
          <cell r="B1832">
            <v>2850</v>
          </cell>
          <cell r="C1832" t="str">
            <v>Bag Sterilization  No  1</v>
          </cell>
        </row>
        <row r="1833">
          <cell r="A1833" t="str">
            <v>DELETED</v>
          </cell>
          <cell r="B1833">
            <v>2851</v>
          </cell>
          <cell r="C1833" t="str">
            <v>~Mask Anaesthetic Black 22Mm Sz 5</v>
          </cell>
        </row>
        <row r="1834">
          <cell r="A1834">
            <v>180156448</v>
          </cell>
          <cell r="B1834">
            <v>2852</v>
          </cell>
          <cell r="C1834" t="str">
            <v>Ganciclovir Inj 500Mg</v>
          </cell>
        </row>
        <row r="1835">
          <cell r="A1835" t="str">
            <v>QUOTE</v>
          </cell>
          <cell r="B1835">
            <v>2853</v>
          </cell>
          <cell r="C1835" t="str">
            <v>Tube Tracheostomy Non Cuff  3.0</v>
          </cell>
        </row>
        <row r="1836">
          <cell r="A1836">
            <v>180108134</v>
          </cell>
          <cell r="B1836">
            <v>2854</v>
          </cell>
          <cell r="C1836" t="str">
            <v>Lamotrigine Tabs  25Mg (60'S-Dispersible)</v>
          </cell>
        </row>
        <row r="1837">
          <cell r="A1837">
            <v>180183286</v>
          </cell>
          <cell r="B1837">
            <v>2855</v>
          </cell>
          <cell r="C1837" t="str">
            <v>Lamotrigine Tabs   5Mg (100'S-Dispersible)</v>
          </cell>
        </row>
        <row r="1838">
          <cell r="A1838" t="str">
            <v>QUOTE</v>
          </cell>
          <cell r="B1838">
            <v>2856</v>
          </cell>
          <cell r="C1838" t="str">
            <v>Sut Synthabs 2/0 1/2Tp 22Mm</v>
          </cell>
        </row>
        <row r="1839">
          <cell r="A1839">
            <v>180329942</v>
          </cell>
          <cell r="B1839">
            <v>2857</v>
          </cell>
          <cell r="C1839" t="str">
            <v>Sut Synthabs 1 1/2Tp 40Mm</v>
          </cell>
        </row>
        <row r="1840">
          <cell r="A1840" t="str">
            <v>QUOTE</v>
          </cell>
          <cell r="B1840">
            <v>2858</v>
          </cell>
          <cell r="C1840" t="str">
            <v>Sut Synthabs 1 1/2Tp 45Mm</v>
          </cell>
        </row>
        <row r="1841">
          <cell r="A1841">
            <v>180229111</v>
          </cell>
          <cell r="B1841">
            <v>2859</v>
          </cell>
          <cell r="C1841" t="str">
            <v>Glove Surgical Low Allergy Size 8.0</v>
          </cell>
        </row>
        <row r="1842">
          <cell r="A1842" t="str">
            <v>QUOTE EYE</v>
          </cell>
          <cell r="B1842">
            <v>2860</v>
          </cell>
          <cell r="C1842" t="str">
            <v>Tubing Silicone Id 0.3Mm Od 0.64Mm</v>
          </cell>
        </row>
        <row r="1843">
          <cell r="A1843">
            <v>180352435</v>
          </cell>
          <cell r="B1843">
            <v>2861</v>
          </cell>
          <cell r="C1843" t="str">
            <v>Cannula Nasal Infant #1 Low Flow Oxygen</v>
          </cell>
        </row>
        <row r="1844">
          <cell r="A1844" t="str">
            <v>QUOTE</v>
          </cell>
          <cell r="B1844">
            <v>2862</v>
          </cell>
          <cell r="C1844" t="str">
            <v>~Hydrocortisone Susp 10Mg/5ml</v>
          </cell>
        </row>
        <row r="1845">
          <cell r="A1845">
            <v>180153248</v>
          </cell>
          <cell r="B1845">
            <v>2863</v>
          </cell>
          <cell r="C1845" t="str">
            <v>Syringe Disposable Insulin 0.5Ml</v>
          </cell>
        </row>
        <row r="1846">
          <cell r="A1846">
            <v>180228896</v>
          </cell>
          <cell r="B1846">
            <v>2864</v>
          </cell>
          <cell r="C1846" t="str">
            <v>Sodium Carboxymethyl Cellulose 25G</v>
          </cell>
        </row>
        <row r="1847">
          <cell r="A1847">
            <v>189700483</v>
          </cell>
          <cell r="B1847">
            <v>2935</v>
          </cell>
          <cell r="C1847" t="str">
            <v>Vitamin Multiple Drops</v>
          </cell>
        </row>
        <row r="1848">
          <cell r="A1848" t="str">
            <v>QUOTE</v>
          </cell>
          <cell r="B1848">
            <v>2907</v>
          </cell>
          <cell r="C1848" t="str">
            <v>Silicone Pessary Ring Size 3</v>
          </cell>
        </row>
        <row r="1849">
          <cell r="A1849">
            <v>181843154</v>
          </cell>
          <cell r="B1849">
            <v>2865</v>
          </cell>
          <cell r="C1849" t="str">
            <v>Pouch Ostomy One Piece 20-60Mm Opague Drainable</v>
          </cell>
        </row>
        <row r="1850">
          <cell r="A1850" t="str">
            <v>QUOTE</v>
          </cell>
          <cell r="B1850">
            <v>2866</v>
          </cell>
          <cell r="C1850" t="str">
            <v>Nalbuphine Inj 20Mg/2ml</v>
          </cell>
        </row>
        <row r="1851">
          <cell r="A1851">
            <v>189704685</v>
          </cell>
          <cell r="B1851">
            <v>2867</v>
          </cell>
          <cell r="C1851" t="str">
            <v>Amoxycillin 125Mg/5ml Susp 100Ml</v>
          </cell>
        </row>
        <row r="1852">
          <cell r="A1852" t="str">
            <v>PREPACK  56</v>
          </cell>
          <cell r="B1852">
            <v>2868</v>
          </cell>
          <cell r="C1852" t="str">
            <v>~Phenytoin Caps 100Mg (56'S)</v>
          </cell>
        </row>
        <row r="1853">
          <cell r="A1853">
            <v>181932141</v>
          </cell>
          <cell r="B1853">
            <v>2869</v>
          </cell>
          <cell r="C1853" t="str">
            <v>Cath.Ureth.Nelaton 14Fg 400Mm Pvc 2 Eye</v>
          </cell>
        </row>
        <row r="1854">
          <cell r="A1854">
            <v>180968975</v>
          </cell>
          <cell r="B1854">
            <v>2870</v>
          </cell>
          <cell r="C1854" t="str">
            <v>Risperidone Oral Solution  30Ml</v>
          </cell>
        </row>
        <row r="1855">
          <cell r="A1855" t="str">
            <v>QUOTE</v>
          </cell>
          <cell r="B1855">
            <v>2871</v>
          </cell>
          <cell r="C1855" t="str">
            <v>~Copper Sulphate 500G</v>
          </cell>
        </row>
        <row r="1856">
          <cell r="A1856">
            <v>189703226</v>
          </cell>
          <cell r="B1856">
            <v>2872</v>
          </cell>
          <cell r="C1856" t="str">
            <v>Sut Nylon 4/0 3/8Cc 20Mm</v>
          </cell>
        </row>
        <row r="1857">
          <cell r="A1857">
            <v>189704897</v>
          </cell>
          <cell r="B1857">
            <v>2873</v>
          </cell>
          <cell r="C1857" t="str">
            <v>Sut Silk 4/0 3/8Rc 19Mm</v>
          </cell>
        </row>
        <row r="1858">
          <cell r="A1858">
            <v>180073819</v>
          </cell>
          <cell r="B1858">
            <v>2874</v>
          </cell>
          <cell r="C1858" t="str">
            <v>Ondansetron Inj For I.V 8Mg/4ml</v>
          </cell>
        </row>
        <row r="1859">
          <cell r="A1859">
            <v>189710735</v>
          </cell>
          <cell r="B1859">
            <v>2875</v>
          </cell>
          <cell r="C1859" t="str">
            <v>Epirubicin Inj 50Mg</v>
          </cell>
        </row>
        <row r="1860">
          <cell r="A1860">
            <v>189714271</v>
          </cell>
          <cell r="B1860">
            <v>2876</v>
          </cell>
          <cell r="C1860" t="str">
            <v>Mitomycin Inj 10Mg</v>
          </cell>
        </row>
        <row r="1861">
          <cell r="A1861">
            <v>180046827</v>
          </cell>
          <cell r="B1861">
            <v>2877</v>
          </cell>
          <cell r="C1861" t="str">
            <v>Sut Silk 5/0 3/8Rc 19Mm</v>
          </cell>
        </row>
        <row r="1862">
          <cell r="A1862">
            <v>180346281</v>
          </cell>
          <cell r="B1862">
            <v>2878</v>
          </cell>
          <cell r="C1862" t="str">
            <v>Sodium Alginate (Nu Gel) 25G</v>
          </cell>
        </row>
        <row r="1863">
          <cell r="A1863">
            <v>180047868</v>
          </cell>
          <cell r="B1863">
            <v>2879</v>
          </cell>
          <cell r="C1863" t="str">
            <v>~Sut Polyest 0 1/2Tp 36Mm Cardio</v>
          </cell>
        </row>
        <row r="1864">
          <cell r="A1864" t="str">
            <v>3025120 DEL</v>
          </cell>
          <cell r="B1864">
            <v>2880</v>
          </cell>
          <cell r="C1864" t="str">
            <v>~Sut Polyest 6/0 1/2Tp 13Mm</v>
          </cell>
        </row>
        <row r="1865">
          <cell r="A1865">
            <v>180139013</v>
          </cell>
          <cell r="B1865">
            <v>2881</v>
          </cell>
          <cell r="C1865" t="str">
            <v>~Sut Nylon 1 1/2Tp 50Mm</v>
          </cell>
        </row>
        <row r="1866">
          <cell r="A1866">
            <v>180212762</v>
          </cell>
          <cell r="B1866">
            <v>2882</v>
          </cell>
          <cell r="C1866" t="str">
            <v>Sut Plain 2/0 1/2Tp 50Mm</v>
          </cell>
        </row>
        <row r="1867">
          <cell r="A1867" t="str">
            <v>QUOTE</v>
          </cell>
          <cell r="B1867">
            <v>2883</v>
          </cell>
          <cell r="C1867" t="str">
            <v>Sut Synthabs 1 1/2Tp 36Mm</v>
          </cell>
        </row>
        <row r="1868">
          <cell r="A1868">
            <v>180329843</v>
          </cell>
          <cell r="B1868">
            <v>2884</v>
          </cell>
          <cell r="C1868" t="str">
            <v>Sut Synthabs 2/0 1/2Rc 37Mm</v>
          </cell>
        </row>
        <row r="1869">
          <cell r="A1869" t="str">
            <v>DELETED</v>
          </cell>
          <cell r="B1869">
            <v>2885</v>
          </cell>
          <cell r="C1869" t="str">
            <v>~Sut Synthabs 4/0 3/8Rc 17.6Mm</v>
          </cell>
        </row>
        <row r="1870">
          <cell r="A1870" t="str">
            <v>QUOTE</v>
          </cell>
          <cell r="B1870">
            <v>2886</v>
          </cell>
          <cell r="C1870" t="str">
            <v>Sut Monosynth Pds 6.0 11Mm</v>
          </cell>
        </row>
        <row r="1871">
          <cell r="A1871" t="str">
            <v>QUOTE</v>
          </cell>
          <cell r="B1871">
            <v>2887</v>
          </cell>
          <cell r="C1871" t="str">
            <v>Sut Synthabs 3/0 Vicryl</v>
          </cell>
        </row>
        <row r="1872">
          <cell r="A1872">
            <v>189713782</v>
          </cell>
          <cell r="B1872">
            <v>2888</v>
          </cell>
          <cell r="C1872" t="str">
            <v>Sut Synthabs 0 Ligation</v>
          </cell>
        </row>
        <row r="1873">
          <cell r="A1873" t="str">
            <v>QUOTE</v>
          </cell>
          <cell r="B1873">
            <v>2889</v>
          </cell>
          <cell r="C1873" t="str">
            <v>Sut Polyprop 6/0 3/8Tp 13Mm Cardio Black Needle</v>
          </cell>
        </row>
        <row r="1874">
          <cell r="A1874">
            <v>180211862</v>
          </cell>
          <cell r="B1874">
            <v>2890</v>
          </cell>
          <cell r="C1874" t="str">
            <v>Sut Silk 2/0 1/2Tp 30Mm</v>
          </cell>
        </row>
        <row r="1875">
          <cell r="A1875" t="str">
            <v>DELETED</v>
          </cell>
          <cell r="B1875">
            <v>2891</v>
          </cell>
          <cell r="C1875" t="str">
            <v>Sut Polyprop 0 1/2Tc 35Mm</v>
          </cell>
        </row>
        <row r="1876">
          <cell r="A1876" t="str">
            <v>DELETED</v>
          </cell>
          <cell r="B1876">
            <v>2892</v>
          </cell>
          <cell r="C1876" t="str">
            <v>Sut Silk 5/0 3/8Rc 12Mm</v>
          </cell>
        </row>
        <row r="1877">
          <cell r="A1877">
            <v>181823313</v>
          </cell>
          <cell r="B1877">
            <v>2893</v>
          </cell>
          <cell r="C1877" t="str">
            <v>~Sut Plain 0 1/2Tp 40Mm</v>
          </cell>
        </row>
        <row r="1878">
          <cell r="A1878">
            <v>180029296</v>
          </cell>
          <cell r="B1878">
            <v>2894</v>
          </cell>
          <cell r="C1878" t="str">
            <v>Sut Polyprop 1 1/2Tp 40Mm</v>
          </cell>
        </row>
        <row r="1879">
          <cell r="A1879">
            <v>180138729</v>
          </cell>
          <cell r="B1879">
            <v>2895</v>
          </cell>
          <cell r="C1879" t="str">
            <v>Sut Silk 0 3/8Rc 45Mm</v>
          </cell>
        </row>
        <row r="1880">
          <cell r="A1880">
            <v>180173380</v>
          </cell>
          <cell r="B1880">
            <v>2896</v>
          </cell>
          <cell r="C1880" t="str">
            <v>Bandage Compression Porous Elastic Low Allergy 75Mm</v>
          </cell>
        </row>
        <row r="1881">
          <cell r="A1881">
            <v>181817626</v>
          </cell>
          <cell r="B1881">
            <v>2897</v>
          </cell>
          <cell r="C1881" t="str">
            <v>Rif 150 Pza 400 Inh 75 Eth 275  (56'S)</v>
          </cell>
        </row>
        <row r="1882">
          <cell r="A1882">
            <v>180319916</v>
          </cell>
          <cell r="B1882">
            <v>2898</v>
          </cell>
          <cell r="C1882" t="str">
            <v>Sut Chromic 1 3/8Bp 63Mm</v>
          </cell>
        </row>
        <row r="1883">
          <cell r="A1883">
            <v>189711414</v>
          </cell>
          <cell r="B1883">
            <v>2899</v>
          </cell>
          <cell r="C1883" t="str">
            <v>Chlorpheniramine Syr 2Mg/5ml 50Ml</v>
          </cell>
        </row>
        <row r="1884">
          <cell r="A1884" t="str">
            <v>QUOTE</v>
          </cell>
          <cell r="B1884">
            <v>2901</v>
          </cell>
          <cell r="C1884" t="str">
            <v>Needle Disposable Epidural 18G X 80Mm</v>
          </cell>
        </row>
        <row r="1885">
          <cell r="A1885">
            <v>189717351</v>
          </cell>
          <cell r="B1885">
            <v>2902</v>
          </cell>
          <cell r="C1885" t="str">
            <v>~Cath.Ureth.Nelaton  6Fg 400Mm Pvc. 2 Eye</v>
          </cell>
        </row>
        <row r="1886">
          <cell r="A1886" t="str">
            <v>QUOTE</v>
          </cell>
          <cell r="B1886">
            <v>2903</v>
          </cell>
          <cell r="C1886" t="str">
            <v>Cath Thoracic With Trocar  8Fg</v>
          </cell>
        </row>
        <row r="1887">
          <cell r="A1887">
            <v>181817608</v>
          </cell>
          <cell r="B1887">
            <v>2904</v>
          </cell>
          <cell r="C1887" t="str">
            <v>Rif 150 Pza 400 Inh 75 Eth 275  (112'S)</v>
          </cell>
        </row>
        <row r="1888">
          <cell r="A1888">
            <v>189703494</v>
          </cell>
          <cell r="B1888">
            <v>2905</v>
          </cell>
          <cell r="C1888" t="str">
            <v>~Swabs Padded Non-Woven 100Mmx100mm 8Ply</v>
          </cell>
        </row>
        <row r="1889">
          <cell r="A1889" t="str">
            <v>QUOTE</v>
          </cell>
          <cell r="B1889">
            <v>2906</v>
          </cell>
          <cell r="C1889" t="str">
            <v>Dermacarrier Size 1.5</v>
          </cell>
        </row>
        <row r="1890">
          <cell r="A1890">
            <v>180027864</v>
          </cell>
          <cell r="B1890">
            <v>2908</v>
          </cell>
          <cell r="C1890" t="str">
            <v>Campaign: Vaccine Oral Polio Bivalent 20 Dose Vial</v>
          </cell>
        </row>
        <row r="1891">
          <cell r="A1891">
            <v>181817575</v>
          </cell>
          <cell r="B1891">
            <v>2909</v>
          </cell>
          <cell r="C1891" t="str">
            <v>Rif 300 Inh 150 (56'S)</v>
          </cell>
        </row>
        <row r="1892">
          <cell r="A1892">
            <v>181817413</v>
          </cell>
          <cell r="B1892">
            <v>2910</v>
          </cell>
          <cell r="C1892" t="str">
            <v>Ethambutol Tabs 400Mg (56'S)</v>
          </cell>
        </row>
        <row r="1893">
          <cell r="A1893">
            <v>189705431</v>
          </cell>
          <cell r="B1893">
            <v>2911</v>
          </cell>
          <cell r="C1893" t="str">
            <v>~Tape Surgical Microporous  25Mm</v>
          </cell>
        </row>
        <row r="1894">
          <cell r="A1894">
            <v>180295037</v>
          </cell>
          <cell r="B1894">
            <v>2912</v>
          </cell>
          <cell r="C1894" t="str">
            <v>Vial Tablet Amber  75Ml</v>
          </cell>
        </row>
        <row r="1895">
          <cell r="A1895">
            <v>181817634</v>
          </cell>
          <cell r="B1895">
            <v>2913</v>
          </cell>
          <cell r="C1895" t="str">
            <v>Rif 150 Inh  75 (84'S)</v>
          </cell>
        </row>
        <row r="1896">
          <cell r="A1896">
            <v>180059344</v>
          </cell>
          <cell r="B1896">
            <v>2914</v>
          </cell>
          <cell r="C1896" t="str">
            <v>Bandage Compression Sustained 100Mm</v>
          </cell>
        </row>
        <row r="1897">
          <cell r="A1897">
            <v>180363934</v>
          </cell>
          <cell r="B1897">
            <v>2915</v>
          </cell>
          <cell r="C1897" t="str">
            <v>Epidural System (Cath 16G)</v>
          </cell>
        </row>
        <row r="1898">
          <cell r="A1898">
            <v>180281798</v>
          </cell>
          <cell r="B1898">
            <v>2916</v>
          </cell>
          <cell r="C1898" t="str">
            <v>Stopcock Three Way  3 Ports</v>
          </cell>
        </row>
        <row r="1899">
          <cell r="A1899">
            <v>189704309</v>
          </cell>
          <cell r="B1899">
            <v>2917</v>
          </cell>
          <cell r="C1899" t="str">
            <v>Syringe Disposable  2Ml Three Part</v>
          </cell>
        </row>
        <row r="1900">
          <cell r="A1900">
            <v>180034619</v>
          </cell>
          <cell r="B1900">
            <v>2918</v>
          </cell>
          <cell r="C1900" t="str">
            <v>Winged Infusion Set Continuous 25G</v>
          </cell>
        </row>
        <row r="1901">
          <cell r="A1901">
            <v>181804852</v>
          </cell>
          <cell r="B1901">
            <v>2919</v>
          </cell>
          <cell r="C1901" t="str">
            <v>Oxaliplatin 100Mg/20ml</v>
          </cell>
        </row>
        <row r="1902">
          <cell r="A1902">
            <v>180155245</v>
          </cell>
          <cell r="B1902">
            <v>2920</v>
          </cell>
          <cell r="C1902" t="str">
            <v>Propranolol Tabs 10Mg  (56'S)</v>
          </cell>
        </row>
        <row r="1903">
          <cell r="A1903" t="str">
            <v>QUOTE</v>
          </cell>
          <cell r="B1903">
            <v>2921</v>
          </cell>
          <cell r="C1903" t="str">
            <v>Needle Disposable Epidural 16G X 80Mm</v>
          </cell>
        </row>
        <row r="1904">
          <cell r="A1904">
            <v>189714887</v>
          </cell>
          <cell r="B1904">
            <v>2922</v>
          </cell>
          <cell r="C1904" t="str">
            <v>Needle Biopsy Single 14G X 152Mm</v>
          </cell>
        </row>
        <row r="1905">
          <cell r="A1905">
            <v>180295299</v>
          </cell>
          <cell r="B1905">
            <v>2923</v>
          </cell>
          <cell r="C1905" t="str">
            <v>Glove Surgical Latex Long Size 9.0</v>
          </cell>
        </row>
        <row r="1906">
          <cell r="A1906">
            <v>181837484</v>
          </cell>
          <cell r="B1906">
            <v>2924</v>
          </cell>
          <cell r="C1906" t="str">
            <v>Fluorescein Inj 100Mg/ml-5Ml Ampoule</v>
          </cell>
        </row>
        <row r="1907">
          <cell r="A1907" t="str">
            <v>3026880 DEL</v>
          </cell>
          <cell r="B1907">
            <v>2925</v>
          </cell>
          <cell r="C1907" t="str">
            <v>~Sut Nylon 10 3/8C Spatula 6.5Mm Black</v>
          </cell>
        </row>
        <row r="1908">
          <cell r="A1908" t="str">
            <v>3024832 DEL</v>
          </cell>
          <cell r="B1908">
            <v>2926</v>
          </cell>
          <cell r="C1908" t="str">
            <v>~Sut Silk 8/0 3/8Sp 7Mm</v>
          </cell>
        </row>
        <row r="1909">
          <cell r="A1909">
            <v>189701809</v>
          </cell>
          <cell r="B1909">
            <v>2927</v>
          </cell>
          <cell r="C1909" t="str">
            <v>Gauze Ribbon Absorbent Cotton 50Mmx10m</v>
          </cell>
        </row>
        <row r="1910">
          <cell r="A1910">
            <v>189701811</v>
          </cell>
          <cell r="B1910">
            <v>2928</v>
          </cell>
          <cell r="C1910" t="str">
            <v>Gauze Ribbon Absorbent Cotton 75Mmx10m</v>
          </cell>
        </row>
        <row r="1911">
          <cell r="A1911" t="str">
            <v>QUOTE</v>
          </cell>
          <cell r="B1911">
            <v>2929</v>
          </cell>
          <cell r="C1911" t="str">
            <v>~Gestrinone Caps 2.5Mg</v>
          </cell>
        </row>
        <row r="1912">
          <cell r="A1912">
            <v>189712859</v>
          </cell>
          <cell r="B1912">
            <v>2930</v>
          </cell>
          <cell r="C1912" t="str">
            <v>Resuscitation Set Infant 2.0Mm</v>
          </cell>
        </row>
        <row r="1913">
          <cell r="A1913">
            <v>189712860</v>
          </cell>
          <cell r="B1913">
            <v>2931</v>
          </cell>
          <cell r="C1913" t="str">
            <v>Resuscitation Set Infant 2.5Mm</v>
          </cell>
        </row>
        <row r="1914">
          <cell r="A1914" t="str">
            <v>QUOTE</v>
          </cell>
          <cell r="B1914">
            <v>2932</v>
          </cell>
          <cell r="C1914" t="str">
            <v>Diagnostic Peritoneal Lavage Set</v>
          </cell>
        </row>
        <row r="1915">
          <cell r="A1915">
            <v>180177782</v>
          </cell>
          <cell r="B1915">
            <v>2933</v>
          </cell>
          <cell r="C1915" t="str">
            <v>Sut Polyprop 7/0 3/8Tp  8Mm Cardio</v>
          </cell>
        </row>
        <row r="1916">
          <cell r="A1916">
            <v>180080354</v>
          </cell>
          <cell r="B1916">
            <v>2934</v>
          </cell>
          <cell r="C1916" t="str">
            <v>Sut Polyprop 6/0 3/8Tp 12-13Mm Cardio Double Armed</v>
          </cell>
        </row>
        <row r="1917">
          <cell r="A1917">
            <v>180157308</v>
          </cell>
          <cell r="B1917">
            <v>2936</v>
          </cell>
          <cell r="C1917" t="str">
            <v>Clarithromycin 125Mg/5ml Susp 50Ml</v>
          </cell>
        </row>
        <row r="1918">
          <cell r="A1918">
            <v>180040765</v>
          </cell>
          <cell r="B1918">
            <v>2937</v>
          </cell>
          <cell r="C1918" t="str">
            <v>Set T U R Irrigation Y-Type</v>
          </cell>
        </row>
        <row r="1919">
          <cell r="A1919" t="str">
            <v>DELETED</v>
          </cell>
          <cell r="B1919">
            <v>2938</v>
          </cell>
          <cell r="C1919" t="str">
            <v>~Paper Sterilization Green 120X120cm</v>
          </cell>
        </row>
        <row r="1920">
          <cell r="A1920">
            <v>189701384</v>
          </cell>
          <cell r="B1920">
            <v>2939</v>
          </cell>
          <cell r="C1920" t="str">
            <v>Mask Oxygen Rebreather Adult</v>
          </cell>
        </row>
        <row r="1921">
          <cell r="A1921">
            <v>180370098</v>
          </cell>
          <cell r="B1921">
            <v>2940</v>
          </cell>
          <cell r="C1921" t="str">
            <v>Tube Endotracheal Cuff Nasal 7.0</v>
          </cell>
        </row>
        <row r="1922">
          <cell r="A1922">
            <v>180034789</v>
          </cell>
          <cell r="B1922">
            <v>2941</v>
          </cell>
          <cell r="C1922" t="str">
            <v>Set Monitoring Venous Pressure</v>
          </cell>
        </row>
        <row r="1923">
          <cell r="A1923">
            <v>180017038</v>
          </cell>
          <cell r="B1923">
            <v>2942</v>
          </cell>
          <cell r="C1923" t="str">
            <v>Collar &amp; Cuff 50Mmx10mm</v>
          </cell>
        </row>
        <row r="1924">
          <cell r="A1924">
            <v>180286747</v>
          </cell>
          <cell r="B1924">
            <v>2943</v>
          </cell>
          <cell r="C1924" t="str">
            <v>~Cath.Ureth.Nelaton 18Fg 400Mm Pvc. 2 Eye</v>
          </cell>
        </row>
        <row r="1925">
          <cell r="A1925" t="str">
            <v>DELETED</v>
          </cell>
          <cell r="B1925">
            <v>2944</v>
          </cell>
          <cell r="C1925" t="str">
            <v>Connector Endotrach Tube Cobbs 6.5-8.0Mm (Nc 7411)</v>
          </cell>
        </row>
        <row r="1926">
          <cell r="A1926">
            <v>189762945</v>
          </cell>
          <cell r="B1926">
            <v>2945</v>
          </cell>
          <cell r="C1926" t="str">
            <v>~Cefuroxime 250Mg Tabs (10'S)</v>
          </cell>
        </row>
        <row r="1927">
          <cell r="A1927">
            <v>189717394</v>
          </cell>
          <cell r="B1927">
            <v>2946</v>
          </cell>
          <cell r="C1927" t="str">
            <v>Connector Plastic Autoclave Double Tape  7-11Mm</v>
          </cell>
        </row>
        <row r="1928">
          <cell r="A1928" t="str">
            <v>*</v>
          </cell>
          <cell r="B1928">
            <v>2947</v>
          </cell>
          <cell r="C1928" t="str">
            <v>Tpn 3314Xa</v>
          </cell>
        </row>
        <row r="1929">
          <cell r="A1929">
            <v>181827784</v>
          </cell>
          <cell r="B1929">
            <v>2948</v>
          </cell>
          <cell r="C1929" t="str">
            <v>Tpn 5003A</v>
          </cell>
        </row>
        <row r="1930">
          <cell r="A1930">
            <v>189705296</v>
          </cell>
          <cell r="B1930">
            <v>2949</v>
          </cell>
          <cell r="C1930" t="str">
            <v>Swabs Gauze Absorbent Sterile 100Mmx100mm  8Ply</v>
          </cell>
        </row>
        <row r="1931">
          <cell r="A1931">
            <v>189705285</v>
          </cell>
          <cell r="B1931">
            <v>2950</v>
          </cell>
          <cell r="C1931" t="str">
            <v>Pad Surgical Absorbent Sterile 100Mmx200mm</v>
          </cell>
        </row>
        <row r="1932">
          <cell r="A1932">
            <v>180957018</v>
          </cell>
          <cell r="B1932">
            <v>2985</v>
          </cell>
          <cell r="C1932" t="str">
            <v>Sut Polyest 2/0 1/2Tc 17,4Mm 5X75cm Cardio</v>
          </cell>
        </row>
        <row r="1933">
          <cell r="A1933">
            <v>180211818</v>
          </cell>
          <cell r="B1933">
            <v>2951</v>
          </cell>
          <cell r="C1933" t="str">
            <v>Sut Polyest 3/0 1/2Tc 17,4Mm</v>
          </cell>
        </row>
        <row r="1934">
          <cell r="A1934">
            <v>189713878</v>
          </cell>
          <cell r="B1934">
            <v>2952</v>
          </cell>
          <cell r="C1934" t="str">
            <v>~Surgical Steel 0 1/2T     20Mm 12  (2593-63)</v>
          </cell>
        </row>
        <row r="1935">
          <cell r="A1935">
            <v>181848334</v>
          </cell>
          <cell r="B1935">
            <v>2953</v>
          </cell>
          <cell r="C1935" t="str">
            <v>Surgical Tape 25Mx3mm Umbilical Non.Abs</v>
          </cell>
        </row>
        <row r="1936">
          <cell r="A1936">
            <v>180211721</v>
          </cell>
          <cell r="B1936">
            <v>2954</v>
          </cell>
          <cell r="C1936" t="str">
            <v>Surgical Steel 5 Heavy Rc 57Mm 12  (2424-89)</v>
          </cell>
        </row>
        <row r="1937">
          <cell r="A1937">
            <v>180212804</v>
          </cell>
          <cell r="B1937">
            <v>2955</v>
          </cell>
          <cell r="C1937" t="str">
            <v>Sut Polyest 2/0 1/2Tp 26Mm</v>
          </cell>
        </row>
        <row r="1938">
          <cell r="A1938">
            <v>189708274</v>
          </cell>
          <cell r="B1938">
            <v>2956</v>
          </cell>
          <cell r="C1938" t="str">
            <v>~Sut Polyest 3/0 1/2Tp 20Mm</v>
          </cell>
        </row>
        <row r="1939">
          <cell r="A1939">
            <v>180320521</v>
          </cell>
          <cell r="B1939">
            <v>2957</v>
          </cell>
          <cell r="C1939" t="str">
            <v>Sut Polyest 2/0 1/2Tc 16Mm</v>
          </cell>
        </row>
        <row r="1940">
          <cell r="A1940" t="str">
            <v>*</v>
          </cell>
          <cell r="B1940">
            <v>2958</v>
          </cell>
          <cell r="C1940" t="str">
            <v>Sut Polyest 1/2Bp 66Mm Mersiline Shirodkar</v>
          </cell>
        </row>
        <row r="1941">
          <cell r="A1941" t="str">
            <v>3025900 DEL</v>
          </cell>
          <cell r="B1941">
            <v>2959</v>
          </cell>
          <cell r="C1941" t="str">
            <v>~Sut Polyprop 2/0 3/8Rc 39Mm</v>
          </cell>
        </row>
        <row r="1942">
          <cell r="A1942">
            <v>180028558</v>
          </cell>
          <cell r="B1942">
            <v>2960</v>
          </cell>
          <cell r="C1942" t="str">
            <v>~Sut Polyprop 6/0 3/8Rc 16Mm</v>
          </cell>
        </row>
        <row r="1943">
          <cell r="A1943">
            <v>189713850</v>
          </cell>
          <cell r="B1943">
            <v>2961</v>
          </cell>
          <cell r="C1943" t="str">
            <v>Sut Polyprop 3/0 1/2Tc 26Mm</v>
          </cell>
        </row>
        <row r="1944">
          <cell r="A1944">
            <v>180232966</v>
          </cell>
          <cell r="B1944">
            <v>2962</v>
          </cell>
          <cell r="C1944" t="str">
            <v>Sut Polyprop 2/0 1/2Tc 26Mm</v>
          </cell>
        </row>
        <row r="1945">
          <cell r="A1945" t="str">
            <v>3021955 DEL</v>
          </cell>
          <cell r="B1945">
            <v>2963</v>
          </cell>
          <cell r="C1945" t="str">
            <v>~Sut Synthabs 1/0 1/2Bp 40Mm 90Cm</v>
          </cell>
        </row>
        <row r="1946">
          <cell r="A1946">
            <v>180390272</v>
          </cell>
          <cell r="B1946">
            <v>2964</v>
          </cell>
          <cell r="C1946" t="str">
            <v>Scalpel Surgical Blades No. 12</v>
          </cell>
        </row>
        <row r="1947">
          <cell r="A1947">
            <v>189713805</v>
          </cell>
          <cell r="B1947">
            <v>2965</v>
          </cell>
          <cell r="C1947" t="str">
            <v>~Sut Monosyn 4/0 3/8Rc 19Mm Violet</v>
          </cell>
        </row>
        <row r="1948">
          <cell r="A1948">
            <v>180045320</v>
          </cell>
          <cell r="B1948">
            <v>2966</v>
          </cell>
          <cell r="C1948" t="str">
            <v>~Sut Chromic 0 3/8Bp 64Mm Soft Tissue</v>
          </cell>
        </row>
        <row r="1949">
          <cell r="A1949" t="str">
            <v>3023950 DEL</v>
          </cell>
          <cell r="B1949">
            <v>2967</v>
          </cell>
          <cell r="C1949" t="str">
            <v>~Sut Monosyn 4 1/2Rc 48Mm Violet</v>
          </cell>
        </row>
        <row r="1950">
          <cell r="A1950">
            <v>189758109</v>
          </cell>
          <cell r="B1950">
            <v>2969</v>
          </cell>
          <cell r="C1950" t="str">
            <v>Spigot Plastic Autocl Tapered 10Mm</v>
          </cell>
        </row>
        <row r="1951">
          <cell r="A1951">
            <v>180240853</v>
          </cell>
          <cell r="B1951">
            <v>2970</v>
          </cell>
          <cell r="C1951" t="str">
            <v>~Spigot Plastic Autocl Tapered  7Mm</v>
          </cell>
        </row>
        <row r="1952">
          <cell r="A1952">
            <v>189714369</v>
          </cell>
          <cell r="B1952">
            <v>2971</v>
          </cell>
          <cell r="C1952" t="str">
            <v>Eucalyptus Oil  B.P</v>
          </cell>
        </row>
        <row r="1953">
          <cell r="A1953" t="str">
            <v>MOTIVATION</v>
          </cell>
          <cell r="B1953">
            <v>2972</v>
          </cell>
          <cell r="C1953" t="str">
            <v>Tube Endo Micropharyngeal 3Mm Dual</v>
          </cell>
        </row>
        <row r="1954">
          <cell r="A1954">
            <v>181777089</v>
          </cell>
          <cell r="B1954">
            <v>2973</v>
          </cell>
          <cell r="C1954" t="str">
            <v>Bag Rebreathing 1L Straight Neck 22F 1L Latex Free</v>
          </cell>
        </row>
        <row r="1955">
          <cell r="A1955">
            <v>189715108</v>
          </cell>
          <cell r="B1955">
            <v>2974</v>
          </cell>
          <cell r="C1955" t="str">
            <v>~Erythromycin Tabs 250Mg (100'S)</v>
          </cell>
        </row>
        <row r="1956">
          <cell r="A1956" t="str">
            <v>DELETED</v>
          </cell>
          <cell r="B1956">
            <v>2975</v>
          </cell>
          <cell r="C1956" t="str">
            <v>~Swabs Padded Non-Woven  50Mmx50mm 4Ply</v>
          </cell>
        </row>
        <row r="1957">
          <cell r="A1957" t="str">
            <v>DELETED</v>
          </cell>
          <cell r="B1957">
            <v>2976</v>
          </cell>
          <cell r="C1957" t="str">
            <v>~Swabs Padded Non-Woven  75Mmx75mm 4Ply</v>
          </cell>
        </row>
        <row r="1958">
          <cell r="A1958">
            <v>189706087</v>
          </cell>
          <cell r="B1958">
            <v>2977</v>
          </cell>
          <cell r="C1958" t="str">
            <v>Paper Sterilization Green  90Cmx90cm</v>
          </cell>
        </row>
        <row r="1959">
          <cell r="A1959">
            <v>181897255</v>
          </cell>
          <cell r="B1959">
            <v>2978</v>
          </cell>
          <cell r="C1959" t="str">
            <v>Measles 10 Dose Diluent</v>
          </cell>
        </row>
        <row r="1960">
          <cell r="A1960">
            <v>1811813057</v>
          </cell>
          <cell r="B1960">
            <v>2979</v>
          </cell>
          <cell r="C1960" t="str">
            <v>Tampon Vaginal Autoclavable</v>
          </cell>
        </row>
        <row r="1961">
          <cell r="A1961">
            <v>181817499</v>
          </cell>
          <cell r="B1961">
            <v>2980</v>
          </cell>
          <cell r="C1961" t="str">
            <v>Pyrazinamide 500Mg Tablet 56'S</v>
          </cell>
        </row>
        <row r="1962">
          <cell r="A1962">
            <v>180208565</v>
          </cell>
          <cell r="B1962">
            <v>2981</v>
          </cell>
          <cell r="C1962" t="str">
            <v>Topiramate Tabs  25Mg (60'S)</v>
          </cell>
        </row>
        <row r="1963">
          <cell r="A1963" t="str">
            <v>QUOTE</v>
          </cell>
          <cell r="B1963">
            <v>2982</v>
          </cell>
          <cell r="C1963" t="str">
            <v>Tube Ats Interphase Luer Line E36601</v>
          </cell>
        </row>
        <row r="1964">
          <cell r="A1964">
            <v>180059773</v>
          </cell>
          <cell r="B1964">
            <v>2983</v>
          </cell>
          <cell r="C1964" t="str">
            <v>Syringe Disposable Luer Lock 50Ml</v>
          </cell>
        </row>
        <row r="1965">
          <cell r="A1965">
            <v>189705492</v>
          </cell>
          <cell r="B1965">
            <v>2984</v>
          </cell>
          <cell r="C1965" t="str">
            <v>Tube Duodenal Levin 14Fg</v>
          </cell>
        </row>
        <row r="1966">
          <cell r="A1966">
            <v>181848647</v>
          </cell>
          <cell r="B1966">
            <v>2986</v>
          </cell>
          <cell r="C1966" t="str">
            <v>Articulated Flexible Stylet.7.5Mm-8Mm</v>
          </cell>
        </row>
        <row r="1967">
          <cell r="A1967">
            <v>181916240</v>
          </cell>
          <cell r="B1967">
            <v>2987</v>
          </cell>
          <cell r="C1967" t="str">
            <v>Test H I V Confirmation</v>
          </cell>
        </row>
        <row r="1968">
          <cell r="A1968" t="str">
            <v>QUOTE</v>
          </cell>
          <cell r="B1968">
            <v>2988</v>
          </cell>
          <cell r="C1968" t="str">
            <v>Suction Reservoir 150Ml</v>
          </cell>
        </row>
        <row r="1969">
          <cell r="A1969">
            <v>180290835</v>
          </cell>
          <cell r="B1969">
            <v>2989</v>
          </cell>
          <cell r="C1969" t="str">
            <v>Tube Endotracheal Non Cuff Nasal 3.5</v>
          </cell>
        </row>
        <row r="1970">
          <cell r="A1970" t="str">
            <v>MOTIVATION</v>
          </cell>
          <cell r="B1970">
            <v>2992</v>
          </cell>
          <cell r="C1970" t="str">
            <v>Irbesartan 150Mg, Hydrochlorothiazide 12,5Mg</v>
          </cell>
        </row>
        <row r="1971">
          <cell r="A1971" t="str">
            <v>QUOTE</v>
          </cell>
          <cell r="B1971">
            <v>2990</v>
          </cell>
          <cell r="C1971" t="str">
            <v>Labels Parenteral Infusion Control</v>
          </cell>
        </row>
        <row r="1972">
          <cell r="A1972">
            <v>181813972</v>
          </cell>
          <cell r="B1972">
            <v>2991</v>
          </cell>
          <cell r="C1972" t="str">
            <v>Valproate / Valproic Acid Tabs 300Mg (56'S)</v>
          </cell>
        </row>
        <row r="1973">
          <cell r="A1973">
            <v>189762943</v>
          </cell>
          <cell r="B1973">
            <v>2993</v>
          </cell>
          <cell r="C1973" t="str">
            <v>~Cefuroxime Tabs 500Mg (10'S)</v>
          </cell>
        </row>
        <row r="1974">
          <cell r="A1974">
            <v>180000607</v>
          </cell>
          <cell r="B1974">
            <v>2994</v>
          </cell>
          <cell r="C1974" t="str">
            <v>Pyridostigmine Tabs 10Mg (50'S)</v>
          </cell>
        </row>
        <row r="1975">
          <cell r="A1975">
            <v>180205026</v>
          </cell>
          <cell r="B1975">
            <v>2995</v>
          </cell>
          <cell r="C1975" t="str">
            <v>Lamivudine 10Mg/ml Oral Sol - 240Ml</v>
          </cell>
        </row>
        <row r="1976">
          <cell r="A1976">
            <v>180327940</v>
          </cell>
          <cell r="B1976">
            <v>2996</v>
          </cell>
          <cell r="C1976" t="str">
            <v>~Sodium Cromoglycate Nasal Spray 20Mg/ml 26Ml</v>
          </cell>
        </row>
        <row r="1977">
          <cell r="A1977">
            <v>189710589</v>
          </cell>
          <cell r="B1977">
            <v>2997</v>
          </cell>
          <cell r="C1977" t="str">
            <v>~Insulin Humelin L 10Ml</v>
          </cell>
        </row>
        <row r="1978">
          <cell r="A1978">
            <v>189710724</v>
          </cell>
          <cell r="B1978">
            <v>2998</v>
          </cell>
          <cell r="C1978" t="str">
            <v>Methotrexate Inj  500Mg</v>
          </cell>
        </row>
        <row r="1979">
          <cell r="A1979">
            <v>181827542</v>
          </cell>
          <cell r="B1979">
            <v>2999</v>
          </cell>
          <cell r="C1979" t="str">
            <v>Cefixime 400Mg Tabs (1'S)</v>
          </cell>
        </row>
        <row r="1980">
          <cell r="A1980">
            <v>181936179</v>
          </cell>
          <cell r="B1980">
            <v>3000</v>
          </cell>
          <cell r="C1980" t="str">
            <v>Campaign: Mebendazole 500Mg Tablet (1'S)</v>
          </cell>
        </row>
        <row r="1981">
          <cell r="A1981" t="str">
            <v>QUOTE STOMA</v>
          </cell>
          <cell r="B1981">
            <v>3001</v>
          </cell>
          <cell r="C1981" t="str">
            <v>Paste Sealant Stomahesive</v>
          </cell>
        </row>
        <row r="1982">
          <cell r="A1982">
            <v>189710066</v>
          </cell>
          <cell r="B1982">
            <v>3002</v>
          </cell>
          <cell r="C1982" t="str">
            <v>Flucloxacillin Caps 250Mg (100'S)</v>
          </cell>
        </row>
        <row r="1983">
          <cell r="A1983">
            <v>180954155</v>
          </cell>
          <cell r="B1983">
            <v>3003</v>
          </cell>
          <cell r="C1983" t="str">
            <v>Ondansetron Tabs 4Mg (10'S)</v>
          </cell>
        </row>
        <row r="1984">
          <cell r="A1984">
            <v>189710642</v>
          </cell>
          <cell r="B1984">
            <v>3004</v>
          </cell>
          <cell r="C1984" t="str">
            <v>Busulphan Tablets 2Mg (100'S)</v>
          </cell>
        </row>
        <row r="1985">
          <cell r="A1985">
            <v>180250272</v>
          </cell>
          <cell r="B1985">
            <v>3005</v>
          </cell>
          <cell r="C1985" t="str">
            <v>Erythropoietin Inj 4000Iu/ml</v>
          </cell>
        </row>
        <row r="1986">
          <cell r="A1986" t="str">
            <v>QUOTE</v>
          </cell>
          <cell r="B1986">
            <v>3006</v>
          </cell>
          <cell r="C1986" t="str">
            <v>~Probanthine Tabs 15Mg (100'S)</v>
          </cell>
        </row>
        <row r="1987">
          <cell r="A1987">
            <v>181896235</v>
          </cell>
          <cell r="B1987">
            <v>3007</v>
          </cell>
          <cell r="C1987" t="str">
            <v>Stavudine Caps 15Mg (60'S)</v>
          </cell>
        </row>
        <row r="1988">
          <cell r="A1988">
            <v>180027608</v>
          </cell>
          <cell r="B1988">
            <v>3008</v>
          </cell>
          <cell r="C1988" t="str">
            <v>Test Strip Blood Glucose (Glucometer)</v>
          </cell>
        </row>
        <row r="1989">
          <cell r="A1989">
            <v>181900500</v>
          </cell>
          <cell r="B1989">
            <v>3944</v>
          </cell>
          <cell r="C1989" t="str">
            <v>Needle Localiser Nerve (Stimuplex A100)</v>
          </cell>
        </row>
        <row r="1990">
          <cell r="A1990" t="str">
            <v>QUOTE</v>
          </cell>
          <cell r="B1990">
            <v>3009</v>
          </cell>
          <cell r="C1990" t="str">
            <v>Register For S6-S7 Medicines</v>
          </cell>
        </row>
        <row r="1991">
          <cell r="A1991" t="str">
            <v>PREPACK 28</v>
          </cell>
          <cell r="B1991">
            <v>3010</v>
          </cell>
          <cell r="C1991" t="str">
            <v>Clozapine Tabs 100Mg (28'S)</v>
          </cell>
        </row>
        <row r="1992">
          <cell r="A1992" t="str">
            <v>MOTIVATION</v>
          </cell>
          <cell r="B1992">
            <v>3015</v>
          </cell>
          <cell r="C1992" t="str">
            <v>Glove Surgical Non Latex Size 8.0</v>
          </cell>
        </row>
        <row r="1993">
          <cell r="A1993">
            <v>180035474</v>
          </cell>
          <cell r="B1993">
            <v>3012</v>
          </cell>
          <cell r="C1993" t="str">
            <v>Citric Acid Monohydrate Crystals 500G</v>
          </cell>
        </row>
        <row r="1994">
          <cell r="A1994">
            <v>189715099</v>
          </cell>
          <cell r="B1994">
            <v>3013</v>
          </cell>
          <cell r="C1994" t="str">
            <v>Sodium Citrate Powder 500G</v>
          </cell>
        </row>
        <row r="1995">
          <cell r="A1995">
            <v>180030909</v>
          </cell>
          <cell r="B1995">
            <v>3014</v>
          </cell>
          <cell r="C1995" t="str">
            <v>Sut Silk 6/0 3/8Rc 13Mm</v>
          </cell>
        </row>
        <row r="1996">
          <cell r="A1996">
            <v>189714705</v>
          </cell>
          <cell r="B1996">
            <v>3016</v>
          </cell>
          <cell r="C1996" t="str">
            <v>Buffered Cream 500Gm</v>
          </cell>
        </row>
        <row r="1997">
          <cell r="A1997">
            <v>181923856</v>
          </cell>
          <cell r="B1997">
            <v>3017</v>
          </cell>
          <cell r="C1997" t="str">
            <v>Bedaquiline 100Mg Tabs  (188'S)</v>
          </cell>
        </row>
        <row r="1998">
          <cell r="A1998" t="str">
            <v>QUOTE SAVP</v>
          </cell>
          <cell r="B1998">
            <v>3018</v>
          </cell>
          <cell r="C1998" t="str">
            <v>Scorpion Antivenom 5Ml</v>
          </cell>
        </row>
        <row r="1999">
          <cell r="A1999">
            <v>189705299</v>
          </cell>
          <cell r="B1999">
            <v>3019</v>
          </cell>
          <cell r="C1999" t="str">
            <v>Swabs Abdominal Sterile 370Mmx450mm 36G</v>
          </cell>
        </row>
        <row r="2000">
          <cell r="A2000">
            <v>189712052</v>
          </cell>
          <cell r="B2000">
            <v>3020</v>
          </cell>
          <cell r="C2000" t="str">
            <v>Bandage Cast P.O.P Slab  75Mm</v>
          </cell>
        </row>
        <row r="2001">
          <cell r="A2001" t="str">
            <v>QUOTE</v>
          </cell>
          <cell r="B2001">
            <v>3021</v>
          </cell>
          <cell r="C2001" t="str">
            <v>Labels Red 75Mm X 30Mm (2 To View)</v>
          </cell>
        </row>
        <row r="2002">
          <cell r="A2002" t="str">
            <v>QUOTE</v>
          </cell>
          <cell r="B2002">
            <v>3022</v>
          </cell>
          <cell r="C2002" t="str">
            <v>Labels White 75Mm X 50Mm (2 To View)</v>
          </cell>
        </row>
        <row r="2003">
          <cell r="A2003">
            <v>189714795</v>
          </cell>
          <cell r="B2003">
            <v>3023</v>
          </cell>
          <cell r="C2003" t="str">
            <v>~Theophylline Syr 500Ml Alcohol Free</v>
          </cell>
        </row>
        <row r="2004">
          <cell r="A2004">
            <v>181902207</v>
          </cell>
          <cell r="B2004">
            <v>3033</v>
          </cell>
          <cell r="C2004" t="str">
            <v>Tpn Multi Bag Adult Basal W/out Electrolytes -P C F E</v>
          </cell>
        </row>
        <row r="2005">
          <cell r="A2005">
            <v>180327841</v>
          </cell>
          <cell r="B2005">
            <v>3025</v>
          </cell>
          <cell r="C2005" t="str">
            <v>~Potassium Iodide B P Crystals</v>
          </cell>
        </row>
        <row r="2006">
          <cell r="A2006">
            <v>189712669</v>
          </cell>
          <cell r="B2006">
            <v>3026</v>
          </cell>
          <cell r="C2006" t="str">
            <v>Carbamazepine Tabs 400Mg C R (30'S)</v>
          </cell>
        </row>
        <row r="2007">
          <cell r="A2007">
            <v>189703003</v>
          </cell>
          <cell r="B2007">
            <v>3027</v>
          </cell>
          <cell r="C2007" t="str">
            <v>Campaign: Needle Hypodermic 18G</v>
          </cell>
        </row>
        <row r="2008">
          <cell r="A2008">
            <v>180250265</v>
          </cell>
          <cell r="B2008">
            <v>3028</v>
          </cell>
          <cell r="C2008" t="str">
            <v>Erythropoietin Inj 2000Iu, 0.5Ml</v>
          </cell>
        </row>
        <row r="2009">
          <cell r="A2009">
            <v>180185866</v>
          </cell>
          <cell r="B2009">
            <v>3029</v>
          </cell>
          <cell r="C2009" t="str">
            <v>Sut Synthabs 4/0 3/8Rc 18Mm</v>
          </cell>
        </row>
        <row r="2010">
          <cell r="A2010">
            <v>189713937</v>
          </cell>
          <cell r="B2010">
            <v>3030</v>
          </cell>
          <cell r="C2010" t="str">
            <v>Catheter Mount 140Mm Right Angled 15F (Pat) 22F (Mach)</v>
          </cell>
        </row>
        <row r="2011">
          <cell r="A2011">
            <v>180227222</v>
          </cell>
          <cell r="B2011">
            <v>3031</v>
          </cell>
          <cell r="C2011" t="str">
            <v>Mianserin Tabs 30Mg</v>
          </cell>
        </row>
        <row r="2012">
          <cell r="A2012" t="str">
            <v>QUOTE STOMA</v>
          </cell>
          <cell r="B2012">
            <v>3032</v>
          </cell>
          <cell r="C2012" t="str">
            <v>Belt Stoma Adult Adjustable</v>
          </cell>
        </row>
        <row r="2013">
          <cell r="A2013">
            <v>189706302</v>
          </cell>
          <cell r="B2013">
            <v>3034</v>
          </cell>
          <cell r="C2013" t="str">
            <v>Mask Oxygen Rebreather Peadiatric</v>
          </cell>
        </row>
        <row r="2014">
          <cell r="A2014">
            <v>181848796</v>
          </cell>
          <cell r="B2014">
            <v>3035</v>
          </cell>
          <cell r="C2014" t="str">
            <v>Speculum Vaginal Non Ster Small (75Mm X 25Mm)</v>
          </cell>
        </row>
        <row r="2015">
          <cell r="A2015">
            <v>180329824</v>
          </cell>
          <cell r="B2015">
            <v>3036</v>
          </cell>
          <cell r="C2015" t="str">
            <v>Tube Endotracheal Cuff Oral  4.5</v>
          </cell>
        </row>
        <row r="2016">
          <cell r="A2016">
            <v>180258105</v>
          </cell>
          <cell r="B2016">
            <v>3037</v>
          </cell>
          <cell r="C2016" t="str">
            <v>Tpn 3003A</v>
          </cell>
        </row>
        <row r="2017">
          <cell r="A2017" t="str">
            <v>INJ</v>
          </cell>
          <cell r="B2017">
            <v>3038</v>
          </cell>
          <cell r="C2017" t="str">
            <v>Adrenaline 0.3Mg/0.3Ml Auto Injector</v>
          </cell>
        </row>
        <row r="2018">
          <cell r="A2018" t="str">
            <v>PREPACK 28</v>
          </cell>
          <cell r="B2018">
            <v>3039</v>
          </cell>
          <cell r="C2018" t="str">
            <v>~Clozapine Tabs 25Mg (28'S)</v>
          </cell>
        </row>
        <row r="2019">
          <cell r="A2019">
            <v>180295217</v>
          </cell>
          <cell r="B2019">
            <v>3040</v>
          </cell>
          <cell r="C2019" t="str">
            <v>Bottle Amber Round Glass 100Ml</v>
          </cell>
        </row>
        <row r="2020">
          <cell r="A2020" t="str">
            <v>NATIONAL STOC</v>
          </cell>
          <cell r="B2020">
            <v>3041</v>
          </cell>
          <cell r="C2020" t="str">
            <v>Oseltamivir 75Mg (10'S)</v>
          </cell>
        </row>
        <row r="2021">
          <cell r="A2021" t="str">
            <v>3026550 DEL</v>
          </cell>
          <cell r="B2021">
            <v>3042</v>
          </cell>
          <cell r="C2021" t="str">
            <v>~Sut Nylon 2/0 3/8Rc 24Mm 45Cm</v>
          </cell>
        </row>
        <row r="2022">
          <cell r="A2022">
            <v>180057795</v>
          </cell>
          <cell r="B2022">
            <v>3043</v>
          </cell>
          <cell r="C2022" t="str">
            <v>Cath Thoracic With Trocar 10Fg</v>
          </cell>
        </row>
        <row r="2023">
          <cell r="A2023">
            <v>189708681</v>
          </cell>
          <cell r="B2023">
            <v>3044</v>
          </cell>
          <cell r="C2023" t="str">
            <v>~Tobramycin Eye Oint 3.5G</v>
          </cell>
        </row>
        <row r="2024">
          <cell r="A2024">
            <v>181756696</v>
          </cell>
          <cell r="B2024">
            <v>3045</v>
          </cell>
          <cell r="C2024" t="str">
            <v>Linezolid 600Mg Tabs (10'S)</v>
          </cell>
        </row>
        <row r="2025">
          <cell r="A2025" t="str">
            <v>QUOTE</v>
          </cell>
          <cell r="B2025">
            <v>3046</v>
          </cell>
          <cell r="C2025" t="str">
            <v>Drape Universal Set Large</v>
          </cell>
        </row>
        <row r="2026">
          <cell r="A2026" t="str">
            <v>QUOTE EYE</v>
          </cell>
          <cell r="B2026">
            <v>3047</v>
          </cell>
          <cell r="C2026" t="str">
            <v>Drape Surgical Adhesive 400Mm X 600Mm</v>
          </cell>
        </row>
        <row r="2027">
          <cell r="A2027" t="str">
            <v>QUOTE EYE</v>
          </cell>
          <cell r="B2027">
            <v>3048</v>
          </cell>
          <cell r="C2027" t="str">
            <v>Cleaner Optical Lens (Volk)</v>
          </cell>
        </row>
        <row r="2028">
          <cell r="A2028">
            <v>181776079</v>
          </cell>
          <cell r="B2028">
            <v>3049</v>
          </cell>
          <cell r="C2028" t="str">
            <v>Catheter Mount Right Angled 15F And 22F Machine Side</v>
          </cell>
        </row>
        <row r="2029">
          <cell r="A2029">
            <v>180955508</v>
          </cell>
          <cell r="B2029">
            <v>3050</v>
          </cell>
          <cell r="C2029" t="str">
            <v>Aprotinin Inj Iv 10 000Iu 100Ml</v>
          </cell>
        </row>
        <row r="2030">
          <cell r="A2030" t="str">
            <v>QUOTE EYE</v>
          </cell>
          <cell r="B2030">
            <v>3051</v>
          </cell>
          <cell r="C2030" t="str">
            <v>~Strips Sno (Shirmer Strips)</v>
          </cell>
        </row>
        <row r="2031">
          <cell r="A2031">
            <v>180057805</v>
          </cell>
          <cell r="B2031">
            <v>3052</v>
          </cell>
          <cell r="C2031" t="str">
            <v>Cath Thoracic With Trocar 24Fg</v>
          </cell>
        </row>
        <row r="2032">
          <cell r="A2032" t="str">
            <v>MOTIVATION</v>
          </cell>
          <cell r="B2032">
            <v>3053</v>
          </cell>
          <cell r="C2032" t="str">
            <v>Dermacarrier 3 To 1</v>
          </cell>
        </row>
        <row r="2033">
          <cell r="A2033">
            <v>189714103</v>
          </cell>
          <cell r="B2033">
            <v>3054</v>
          </cell>
          <cell r="C2033" t="str">
            <v>Pouch Urostomy Two Piece 45Mm Clear Drainable</v>
          </cell>
        </row>
        <row r="2034">
          <cell r="A2034">
            <v>181908022</v>
          </cell>
          <cell r="B2034">
            <v>3055</v>
          </cell>
          <cell r="C2034" t="str">
            <v>Needle Disposable Spinal 22G X 1.5"(38Mm)</v>
          </cell>
        </row>
        <row r="2035">
          <cell r="A2035" t="str">
            <v>*</v>
          </cell>
          <cell r="B2035">
            <v>3056</v>
          </cell>
          <cell r="C2035" t="str">
            <v>Haemorrhagic Fever Pack</v>
          </cell>
        </row>
        <row r="2036">
          <cell r="A2036">
            <v>180047969</v>
          </cell>
          <cell r="B2036">
            <v>3057</v>
          </cell>
          <cell r="C2036" t="str">
            <v>Sut Nylon 6/0 3/8Rc 16Mm</v>
          </cell>
        </row>
        <row r="2037">
          <cell r="A2037" t="str">
            <v>DELETED</v>
          </cell>
          <cell r="B2037">
            <v>3058</v>
          </cell>
          <cell r="C2037" t="str">
            <v>~Medicine Measure Dropper  1/2-1Ml 12</v>
          </cell>
        </row>
        <row r="2038">
          <cell r="A2038">
            <v>180185901</v>
          </cell>
          <cell r="B2038">
            <v>3059</v>
          </cell>
          <cell r="C2038" t="str">
            <v>Sut Synthabs 3/0 1/2Tp 37Mm</v>
          </cell>
        </row>
        <row r="2039">
          <cell r="A2039">
            <v>180339583</v>
          </cell>
          <cell r="B2039">
            <v>3060</v>
          </cell>
          <cell r="C2039" t="str">
            <v>Orphenadrine Tabs 50Mg (28'S)</v>
          </cell>
        </row>
        <row r="2040">
          <cell r="A2040">
            <v>189716040</v>
          </cell>
          <cell r="B2040">
            <v>3061</v>
          </cell>
          <cell r="C2040" t="str">
            <v>~Tube Natural Rubber Latex Id 4.76Mm W2.38Mm</v>
          </cell>
        </row>
        <row r="2041">
          <cell r="A2041">
            <v>189712456</v>
          </cell>
          <cell r="B2041">
            <v>3062</v>
          </cell>
          <cell r="C2041" t="str">
            <v>Bag Urine Drainage + Anti-Reflux Valve</v>
          </cell>
        </row>
        <row r="2042">
          <cell r="A2042" t="str">
            <v>QUOTE</v>
          </cell>
          <cell r="B2042">
            <v>3063</v>
          </cell>
          <cell r="C2042" t="str">
            <v>Cath Triple Lumen 7Fg 20Cm Cvc</v>
          </cell>
        </row>
        <row r="2043">
          <cell r="A2043" t="str">
            <v>QUOTE</v>
          </cell>
          <cell r="B2043">
            <v>3064</v>
          </cell>
          <cell r="C2043" t="str">
            <v>~Dutasteride 0.5Mg Tabs</v>
          </cell>
        </row>
        <row r="2044">
          <cell r="A2044">
            <v>180217840</v>
          </cell>
          <cell r="B2044">
            <v>3065</v>
          </cell>
          <cell r="C2044" t="str">
            <v>Pouch Ostomy One Piece 19-50Mm Baby Size Clear Drainabl</v>
          </cell>
        </row>
        <row r="2045">
          <cell r="A2045">
            <v>181821881</v>
          </cell>
          <cell r="B2045">
            <v>3066</v>
          </cell>
          <cell r="C2045" t="str">
            <v>Co-Trimoxazole Tabs 960Mg (28'S)</v>
          </cell>
        </row>
        <row r="2046">
          <cell r="A2046" t="str">
            <v>QUOTE</v>
          </cell>
          <cell r="B2046">
            <v>3067</v>
          </cell>
          <cell r="C2046" t="str">
            <v>Sut Synthabs 3/0 3/8Tp 24Mm</v>
          </cell>
        </row>
        <row r="2047">
          <cell r="A2047" t="str">
            <v>*</v>
          </cell>
          <cell r="B2047">
            <v>3068</v>
          </cell>
          <cell r="C2047" t="str">
            <v>Test Kit Rhesus Rapid (Rh)</v>
          </cell>
        </row>
        <row r="2048">
          <cell r="A2048" t="str">
            <v>DELETED</v>
          </cell>
          <cell r="B2048">
            <v>3069</v>
          </cell>
          <cell r="C2048" t="str">
            <v>~Mask Oxygen + Tube Adult Fix % Da00012</v>
          </cell>
        </row>
        <row r="2049">
          <cell r="A2049" t="str">
            <v>QUOTE</v>
          </cell>
          <cell r="B2049">
            <v>3070</v>
          </cell>
          <cell r="C2049" t="str">
            <v>~D-Biotin Tablets</v>
          </cell>
        </row>
        <row r="2050">
          <cell r="A2050">
            <v>189711671</v>
          </cell>
          <cell r="B2050">
            <v>3071</v>
          </cell>
          <cell r="C2050" t="str">
            <v>Calcium Folinate Tab 15Mg (10'S)</v>
          </cell>
        </row>
        <row r="2051">
          <cell r="A2051" t="str">
            <v>DELETED</v>
          </cell>
          <cell r="B2051">
            <v>3072</v>
          </cell>
          <cell r="C2051" t="str">
            <v>~Sut Polyprop 4/0 3/8Rc 24Mm 45Cm</v>
          </cell>
        </row>
        <row r="2052">
          <cell r="A2052" t="str">
            <v>DELETED</v>
          </cell>
          <cell r="B2052">
            <v>3073</v>
          </cell>
          <cell r="C2052" t="str">
            <v>~Sut Synthabs 1 1/2Rc 48Mm</v>
          </cell>
        </row>
        <row r="2053">
          <cell r="A2053">
            <v>180069353</v>
          </cell>
          <cell r="B2053">
            <v>3074</v>
          </cell>
          <cell r="C2053" t="str">
            <v>~Prednisolone Sodium Phosphate Enema 20Mg/100ml</v>
          </cell>
        </row>
        <row r="2054">
          <cell r="A2054">
            <v>180258223</v>
          </cell>
          <cell r="B2054">
            <v>3075</v>
          </cell>
          <cell r="C2054" t="str">
            <v>Amino Acid 18 Dextrose 35 Fat 20  2530Ml</v>
          </cell>
        </row>
        <row r="2055">
          <cell r="A2055" t="str">
            <v>QOUTE</v>
          </cell>
          <cell r="B2055">
            <v>3076</v>
          </cell>
          <cell r="C2055" t="str">
            <v>~Leuprolide Inj Depot 11.25Mg</v>
          </cell>
        </row>
        <row r="2056">
          <cell r="A2056">
            <v>181803368</v>
          </cell>
          <cell r="B2056">
            <v>3077</v>
          </cell>
          <cell r="C2056" t="str">
            <v>Risperidone Inj 37.5Mg</v>
          </cell>
        </row>
        <row r="2057">
          <cell r="A2057">
            <v>180114760</v>
          </cell>
          <cell r="B2057">
            <v>3078</v>
          </cell>
          <cell r="C2057" t="str">
            <v>Ipratropium Udv 0.25Mg/2ml (60'S)</v>
          </cell>
        </row>
        <row r="2058">
          <cell r="A2058">
            <v>180136965</v>
          </cell>
          <cell r="B2058">
            <v>3079</v>
          </cell>
          <cell r="C2058" t="str">
            <v>Tube Endotracheal Non Cuff Oral 7.0</v>
          </cell>
        </row>
        <row r="2059">
          <cell r="A2059">
            <v>180034548</v>
          </cell>
          <cell r="B2059">
            <v>3080</v>
          </cell>
          <cell r="C2059" t="str">
            <v>Admin Set Blood 20 Drops Paediatric</v>
          </cell>
        </row>
        <row r="2060">
          <cell r="A2060">
            <v>189712992</v>
          </cell>
          <cell r="B2060">
            <v>3081</v>
          </cell>
          <cell r="C2060" t="str">
            <v>Tube Endotracheal Non Cuff Dual 2.0</v>
          </cell>
        </row>
        <row r="2061">
          <cell r="A2061">
            <v>180212807</v>
          </cell>
          <cell r="B2061">
            <v>3082</v>
          </cell>
          <cell r="C2061" t="str">
            <v>Tube Endotracheal Non Cuff Dual 4.0</v>
          </cell>
        </row>
        <row r="2062">
          <cell r="A2062">
            <v>180212808</v>
          </cell>
          <cell r="B2062">
            <v>3083</v>
          </cell>
          <cell r="C2062" t="str">
            <v>Tube Endotracheal Non Cuff Dual 4.5</v>
          </cell>
        </row>
        <row r="2063">
          <cell r="A2063">
            <v>180212810</v>
          </cell>
          <cell r="B2063">
            <v>3084</v>
          </cell>
          <cell r="C2063" t="str">
            <v>Tube Endotracheal Non Cuff Dual 5.0</v>
          </cell>
        </row>
        <row r="2064">
          <cell r="A2064">
            <v>180212811</v>
          </cell>
          <cell r="B2064">
            <v>3085</v>
          </cell>
          <cell r="C2064" t="str">
            <v>Tube Endotracheal Non Cuff Dual 5.5</v>
          </cell>
        </row>
        <row r="2065">
          <cell r="A2065">
            <v>189713970</v>
          </cell>
          <cell r="B2065">
            <v>3086</v>
          </cell>
          <cell r="C2065" t="str">
            <v>Tube Endotracheal Non Cuff Dual 6.0</v>
          </cell>
        </row>
        <row r="2066">
          <cell r="A2066">
            <v>181848634</v>
          </cell>
          <cell r="B2066">
            <v>3087</v>
          </cell>
          <cell r="C2066" t="str">
            <v>Needle Bonemarrow  8G X 100Mm</v>
          </cell>
        </row>
        <row r="2067">
          <cell r="A2067">
            <v>189712804</v>
          </cell>
          <cell r="B2067">
            <v>3088</v>
          </cell>
          <cell r="C2067" t="str">
            <v>Pouch Ostomy  70Mm Opaque Two-Piece</v>
          </cell>
        </row>
        <row r="2068">
          <cell r="A2068">
            <v>189710677</v>
          </cell>
          <cell r="B2068">
            <v>3089</v>
          </cell>
          <cell r="C2068" t="str">
            <v>~Pentifylline Tabs 400Mg Nicotinic Acid 100Mg</v>
          </cell>
        </row>
        <row r="2069">
          <cell r="A2069">
            <v>180351619</v>
          </cell>
          <cell r="B2069">
            <v>3090</v>
          </cell>
          <cell r="C2069" t="str">
            <v>~Acarbose Tabs 50Mg</v>
          </cell>
        </row>
        <row r="2070">
          <cell r="A2070">
            <v>189761174</v>
          </cell>
          <cell r="B2070">
            <v>3091</v>
          </cell>
          <cell r="C2070" t="str">
            <v>~Danazol Caps 200Mg (60'S)</v>
          </cell>
        </row>
        <row r="2071">
          <cell r="A2071">
            <v>189703221</v>
          </cell>
          <cell r="B2071">
            <v>3092</v>
          </cell>
          <cell r="C2071" t="str">
            <v>Benzylpenicillin Inj 5Mu</v>
          </cell>
        </row>
        <row r="2072">
          <cell r="A2072">
            <v>189712267</v>
          </cell>
          <cell r="B2072">
            <v>3093</v>
          </cell>
          <cell r="C2072" t="str">
            <v>Albumin Solution 20%  100Ml</v>
          </cell>
        </row>
        <row r="2073">
          <cell r="A2073">
            <v>180329839</v>
          </cell>
          <cell r="B2073">
            <v>3095</v>
          </cell>
          <cell r="C2073" t="str">
            <v>Tube Endotracheal Cuff Nasal 7.5</v>
          </cell>
        </row>
        <row r="2074">
          <cell r="A2074">
            <v>180210841</v>
          </cell>
          <cell r="B2074">
            <v>3096</v>
          </cell>
          <cell r="C2074" t="str">
            <v>Sut Chromic 4/0 3/8Rc 19Mm</v>
          </cell>
        </row>
        <row r="2075">
          <cell r="A2075">
            <v>180319918</v>
          </cell>
          <cell r="B2075">
            <v>3097</v>
          </cell>
          <cell r="C2075" t="str">
            <v>Sut Chromic 1 1/2Tc 35Mm Heavy</v>
          </cell>
        </row>
        <row r="2076">
          <cell r="A2076">
            <v>181915188</v>
          </cell>
          <cell r="B2076">
            <v>3098</v>
          </cell>
          <cell r="C2076" t="str">
            <v>N-Acetylcysteine Inj 200Mg/ml 10Ml</v>
          </cell>
        </row>
        <row r="2077">
          <cell r="A2077">
            <v>180145945</v>
          </cell>
          <cell r="B2077">
            <v>3099</v>
          </cell>
          <cell r="C2077" t="str">
            <v>Ring Fallopian Tube</v>
          </cell>
        </row>
        <row r="2078">
          <cell r="A2078" t="str">
            <v>QUOTE</v>
          </cell>
          <cell r="B2078">
            <v>3100</v>
          </cell>
          <cell r="C2078" t="str">
            <v>Sut Polyprop 1 3/8C 90Cm</v>
          </cell>
        </row>
        <row r="2079">
          <cell r="A2079">
            <v>189713806</v>
          </cell>
          <cell r="B2079">
            <v>3101</v>
          </cell>
          <cell r="C2079" t="str">
            <v>Sut Monosyn 1 1/2Tp 65Mm Loop</v>
          </cell>
        </row>
        <row r="2080">
          <cell r="A2080">
            <v>189753243</v>
          </cell>
          <cell r="B2080">
            <v>3102</v>
          </cell>
          <cell r="C2080" t="str">
            <v>Zuclopenthixol Acetate Inj 50Mg 1Ml</v>
          </cell>
        </row>
        <row r="2081">
          <cell r="A2081" t="str">
            <v>QUOTE</v>
          </cell>
          <cell r="B2081">
            <v>3103</v>
          </cell>
          <cell r="C2081" t="str">
            <v>Cath Single Lumen Pead 20G 12.7Cm Cvc Set</v>
          </cell>
        </row>
        <row r="2082">
          <cell r="A2082">
            <v>180211858</v>
          </cell>
          <cell r="B2082">
            <v>3104</v>
          </cell>
          <cell r="C2082" t="str">
            <v>Sut Chromic 3/0 1/2Tp 20Mm</v>
          </cell>
        </row>
        <row r="2083">
          <cell r="A2083">
            <v>180046830</v>
          </cell>
          <cell r="B2083">
            <v>3105</v>
          </cell>
          <cell r="C2083" t="str">
            <v>Sut Silk 4/0 3/8Cc 25Mm</v>
          </cell>
        </row>
        <row r="2084">
          <cell r="A2084">
            <v>180956882</v>
          </cell>
          <cell r="B2084">
            <v>3106</v>
          </cell>
          <cell r="C2084" t="str">
            <v>Sut Polyest   2 1/2Tc 40Mm</v>
          </cell>
        </row>
        <row r="2085">
          <cell r="A2085">
            <v>189710243</v>
          </cell>
          <cell r="B2085">
            <v>3107</v>
          </cell>
          <cell r="C2085" t="str">
            <v>~Sotalol Tabs 80Mg (100'S)</v>
          </cell>
        </row>
        <row r="2086">
          <cell r="A2086">
            <v>180961893</v>
          </cell>
          <cell r="B2086">
            <v>3108</v>
          </cell>
          <cell r="C2086" t="str">
            <v>Syringe Safety 3Ml 22Gx40mm (0.7Mm) Needle</v>
          </cell>
        </row>
        <row r="2087">
          <cell r="A2087" t="str">
            <v>QUOTE</v>
          </cell>
          <cell r="B2087">
            <v>3109</v>
          </cell>
          <cell r="C2087" t="str">
            <v>Syringe Disposable Luer Lock  5Ml</v>
          </cell>
        </row>
        <row r="2088">
          <cell r="A2088">
            <v>180356526</v>
          </cell>
          <cell r="B2088">
            <v>3110</v>
          </cell>
          <cell r="C2088" t="str">
            <v>Bag Plastic Tablet White 110Mm X 100Mm Top Feed Unprint</v>
          </cell>
        </row>
        <row r="2089">
          <cell r="A2089" t="str">
            <v>QUOTE</v>
          </cell>
          <cell r="B2089">
            <v>3111</v>
          </cell>
          <cell r="C2089" t="str">
            <v>Syringe Disposable Luer Lock 10Ml</v>
          </cell>
        </row>
        <row r="2090">
          <cell r="A2090" t="str">
            <v>QUOTATION</v>
          </cell>
          <cell r="B2090">
            <v>3112</v>
          </cell>
          <cell r="C2090" t="str">
            <v>Gore-Tex Dualmesh Sutures Ptfe Cv-0912Cm Thx-25.</v>
          </cell>
        </row>
        <row r="2091">
          <cell r="A2091">
            <v>180289232</v>
          </cell>
          <cell r="B2091">
            <v>3113</v>
          </cell>
          <cell r="C2091" t="str">
            <v>Disodium Pamidronate Inj 15Mg</v>
          </cell>
        </row>
        <row r="2092">
          <cell r="A2092">
            <v>180229110</v>
          </cell>
          <cell r="B2092">
            <v>3114</v>
          </cell>
          <cell r="C2092" t="str">
            <v>Glove Surgical Low Allergy Size 7.5</v>
          </cell>
        </row>
        <row r="2093">
          <cell r="A2093">
            <v>180083912</v>
          </cell>
          <cell r="B2093">
            <v>3115</v>
          </cell>
          <cell r="C2093" t="str">
            <v>Etoposide Caps  50Mg</v>
          </cell>
        </row>
        <row r="2094">
          <cell r="A2094">
            <v>189711688</v>
          </cell>
          <cell r="B2094">
            <v>3116</v>
          </cell>
          <cell r="C2094" t="str">
            <v>Mesna Inj 400Mg</v>
          </cell>
        </row>
        <row r="2095">
          <cell r="A2095">
            <v>180103949</v>
          </cell>
          <cell r="B2095">
            <v>3117</v>
          </cell>
          <cell r="C2095" t="str">
            <v>Clindamycin Caps 150Mg (20'S)</v>
          </cell>
        </row>
        <row r="2096">
          <cell r="A2096">
            <v>189714259</v>
          </cell>
          <cell r="B2096">
            <v>3118</v>
          </cell>
          <cell r="C2096" t="str">
            <v>Ifosfamide Inj 2000Mg</v>
          </cell>
        </row>
        <row r="2097">
          <cell r="A2097">
            <v>189714258</v>
          </cell>
          <cell r="B2097">
            <v>3119</v>
          </cell>
          <cell r="C2097" t="str">
            <v>Ifosfamide Inj 1000Mg</v>
          </cell>
        </row>
        <row r="2098">
          <cell r="A2098" t="str">
            <v>QUOTE</v>
          </cell>
          <cell r="B2098">
            <v>3120</v>
          </cell>
          <cell r="C2098" t="str">
            <v>Admin Set Peritoneal Dialysis 12Fg 30Cm Adult</v>
          </cell>
        </row>
        <row r="2099">
          <cell r="A2099">
            <v>180280762</v>
          </cell>
          <cell r="B2099">
            <v>3121</v>
          </cell>
          <cell r="C2099" t="str">
            <v>~Minocycline Tabs 50Mg</v>
          </cell>
        </row>
        <row r="2100">
          <cell r="A2100">
            <v>189762972</v>
          </cell>
          <cell r="B2100">
            <v>3122</v>
          </cell>
          <cell r="C2100" t="str">
            <v>Ciprofloxacin 250Mg Tabs (10'S)</v>
          </cell>
        </row>
        <row r="2101">
          <cell r="A2101">
            <v>180076001</v>
          </cell>
          <cell r="B2101">
            <v>3123</v>
          </cell>
          <cell r="C2101" t="str">
            <v>~Haloperidol Inj 10Mg/ml 2Ml</v>
          </cell>
        </row>
        <row r="2102">
          <cell r="A2102">
            <v>180075755</v>
          </cell>
          <cell r="B2102">
            <v>3124</v>
          </cell>
          <cell r="C2102" t="str">
            <v>Desferrioxamine Mesylate Inj 500Mg/vial</v>
          </cell>
        </row>
        <row r="2103">
          <cell r="A2103">
            <v>180145713</v>
          </cell>
          <cell r="B2103">
            <v>3125</v>
          </cell>
          <cell r="C2103" t="str">
            <v>Clarithromycin Tabs 500Mg (14'S)</v>
          </cell>
        </row>
        <row r="2104">
          <cell r="A2104">
            <v>189714222</v>
          </cell>
          <cell r="B2104">
            <v>3126</v>
          </cell>
          <cell r="C2104" t="str">
            <v>Methylprednisolone Acetate Inj 80Mg</v>
          </cell>
        </row>
        <row r="2105">
          <cell r="A2105">
            <v>180076476</v>
          </cell>
          <cell r="B2105">
            <v>3127</v>
          </cell>
          <cell r="C2105" t="str">
            <v>Pancuronium Inj 2Mg/ml 2Ml</v>
          </cell>
        </row>
        <row r="2106">
          <cell r="A2106">
            <v>180079726</v>
          </cell>
          <cell r="B2106">
            <v>3128</v>
          </cell>
          <cell r="C2106" t="str">
            <v>~Morphine, Papaverine &amp; Codeine 15.68Mg/ml - 1Ml</v>
          </cell>
        </row>
        <row r="2107">
          <cell r="A2107" t="str">
            <v>DELETED</v>
          </cell>
          <cell r="B2107">
            <v>3129</v>
          </cell>
          <cell r="C2107" t="str">
            <v>~Sodium Bicarb Inj 4% 20Ml</v>
          </cell>
        </row>
        <row r="2108">
          <cell r="A2108">
            <v>181867272</v>
          </cell>
          <cell r="B2108">
            <v>3130</v>
          </cell>
          <cell r="C2108" t="str">
            <v>Quetiapine X R 300Mg Tabs (60'S)</v>
          </cell>
        </row>
        <row r="2109">
          <cell r="A2109" t="str">
            <v>QUOTE</v>
          </cell>
          <cell r="B2109">
            <v>3131</v>
          </cell>
          <cell r="C2109" t="str">
            <v>Labels Rectal Vaginal</v>
          </cell>
        </row>
        <row r="2110">
          <cell r="A2110">
            <v>180074564</v>
          </cell>
          <cell r="B2110">
            <v>3132</v>
          </cell>
          <cell r="C2110" t="str">
            <v>~Fenoterol Syr 2.5Mg/5ml 50Ml</v>
          </cell>
        </row>
        <row r="2111">
          <cell r="A2111">
            <v>181867216</v>
          </cell>
          <cell r="B2111">
            <v>3133</v>
          </cell>
          <cell r="C2111" t="str">
            <v>Quetiapine X R 400Mg Tabs (60'S)</v>
          </cell>
        </row>
        <row r="2112">
          <cell r="A2112">
            <v>189755058</v>
          </cell>
          <cell r="B2112">
            <v>3134</v>
          </cell>
          <cell r="C2112" t="str">
            <v>Vitamin B Complex Syrup 100Ml</v>
          </cell>
        </row>
        <row r="2113">
          <cell r="A2113" t="str">
            <v>QUOTE</v>
          </cell>
          <cell r="B2113">
            <v>3135</v>
          </cell>
          <cell r="C2113" t="str">
            <v>~Levocarnitine Powder 2Kg</v>
          </cell>
        </row>
        <row r="2114">
          <cell r="A2114" t="str">
            <v>QUOTE</v>
          </cell>
          <cell r="B2114">
            <v>3136</v>
          </cell>
          <cell r="C2114" t="str">
            <v>~Levocarnitine Caps 500Mg</v>
          </cell>
        </row>
        <row r="2115">
          <cell r="A2115" t="str">
            <v>QUOTE</v>
          </cell>
          <cell r="B2115">
            <v>3137</v>
          </cell>
          <cell r="C2115" t="str">
            <v>Labels I V-Additive</v>
          </cell>
        </row>
        <row r="2116">
          <cell r="A2116">
            <v>181810590</v>
          </cell>
          <cell r="B2116">
            <v>3138</v>
          </cell>
          <cell r="C2116" t="str">
            <v>Para-Amino Salicylic Acid Granules</v>
          </cell>
        </row>
        <row r="2117">
          <cell r="A2117">
            <v>180046796</v>
          </cell>
          <cell r="B2117">
            <v>3139</v>
          </cell>
          <cell r="C2117" t="str">
            <v>Collagenase Clostridiopeptidase Oint 30G</v>
          </cell>
        </row>
        <row r="2118">
          <cell r="A2118">
            <v>180185834</v>
          </cell>
          <cell r="B2118">
            <v>3140</v>
          </cell>
          <cell r="C2118" t="str">
            <v>Sut Synthabs 6/0 3/8Rc 11-11.2Mm 45Cm</v>
          </cell>
        </row>
        <row r="2119">
          <cell r="A2119">
            <v>181936078</v>
          </cell>
          <cell r="B2119">
            <v>3141</v>
          </cell>
          <cell r="C2119" t="str">
            <v>Omeprazole 10Mg Capsule (30'S)</v>
          </cell>
        </row>
        <row r="2120">
          <cell r="A2120">
            <v>189707997</v>
          </cell>
          <cell r="B2120">
            <v>3142</v>
          </cell>
          <cell r="C2120" t="str">
            <v>~Indomethacin Gel 1% 25G</v>
          </cell>
        </row>
        <row r="2121">
          <cell r="A2121">
            <v>189712316</v>
          </cell>
          <cell r="B2121">
            <v>3143</v>
          </cell>
          <cell r="C2121" t="str">
            <v>Ispaghula Husk Sachets 3.5G</v>
          </cell>
        </row>
        <row r="2122">
          <cell r="A2122" t="str">
            <v>QUOTE</v>
          </cell>
          <cell r="B2122">
            <v>3144</v>
          </cell>
          <cell r="C2122" t="str">
            <v>~Doxapram Inj 20Mg/ml</v>
          </cell>
        </row>
        <row r="2123">
          <cell r="A2123">
            <v>180108130</v>
          </cell>
          <cell r="B2123">
            <v>3145</v>
          </cell>
          <cell r="C2123" t="str">
            <v>Lamotrigine Tabs 100Mg (60'S)</v>
          </cell>
        </row>
        <row r="2124">
          <cell r="A2124">
            <v>189708111</v>
          </cell>
          <cell r="B2124">
            <v>3146</v>
          </cell>
          <cell r="C2124" t="str">
            <v>~Miconazole Nitrate Cream 30G</v>
          </cell>
        </row>
        <row r="2125">
          <cell r="A2125">
            <v>180211998</v>
          </cell>
          <cell r="B2125">
            <v>3147</v>
          </cell>
          <cell r="C2125" t="str">
            <v>Sut Synthabs 3/0 3/8Rc 19Mm</v>
          </cell>
        </row>
        <row r="2126">
          <cell r="A2126">
            <v>180221925</v>
          </cell>
          <cell r="B2126">
            <v>3148</v>
          </cell>
          <cell r="C2126" t="str">
            <v>Fludarabine Inj 50Mg</v>
          </cell>
        </row>
        <row r="2127">
          <cell r="A2127">
            <v>181823255</v>
          </cell>
          <cell r="B2127">
            <v>3149</v>
          </cell>
          <cell r="C2127" t="str">
            <v>Albendazole Tabs 400Mg (1'S)</v>
          </cell>
        </row>
        <row r="2128">
          <cell r="A2128">
            <v>189710390</v>
          </cell>
          <cell r="B2128">
            <v>3150</v>
          </cell>
          <cell r="C2128" t="str">
            <v>~Amantadine Caps 100Mg (20'S)</v>
          </cell>
        </row>
        <row r="2129">
          <cell r="A2129">
            <v>181821872</v>
          </cell>
          <cell r="B2129">
            <v>3151</v>
          </cell>
          <cell r="C2129" t="str">
            <v>~Cimetidine Tabs 400Mg (56'S)</v>
          </cell>
        </row>
        <row r="2130">
          <cell r="A2130">
            <v>189710378</v>
          </cell>
          <cell r="B2130">
            <v>3152</v>
          </cell>
          <cell r="C2130" t="str">
            <v>~Dexamethasone Tabs 0.5Mg</v>
          </cell>
        </row>
        <row r="2131">
          <cell r="A2131">
            <v>189710188</v>
          </cell>
          <cell r="B2131">
            <v>3153</v>
          </cell>
          <cell r="C2131" t="str">
            <v>Enalapril Tabs  5Mg (28'S)</v>
          </cell>
        </row>
        <row r="2132">
          <cell r="A2132">
            <v>189708531</v>
          </cell>
          <cell r="B2132">
            <v>3154</v>
          </cell>
          <cell r="C2132" t="str">
            <v>Enalapril Tabs 10Mg (28'S)</v>
          </cell>
        </row>
        <row r="2133">
          <cell r="A2133">
            <v>189710466</v>
          </cell>
          <cell r="B2133">
            <v>3155</v>
          </cell>
          <cell r="C2133" t="str">
            <v>~Ergotamine Caffeine Tabs 1Mg/100mg</v>
          </cell>
        </row>
        <row r="2134">
          <cell r="A2134">
            <v>181817488</v>
          </cell>
          <cell r="B2134">
            <v>3156</v>
          </cell>
          <cell r="C2134" t="str">
            <v>Ethionamide Tabs 250Mg (28'S)</v>
          </cell>
        </row>
        <row r="2135">
          <cell r="A2135" t="str">
            <v>QUOTE</v>
          </cell>
          <cell r="B2135">
            <v>3157</v>
          </cell>
          <cell r="C2135" t="str">
            <v>~Clip Suture Von Petz Kd500/10</v>
          </cell>
        </row>
        <row r="2136">
          <cell r="A2136">
            <v>189710233</v>
          </cell>
          <cell r="B2136">
            <v>3158</v>
          </cell>
          <cell r="C2136" t="str">
            <v>Metformin Tabs 850Mg (300'S)</v>
          </cell>
        </row>
        <row r="2137">
          <cell r="A2137">
            <v>181769645</v>
          </cell>
          <cell r="B2137">
            <v>3159</v>
          </cell>
          <cell r="C2137" t="str">
            <v>~Methylphenidate Tabs 20Mg Slow Release</v>
          </cell>
        </row>
        <row r="2138">
          <cell r="A2138">
            <v>189710067</v>
          </cell>
          <cell r="B2138">
            <v>3160</v>
          </cell>
          <cell r="C2138" t="str">
            <v>`Nicotinic Acid Tabs 100Mg</v>
          </cell>
        </row>
        <row r="2139">
          <cell r="A2139">
            <v>189710148</v>
          </cell>
          <cell r="B2139">
            <v>3161</v>
          </cell>
          <cell r="C2139" t="str">
            <v>Conj. Oestrogens Tabs 0.3Mg (28'S)</v>
          </cell>
        </row>
        <row r="2140">
          <cell r="A2140">
            <v>189710156</v>
          </cell>
          <cell r="B2140">
            <v>3162</v>
          </cell>
          <cell r="C2140" t="str">
            <v>~Oxazepam Tabs 15Mg</v>
          </cell>
        </row>
        <row r="2141">
          <cell r="A2141">
            <v>189754112</v>
          </cell>
          <cell r="B2141">
            <v>3163</v>
          </cell>
          <cell r="C2141" t="str">
            <v>~Propafenone 150Mg Tablets</v>
          </cell>
        </row>
        <row r="2142">
          <cell r="A2142">
            <v>180073825</v>
          </cell>
          <cell r="B2142">
            <v>3164</v>
          </cell>
          <cell r="C2142" t="str">
            <v>Ciclosporin Inj 50Mg</v>
          </cell>
        </row>
        <row r="2143">
          <cell r="A2143">
            <v>189714159</v>
          </cell>
          <cell r="B2143">
            <v>3165</v>
          </cell>
          <cell r="C2143" t="str">
            <v>~Pimozide Tabs 4Mg</v>
          </cell>
        </row>
        <row r="2144">
          <cell r="A2144" t="str">
            <v>PREPACK 28</v>
          </cell>
          <cell r="B2144">
            <v>3166</v>
          </cell>
          <cell r="C2144" t="str">
            <v>Propranolol Tabs 40Mg (28'S)</v>
          </cell>
        </row>
        <row r="2145">
          <cell r="A2145">
            <v>189710349</v>
          </cell>
          <cell r="B2145">
            <v>3167</v>
          </cell>
          <cell r="C2145" t="str">
            <v>~Trihexyphenidyl Tabs 5Mg</v>
          </cell>
        </row>
        <row r="2146">
          <cell r="A2146">
            <v>180339611</v>
          </cell>
          <cell r="B2146">
            <v>3168</v>
          </cell>
          <cell r="C2146" t="str">
            <v>Vitamin B Co Strong Tabs (28'S)</v>
          </cell>
        </row>
        <row r="2147">
          <cell r="A2147">
            <v>181817416</v>
          </cell>
          <cell r="B2147">
            <v>3169</v>
          </cell>
          <cell r="C2147" t="str">
            <v>Ethambutol Tabs 400Mg (84'S)</v>
          </cell>
        </row>
        <row r="2148">
          <cell r="A2148">
            <v>180106500</v>
          </cell>
          <cell r="B2148">
            <v>3170</v>
          </cell>
          <cell r="C2148" t="str">
            <v>Sodium Bicarb  4.2% 200Ml (Glass)</v>
          </cell>
        </row>
        <row r="2149">
          <cell r="A2149" t="str">
            <v>MOTIVATION</v>
          </cell>
          <cell r="B2149">
            <v>3171</v>
          </cell>
          <cell r="C2149" t="str">
            <v>Darifenacin 15Mg Tablet</v>
          </cell>
        </row>
        <row r="2150">
          <cell r="A2150">
            <v>180319729</v>
          </cell>
          <cell r="B2150">
            <v>3172</v>
          </cell>
          <cell r="C2150" t="str">
            <v>Succinylated Gelatin 20G, Nacl 3.51G, Naoh0.68G</v>
          </cell>
        </row>
        <row r="2151">
          <cell r="A2151">
            <v>180001335</v>
          </cell>
          <cell r="B2151">
            <v>3173</v>
          </cell>
          <cell r="C2151" t="str">
            <v>Ipratropium Inhaler 40Mcg  200 M.D.I</v>
          </cell>
        </row>
        <row r="2152">
          <cell r="A2152">
            <v>189708890</v>
          </cell>
          <cell r="B2152">
            <v>3174</v>
          </cell>
          <cell r="C2152" t="str">
            <v>Benzathine Penicillin G Inj 1.2Mu</v>
          </cell>
        </row>
        <row r="2153">
          <cell r="A2153">
            <v>180076777</v>
          </cell>
          <cell r="B2153">
            <v>3175</v>
          </cell>
          <cell r="C2153" t="str">
            <v>Sufentanil Citrate Inj  5Mcg 2Ml</v>
          </cell>
        </row>
        <row r="2154">
          <cell r="A2154">
            <v>180035013</v>
          </cell>
          <cell r="B2154">
            <v>3176</v>
          </cell>
          <cell r="C2154" t="str">
            <v>Salmeterol Xinafoate 25Mcg Per Metered Inhalation</v>
          </cell>
        </row>
        <row r="2155">
          <cell r="A2155">
            <v>180090032</v>
          </cell>
          <cell r="B2155">
            <v>3177</v>
          </cell>
          <cell r="C2155" t="str">
            <v>Fenoterol Udv 0.5Mg/2ml</v>
          </cell>
        </row>
        <row r="2156">
          <cell r="A2156">
            <v>180076782</v>
          </cell>
          <cell r="B2156">
            <v>3178</v>
          </cell>
          <cell r="C2156" t="str">
            <v>~Sufentanil Citrate Inj 50Mcg/ml 5Ml Amp</v>
          </cell>
        </row>
        <row r="2157">
          <cell r="A2157">
            <v>180314014</v>
          </cell>
          <cell r="B2157">
            <v>3179</v>
          </cell>
          <cell r="C2157" t="str">
            <v>~Stavudine Caps 40Mg</v>
          </cell>
        </row>
        <row r="2158">
          <cell r="A2158">
            <v>189762856</v>
          </cell>
          <cell r="B2158">
            <v>3180</v>
          </cell>
          <cell r="C2158" t="str">
            <v>Simvastatin Tabs 10Mg (28'S)</v>
          </cell>
        </row>
        <row r="2159">
          <cell r="A2159" t="str">
            <v>QUOTE</v>
          </cell>
          <cell r="B2159">
            <v>3181</v>
          </cell>
          <cell r="C2159" t="str">
            <v>Calcipotriol Scalp Solution 30Ml (Code 693113)</v>
          </cell>
        </row>
        <row r="2160">
          <cell r="A2160" t="str">
            <v>QUOTE</v>
          </cell>
          <cell r="B2160">
            <v>3182</v>
          </cell>
          <cell r="C2160" t="str">
            <v>~Lumiracoxib Tabs 100Mg</v>
          </cell>
        </row>
        <row r="2161">
          <cell r="A2161" t="str">
            <v>QUOTE</v>
          </cell>
          <cell r="B2161">
            <v>3183</v>
          </cell>
          <cell r="C2161" t="str">
            <v>~Lumiracoxib Tabs 400Mg</v>
          </cell>
        </row>
        <row r="2162">
          <cell r="A2162">
            <v>189762952</v>
          </cell>
          <cell r="B2162">
            <v>3184</v>
          </cell>
          <cell r="C2162" t="str">
            <v>~Isradipine Tabs 2.5Mg</v>
          </cell>
        </row>
        <row r="2163">
          <cell r="A2163">
            <v>180217841</v>
          </cell>
          <cell r="B2163">
            <v>3185</v>
          </cell>
          <cell r="C2163" t="str">
            <v>Pouch Urostomy 10-35Mm Children</v>
          </cell>
        </row>
        <row r="2164">
          <cell r="A2164" t="str">
            <v>QUOTE STOMA</v>
          </cell>
          <cell r="B2164">
            <v>3186</v>
          </cell>
          <cell r="C2164" t="str">
            <v>Pouch Urostomy One Piece 28Mm Clear Drainable</v>
          </cell>
        </row>
        <row r="2165">
          <cell r="A2165">
            <v>189710587</v>
          </cell>
          <cell r="B2165">
            <v>3187</v>
          </cell>
          <cell r="C2165" t="str">
            <v>~Insulin Humulin N 10Ml</v>
          </cell>
        </row>
        <row r="2166">
          <cell r="A2166">
            <v>189710585</v>
          </cell>
          <cell r="B2166">
            <v>3188</v>
          </cell>
          <cell r="C2166" t="str">
            <v>~Insulin Humulin R 10Ml</v>
          </cell>
        </row>
        <row r="2167">
          <cell r="A2167" t="str">
            <v>QUOTE</v>
          </cell>
          <cell r="B2167">
            <v>3189</v>
          </cell>
          <cell r="C2167" t="str">
            <v>Zinc Sulphate Powder B P</v>
          </cell>
        </row>
        <row r="2168">
          <cell r="A2168">
            <v>189714875</v>
          </cell>
          <cell r="B2168">
            <v>3190</v>
          </cell>
          <cell r="C2168" t="str">
            <v>~Povidone Iodine Vaginal Cleanser 250Ml</v>
          </cell>
        </row>
        <row r="2169">
          <cell r="A2169">
            <v>189711634</v>
          </cell>
          <cell r="B2169">
            <v>3191</v>
          </cell>
          <cell r="C2169" t="str">
            <v>~Insulin Humulin 30/70 10Ml</v>
          </cell>
        </row>
        <row r="2170">
          <cell r="A2170">
            <v>181774099</v>
          </cell>
          <cell r="B2170">
            <v>3192</v>
          </cell>
          <cell r="C2170" t="str">
            <v>Mask Surgical With Eye Shield</v>
          </cell>
        </row>
        <row r="2171">
          <cell r="A2171">
            <v>181817627</v>
          </cell>
          <cell r="B2171">
            <v>3193</v>
          </cell>
          <cell r="C2171" t="str">
            <v>Rif 150 Pza 400 Inh 75 Eth 275  (84'S)</v>
          </cell>
        </row>
        <row r="2172">
          <cell r="A2172">
            <v>180292357</v>
          </cell>
          <cell r="B2172">
            <v>3194</v>
          </cell>
          <cell r="C2172" t="str">
            <v>Phenoxymethyl Penicillin Tabs 250Mg (40'S)</v>
          </cell>
        </row>
        <row r="2173">
          <cell r="A2173">
            <v>180155482</v>
          </cell>
          <cell r="B2173">
            <v>3195</v>
          </cell>
          <cell r="C2173" t="str">
            <v>Paracetamol Tabs 500Mg (10'S)</v>
          </cell>
        </row>
        <row r="2174">
          <cell r="A2174">
            <v>180292354</v>
          </cell>
          <cell r="B2174">
            <v>3196</v>
          </cell>
          <cell r="C2174" t="str">
            <v>Amoxycillin Caps 500Mg (15'S)</v>
          </cell>
        </row>
        <row r="2175">
          <cell r="A2175">
            <v>189715654</v>
          </cell>
          <cell r="B2175">
            <v>3197</v>
          </cell>
          <cell r="C2175" t="str">
            <v>Dantrolene Inj 20Mg</v>
          </cell>
        </row>
        <row r="2176">
          <cell r="A2176">
            <v>180075911</v>
          </cell>
          <cell r="B2176">
            <v>3198</v>
          </cell>
          <cell r="C2176" t="str">
            <v>~Esmolol Inj 10Mg 10Ml</v>
          </cell>
        </row>
        <row r="2177">
          <cell r="A2177">
            <v>180342029</v>
          </cell>
          <cell r="B2177">
            <v>3199</v>
          </cell>
          <cell r="C2177" t="str">
            <v>Flucloxacillin Caps 250Mg (20'S)</v>
          </cell>
        </row>
        <row r="2178">
          <cell r="A2178">
            <v>180075516</v>
          </cell>
          <cell r="B2178">
            <v>3200</v>
          </cell>
          <cell r="C2178" t="str">
            <v>Atenolol Inj 0.5Mg/ml 10Ml</v>
          </cell>
        </row>
        <row r="2179">
          <cell r="A2179">
            <v>180261210</v>
          </cell>
          <cell r="B2179">
            <v>3201</v>
          </cell>
          <cell r="C2179" t="str">
            <v>Valproate Sodium 400Mg/4ml Injection</v>
          </cell>
        </row>
        <row r="2180">
          <cell r="A2180">
            <v>180075562</v>
          </cell>
          <cell r="B2180">
            <v>3202</v>
          </cell>
          <cell r="C2180" t="str">
            <v>Calcium Chloride Inj 10% Mv 10Ml</v>
          </cell>
        </row>
        <row r="2181">
          <cell r="A2181" t="str">
            <v>QUOTE</v>
          </cell>
          <cell r="B2181">
            <v>3203</v>
          </cell>
          <cell r="C2181" t="str">
            <v>Labels Oral Liquids</v>
          </cell>
        </row>
        <row r="2182">
          <cell r="A2182">
            <v>180075700</v>
          </cell>
          <cell r="B2182">
            <v>3204</v>
          </cell>
          <cell r="C2182" t="str">
            <v>Ciprofloxacin Inj For I.V.Inf 2Mg/ml 50Ml</v>
          </cell>
        </row>
        <row r="2183">
          <cell r="A2183">
            <v>189710043</v>
          </cell>
          <cell r="B2183">
            <v>3205</v>
          </cell>
          <cell r="C2183" t="str">
            <v>Clobazam Tabs 10Mg (100'S)</v>
          </cell>
        </row>
        <row r="2184">
          <cell r="A2184">
            <v>189710893</v>
          </cell>
          <cell r="B2184">
            <v>3206</v>
          </cell>
          <cell r="C2184" t="str">
            <v>Co-Trimoxazole Inj For I.V.Inf. 480Mg 5Ml</v>
          </cell>
        </row>
        <row r="2185">
          <cell r="A2185">
            <v>180075759</v>
          </cell>
          <cell r="B2185">
            <v>3207</v>
          </cell>
          <cell r="C2185" t="str">
            <v>~Dexamethasone Inj 4Mg/ml 1Ml</v>
          </cell>
        </row>
        <row r="2186">
          <cell r="A2186">
            <v>180188801</v>
          </cell>
          <cell r="B2186">
            <v>3208</v>
          </cell>
          <cell r="C2186" t="str">
            <v>Gemcitabine 200Mg Powder For Inj</v>
          </cell>
        </row>
        <row r="2187">
          <cell r="A2187">
            <v>180077964</v>
          </cell>
          <cell r="B2187">
            <v>3209</v>
          </cell>
          <cell r="C2187" t="str">
            <v>Enoxaparin 40Mg/0.4Ml Prefilled Syringe</v>
          </cell>
        </row>
        <row r="2188">
          <cell r="A2188">
            <v>181753528</v>
          </cell>
          <cell r="B2188">
            <v>3210</v>
          </cell>
          <cell r="C2188" t="str">
            <v>Pantoprazole 40Mg Inj 10Ml</v>
          </cell>
        </row>
        <row r="2189">
          <cell r="A2189" t="str">
            <v>QUOTE</v>
          </cell>
          <cell r="B2189">
            <v>3211</v>
          </cell>
          <cell r="C2189" t="str">
            <v>Labels White 75Mm X 30Mm (1 To View)(semi Gloss)</v>
          </cell>
        </row>
        <row r="2190">
          <cell r="A2190">
            <v>189711196</v>
          </cell>
          <cell r="B2190">
            <v>3212</v>
          </cell>
          <cell r="C2190" t="str">
            <v>~Glyceryl Trinitrate Inj 5Mg/ml  5Ml (Intravenous)</v>
          </cell>
        </row>
        <row r="2191">
          <cell r="A2191">
            <v>189714920</v>
          </cell>
          <cell r="B2191">
            <v>3213</v>
          </cell>
          <cell r="C2191" t="str">
            <v>~Glyceryl Trinitrate Inj 5Mg/ml 10Ml (Intravenous)</v>
          </cell>
        </row>
        <row r="2192">
          <cell r="A2192">
            <v>180339461</v>
          </cell>
          <cell r="B2192">
            <v>3214</v>
          </cell>
          <cell r="C2192" t="str">
            <v>Ibuprofen Tabs 200Mg (84'S)</v>
          </cell>
        </row>
        <row r="2193">
          <cell r="A2193" t="str">
            <v>DELETED</v>
          </cell>
          <cell r="B2193">
            <v>3215</v>
          </cell>
          <cell r="C2193" t="str">
            <v>~Paracetamol Paediatric Inj 10Mg/ml</v>
          </cell>
        </row>
        <row r="2194">
          <cell r="A2194">
            <v>180075998</v>
          </cell>
          <cell r="B2194">
            <v>3216</v>
          </cell>
          <cell r="C2194" t="str">
            <v>Glycopyrrolate Inj 0.2Mg/ml 2Ml</v>
          </cell>
        </row>
        <row r="2195">
          <cell r="A2195">
            <v>189715772</v>
          </cell>
          <cell r="B2195">
            <v>3217</v>
          </cell>
          <cell r="C2195" t="str">
            <v>Heparin Inj  1000Iu/ml 5Ml</v>
          </cell>
        </row>
        <row r="2196">
          <cell r="A2196">
            <v>180076106</v>
          </cell>
          <cell r="B2196">
            <v>3218</v>
          </cell>
          <cell r="C2196" t="str">
            <v>Insulin Humulin N 3Ml Penfill  Cartridge</v>
          </cell>
        </row>
        <row r="2197">
          <cell r="A2197">
            <v>180076106</v>
          </cell>
          <cell r="B2197">
            <v>3219</v>
          </cell>
          <cell r="C2197" t="str">
            <v>~Insulin Protaphane Hm  3Ml Cartridge</v>
          </cell>
        </row>
        <row r="2198">
          <cell r="A2198">
            <v>180076135</v>
          </cell>
          <cell r="B2198">
            <v>3220</v>
          </cell>
          <cell r="C2198" t="str">
            <v>~Insulin Actrapid Hm  1.5Ml Penset</v>
          </cell>
        </row>
        <row r="2199">
          <cell r="A2199">
            <v>180214250</v>
          </cell>
          <cell r="B2199">
            <v>3221</v>
          </cell>
          <cell r="C2199" t="str">
            <v>Insulin Humulin R Penfill Cartrige</v>
          </cell>
        </row>
        <row r="2200">
          <cell r="A2200">
            <v>180309129</v>
          </cell>
          <cell r="B2200">
            <v>3222</v>
          </cell>
          <cell r="C2200" t="str">
            <v>Insulin Humulin 30/70 Penfill Cartridge</v>
          </cell>
        </row>
        <row r="2201">
          <cell r="A2201">
            <v>180309129</v>
          </cell>
          <cell r="B2201">
            <v>3223</v>
          </cell>
          <cell r="C2201" t="str">
            <v>Insulin Humulin 30/70 3Ml Penset</v>
          </cell>
        </row>
        <row r="2202">
          <cell r="A2202" t="str">
            <v>DELETED</v>
          </cell>
          <cell r="B2202">
            <v>3224</v>
          </cell>
          <cell r="C2202" t="str">
            <v>~Lignocaine Inj 20% 5Ml (W/out Preservative)</v>
          </cell>
        </row>
        <row r="2203">
          <cell r="A2203">
            <v>180076367</v>
          </cell>
          <cell r="B2203">
            <v>3225</v>
          </cell>
          <cell r="C2203" t="str">
            <v>Lorazepam Inj 4Mg/ml 1Ml</v>
          </cell>
        </row>
        <row r="2204">
          <cell r="A2204">
            <v>189710961</v>
          </cell>
          <cell r="B2204">
            <v>3226</v>
          </cell>
          <cell r="C2204" t="str">
            <v>~Methohexital Inj 500Mg</v>
          </cell>
        </row>
        <row r="2205">
          <cell r="A2205">
            <v>189759249</v>
          </cell>
          <cell r="B2205">
            <v>3227</v>
          </cell>
          <cell r="C2205" t="str">
            <v>~Methylprednisolone Succinate Inj 125Mg</v>
          </cell>
        </row>
        <row r="2206">
          <cell r="A2206">
            <v>180083918</v>
          </cell>
          <cell r="B2206">
            <v>3228</v>
          </cell>
          <cell r="C2206" t="str">
            <v>Nitroglycerin Spray 0.4Mg/dose</v>
          </cell>
        </row>
        <row r="2207">
          <cell r="A2207">
            <v>180190409</v>
          </cell>
          <cell r="B2207">
            <v>3229</v>
          </cell>
          <cell r="C2207" t="str">
            <v>Midazolam 15Mg Tabs (20'S)</v>
          </cell>
        </row>
        <row r="2208">
          <cell r="A2208">
            <v>189763129</v>
          </cell>
          <cell r="B2208">
            <v>3230</v>
          </cell>
          <cell r="C2208" t="str">
            <v>Nimodipine Inj For I.V.10Mg/50ml 50Ml</v>
          </cell>
        </row>
        <row r="2209">
          <cell r="A2209">
            <v>181858212</v>
          </cell>
          <cell r="B2209">
            <v>3231</v>
          </cell>
          <cell r="C2209" t="str">
            <v>~Calcium Folinate Inj 200Mg/20ml</v>
          </cell>
        </row>
        <row r="2210">
          <cell r="A2210">
            <v>180076556</v>
          </cell>
          <cell r="B2210">
            <v>3232</v>
          </cell>
          <cell r="C2210" t="str">
            <v>Phenylephrine Inj 10Mg/ml 1Ml</v>
          </cell>
        </row>
        <row r="2211">
          <cell r="A2211" t="str">
            <v>DELETED</v>
          </cell>
          <cell r="B2211">
            <v>3233</v>
          </cell>
          <cell r="C2211" t="str">
            <v>~Denepesil 5Mg Tabs (28'S)</v>
          </cell>
        </row>
        <row r="2212">
          <cell r="A2212">
            <v>180076573</v>
          </cell>
          <cell r="B2212">
            <v>3234</v>
          </cell>
          <cell r="C2212" t="str">
            <v>Potassium Phosphate Monobasic Anhydrous 1.09G&amp;1.05G/1</v>
          </cell>
        </row>
        <row r="2213">
          <cell r="A2213">
            <v>180076594</v>
          </cell>
          <cell r="B2213">
            <v>3235</v>
          </cell>
          <cell r="C2213" t="str">
            <v>Ranitidine Inj 25Mg/ml 2Ml</v>
          </cell>
        </row>
        <row r="2214">
          <cell r="A2214" t="str">
            <v>QUOTE</v>
          </cell>
          <cell r="B2214">
            <v>3236</v>
          </cell>
          <cell r="C2214" t="str">
            <v>~Cath Double Lumen Adult 16Fg  Cvc</v>
          </cell>
        </row>
        <row r="2215">
          <cell r="A2215">
            <v>180208570</v>
          </cell>
          <cell r="B2215">
            <v>3237</v>
          </cell>
          <cell r="C2215" t="str">
            <v>Topiramate Tabs  50Mg (60'S)</v>
          </cell>
        </row>
        <row r="2216">
          <cell r="A2216">
            <v>181806369</v>
          </cell>
          <cell r="B2216">
            <v>3238</v>
          </cell>
          <cell r="C2216" t="str">
            <v>Oxcarbazepine Tabs 600Mg (50)</v>
          </cell>
        </row>
        <row r="2217">
          <cell r="A2217">
            <v>180076993</v>
          </cell>
          <cell r="B2217">
            <v>3239</v>
          </cell>
          <cell r="C2217" t="str">
            <v>Vecuronium Bromide Inj  4Mg 2Ml</v>
          </cell>
        </row>
        <row r="2218">
          <cell r="A2218" t="str">
            <v>REGIONAL</v>
          </cell>
          <cell r="B2218">
            <v>3240</v>
          </cell>
          <cell r="C2218" t="str">
            <v>Insulin Glargine(solostar)100iu 3Ml Penset</v>
          </cell>
        </row>
        <row r="2219">
          <cell r="A2219">
            <v>181771853</v>
          </cell>
          <cell r="B2219">
            <v>3241</v>
          </cell>
          <cell r="C2219" t="str">
            <v>Rif 150 Pza 400 Inh 75 Eth 275 (100'S)</v>
          </cell>
        </row>
        <row r="2220">
          <cell r="A2220">
            <v>189710862</v>
          </cell>
          <cell r="B2220">
            <v>3242</v>
          </cell>
          <cell r="C2220" t="str">
            <v>Water For Inj   20Ml (Plastic)</v>
          </cell>
        </row>
        <row r="2221">
          <cell r="A2221">
            <v>181788549</v>
          </cell>
          <cell r="B2221">
            <v>3243</v>
          </cell>
          <cell r="C2221" t="str">
            <v>Ertapenem Sodium 1G/20ml</v>
          </cell>
        </row>
        <row r="2222">
          <cell r="A2222">
            <v>180075518</v>
          </cell>
          <cell r="B2222">
            <v>3244</v>
          </cell>
          <cell r="C2222" t="str">
            <v>Atracurium Inj 10Mg/ml 2.5Ml</v>
          </cell>
        </row>
        <row r="2223">
          <cell r="A2223">
            <v>180075646</v>
          </cell>
          <cell r="B2223">
            <v>3245</v>
          </cell>
          <cell r="C2223" t="str">
            <v>Chorionic Gonadotropin  5 000Iu/amp</v>
          </cell>
        </row>
        <row r="2224">
          <cell r="A2224">
            <v>180076739</v>
          </cell>
          <cell r="B2224">
            <v>3246</v>
          </cell>
          <cell r="C2224" t="str">
            <v>~Sodium Nitroprusside Inj For I.V. Inf 100Mg/vial</v>
          </cell>
        </row>
        <row r="2225">
          <cell r="A2225">
            <v>189714840</v>
          </cell>
          <cell r="B2225">
            <v>3247</v>
          </cell>
          <cell r="C2225" t="str">
            <v>Acetic Acid Glacial B.P. 500Ml</v>
          </cell>
        </row>
        <row r="2226">
          <cell r="A2226" t="str">
            <v>QUOTE</v>
          </cell>
          <cell r="B2226">
            <v>3248</v>
          </cell>
          <cell r="C2226" t="str">
            <v>~Sodium Bicarb 2.55G Citric Acid 0.823G/5g</v>
          </cell>
        </row>
        <row r="2227">
          <cell r="A2227">
            <v>180009225</v>
          </cell>
          <cell r="B2227">
            <v>3249</v>
          </cell>
          <cell r="C2227" t="str">
            <v>Albendazole Susp 100Mg/5ml 20Ml</v>
          </cell>
        </row>
        <row r="2228">
          <cell r="A2228">
            <v>189703005</v>
          </cell>
          <cell r="B2228">
            <v>3250</v>
          </cell>
          <cell r="C2228" t="str">
            <v>~Aromatic Ammonia Spirit Bp 100Ml</v>
          </cell>
        </row>
        <row r="2229">
          <cell r="A2229">
            <v>180961908</v>
          </cell>
          <cell r="B2229">
            <v>3251</v>
          </cell>
          <cell r="C2229" t="str">
            <v>Syringe Safety 3Ml 20Gx40mm (0.9Mm) Needle</v>
          </cell>
        </row>
        <row r="2230">
          <cell r="A2230">
            <v>189703384</v>
          </cell>
          <cell r="B2230">
            <v>3252</v>
          </cell>
          <cell r="C2230" t="str">
            <v>Betamethasone Valerate Lotion 30Ml</v>
          </cell>
        </row>
        <row r="2231">
          <cell r="A2231">
            <v>189708050</v>
          </cell>
          <cell r="B2231">
            <v>3253</v>
          </cell>
          <cell r="C2231" t="str">
            <v>~Betamethasone Valerate Scalp 30Ml</v>
          </cell>
        </row>
        <row r="2232">
          <cell r="A2232">
            <v>180961966</v>
          </cell>
          <cell r="B2232">
            <v>3254</v>
          </cell>
          <cell r="C2232" t="str">
            <v>Syringe Safety 10Ml 21Gx25mm (0.8Mm) Needle</v>
          </cell>
        </row>
        <row r="2233">
          <cell r="A2233">
            <v>181798227</v>
          </cell>
          <cell r="B2233">
            <v>3255</v>
          </cell>
          <cell r="C2233" t="str">
            <v>Chlorhexidine Gluconate 0.2% Mouthwash 100Ml</v>
          </cell>
        </row>
        <row r="2234">
          <cell r="A2234">
            <v>180076237</v>
          </cell>
          <cell r="B2234">
            <v>3256</v>
          </cell>
          <cell r="C2234" t="str">
            <v>~Molgramostim Inj 150Mcg</v>
          </cell>
        </row>
        <row r="2235">
          <cell r="A2235">
            <v>180327500</v>
          </cell>
          <cell r="B2235">
            <v>3257</v>
          </cell>
          <cell r="C2235" t="str">
            <v>Antithymocyte Immunoglohulin 250Mg</v>
          </cell>
        </row>
        <row r="2236">
          <cell r="A2236" t="str">
            <v>QUOTE</v>
          </cell>
          <cell r="B2236">
            <v>3258</v>
          </cell>
          <cell r="C2236" t="str">
            <v>~Extr.Rhei 0.05G, Salicylic Acid 0.01G/ml</v>
          </cell>
        </row>
        <row r="2237">
          <cell r="A2237">
            <v>181848888</v>
          </cell>
          <cell r="B2237">
            <v>3259</v>
          </cell>
          <cell r="C2237" t="str">
            <v>Calcium Folinate Inj 300Mg/30ml</v>
          </cell>
        </row>
        <row r="2238">
          <cell r="A2238" t="str">
            <v>*</v>
          </cell>
          <cell r="B2238">
            <v>3260</v>
          </cell>
          <cell r="C2238" t="str">
            <v>Hydroxyethyl Starch 130/0,42 60G &amp; Nacl 9G/l</v>
          </cell>
        </row>
        <row r="2239">
          <cell r="A2239">
            <v>180199767</v>
          </cell>
          <cell r="B2239">
            <v>3261</v>
          </cell>
          <cell r="C2239" t="str">
            <v>Isoflurane Liquid 250Ml</v>
          </cell>
        </row>
        <row r="2240">
          <cell r="A2240">
            <v>180965107</v>
          </cell>
          <cell r="B2240">
            <v>3262</v>
          </cell>
          <cell r="C2240" t="str">
            <v>Risperidone Tabs 2Mg (30'S)</v>
          </cell>
        </row>
        <row r="2241">
          <cell r="A2241">
            <v>189711793</v>
          </cell>
          <cell r="B2241">
            <v>3263</v>
          </cell>
          <cell r="C2241" t="str">
            <v>Vitamin B Co Strong Tabs (84'S)</v>
          </cell>
        </row>
        <row r="2242">
          <cell r="A2242">
            <v>180301660</v>
          </cell>
          <cell r="B2242">
            <v>3264</v>
          </cell>
          <cell r="C2242" t="str">
            <v>Hyaluronidase 1500 Iu Ampoules</v>
          </cell>
        </row>
        <row r="2243">
          <cell r="A2243">
            <v>181783747</v>
          </cell>
          <cell r="B2243">
            <v>3265</v>
          </cell>
          <cell r="C2243" t="str">
            <v>Paracetamol Syr 120Mg/5ml  500Ml</v>
          </cell>
        </row>
        <row r="2244">
          <cell r="A2244" t="str">
            <v>QUOTE</v>
          </cell>
          <cell r="B2244">
            <v>3266</v>
          </cell>
          <cell r="C2244" t="str">
            <v>Cath Umbilical Artery Size 3.5</v>
          </cell>
        </row>
        <row r="2245">
          <cell r="A2245">
            <v>189712111</v>
          </cell>
          <cell r="B2245">
            <v>3267</v>
          </cell>
          <cell r="C2245" t="str">
            <v>~Povidone Iodine Surgical Scrub 1L</v>
          </cell>
        </row>
        <row r="2246">
          <cell r="A2246">
            <v>180187762</v>
          </cell>
          <cell r="B2246">
            <v>3268</v>
          </cell>
          <cell r="C2246" t="str">
            <v>Prednisolone Syrup 15Mg/5ml 50Ml</v>
          </cell>
        </row>
        <row r="2247">
          <cell r="A2247">
            <v>180952833</v>
          </cell>
          <cell r="B2247">
            <v>3269</v>
          </cell>
          <cell r="C2247" t="str">
            <v>Sucralfate Susp 1Gm/5ml 600Ml</v>
          </cell>
        </row>
        <row r="2248">
          <cell r="A2248" t="str">
            <v>VIALS</v>
          </cell>
          <cell r="B2248">
            <v>3270</v>
          </cell>
          <cell r="C2248" t="str">
            <v>Aztreonam 1G</v>
          </cell>
        </row>
        <row r="2249">
          <cell r="A2249">
            <v>181789501</v>
          </cell>
          <cell r="B2249">
            <v>3271</v>
          </cell>
          <cell r="C2249" t="str">
            <v>~Ibandronic Acid 2Mg/2ml Inj</v>
          </cell>
        </row>
        <row r="2250">
          <cell r="A2250" t="str">
            <v>PREPACK   4</v>
          </cell>
          <cell r="B2250">
            <v>3272</v>
          </cell>
          <cell r="C2250" t="str">
            <v>Rifampicin Tabs 600Mg (4'S)</v>
          </cell>
        </row>
        <row r="2251">
          <cell r="A2251">
            <v>181785231</v>
          </cell>
          <cell r="B2251">
            <v>4004</v>
          </cell>
          <cell r="C2251" t="str">
            <v>Exemestane Tabs 25Mg</v>
          </cell>
        </row>
        <row r="2252">
          <cell r="A2252">
            <v>189712166</v>
          </cell>
          <cell r="B2252">
            <v>3274</v>
          </cell>
          <cell r="C2252" t="str">
            <v>Alfacalcidol Caps 0.25Mcg (30'S)</v>
          </cell>
        </row>
        <row r="2253">
          <cell r="A2253">
            <v>189714139</v>
          </cell>
          <cell r="B2253">
            <v>3275</v>
          </cell>
          <cell r="C2253" t="str">
            <v>Alfacalcidol Caps 1.0Mcg (30'S)</v>
          </cell>
        </row>
        <row r="2254">
          <cell r="A2254">
            <v>180339396</v>
          </cell>
          <cell r="B2254">
            <v>3276</v>
          </cell>
          <cell r="C2254" t="str">
            <v>Allopurinol Tabs 300Mg (28'S)</v>
          </cell>
        </row>
        <row r="2255">
          <cell r="A2255">
            <v>189742595</v>
          </cell>
          <cell r="B2255">
            <v>3277</v>
          </cell>
          <cell r="C2255" t="str">
            <v>Dressing Wound Absorbent Cavity  50Mm</v>
          </cell>
        </row>
        <row r="2256">
          <cell r="A2256">
            <v>189710641</v>
          </cell>
          <cell r="B2256">
            <v>3278</v>
          </cell>
          <cell r="C2256" t="str">
            <v>Amiodarone Tabs 200Mg (30'S)</v>
          </cell>
        </row>
        <row r="2257">
          <cell r="A2257" t="str">
            <v>QUOTE</v>
          </cell>
          <cell r="B2257">
            <v>3279</v>
          </cell>
          <cell r="C2257" t="str">
            <v>~Sut Monosyn Loop Double Thread 12</v>
          </cell>
        </row>
        <row r="2258">
          <cell r="A2258">
            <v>180093261</v>
          </cell>
          <cell r="B2258">
            <v>3280</v>
          </cell>
          <cell r="C2258" t="str">
            <v>~Isoniazid Thiacetazone Tabs 133Mg/50mg</v>
          </cell>
        </row>
        <row r="2259">
          <cell r="A2259">
            <v>180018948</v>
          </cell>
          <cell r="B2259">
            <v>3281</v>
          </cell>
          <cell r="C2259" t="str">
            <v>Ringer Lactate 1000Ml Hospital Ddv</v>
          </cell>
        </row>
        <row r="2260">
          <cell r="A2260">
            <v>180000649</v>
          </cell>
          <cell r="B2260">
            <v>3282</v>
          </cell>
          <cell r="C2260" t="str">
            <v>Bezafibrate Tabs 400Mg (30'S)</v>
          </cell>
        </row>
        <row r="2261">
          <cell r="A2261" t="str">
            <v>QUOTE</v>
          </cell>
          <cell r="B2261">
            <v>3283</v>
          </cell>
          <cell r="C2261" t="str">
            <v>Labels Respiratory Aerosols</v>
          </cell>
        </row>
        <row r="2262">
          <cell r="A2262">
            <v>189714420</v>
          </cell>
          <cell r="B2262">
            <v>3284</v>
          </cell>
          <cell r="C2262" t="str">
            <v>Bromocriptine Mesylate Caps 5Mg</v>
          </cell>
        </row>
        <row r="2263">
          <cell r="A2263">
            <v>189711839</v>
          </cell>
          <cell r="B2263">
            <v>3285</v>
          </cell>
          <cell r="C2263" t="str">
            <v>~Buspirone Tabs 10Mg (60'S)</v>
          </cell>
        </row>
        <row r="2264">
          <cell r="A2264">
            <v>180958744</v>
          </cell>
          <cell r="B2264">
            <v>3286</v>
          </cell>
          <cell r="C2264" t="str">
            <v>Capecitabine 500Mg (120'S)</v>
          </cell>
        </row>
        <row r="2265">
          <cell r="A2265">
            <v>189710113</v>
          </cell>
          <cell r="B2265">
            <v>3287</v>
          </cell>
          <cell r="C2265" t="str">
            <v>~Calcium Carbonate &amp; Glycine (300'S)</v>
          </cell>
        </row>
        <row r="2266">
          <cell r="A2266" t="str">
            <v>QUOTE</v>
          </cell>
          <cell r="B2266">
            <v>3288</v>
          </cell>
          <cell r="C2266" t="str">
            <v>Diethylcarbamazine Tabs 50Mg</v>
          </cell>
        </row>
        <row r="2267">
          <cell r="A2267" t="str">
            <v>QUOTE</v>
          </cell>
          <cell r="B2267">
            <v>3289</v>
          </cell>
          <cell r="C2267" t="str">
            <v>Labels External Use Ointment/cream</v>
          </cell>
        </row>
        <row r="2268">
          <cell r="A2268" t="str">
            <v>QUOTE</v>
          </cell>
          <cell r="B2268">
            <v>3290</v>
          </cell>
          <cell r="C2268" t="str">
            <v>Labels Tablets Capsules</v>
          </cell>
        </row>
        <row r="2269">
          <cell r="A2269" t="str">
            <v>*</v>
          </cell>
          <cell r="B2269">
            <v>3291</v>
          </cell>
          <cell r="C2269" t="str">
            <v>Campaign: Vaccine Pneumococcal (Pcv)</v>
          </cell>
        </row>
        <row r="2270">
          <cell r="A2270">
            <v>180670485</v>
          </cell>
          <cell r="B2270">
            <v>3292</v>
          </cell>
          <cell r="C2270" t="str">
            <v>Fluoxetine Tabs 20Mg Dispersible</v>
          </cell>
        </row>
        <row r="2271">
          <cell r="A2271" t="str">
            <v>QUOTE</v>
          </cell>
          <cell r="B2271">
            <v>3293</v>
          </cell>
          <cell r="C2271" t="str">
            <v>Triamcinolone 40Mg Injection</v>
          </cell>
        </row>
        <row r="2272">
          <cell r="A2272">
            <v>189762971</v>
          </cell>
          <cell r="B2272">
            <v>3294</v>
          </cell>
          <cell r="C2272" t="str">
            <v>Ciprofloxacin Tabs 750Mg</v>
          </cell>
        </row>
        <row r="2273">
          <cell r="A2273">
            <v>189763021</v>
          </cell>
          <cell r="B2273">
            <v>3295</v>
          </cell>
          <cell r="C2273" t="str">
            <v>~Cisapride Tabs 10Mg</v>
          </cell>
        </row>
        <row r="2274">
          <cell r="A2274">
            <v>189711825</v>
          </cell>
          <cell r="B2274">
            <v>3296</v>
          </cell>
          <cell r="C2274" t="str">
            <v>Chlorpromazine Tabs 100Mg (28'S)</v>
          </cell>
        </row>
        <row r="2275">
          <cell r="A2275">
            <v>189759809</v>
          </cell>
          <cell r="B2275">
            <v>3297</v>
          </cell>
          <cell r="C2275" t="str">
            <v>Codeine Phosphate Tabs 30Mg (100'S)</v>
          </cell>
        </row>
        <row r="2276">
          <cell r="A2276">
            <v>181927637</v>
          </cell>
          <cell r="B2276">
            <v>3298</v>
          </cell>
          <cell r="C2276" t="str">
            <v>Acyclovir Disp Tabs 400Mg (70'S)</v>
          </cell>
        </row>
        <row r="2277">
          <cell r="A2277">
            <v>180073825</v>
          </cell>
          <cell r="B2277">
            <v>3299</v>
          </cell>
          <cell r="C2277" t="str">
            <v>Dressing Hydrocolloid Transparent  9Cmx14cm</v>
          </cell>
        </row>
        <row r="2278">
          <cell r="A2278">
            <v>180007916</v>
          </cell>
          <cell r="B2278">
            <v>3300</v>
          </cell>
          <cell r="C2278" t="str">
            <v>Set Peritoneal Dialysis Y-Type With Drain Tubing</v>
          </cell>
        </row>
        <row r="2279">
          <cell r="A2279">
            <v>189707439</v>
          </cell>
          <cell r="B2279">
            <v>3301</v>
          </cell>
          <cell r="C2279" t="str">
            <v>Cyproterone Ethinyloest Tabs 2Mg/0.035Mg</v>
          </cell>
        </row>
        <row r="2280">
          <cell r="A2280">
            <v>189710375</v>
          </cell>
          <cell r="B2280">
            <v>3302</v>
          </cell>
          <cell r="C2280" t="str">
            <v>Digoxin Tabs 0.0625Mg Paediatric</v>
          </cell>
        </row>
        <row r="2281">
          <cell r="A2281">
            <v>189710373</v>
          </cell>
          <cell r="B2281">
            <v>3303</v>
          </cell>
          <cell r="C2281" t="str">
            <v>Diltiazem Tabs 60Mg (60'S)</v>
          </cell>
        </row>
        <row r="2282">
          <cell r="A2282">
            <v>189709184</v>
          </cell>
          <cell r="B2282">
            <v>3304</v>
          </cell>
          <cell r="C2282" t="str">
            <v>~Diltiazem Tabs 90Mg (Slow Release)</v>
          </cell>
        </row>
        <row r="2283">
          <cell r="A2283">
            <v>189710379</v>
          </cell>
          <cell r="B2283">
            <v>3305</v>
          </cell>
          <cell r="C2283" t="str">
            <v>~Dothiepin Caps 25Mg</v>
          </cell>
        </row>
        <row r="2284">
          <cell r="A2284">
            <v>189710371</v>
          </cell>
          <cell r="B2284">
            <v>3306</v>
          </cell>
          <cell r="C2284" t="str">
            <v>~Dothiepin Tabs 75Mg (30'S)</v>
          </cell>
        </row>
        <row r="2285">
          <cell r="A2285">
            <v>189763013</v>
          </cell>
          <cell r="B2285">
            <v>3307</v>
          </cell>
          <cell r="C2285" t="str">
            <v>Doxazosin Tabs 4Mg (30'S)</v>
          </cell>
        </row>
        <row r="2286">
          <cell r="A2286" t="str">
            <v>PREPACK 28</v>
          </cell>
          <cell r="B2286">
            <v>3308</v>
          </cell>
          <cell r="C2286" t="str">
            <v>Lithium Carbonate Tabs 250Mg (28'S)</v>
          </cell>
        </row>
        <row r="2287">
          <cell r="A2287" t="str">
            <v>.</v>
          </cell>
          <cell r="B2287">
            <v>3309</v>
          </cell>
          <cell r="C2287" t="str">
            <v>~Fentanyl Transdermal Patch 5Mg</v>
          </cell>
        </row>
        <row r="2288">
          <cell r="A2288">
            <v>180157316</v>
          </cell>
          <cell r="B2288">
            <v>3310</v>
          </cell>
          <cell r="C2288" t="str">
            <v>~Fentanyl Transdermal Patch 2.5Mg</v>
          </cell>
        </row>
        <row r="2289">
          <cell r="A2289">
            <v>180155533</v>
          </cell>
          <cell r="B2289">
            <v>3311</v>
          </cell>
          <cell r="C2289" t="str">
            <v>Ibuprofen Tabs 400Mg (Ward 100)</v>
          </cell>
        </row>
        <row r="2290">
          <cell r="A2290">
            <v>180177460</v>
          </cell>
          <cell r="B2290">
            <v>3312</v>
          </cell>
          <cell r="C2290" t="str">
            <v>~Flavoxate Tabs 200Mg (90'S)</v>
          </cell>
        </row>
        <row r="2291">
          <cell r="A2291">
            <v>189710316</v>
          </cell>
          <cell r="B2291">
            <v>3313</v>
          </cell>
          <cell r="C2291" t="str">
            <v>Fludrocortisone Tabs 0.1Mg</v>
          </cell>
        </row>
        <row r="2292">
          <cell r="A2292">
            <v>189710019</v>
          </cell>
          <cell r="B2292">
            <v>3314</v>
          </cell>
          <cell r="C2292" t="str">
            <v>Furosemide Tabs 500Mg (100'S)</v>
          </cell>
        </row>
        <row r="2293">
          <cell r="A2293" t="str">
            <v>PREPACK DEPT</v>
          </cell>
          <cell r="B2293">
            <v>3315</v>
          </cell>
          <cell r="C2293" t="str">
            <v>Bag Plastic Overwrapper</v>
          </cell>
        </row>
        <row r="2294">
          <cell r="A2294">
            <v>189710207</v>
          </cell>
          <cell r="B2294">
            <v>3316</v>
          </cell>
          <cell r="C2294" t="str">
            <v>~Glipizide Tabs 5Mg</v>
          </cell>
        </row>
        <row r="2295">
          <cell r="A2295" t="str">
            <v>PREPACK DEPT</v>
          </cell>
          <cell r="B2295">
            <v>3317</v>
          </cell>
          <cell r="C2295" t="str">
            <v>Ribbon Thermal For Use With Tec Printer</v>
          </cell>
        </row>
        <row r="2296">
          <cell r="A2296">
            <v>189762906</v>
          </cell>
          <cell r="B2296">
            <v>3318</v>
          </cell>
          <cell r="C2296" t="str">
            <v>~Gentamycin Beads 4.5Mg 10</v>
          </cell>
        </row>
        <row r="2297">
          <cell r="A2297">
            <v>180103511</v>
          </cell>
          <cell r="B2297">
            <v>3319</v>
          </cell>
          <cell r="C2297" t="str">
            <v>Gabapentin 300Mg Caps (100'S)</v>
          </cell>
        </row>
        <row r="2298">
          <cell r="A2298">
            <v>180198245</v>
          </cell>
          <cell r="B2298">
            <v>3320</v>
          </cell>
          <cell r="C2298" t="str">
            <v>Amoxycillin Caps 250Mg (15'S)</v>
          </cell>
        </row>
        <row r="2299">
          <cell r="A2299">
            <v>180124495</v>
          </cell>
          <cell r="B2299">
            <v>3321</v>
          </cell>
          <cell r="C2299" t="str">
            <v>Tramadol Inj 100Mg/2ml</v>
          </cell>
        </row>
        <row r="2300">
          <cell r="A2300">
            <v>1800964948</v>
          </cell>
          <cell r="B2300">
            <v>3322</v>
          </cell>
          <cell r="C2300" t="str">
            <v>Amino Acid  5.5 Dextrose 20 Fat 20  2530Ml</v>
          </cell>
        </row>
        <row r="2301">
          <cell r="A2301">
            <v>189710174</v>
          </cell>
          <cell r="B2301">
            <v>3323</v>
          </cell>
          <cell r="C2301" t="str">
            <v>Isosorbide Dinitrate Tabs 30Mg (50'S)</v>
          </cell>
        </row>
        <row r="2302">
          <cell r="A2302">
            <v>180001500</v>
          </cell>
          <cell r="B2302">
            <v>3324</v>
          </cell>
          <cell r="C2302" t="str">
            <v>~Isradipine Caps 5Mg S.R.O</v>
          </cell>
        </row>
        <row r="2303">
          <cell r="A2303">
            <v>189710408</v>
          </cell>
          <cell r="B2303">
            <v>3325</v>
          </cell>
          <cell r="C2303" t="str">
            <v>~Levodopa/benzerazide Tabs 200Mg/50mg (50'S)</v>
          </cell>
        </row>
        <row r="2304">
          <cell r="A2304">
            <v>189710345</v>
          </cell>
          <cell r="B2304">
            <v>3326</v>
          </cell>
          <cell r="C2304" t="str">
            <v>~Liothyronine Tabs 20Mcg</v>
          </cell>
        </row>
        <row r="2305">
          <cell r="A2305">
            <v>189711820</v>
          </cell>
          <cell r="B2305">
            <v>3327</v>
          </cell>
          <cell r="C2305" t="str">
            <v>Hyoscine-N-Butylbrom Tabs 10Mg (10'S)</v>
          </cell>
        </row>
        <row r="2306">
          <cell r="A2306" t="str">
            <v>QUOTE</v>
          </cell>
          <cell r="B2306">
            <v>3328</v>
          </cell>
          <cell r="C2306" t="str">
            <v>~Fentanyl Transdermal Patches 10Mcg</v>
          </cell>
        </row>
        <row r="2307">
          <cell r="A2307">
            <v>189763053</v>
          </cell>
          <cell r="B2307">
            <v>3329</v>
          </cell>
          <cell r="C2307" t="str">
            <v>~Loratadine Tabs 10Mg</v>
          </cell>
        </row>
        <row r="2308">
          <cell r="A2308" t="str">
            <v>PREPACK 28</v>
          </cell>
          <cell r="B2308">
            <v>3330</v>
          </cell>
          <cell r="C2308" t="str">
            <v>Imipramine Tabs 25Mg (28'S)</v>
          </cell>
        </row>
        <row r="2309">
          <cell r="A2309" t="str">
            <v>PREPACK 28</v>
          </cell>
          <cell r="B2309">
            <v>3331</v>
          </cell>
          <cell r="C2309" t="str">
            <v>Haloperidol Tabs 1.5Mg (28'S)</v>
          </cell>
        </row>
        <row r="2310">
          <cell r="A2310">
            <v>180339623</v>
          </cell>
          <cell r="B2310">
            <v>3332</v>
          </cell>
          <cell r="C2310" t="str">
            <v>~Methenamine Hippurate Tabs 1.0G</v>
          </cell>
        </row>
        <row r="2311">
          <cell r="A2311" t="str">
            <v>PREPACK 100</v>
          </cell>
          <cell r="B2311">
            <v>3333</v>
          </cell>
          <cell r="C2311" t="str">
            <v>~Methyldopa Tabs 250Mg (Ward 100'S)</v>
          </cell>
        </row>
        <row r="2312">
          <cell r="A2312">
            <v>181789567</v>
          </cell>
          <cell r="B2312">
            <v>3334</v>
          </cell>
          <cell r="C2312" t="str">
            <v>Indicator Biological For Steam + Gas Sterilization</v>
          </cell>
        </row>
        <row r="2313">
          <cell r="A2313">
            <v>181769645</v>
          </cell>
          <cell r="B2313">
            <v>3335</v>
          </cell>
          <cell r="C2313" t="str">
            <v>Methylphenidate Caps 20Mg L A (30'S)</v>
          </cell>
        </row>
        <row r="2314">
          <cell r="A2314">
            <v>180059554</v>
          </cell>
          <cell r="B2314">
            <v>3336</v>
          </cell>
          <cell r="C2314" t="str">
            <v>Dressing Burn First Aid 20Cmx20cm</v>
          </cell>
        </row>
        <row r="2315">
          <cell r="A2315">
            <v>180282750</v>
          </cell>
          <cell r="B2315">
            <v>3337</v>
          </cell>
          <cell r="C2315" t="str">
            <v>Metronidazole Tabs 400Mg (5'S)</v>
          </cell>
        </row>
        <row r="2316">
          <cell r="A2316">
            <v>189714604</v>
          </cell>
          <cell r="B2316">
            <v>3338</v>
          </cell>
          <cell r="C2316" t="str">
            <v>~Mianserin Tabs 10Mg (30'S)</v>
          </cell>
        </row>
        <row r="2317">
          <cell r="A2317">
            <v>180339642</v>
          </cell>
          <cell r="B2317">
            <v>3339</v>
          </cell>
          <cell r="C2317" t="str">
            <v>Misoprostol Tabs 200Mcg (60'S)</v>
          </cell>
        </row>
        <row r="2318">
          <cell r="A2318">
            <v>180344234</v>
          </cell>
          <cell r="B2318">
            <v>3340</v>
          </cell>
          <cell r="C2318" t="str">
            <v>Montelukast Chew Tabs 5Mg (28'S)</v>
          </cell>
        </row>
        <row r="2319">
          <cell r="A2319">
            <v>189759676</v>
          </cell>
          <cell r="B2319">
            <v>3341</v>
          </cell>
          <cell r="C2319" t="str">
            <v>Nadolol Tabs 80Mg</v>
          </cell>
        </row>
        <row r="2320">
          <cell r="A2320" t="str">
            <v>DELETED</v>
          </cell>
          <cell r="B2320">
            <v>3342</v>
          </cell>
          <cell r="C2320" t="str">
            <v>Dressing Wound Non-Adhes Self-Adher Meshed 210X310mm</v>
          </cell>
        </row>
        <row r="2321">
          <cell r="A2321">
            <v>189711051</v>
          </cell>
          <cell r="B2321">
            <v>3343</v>
          </cell>
          <cell r="C2321" t="str">
            <v>Metronidazole Tabs 400Mg (100'S)</v>
          </cell>
        </row>
        <row r="2322">
          <cell r="A2322">
            <v>189763128</v>
          </cell>
          <cell r="B2322">
            <v>3344</v>
          </cell>
          <cell r="C2322" t="str">
            <v>Nimodipine Tabs 30Mg (100'S)</v>
          </cell>
        </row>
        <row r="2323">
          <cell r="A2323">
            <v>180343367</v>
          </cell>
          <cell r="B2323">
            <v>3345</v>
          </cell>
          <cell r="C2323" t="str">
            <v>Pouch Urostomy One Piece 10-55Mm Clear Drainable</v>
          </cell>
        </row>
        <row r="2324">
          <cell r="A2324" t="str">
            <v>QUOTE</v>
          </cell>
          <cell r="B2324">
            <v>3346</v>
          </cell>
          <cell r="C2324" t="str">
            <v>Cath Embolectomy 3Fg 80Cm</v>
          </cell>
        </row>
        <row r="2325">
          <cell r="A2325" t="str">
            <v>QUOTE</v>
          </cell>
          <cell r="B2325">
            <v>3347</v>
          </cell>
          <cell r="C2325" t="str">
            <v>Cath Embolectomy 4Fg 80Cm</v>
          </cell>
        </row>
        <row r="2326">
          <cell r="A2326">
            <v>189762968</v>
          </cell>
          <cell r="B2326">
            <v>3348</v>
          </cell>
          <cell r="C2326" t="str">
            <v>~Ofloxacin Tabs 200Mg (10'S)</v>
          </cell>
        </row>
        <row r="2327">
          <cell r="A2327">
            <v>181747919</v>
          </cell>
          <cell r="B2327">
            <v>3349</v>
          </cell>
          <cell r="C2327" t="str">
            <v>Omeprazole Caps 20Mg (28'S)</v>
          </cell>
        </row>
        <row r="2328">
          <cell r="A2328">
            <v>189712225</v>
          </cell>
          <cell r="B2328">
            <v>3350</v>
          </cell>
          <cell r="C2328" t="str">
            <v>Oxazepam Tabs 10Mg (100'S)</v>
          </cell>
        </row>
        <row r="2329">
          <cell r="A2329">
            <v>189714612</v>
          </cell>
          <cell r="B2329">
            <v>3351</v>
          </cell>
          <cell r="C2329" t="str">
            <v>Oxazepam Tabs 30Mg (100'S)</v>
          </cell>
        </row>
        <row r="2330">
          <cell r="A2330">
            <v>180956819</v>
          </cell>
          <cell r="B2330">
            <v>3352</v>
          </cell>
          <cell r="C2330" t="str">
            <v>Sut Monosyn 0 1/2Tp 40Mm Obs.Gyn Monof. Synthabs</v>
          </cell>
        </row>
        <row r="2331">
          <cell r="A2331">
            <v>189715731</v>
          </cell>
          <cell r="B2331">
            <v>3353</v>
          </cell>
          <cell r="C2331" t="str">
            <v>~Pancrelipase Caps 234.2Mg</v>
          </cell>
        </row>
        <row r="2332">
          <cell r="A2332">
            <v>180382593</v>
          </cell>
          <cell r="B2332">
            <v>3354</v>
          </cell>
          <cell r="C2332" t="str">
            <v>Tube Endotracheal Cuff Nasal 6.0</v>
          </cell>
        </row>
        <row r="2333">
          <cell r="A2333">
            <v>181936086</v>
          </cell>
          <cell r="B2333">
            <v>3355</v>
          </cell>
          <cell r="C2333" t="str">
            <v>Losartan Tabs 50Mg (30'S)</v>
          </cell>
        </row>
        <row r="2334">
          <cell r="A2334">
            <v>189712251</v>
          </cell>
          <cell r="B2334">
            <v>3356</v>
          </cell>
          <cell r="C2334" t="str">
            <v>D-Penicillamine Tabs 300Mg</v>
          </cell>
        </row>
        <row r="2335">
          <cell r="A2335">
            <v>180034031</v>
          </cell>
          <cell r="B2335">
            <v>3357</v>
          </cell>
          <cell r="C2335" t="str">
            <v>~Pergolide Tabs 0.05Mg</v>
          </cell>
        </row>
        <row r="2336">
          <cell r="A2336">
            <v>180034033</v>
          </cell>
          <cell r="B2336">
            <v>3358</v>
          </cell>
          <cell r="C2336" t="str">
            <v>~Pergolide Tabs 0.25Mg (30'S)</v>
          </cell>
        </row>
        <row r="2337">
          <cell r="A2337">
            <v>180034034</v>
          </cell>
          <cell r="B2337">
            <v>3359</v>
          </cell>
          <cell r="C2337" t="str">
            <v>~Pergolide Tabs 1Mg (30'S)</v>
          </cell>
        </row>
        <row r="2338">
          <cell r="A2338">
            <v>180136961</v>
          </cell>
          <cell r="B2338">
            <v>3360</v>
          </cell>
          <cell r="C2338" t="str">
            <v>Tube Endotracheal Non Cuff Oral 6.5</v>
          </cell>
        </row>
        <row r="2339">
          <cell r="A2339">
            <v>189710195</v>
          </cell>
          <cell r="B2339">
            <v>3361</v>
          </cell>
          <cell r="C2339" t="str">
            <v>~Piroxicam Caps 10Mg</v>
          </cell>
        </row>
        <row r="2340">
          <cell r="A2340">
            <v>189710194</v>
          </cell>
          <cell r="B2340">
            <v>3362</v>
          </cell>
          <cell r="C2340" t="str">
            <v>~Piroxicam Caps 20Mg (30'S)</v>
          </cell>
        </row>
        <row r="2341">
          <cell r="A2341">
            <v>180960252</v>
          </cell>
          <cell r="B2341">
            <v>3363</v>
          </cell>
          <cell r="C2341" t="str">
            <v>Rocuronium Inj 50Mg</v>
          </cell>
        </row>
        <row r="2342">
          <cell r="A2342">
            <v>180054601</v>
          </cell>
          <cell r="B2342">
            <v>3364</v>
          </cell>
          <cell r="C2342" t="str">
            <v>~Potassium Bicarbonate 675Mg Betaine Hcl 1035Mg</v>
          </cell>
        </row>
        <row r="2343">
          <cell r="A2343">
            <v>180230824</v>
          </cell>
          <cell r="B2343">
            <v>3365</v>
          </cell>
          <cell r="C2343" t="str">
            <v>Pravastatin Tabs 20Mg (30'S)</v>
          </cell>
        </row>
        <row r="2344">
          <cell r="A2344" t="str">
            <v>QUOTE STOMA</v>
          </cell>
          <cell r="B2344">
            <v>3366</v>
          </cell>
          <cell r="C2344" t="str">
            <v>Pouch Ostomy  70Mm Opaque</v>
          </cell>
        </row>
        <row r="2345">
          <cell r="A2345">
            <v>180948497</v>
          </cell>
          <cell r="B2345">
            <v>3367</v>
          </cell>
          <cell r="C2345" t="str">
            <v>Itn Baby 100/Tpn 1006N</v>
          </cell>
        </row>
        <row r="2346">
          <cell r="A2346">
            <v>189710436</v>
          </cell>
          <cell r="B2346">
            <v>3368</v>
          </cell>
          <cell r="C2346" t="str">
            <v>Prednisone Tabs 1Mg</v>
          </cell>
        </row>
        <row r="2347">
          <cell r="A2347">
            <v>180074002</v>
          </cell>
          <cell r="B2347">
            <v>3369</v>
          </cell>
          <cell r="C2347" t="str">
            <v>~Zuclopenthixol Tabs 25Mg</v>
          </cell>
        </row>
        <row r="2348">
          <cell r="A2348">
            <v>189714175</v>
          </cell>
          <cell r="B2348">
            <v>3370</v>
          </cell>
          <cell r="C2348" t="str">
            <v>Propoxyphene 65Mg Paracetamol 250Mg Caps</v>
          </cell>
        </row>
        <row r="2349">
          <cell r="A2349">
            <v>181821891</v>
          </cell>
          <cell r="B2349">
            <v>3371</v>
          </cell>
          <cell r="C2349" t="str">
            <v>~Ramipril Tabs 2.5Mg (28'S)</v>
          </cell>
        </row>
        <row r="2350">
          <cell r="A2350">
            <v>181821892</v>
          </cell>
          <cell r="B2350">
            <v>3372</v>
          </cell>
          <cell r="C2350" t="str">
            <v>~Ramipril Tabs 5Mg (28'S)</v>
          </cell>
        </row>
        <row r="2351">
          <cell r="A2351">
            <v>189712314</v>
          </cell>
          <cell r="B2351">
            <v>3373</v>
          </cell>
          <cell r="C2351" t="str">
            <v>Ranitidine Tabs 150Mg (56'S)</v>
          </cell>
        </row>
        <row r="2352">
          <cell r="A2352">
            <v>189758936</v>
          </cell>
          <cell r="B2352">
            <v>3374</v>
          </cell>
          <cell r="C2352" t="str">
            <v>~Sut Chromic 6/0 3/8Rc 11.5Mm 45Cm</v>
          </cell>
        </row>
        <row r="2353">
          <cell r="A2353">
            <v>180956773</v>
          </cell>
          <cell r="B2353">
            <v>3375</v>
          </cell>
          <cell r="C2353" t="str">
            <v>Sut Synthabs 3/0 5/8Tp 27Mm</v>
          </cell>
        </row>
        <row r="2354">
          <cell r="A2354">
            <v>189762969</v>
          </cell>
          <cell r="B2354">
            <v>3376</v>
          </cell>
          <cell r="C2354" t="str">
            <v>~Selegiline Tabs 5Mg (30'S)</v>
          </cell>
        </row>
        <row r="2355">
          <cell r="A2355">
            <v>180329828</v>
          </cell>
          <cell r="B2355">
            <v>3377</v>
          </cell>
          <cell r="C2355" t="str">
            <v>Tube Endobroncheal Double Lumen 37Ch Left</v>
          </cell>
        </row>
        <row r="2356">
          <cell r="A2356">
            <v>189762970</v>
          </cell>
          <cell r="B2356">
            <v>3378</v>
          </cell>
          <cell r="C2356" t="str">
            <v>Simvastatin Tabs 20Mg (28'S)</v>
          </cell>
        </row>
        <row r="2357">
          <cell r="A2357">
            <v>189710421</v>
          </cell>
          <cell r="B2357">
            <v>3379</v>
          </cell>
          <cell r="C2357" t="str">
            <v>~Sotalol Tabs 160Mg</v>
          </cell>
        </row>
        <row r="2358">
          <cell r="A2358">
            <v>180358282</v>
          </cell>
          <cell r="B2358">
            <v>3380</v>
          </cell>
          <cell r="C2358" t="str">
            <v>Venlafaxine X R 150Mg Caps (30'S)</v>
          </cell>
        </row>
        <row r="2359">
          <cell r="A2359" t="str">
            <v>MOTIVATION</v>
          </cell>
          <cell r="B2359">
            <v>3381</v>
          </cell>
          <cell r="C2359" t="str">
            <v>~Ezetimibe 10Mg Tabs</v>
          </cell>
        </row>
        <row r="2360">
          <cell r="A2360">
            <v>181747912</v>
          </cell>
          <cell r="B2360">
            <v>3382</v>
          </cell>
          <cell r="C2360" t="str">
            <v>Spiranolactone Tabs  25Mg (56'S)</v>
          </cell>
        </row>
        <row r="2361">
          <cell r="A2361">
            <v>180190550</v>
          </cell>
          <cell r="B2361">
            <v>3383</v>
          </cell>
          <cell r="C2361" t="str">
            <v>Theophylline Anh Tabs 250Mg (60'S)</v>
          </cell>
        </row>
        <row r="2362">
          <cell r="A2362">
            <v>181774577</v>
          </cell>
          <cell r="B2362">
            <v>3384</v>
          </cell>
          <cell r="C2362" t="str">
            <v>Terizidone Caps 250Mg (100'S)</v>
          </cell>
        </row>
        <row r="2363">
          <cell r="A2363" t="str">
            <v>QUOTE</v>
          </cell>
          <cell r="B2363">
            <v>3385</v>
          </cell>
          <cell r="C2363" t="str">
            <v>Trypan Blue Inj 0,06%</v>
          </cell>
        </row>
        <row r="2364">
          <cell r="A2364" t="str">
            <v>QUOTE</v>
          </cell>
          <cell r="B2364">
            <v>3386</v>
          </cell>
          <cell r="C2364" t="str">
            <v>Ligaclip Applier Med To Large Lc307</v>
          </cell>
        </row>
        <row r="2365">
          <cell r="A2365">
            <v>189713865</v>
          </cell>
          <cell r="B2365">
            <v>3387</v>
          </cell>
          <cell r="C2365" t="str">
            <v>Tonsil Snare Wire 0.2Mm  35G</v>
          </cell>
        </row>
        <row r="2366">
          <cell r="A2366">
            <v>189714141</v>
          </cell>
          <cell r="B2366">
            <v>3388</v>
          </cell>
          <cell r="C2366" t="str">
            <v>~Triazolam Tabs 0.25Mg</v>
          </cell>
        </row>
        <row r="2367">
          <cell r="A2367">
            <v>180046795</v>
          </cell>
          <cell r="B2367">
            <v>3389</v>
          </cell>
          <cell r="C2367" t="str">
            <v>Finasteride Tabs 5Mg</v>
          </cell>
        </row>
        <row r="2368">
          <cell r="A2368">
            <v>189710429</v>
          </cell>
          <cell r="B2368">
            <v>3390</v>
          </cell>
          <cell r="C2368" t="str">
            <v>~Trimipramine Tabs 10Mg</v>
          </cell>
        </row>
        <row r="2369">
          <cell r="A2369" t="str">
            <v>QUOTE STOMA</v>
          </cell>
          <cell r="B2369">
            <v>3391</v>
          </cell>
          <cell r="C2369" t="str">
            <v>Pouch Illeastomy 15-43Mm Transparent</v>
          </cell>
        </row>
        <row r="2370">
          <cell r="A2370">
            <v>189712699</v>
          </cell>
          <cell r="B2370">
            <v>3392</v>
          </cell>
          <cell r="C2370" t="str">
            <v>Trazodone Caps 50Mg (100'S)</v>
          </cell>
        </row>
        <row r="2371">
          <cell r="A2371">
            <v>180279431</v>
          </cell>
          <cell r="B2371">
            <v>3393</v>
          </cell>
          <cell r="C2371" t="str">
            <v>Itraconazole Caps 100Mg (14'S)</v>
          </cell>
        </row>
        <row r="2372">
          <cell r="A2372">
            <v>180969777</v>
          </cell>
          <cell r="B2372">
            <v>3394</v>
          </cell>
          <cell r="C2372" t="str">
            <v>Calcium Folinate Inj 50Mg Vial</v>
          </cell>
        </row>
        <row r="2373">
          <cell r="A2373">
            <v>180223205</v>
          </cell>
          <cell r="B2373">
            <v>3395</v>
          </cell>
          <cell r="C2373" t="str">
            <v>Valproate / Valproic Acid Tabs 500Mg (100'S)</v>
          </cell>
        </row>
        <row r="2374">
          <cell r="A2374">
            <v>180145716</v>
          </cell>
          <cell r="B2374">
            <v>3396</v>
          </cell>
          <cell r="C2374" t="str">
            <v>Valproate / Valproic Acid Tabs 300Mg (100'S)</v>
          </cell>
        </row>
        <row r="2375">
          <cell r="A2375">
            <v>180145714</v>
          </cell>
          <cell r="B2375">
            <v>3397</v>
          </cell>
          <cell r="C2375" t="str">
            <v>Valproate / Valproic Acid Tabs 200Mg (100'S)</v>
          </cell>
        </row>
        <row r="2376">
          <cell r="A2376">
            <v>180073549</v>
          </cell>
          <cell r="B2376">
            <v>3398</v>
          </cell>
          <cell r="C2376" t="str">
            <v>~Calcium Folinate Inj 3Mg/ml 1Ml</v>
          </cell>
        </row>
        <row r="2377">
          <cell r="A2377" t="str">
            <v>QUOTE</v>
          </cell>
          <cell r="B2377">
            <v>3399</v>
          </cell>
          <cell r="C2377" t="str">
            <v>Sut Silk 4/0 1/4Sp 8.9Mm Saberloc Needle</v>
          </cell>
        </row>
        <row r="2378">
          <cell r="A2378" t="str">
            <v>PREPACK   1</v>
          </cell>
          <cell r="B2378">
            <v>3400</v>
          </cell>
          <cell r="C2378" t="str">
            <v>~Nevirapine Tabs 200Mg (Prp 1)</v>
          </cell>
        </row>
        <row r="2379">
          <cell r="A2379" t="str">
            <v>QUOTE</v>
          </cell>
          <cell r="B2379">
            <v>3401</v>
          </cell>
          <cell r="C2379" t="str">
            <v>Cath Double Lumen Adult 7Fg  Cvc</v>
          </cell>
        </row>
        <row r="2380">
          <cell r="A2380" t="str">
            <v>*</v>
          </cell>
          <cell r="B2380">
            <v>3402</v>
          </cell>
          <cell r="C2380" t="str">
            <v>Caffeine Powder 100G</v>
          </cell>
        </row>
        <row r="2381">
          <cell r="A2381">
            <v>181871672</v>
          </cell>
          <cell r="B2381">
            <v>3403</v>
          </cell>
          <cell r="C2381" t="str">
            <v>Nevirapine Susp 50Mg/5ml (100Ml)</v>
          </cell>
        </row>
        <row r="2382">
          <cell r="A2382" t="str">
            <v>DELETED</v>
          </cell>
          <cell r="B2382">
            <v>3404</v>
          </cell>
          <cell r="C2382" t="str">
            <v>Dressing Wound Non-Adhes Self-Adher Transp 180 X 100Mm</v>
          </cell>
        </row>
        <row r="2383">
          <cell r="A2383">
            <v>180029269</v>
          </cell>
          <cell r="B2383">
            <v>3405</v>
          </cell>
          <cell r="C2383" t="str">
            <v>Sut Silk 4/0 Ligation 180Cm</v>
          </cell>
        </row>
        <row r="2384">
          <cell r="A2384">
            <v>189716005</v>
          </cell>
          <cell r="B2384">
            <v>3406</v>
          </cell>
          <cell r="C2384" t="str">
            <v>~Dextrose Powder   75G</v>
          </cell>
        </row>
        <row r="2385">
          <cell r="A2385" t="str">
            <v>PPP09</v>
          </cell>
          <cell r="B2385">
            <v>3407</v>
          </cell>
          <cell r="C2385" t="str">
            <v>Vaccine Pneumococcal(pcv) Single Dose</v>
          </cell>
        </row>
        <row r="2386">
          <cell r="A2386">
            <v>189714638</v>
          </cell>
          <cell r="B2386">
            <v>3408</v>
          </cell>
          <cell r="C2386" t="str">
            <v>Diflucortolone Valerate Fatty Oint 0.1% 15G</v>
          </cell>
        </row>
        <row r="2387">
          <cell r="A2387">
            <v>189711199</v>
          </cell>
          <cell r="B2387">
            <v>3409</v>
          </cell>
          <cell r="C2387" t="str">
            <v>Aqueous Cream 100G</v>
          </cell>
        </row>
        <row r="2388">
          <cell r="A2388" t="str">
            <v>QUOTE</v>
          </cell>
          <cell r="B2388">
            <v>3410</v>
          </cell>
          <cell r="C2388" t="str">
            <v>Needle Disposable Luer Lock 18Gx1.5"</v>
          </cell>
        </row>
        <row r="2389">
          <cell r="A2389">
            <v>189714455</v>
          </cell>
          <cell r="B2389">
            <v>3411</v>
          </cell>
          <cell r="C2389" t="str">
            <v>~Econazole Nitrate Vaginal Ovule 150Mg</v>
          </cell>
        </row>
        <row r="2390">
          <cell r="A2390" t="str">
            <v>MOTIVATION</v>
          </cell>
          <cell r="B2390">
            <v>3412</v>
          </cell>
          <cell r="C2390" t="str">
            <v>Anaculet Hydrochloride 60Mg Tablets</v>
          </cell>
        </row>
        <row r="2391">
          <cell r="A2391">
            <v>181867213</v>
          </cell>
          <cell r="B2391">
            <v>3413</v>
          </cell>
          <cell r="C2391" t="str">
            <v>Quetiapine X R 50Mg Tabs (100'S)</v>
          </cell>
        </row>
        <row r="2392">
          <cell r="A2392" t="str">
            <v>QUOTATION</v>
          </cell>
          <cell r="B2392">
            <v>3414</v>
          </cell>
          <cell r="C2392" t="str">
            <v>Darifenacin Tabs 7.5Mg</v>
          </cell>
        </row>
        <row r="2393">
          <cell r="A2393">
            <v>181837639</v>
          </cell>
          <cell r="B2393">
            <v>3415</v>
          </cell>
          <cell r="C2393" t="str">
            <v>Travoprost 40Ug Timolo 5Mg/ml Eye Drops</v>
          </cell>
        </row>
        <row r="2394">
          <cell r="A2394">
            <v>189711449</v>
          </cell>
          <cell r="B2394">
            <v>3416</v>
          </cell>
          <cell r="C2394" t="str">
            <v>Lanolin Liquid Anhydrous Eye Oint</v>
          </cell>
        </row>
        <row r="2395">
          <cell r="A2395" t="str">
            <v>DELETED</v>
          </cell>
          <cell r="B2395">
            <v>3417</v>
          </cell>
          <cell r="C2395" t="str">
            <v>~Magnesium Trisilicate Pdr 500G</v>
          </cell>
        </row>
        <row r="2396">
          <cell r="A2396">
            <v>189707399</v>
          </cell>
          <cell r="B2396">
            <v>3418</v>
          </cell>
          <cell r="C2396" t="str">
            <v>~Miconazole Nitrate Vag Cream 40G</v>
          </cell>
        </row>
        <row r="2397">
          <cell r="A2397">
            <v>189708213</v>
          </cell>
          <cell r="B2397">
            <v>3419</v>
          </cell>
          <cell r="C2397" t="str">
            <v>Povidone Iodine Cream 500G</v>
          </cell>
        </row>
        <row r="2398">
          <cell r="A2398">
            <v>189712257</v>
          </cell>
          <cell r="B2398">
            <v>3420</v>
          </cell>
          <cell r="C2398" t="str">
            <v>~Povidone Iodine Vaginal Gel  90G</v>
          </cell>
        </row>
        <row r="2399">
          <cell r="A2399">
            <v>181813970</v>
          </cell>
          <cell r="B2399">
            <v>3421</v>
          </cell>
          <cell r="C2399" t="str">
            <v>Valproate / Valproic Acid Tabs 200Mg (56'S)</v>
          </cell>
        </row>
        <row r="2400">
          <cell r="A2400">
            <v>189704616</v>
          </cell>
          <cell r="B2400">
            <v>3422</v>
          </cell>
          <cell r="C2400" t="str">
            <v>Syringe Disposable  5Ml Three Part</v>
          </cell>
        </row>
        <row r="2401">
          <cell r="A2401" t="str">
            <v>DELETED</v>
          </cell>
          <cell r="B2401">
            <v>3423</v>
          </cell>
          <cell r="C2401" t="str">
            <v>Dressing Wound Non-Adhes Self-Adher Transp 210 X 310Mm</v>
          </cell>
        </row>
        <row r="2402">
          <cell r="A2402" t="str">
            <v>MOTIVATION</v>
          </cell>
          <cell r="B2402">
            <v>3424</v>
          </cell>
          <cell r="C2402" t="str">
            <v>~Darbepoetin Alpha 30Ug Prefilled Syringe</v>
          </cell>
        </row>
        <row r="2403">
          <cell r="A2403" t="str">
            <v>DELETED</v>
          </cell>
          <cell r="B2403">
            <v>3425</v>
          </cell>
          <cell r="C2403" t="str">
            <v>~Darbepoetin Alpha 20Ug Pre-Filled Syringe</v>
          </cell>
        </row>
        <row r="2404">
          <cell r="A2404">
            <v>189715481</v>
          </cell>
          <cell r="B2404">
            <v>3426</v>
          </cell>
          <cell r="C2404" t="str">
            <v>~Talc Dusting Powder Unmedicated Perforated Lid. 200G</v>
          </cell>
        </row>
        <row r="2405">
          <cell r="A2405">
            <v>189708790</v>
          </cell>
          <cell r="B2405">
            <v>3427</v>
          </cell>
          <cell r="C2405" t="str">
            <v>Amikacin Inj 100Mg/2ml 2Ml</v>
          </cell>
        </row>
        <row r="2406">
          <cell r="A2406">
            <v>180961856</v>
          </cell>
          <cell r="B2406">
            <v>3428</v>
          </cell>
          <cell r="C2406" t="str">
            <v>Syringe Safety 3Ml 25Gx16mm (0.5Mm) Needle</v>
          </cell>
        </row>
        <row r="2407">
          <cell r="A2407">
            <v>180057867</v>
          </cell>
          <cell r="B2407">
            <v>3429</v>
          </cell>
          <cell r="C2407" t="str">
            <v>Amoxycillin Clavulan Inj 1000Mg/200mg</v>
          </cell>
        </row>
        <row r="2408">
          <cell r="A2408">
            <v>180002781</v>
          </cell>
          <cell r="B2408">
            <v>3430</v>
          </cell>
          <cell r="C2408" t="str">
            <v>Amoxycillin Clavulan Susp 125Mg/31.25Mg 100Ml</v>
          </cell>
        </row>
        <row r="2409">
          <cell r="A2409">
            <v>189714965</v>
          </cell>
          <cell r="B2409">
            <v>3431</v>
          </cell>
          <cell r="C2409" t="str">
            <v>Amoxycillin Clavulan Tabs 250Mg/125mg</v>
          </cell>
        </row>
        <row r="2410">
          <cell r="A2410" t="str">
            <v>QUOTE</v>
          </cell>
          <cell r="B2410">
            <v>3432</v>
          </cell>
          <cell r="C2410" t="str">
            <v>Varicella Zoster Vaccine &amp; Diluent</v>
          </cell>
        </row>
        <row r="2411">
          <cell r="A2411">
            <v>180158719</v>
          </cell>
          <cell r="B2411">
            <v>3433</v>
          </cell>
          <cell r="C2411" t="str">
            <v>Amoxycillin Clavulan Inj 500Mg/100mg</v>
          </cell>
        </row>
        <row r="2412">
          <cell r="A2412">
            <v>189708784</v>
          </cell>
          <cell r="B2412">
            <v>3434</v>
          </cell>
          <cell r="C2412" t="str">
            <v>Cefazolin Inj 500Mg</v>
          </cell>
        </row>
        <row r="2413">
          <cell r="A2413">
            <v>181775872</v>
          </cell>
          <cell r="B2413">
            <v>3435</v>
          </cell>
          <cell r="C2413" t="str">
            <v>Ceftriaxone Inj  250Mg</v>
          </cell>
        </row>
        <row r="2414">
          <cell r="A2414" t="str">
            <v>.</v>
          </cell>
          <cell r="B2414">
            <v>3436</v>
          </cell>
          <cell r="C2414" t="str">
            <v>~Cefuroxime Inj 1.5G</v>
          </cell>
        </row>
        <row r="2415">
          <cell r="A2415">
            <v>189708895</v>
          </cell>
          <cell r="B2415">
            <v>3437</v>
          </cell>
          <cell r="C2415" t="str">
            <v>Cefuroxime Inj 750Mg</v>
          </cell>
        </row>
        <row r="2416">
          <cell r="A2416">
            <v>189708785</v>
          </cell>
          <cell r="B2416">
            <v>3438</v>
          </cell>
          <cell r="C2416" t="str">
            <v>Ceftazidime Inj 2G</v>
          </cell>
        </row>
        <row r="2417">
          <cell r="A2417">
            <v>189712686</v>
          </cell>
          <cell r="B2417">
            <v>3439</v>
          </cell>
          <cell r="C2417" t="str">
            <v>Etoposide Caps 100Mg</v>
          </cell>
        </row>
        <row r="2418">
          <cell r="A2418">
            <v>180280770</v>
          </cell>
          <cell r="B2418">
            <v>3440</v>
          </cell>
          <cell r="C2418" t="str">
            <v>~Danazol Caps 100Mg (60'S)</v>
          </cell>
        </row>
        <row r="2419">
          <cell r="A2419">
            <v>189708683</v>
          </cell>
          <cell r="B2419">
            <v>3441</v>
          </cell>
          <cell r="C2419" t="str">
            <v>~Fusidic Acid Susp 250Mg/5ml 50Ml</v>
          </cell>
        </row>
        <row r="2420">
          <cell r="A2420">
            <v>180001203</v>
          </cell>
          <cell r="B2420">
            <v>3442</v>
          </cell>
          <cell r="C2420" t="str">
            <v>Fusidate Tabs 250Mg (100'S)</v>
          </cell>
        </row>
        <row r="2421">
          <cell r="A2421">
            <v>189762902</v>
          </cell>
          <cell r="B2421">
            <v>3443</v>
          </cell>
          <cell r="C2421" t="str">
            <v>Mupirocin 2% Nasal Oint 3G</v>
          </cell>
        </row>
        <row r="2422">
          <cell r="A2422">
            <v>189706020</v>
          </cell>
          <cell r="B2422">
            <v>3444</v>
          </cell>
          <cell r="C2422" t="str">
            <v>Phenoxymethyl Penicillin Susp 250Mg/5ml 100Ml</v>
          </cell>
        </row>
        <row r="2423">
          <cell r="A2423">
            <v>180134072</v>
          </cell>
          <cell r="B2423">
            <v>3445</v>
          </cell>
          <cell r="C2423" t="str">
            <v>Autoclave Steam Sterilisation Indicator</v>
          </cell>
        </row>
        <row r="2424">
          <cell r="A2424">
            <v>189708689</v>
          </cell>
          <cell r="B2424">
            <v>3446</v>
          </cell>
          <cell r="C2424" t="str">
            <v>~Polymyxin B Zinc Bacitracin Oint</v>
          </cell>
        </row>
        <row r="2425">
          <cell r="A2425">
            <v>180043893</v>
          </cell>
          <cell r="B2425">
            <v>3447</v>
          </cell>
          <cell r="C2425" t="str">
            <v>~Roxithromycin Tabs 150Mg</v>
          </cell>
        </row>
        <row r="2426">
          <cell r="A2426">
            <v>189763082</v>
          </cell>
          <cell r="B2426">
            <v>3448</v>
          </cell>
          <cell r="C2426" t="str">
            <v>~Cisapride Tabs 5Mg</v>
          </cell>
        </row>
        <row r="2427">
          <cell r="A2427">
            <v>180257996</v>
          </cell>
          <cell r="B2427">
            <v>3449</v>
          </cell>
          <cell r="C2427" t="str">
            <v>Itn Baby 103/Tpn 1601A</v>
          </cell>
        </row>
        <row r="2428">
          <cell r="A2428">
            <v>189708893</v>
          </cell>
          <cell r="B2428">
            <v>3450</v>
          </cell>
          <cell r="C2428" t="str">
            <v>Tobramycin Inj 20Mg</v>
          </cell>
        </row>
        <row r="2429">
          <cell r="A2429">
            <v>189712163</v>
          </cell>
          <cell r="B2429">
            <v>3451</v>
          </cell>
          <cell r="C2429" t="str">
            <v>Tobramycin Inj 80Mg</v>
          </cell>
        </row>
        <row r="2430">
          <cell r="A2430">
            <v>180076160</v>
          </cell>
          <cell r="B2430">
            <v>3452</v>
          </cell>
          <cell r="C2430" t="str">
            <v>Etoposide Inj 100Mg/5ml</v>
          </cell>
        </row>
        <row r="2431">
          <cell r="A2431">
            <v>181779525</v>
          </cell>
          <cell r="B2431">
            <v>3453</v>
          </cell>
          <cell r="C2431" t="str">
            <v>~Didanosine Tabs 50Mg (60'S)</v>
          </cell>
        </row>
        <row r="2432">
          <cell r="A2432">
            <v>180073995</v>
          </cell>
          <cell r="B2432">
            <v>3454</v>
          </cell>
          <cell r="C2432" t="str">
            <v>Ciprofloxacin Eye Drops 3Mg/ml 5Ml</v>
          </cell>
        </row>
        <row r="2433">
          <cell r="A2433">
            <v>189711251</v>
          </cell>
          <cell r="B2433">
            <v>3455</v>
          </cell>
          <cell r="C2433" t="str">
            <v>Fluorometholone Eye Drops 0.1% 5Ml</v>
          </cell>
        </row>
        <row r="2434">
          <cell r="A2434" t="str">
            <v>DELETED</v>
          </cell>
          <cell r="B2434">
            <v>3456</v>
          </cell>
          <cell r="C2434" t="str">
            <v>Medrysone Eye Drops 5Ml</v>
          </cell>
        </row>
        <row r="2435">
          <cell r="A2435">
            <v>180139716</v>
          </cell>
          <cell r="B2435">
            <v>3457</v>
          </cell>
          <cell r="C2435" t="str">
            <v>~Fluticasone Disks 250Mcg</v>
          </cell>
        </row>
        <row r="2436">
          <cell r="A2436">
            <v>180075543</v>
          </cell>
          <cell r="B2436">
            <v>3458</v>
          </cell>
          <cell r="C2436" t="str">
            <v>Betamethasone Disodium Phosphate 3Mg/ml</v>
          </cell>
        </row>
        <row r="2437">
          <cell r="A2437">
            <v>180327939</v>
          </cell>
          <cell r="B2437">
            <v>3459</v>
          </cell>
          <cell r="C2437" t="str">
            <v>Beclomethasone M.D.I 200Mcg 200 Doses</v>
          </cell>
        </row>
        <row r="2438">
          <cell r="A2438">
            <v>180388822</v>
          </cell>
          <cell r="B2438">
            <v>3460</v>
          </cell>
          <cell r="C2438" t="str">
            <v>Beclomethasone M.D.I 50Mcg 200 Doses</v>
          </cell>
        </row>
        <row r="2439">
          <cell r="A2439">
            <v>189717344</v>
          </cell>
          <cell r="B2439">
            <v>3461</v>
          </cell>
          <cell r="C2439" t="str">
            <v>Cath Ureth  8Fg Plastic Disp Atraumatic Tip</v>
          </cell>
        </row>
        <row r="2440">
          <cell r="A2440">
            <v>189716012</v>
          </cell>
          <cell r="B2440">
            <v>3462</v>
          </cell>
          <cell r="C2440" t="str">
            <v>~Fenoterol Inhalator</v>
          </cell>
        </row>
        <row r="2441">
          <cell r="A2441">
            <v>189705990</v>
          </cell>
          <cell r="B2441">
            <v>3463</v>
          </cell>
          <cell r="C2441" t="str">
            <v>Sut Nylon 3/0 3/8Rc 24Mm</v>
          </cell>
        </row>
        <row r="2442">
          <cell r="A2442">
            <v>180948509</v>
          </cell>
          <cell r="B2442">
            <v>3464</v>
          </cell>
          <cell r="C2442" t="str">
            <v>Itn Paed 107/Tpn 1502A</v>
          </cell>
        </row>
        <row r="2443">
          <cell r="A2443">
            <v>180006487</v>
          </cell>
          <cell r="B2443">
            <v>3465</v>
          </cell>
          <cell r="C2443" t="str">
            <v>Salbutamol Udv 5Mg/2.5Ml</v>
          </cell>
        </row>
        <row r="2444">
          <cell r="A2444" t="str">
            <v>DELETED</v>
          </cell>
          <cell r="B2444">
            <v>3466</v>
          </cell>
          <cell r="C2444" t="str">
            <v>~Salbutamol Rotacaps 400Mcg</v>
          </cell>
        </row>
        <row r="2445">
          <cell r="A2445">
            <v>180146017</v>
          </cell>
          <cell r="B2445">
            <v>3467</v>
          </cell>
          <cell r="C2445" t="str">
            <v>Ipratropium Bromide &amp; Salbutamol 0.5 &amp; 2.5Mg/2.5Ml</v>
          </cell>
        </row>
        <row r="2446">
          <cell r="A2446" t="str">
            <v>QUOTE</v>
          </cell>
          <cell r="B2446">
            <v>3468</v>
          </cell>
          <cell r="C2446" t="str">
            <v>Needle Biopsy Liver Set 18Gx70mm According To Menghini</v>
          </cell>
        </row>
        <row r="2447">
          <cell r="A2447">
            <v>189703733</v>
          </cell>
          <cell r="B2447">
            <v>3469</v>
          </cell>
          <cell r="C2447" t="str">
            <v>Needle Disposable Spinal 20G X 3.5"(90Mm)</v>
          </cell>
        </row>
        <row r="2448">
          <cell r="A2448">
            <v>189717362</v>
          </cell>
          <cell r="B2448">
            <v>3470</v>
          </cell>
          <cell r="C2448" t="str">
            <v>Needle Disposable Spinal 20G X 2"(50Mm)</v>
          </cell>
        </row>
        <row r="2449">
          <cell r="A2449">
            <v>180329958</v>
          </cell>
          <cell r="B2449">
            <v>3471</v>
          </cell>
          <cell r="C2449" t="str">
            <v>Manometer Set Spinal Tray,3 Way Stopcock</v>
          </cell>
        </row>
        <row r="2450">
          <cell r="A2450">
            <v>189713024</v>
          </cell>
          <cell r="B2450">
            <v>3472</v>
          </cell>
          <cell r="C2450" t="str">
            <v>Lancets For Autolet Blood Sampling Set; 200</v>
          </cell>
        </row>
        <row r="2451">
          <cell r="A2451">
            <v>180948941</v>
          </cell>
          <cell r="B2451">
            <v>3473</v>
          </cell>
          <cell r="C2451" t="str">
            <v>Syringe B C G Intradermal</v>
          </cell>
        </row>
        <row r="2452">
          <cell r="A2452">
            <v>181777212</v>
          </cell>
          <cell r="B2452">
            <v>3474</v>
          </cell>
          <cell r="C2452" t="str">
            <v>Syringe Disposable 20Ml Three Part</v>
          </cell>
        </row>
        <row r="2453">
          <cell r="A2453">
            <v>181834131</v>
          </cell>
          <cell r="B2453">
            <v>3475</v>
          </cell>
          <cell r="C2453" t="str">
            <v>Syringe Catheter Tip 60Ml 3Part</v>
          </cell>
        </row>
        <row r="2454">
          <cell r="A2454">
            <v>189753842</v>
          </cell>
          <cell r="B2454">
            <v>3476</v>
          </cell>
          <cell r="C2454" t="str">
            <v>~Sut Polyest 2/0 1/2Tp 26Mm 75Cm Cardio</v>
          </cell>
        </row>
        <row r="2455">
          <cell r="A2455">
            <v>180041592</v>
          </cell>
          <cell r="B2455">
            <v>3477</v>
          </cell>
          <cell r="C2455" t="str">
            <v>Needle Disposable 15G X 1.5" Blue Grey</v>
          </cell>
        </row>
        <row r="2456">
          <cell r="A2456">
            <v>180211843</v>
          </cell>
          <cell r="B2456">
            <v>3478</v>
          </cell>
          <cell r="C2456" t="str">
            <v>~Sut Silk 1 1/2Tp 38Mm 75Cm</v>
          </cell>
        </row>
        <row r="2457">
          <cell r="A2457">
            <v>189761557</v>
          </cell>
          <cell r="B2457">
            <v>3479</v>
          </cell>
          <cell r="C2457" t="str">
            <v>Dextrose  5% Sol For Iv Infus   50Ml</v>
          </cell>
        </row>
        <row r="2458">
          <cell r="A2458">
            <v>189761558</v>
          </cell>
          <cell r="B2458">
            <v>3480</v>
          </cell>
          <cell r="C2458" t="str">
            <v>Dextrose  5% Sol For Iv Infus  100Ml</v>
          </cell>
        </row>
        <row r="2459">
          <cell r="A2459">
            <v>189703042</v>
          </cell>
          <cell r="B2459">
            <v>3481</v>
          </cell>
          <cell r="C2459" t="str">
            <v>Dextrose 10% Sol For Iv Infus 1000Ml</v>
          </cell>
        </row>
        <row r="2460">
          <cell r="A2460">
            <v>180031377</v>
          </cell>
          <cell r="B2460">
            <v>3482</v>
          </cell>
          <cell r="C2460" t="str">
            <v>~Dextrose 20% Sol For Infus 1000Ml</v>
          </cell>
        </row>
        <row r="2461">
          <cell r="A2461">
            <v>180055591</v>
          </cell>
          <cell r="B2461">
            <v>3483</v>
          </cell>
          <cell r="C2461" t="str">
            <v>~Dextrose 35% Sol For Infus 1000Ml</v>
          </cell>
        </row>
        <row r="2462">
          <cell r="A2462">
            <v>189711855</v>
          </cell>
          <cell r="B2462">
            <v>3484</v>
          </cell>
          <cell r="C2462" t="str">
            <v>Dextrose 50% Sol For Iv Infus  500Ml</v>
          </cell>
        </row>
        <row r="2463">
          <cell r="A2463">
            <v>180019342</v>
          </cell>
          <cell r="B2463">
            <v>3485</v>
          </cell>
          <cell r="C2463" t="str">
            <v>Sodium Chl 0.9%    50Ml</v>
          </cell>
        </row>
        <row r="2464">
          <cell r="A2464">
            <v>189761560</v>
          </cell>
          <cell r="B2464">
            <v>3486</v>
          </cell>
          <cell r="C2464" t="str">
            <v>Sodium Chl 0.9%   100Ml</v>
          </cell>
        </row>
        <row r="2465">
          <cell r="A2465">
            <v>180229547</v>
          </cell>
          <cell r="B2465">
            <v>3487</v>
          </cell>
          <cell r="C2465" t="str">
            <v>Sodium Chl 0.9%   200Ml (Glass)</v>
          </cell>
        </row>
        <row r="2466">
          <cell r="A2466">
            <v>181932688</v>
          </cell>
          <cell r="B2466">
            <v>3488</v>
          </cell>
          <cell r="C2466" t="str">
            <v>Sodium Chl 5%  200Ml (Glass)</v>
          </cell>
        </row>
        <row r="2467">
          <cell r="A2467">
            <v>189761513</v>
          </cell>
          <cell r="B2467">
            <v>3489</v>
          </cell>
          <cell r="C2467" t="str">
            <v>Sodium Chl 0.2% &amp; Glucose 5%  200Ml</v>
          </cell>
        </row>
        <row r="2468">
          <cell r="A2468">
            <v>189761525</v>
          </cell>
          <cell r="B2468">
            <v>3490</v>
          </cell>
          <cell r="C2468" t="str">
            <v>Sodium Chl 0.45% &amp; Glucose 5% 1000Ml</v>
          </cell>
        </row>
        <row r="2469">
          <cell r="A2469">
            <v>189761515</v>
          </cell>
          <cell r="B2469">
            <v>3491</v>
          </cell>
          <cell r="C2469" t="str">
            <v>Sodium Chl 0.9% &amp; Glucose 5%  200Ml</v>
          </cell>
        </row>
        <row r="2470">
          <cell r="A2470">
            <v>189711189</v>
          </cell>
          <cell r="B2470">
            <v>3492</v>
          </cell>
          <cell r="C2470" t="str">
            <v>Half Darrows + Glucose 5% 500Ml</v>
          </cell>
        </row>
        <row r="2471">
          <cell r="A2471">
            <v>180005302</v>
          </cell>
          <cell r="B2471">
            <v>3493</v>
          </cell>
          <cell r="C2471" t="str">
            <v>General Replacement Solution With Glucose 5% 1000Ml</v>
          </cell>
        </row>
        <row r="2472">
          <cell r="A2472">
            <v>189714368</v>
          </cell>
          <cell r="B2472">
            <v>3494</v>
          </cell>
          <cell r="C2472" t="str">
            <v>Dextran 40 In Sodium Chl 0.9%  500Ml</v>
          </cell>
        </row>
        <row r="2473">
          <cell r="A2473">
            <v>180122685</v>
          </cell>
          <cell r="B2473">
            <v>3495</v>
          </cell>
          <cell r="C2473" t="str">
            <v>~Hydroxyethyl Starch 10% Sodium Chl Inj Iv Sol 500Ml</v>
          </cell>
        </row>
        <row r="2474">
          <cell r="A2474">
            <v>181774492</v>
          </cell>
          <cell r="B2474">
            <v>3496</v>
          </cell>
          <cell r="C2474" t="str">
            <v>Hydroxyethyl Starch 130/0.4 6% And Sodium Chloride 9G/</v>
          </cell>
        </row>
        <row r="2475">
          <cell r="A2475">
            <v>189761520</v>
          </cell>
          <cell r="B2475">
            <v>3497</v>
          </cell>
          <cell r="C2475" t="str">
            <v>Water For Inj  200Ml (Glass)</v>
          </cell>
        </row>
        <row r="2476">
          <cell r="A2476">
            <v>189700110</v>
          </cell>
          <cell r="B2476">
            <v>3498</v>
          </cell>
          <cell r="C2476" t="str">
            <v>Water For Inj 1000Ml (Glass)</v>
          </cell>
        </row>
        <row r="2477">
          <cell r="A2477">
            <v>181813537</v>
          </cell>
          <cell r="B2477">
            <v>3499</v>
          </cell>
          <cell r="C2477" t="str">
            <v>Tpn 5004A</v>
          </cell>
        </row>
        <row r="2478">
          <cell r="A2478">
            <v>180019350</v>
          </cell>
          <cell r="B2478">
            <v>3500</v>
          </cell>
          <cell r="C2478" t="str">
            <v>Amino Acid  8.5 Nitrogen 1000Ml</v>
          </cell>
        </row>
        <row r="2479">
          <cell r="A2479">
            <v>180948563</v>
          </cell>
          <cell r="B2479">
            <v>3501</v>
          </cell>
          <cell r="C2479" t="str">
            <v>Tpn 7003A</v>
          </cell>
        </row>
        <row r="2480">
          <cell r="A2480">
            <v>180005585</v>
          </cell>
          <cell r="B2480">
            <v>3502</v>
          </cell>
          <cell r="C2480" t="str">
            <v>Emulsion Of Soyabean I.V 10% 500Ml</v>
          </cell>
        </row>
        <row r="2481">
          <cell r="A2481">
            <v>189711518</v>
          </cell>
          <cell r="B2481">
            <v>3503</v>
          </cell>
          <cell r="C2481" t="str">
            <v>Emulsion Of Soyabean I.V 20% 100Ml</v>
          </cell>
        </row>
        <row r="2482">
          <cell r="A2482">
            <v>180005597</v>
          </cell>
          <cell r="B2482">
            <v>3504</v>
          </cell>
          <cell r="C2482" t="str">
            <v>Emulsion Of Soyabean I.V 20% 500Ml</v>
          </cell>
        </row>
        <row r="2483">
          <cell r="A2483">
            <v>180055616</v>
          </cell>
          <cell r="B2483">
            <v>3505</v>
          </cell>
          <cell r="C2483" t="str">
            <v>~Amino Acid 7 Dextrose 10 Fat 20</v>
          </cell>
        </row>
        <row r="2484">
          <cell r="A2484">
            <v>180192775</v>
          </cell>
          <cell r="B2484">
            <v>3506</v>
          </cell>
          <cell r="C2484" t="str">
            <v>Trace Elements &amp; Electrolytes For Inj Iv Sol</v>
          </cell>
        </row>
        <row r="2485">
          <cell r="A2485">
            <v>180192703</v>
          </cell>
          <cell r="B2485">
            <v>3507</v>
          </cell>
          <cell r="C2485" t="str">
            <v>Vitamins Fat Soluble I.V. Adult 10Ml</v>
          </cell>
        </row>
        <row r="2486">
          <cell r="A2486">
            <v>180055706</v>
          </cell>
          <cell r="B2486">
            <v>3508</v>
          </cell>
          <cell r="C2486" t="str">
            <v>Vitamins Water Soluble I.V. 10Ml</v>
          </cell>
        </row>
        <row r="2487">
          <cell r="A2487">
            <v>180258017</v>
          </cell>
          <cell r="B2487">
            <v>3509</v>
          </cell>
          <cell r="C2487" t="str">
            <v>Tpn 2000A</v>
          </cell>
        </row>
        <row r="2488">
          <cell r="A2488">
            <v>180258025</v>
          </cell>
          <cell r="B2488">
            <v>3510</v>
          </cell>
          <cell r="C2488" t="str">
            <v>Tpn 2001A</v>
          </cell>
        </row>
        <row r="2489">
          <cell r="A2489">
            <v>180238165</v>
          </cell>
          <cell r="B2489">
            <v>3511</v>
          </cell>
          <cell r="C2489" t="str">
            <v>Sodium Chl 0.9% Irrigation 1000Ml</v>
          </cell>
        </row>
        <row r="2490">
          <cell r="A2490">
            <v>189761562</v>
          </cell>
          <cell r="B2490">
            <v>3512</v>
          </cell>
          <cell r="C2490" t="str">
            <v>Water For Irrigation 1000Ml (Bag)</v>
          </cell>
        </row>
        <row r="2491">
          <cell r="A2491">
            <v>189761563</v>
          </cell>
          <cell r="B2491">
            <v>3513</v>
          </cell>
          <cell r="C2491" t="str">
            <v>Water For Irrigation 3000Ml (Bag)</v>
          </cell>
        </row>
        <row r="2492">
          <cell r="A2492">
            <v>180007958</v>
          </cell>
          <cell r="B2492">
            <v>3514</v>
          </cell>
          <cell r="C2492" t="str">
            <v>Set Transfer C A P D Solution</v>
          </cell>
        </row>
        <row r="2493">
          <cell r="A2493">
            <v>181779132</v>
          </cell>
          <cell r="B2493">
            <v>3515</v>
          </cell>
          <cell r="C2493" t="str">
            <v>Lopinavir / Ritonavir Liq 80/20Mg//ml - (5X60ml)</v>
          </cell>
        </row>
        <row r="2494">
          <cell r="A2494">
            <v>181747805</v>
          </cell>
          <cell r="B2494">
            <v>3516</v>
          </cell>
          <cell r="C2494" t="str">
            <v>Admin Set Fluid 20 Drops Mini Bag</v>
          </cell>
        </row>
        <row r="2495">
          <cell r="A2495">
            <v>180377619</v>
          </cell>
          <cell r="B2495">
            <v>3517</v>
          </cell>
          <cell r="C2495" t="str">
            <v>Admin Set Fluid 20 Drops Mini Bag 18G Needle</v>
          </cell>
        </row>
        <row r="2496">
          <cell r="A2496">
            <v>181896251</v>
          </cell>
          <cell r="B2496">
            <v>3518</v>
          </cell>
          <cell r="C2496" t="str">
            <v>Lopinavir / Ritonavir Caps 200 / 50Mg (120'S)</v>
          </cell>
        </row>
        <row r="2497">
          <cell r="A2497">
            <v>181779524</v>
          </cell>
          <cell r="B2497">
            <v>3519</v>
          </cell>
          <cell r="C2497" t="str">
            <v>Efavirenz 200Mg Caps (90'S)</v>
          </cell>
        </row>
        <row r="2498">
          <cell r="A2498">
            <v>180034767</v>
          </cell>
          <cell r="B2498">
            <v>3520</v>
          </cell>
          <cell r="C2498" t="str">
            <v>Bag Blood Warming</v>
          </cell>
        </row>
        <row r="2499">
          <cell r="A2499">
            <v>189712211</v>
          </cell>
          <cell r="B2499">
            <v>3521</v>
          </cell>
          <cell r="C2499" t="str">
            <v>Sut Polyest 2/0 1/2Dp 17Mm Cardio</v>
          </cell>
        </row>
        <row r="2500">
          <cell r="A2500">
            <v>189715623</v>
          </cell>
          <cell r="B2500">
            <v>3522</v>
          </cell>
          <cell r="C2500" t="str">
            <v>Admin Set Blood 10 Drops &amp; Pump High Capacity</v>
          </cell>
        </row>
        <row r="2501">
          <cell r="A2501">
            <v>180034752</v>
          </cell>
          <cell r="B2501">
            <v>3523</v>
          </cell>
          <cell r="C2501" t="str">
            <v>Admin Set Blood Recipient 15 Drops</v>
          </cell>
        </row>
        <row r="2502">
          <cell r="A2502">
            <v>180034774</v>
          </cell>
          <cell r="B2502">
            <v>3524</v>
          </cell>
          <cell r="C2502" t="str">
            <v>~Set Transfer Rsa 532Sc</v>
          </cell>
        </row>
        <row r="2503">
          <cell r="A2503">
            <v>180005125</v>
          </cell>
          <cell r="B2503">
            <v>3525</v>
          </cell>
          <cell r="C2503" t="str">
            <v>Stopcock Three Way 50Cm Extension Tubing</v>
          </cell>
        </row>
        <row r="2504">
          <cell r="A2504">
            <v>189707185</v>
          </cell>
          <cell r="B2504">
            <v>3526</v>
          </cell>
          <cell r="C2504" t="str">
            <v>~Set Infusion Continouos W/o Wings Needle 23Gx40mm Ext</v>
          </cell>
        </row>
        <row r="2505">
          <cell r="A2505">
            <v>180046807</v>
          </cell>
          <cell r="B2505">
            <v>3527</v>
          </cell>
          <cell r="C2505" t="str">
            <v>Sut Monosyn 3/0 1/2Tp 20-22Mm Gi</v>
          </cell>
        </row>
        <row r="2506">
          <cell r="A2506">
            <v>180034846</v>
          </cell>
          <cell r="B2506">
            <v>3529</v>
          </cell>
          <cell r="C2506" t="str">
            <v>Set Cysto Irrigation</v>
          </cell>
        </row>
        <row r="2507">
          <cell r="A2507">
            <v>180001702</v>
          </cell>
          <cell r="B2507">
            <v>3530</v>
          </cell>
          <cell r="C2507" t="str">
            <v>Sodium Hyaluronate 30Mg/ml 0,5Ml Syringe</v>
          </cell>
        </row>
        <row r="2508">
          <cell r="A2508" t="str">
            <v>RT13-02-02</v>
          </cell>
          <cell r="B2508">
            <v>3531</v>
          </cell>
          <cell r="C2508" t="str">
            <v>Bag Rebreathing 0,5L Antistat Latex Free</v>
          </cell>
        </row>
        <row r="2509">
          <cell r="A2509" t="str">
            <v>RT13-02-07</v>
          </cell>
          <cell r="B2509">
            <v>3532</v>
          </cell>
          <cell r="C2509" t="str">
            <v>Bag Rebreathing 0,5L Antistat 22Mm Tape/neck</v>
          </cell>
        </row>
        <row r="2510">
          <cell r="A2510" t="str">
            <v>RT13-02-08</v>
          </cell>
          <cell r="B2510">
            <v>3533</v>
          </cell>
          <cell r="C2510" t="str">
            <v>Bag Rebreathing 1L Antistat 22Mm Tape/neck</v>
          </cell>
        </row>
        <row r="2511">
          <cell r="A2511" t="str">
            <v>RT13-02-09</v>
          </cell>
          <cell r="B2511">
            <v>3534</v>
          </cell>
          <cell r="C2511" t="str">
            <v>Bag Rebreathing 2L Antistat 22Mm Tape/neck</v>
          </cell>
        </row>
        <row r="2512">
          <cell r="A2512">
            <v>181917243</v>
          </cell>
          <cell r="B2512">
            <v>3535</v>
          </cell>
          <cell r="C2512" t="str">
            <v>Calcium Carbonate 500Mg Tabs (30'S)</v>
          </cell>
        </row>
        <row r="2513">
          <cell r="A2513">
            <v>180235815</v>
          </cell>
          <cell r="B2513">
            <v>3536</v>
          </cell>
          <cell r="C2513" t="str">
            <v>Cannula Nasal Neonate Low Flow Oxygen</v>
          </cell>
        </row>
        <row r="2514">
          <cell r="A2514">
            <v>180365894</v>
          </cell>
          <cell r="B2514">
            <v>3537</v>
          </cell>
          <cell r="C2514" t="str">
            <v>Epidural System (Cath 18G)</v>
          </cell>
        </row>
        <row r="2515">
          <cell r="A2515" t="str">
            <v>RT13-08-01</v>
          </cell>
          <cell r="B2515">
            <v>3538</v>
          </cell>
          <cell r="C2515" t="str">
            <v>Harness Anaesthetic Connell</v>
          </cell>
        </row>
        <row r="2516">
          <cell r="A2516">
            <v>189713945</v>
          </cell>
          <cell r="B2516">
            <v>3539</v>
          </cell>
          <cell r="C2516" t="str">
            <v>Harness Anaesthetic Laerdal Ring Only</v>
          </cell>
        </row>
        <row r="2517">
          <cell r="A2517">
            <v>181777317</v>
          </cell>
          <cell r="B2517">
            <v>3540</v>
          </cell>
          <cell r="C2517" t="str">
            <v>Mask Anaesthetic Clear Sz 2</v>
          </cell>
        </row>
        <row r="2518">
          <cell r="A2518" t="str">
            <v>DELETED</v>
          </cell>
          <cell r="B2518">
            <v>3541</v>
          </cell>
          <cell r="C2518" t="str">
            <v>~Mask Anaesthetic Black 22Mm Sz 3</v>
          </cell>
        </row>
        <row r="2519">
          <cell r="A2519" t="str">
            <v>DELETED</v>
          </cell>
          <cell r="B2519">
            <v>3542</v>
          </cell>
          <cell r="C2519" t="str">
            <v>~Mask Anaesthetic Black 22Mm Sz 4</v>
          </cell>
        </row>
        <row r="2520">
          <cell r="A2520">
            <v>181777318</v>
          </cell>
          <cell r="B2520">
            <v>3543</v>
          </cell>
          <cell r="C2520" t="str">
            <v>Mask Anaesthetic Clear Sz 3</v>
          </cell>
        </row>
        <row r="2521">
          <cell r="A2521">
            <v>181777319</v>
          </cell>
          <cell r="B2521">
            <v>3544</v>
          </cell>
          <cell r="C2521" t="str">
            <v>Mask Anaesthetic Clear Sz 4</v>
          </cell>
        </row>
        <row r="2522">
          <cell r="A2522">
            <v>181777320</v>
          </cell>
          <cell r="B2522">
            <v>3545</v>
          </cell>
          <cell r="C2522" t="str">
            <v>Mask Anaesthetic Clear Sz 5</v>
          </cell>
        </row>
        <row r="2523">
          <cell r="A2523" t="str">
            <v>RT  13 028</v>
          </cell>
          <cell r="B2523">
            <v>3546</v>
          </cell>
          <cell r="C2523" t="str">
            <v>Catheter Mount Antistatic  90Mm</v>
          </cell>
        </row>
        <row r="2524">
          <cell r="A2524" t="str">
            <v>RT  13 029</v>
          </cell>
          <cell r="B2524">
            <v>3547</v>
          </cell>
          <cell r="C2524" t="str">
            <v>Catheter Mount Antistatic 140Mm</v>
          </cell>
        </row>
        <row r="2525">
          <cell r="A2525" t="str">
            <v>RT13-20-04</v>
          </cell>
          <cell r="B2525">
            <v>3548</v>
          </cell>
          <cell r="C2525" t="str">
            <v>Tube Corrugated Antis Rubber Id 22Mm Od 28Mm Lg 107Cm</v>
          </cell>
        </row>
        <row r="2526">
          <cell r="A2526">
            <v>180381893</v>
          </cell>
          <cell r="B2526">
            <v>3549</v>
          </cell>
          <cell r="C2526" t="str">
            <v>Tube Endotracheal Cuff Dual 10.0</v>
          </cell>
        </row>
        <row r="2527">
          <cell r="A2527">
            <v>180371686</v>
          </cell>
          <cell r="B2527">
            <v>3550</v>
          </cell>
          <cell r="C2527" t="str">
            <v>Tube Endo Cuff Dual 8.0 Reinforced</v>
          </cell>
        </row>
        <row r="2528">
          <cell r="A2528">
            <v>180059590</v>
          </cell>
          <cell r="B2528">
            <v>3551</v>
          </cell>
          <cell r="C2528" t="str">
            <v>Fluconazole Caps 150Mg</v>
          </cell>
        </row>
        <row r="2529">
          <cell r="A2529">
            <v>180179725</v>
          </cell>
          <cell r="B2529">
            <v>3552</v>
          </cell>
          <cell r="C2529" t="str">
            <v>Acitretin Caps 25Mg (30'S)</v>
          </cell>
        </row>
        <row r="2530">
          <cell r="A2530">
            <v>189716026</v>
          </cell>
          <cell r="B2530">
            <v>3553</v>
          </cell>
          <cell r="C2530" t="str">
            <v>Apron Plastic Full Body White Single Use 110Cm</v>
          </cell>
        </row>
        <row r="2531">
          <cell r="A2531" t="str">
            <v>*</v>
          </cell>
          <cell r="B2531">
            <v>3554</v>
          </cell>
          <cell r="C2531" t="str">
            <v>~Cefradoxil Susp 250Mg/5ml</v>
          </cell>
        </row>
        <row r="2532">
          <cell r="A2532" t="str">
            <v>*</v>
          </cell>
          <cell r="B2532">
            <v>3555</v>
          </cell>
          <cell r="C2532" t="str">
            <v>~Cefradoxil Susp 500Mg/5ml</v>
          </cell>
        </row>
        <row r="2533">
          <cell r="A2533" t="str">
            <v>DELETED</v>
          </cell>
          <cell r="B2533">
            <v>3556</v>
          </cell>
          <cell r="C2533" t="str">
            <v>Sut Monosyn 1 1/2Tp 26Mm</v>
          </cell>
        </row>
        <row r="2534">
          <cell r="A2534">
            <v>180158788</v>
          </cell>
          <cell r="B2534">
            <v>3557</v>
          </cell>
          <cell r="C2534" t="str">
            <v>Bottle Round Amber + Screw Cap 25Ml</v>
          </cell>
        </row>
        <row r="2535">
          <cell r="A2535">
            <v>180158794</v>
          </cell>
          <cell r="B2535">
            <v>3558</v>
          </cell>
          <cell r="C2535" t="str">
            <v>Bottle Amber Round Plastic 50Ml</v>
          </cell>
        </row>
        <row r="2536">
          <cell r="A2536">
            <v>189709363</v>
          </cell>
          <cell r="B2536">
            <v>3559</v>
          </cell>
          <cell r="C2536" t="str">
            <v>Skin Stapler Remover</v>
          </cell>
        </row>
        <row r="2537">
          <cell r="A2537" t="str">
            <v>QUOTE</v>
          </cell>
          <cell r="B2537">
            <v>3560</v>
          </cell>
          <cell r="C2537" t="str">
            <v>Catheter Stylet Adult For Peritoneal Dialysis</v>
          </cell>
        </row>
        <row r="2538">
          <cell r="A2538">
            <v>180158817</v>
          </cell>
          <cell r="B2538">
            <v>3561</v>
          </cell>
          <cell r="C2538" t="str">
            <v>Bottle Plastic 2.5L</v>
          </cell>
        </row>
        <row r="2539">
          <cell r="A2539">
            <v>180031142</v>
          </cell>
          <cell r="B2539">
            <v>3562</v>
          </cell>
          <cell r="C2539" t="str">
            <v>Sodium Chlo 0.9% 1000Ml Hospital Stock</v>
          </cell>
        </row>
        <row r="2540">
          <cell r="A2540">
            <v>180029081</v>
          </cell>
          <cell r="B2540">
            <v>3563</v>
          </cell>
          <cell r="C2540" t="str">
            <v>Sut Monosyn 4/0 3/8Rc 67-70Cm 24Mm</v>
          </cell>
        </row>
        <row r="2541">
          <cell r="A2541">
            <v>180351239</v>
          </cell>
          <cell r="B2541">
            <v>3564</v>
          </cell>
          <cell r="C2541" t="str">
            <v>~Quetiapine I R Tabs 200Mg (60'S)</v>
          </cell>
        </row>
        <row r="2542">
          <cell r="A2542">
            <v>180330417</v>
          </cell>
          <cell r="B2542">
            <v>3565</v>
          </cell>
          <cell r="C2542" t="str">
            <v>Sut Monosyn 2/0 1/2Tp 26Mm</v>
          </cell>
        </row>
        <row r="2543">
          <cell r="A2543">
            <v>180009344</v>
          </cell>
          <cell r="B2543">
            <v>3566</v>
          </cell>
          <cell r="C2543" t="str">
            <v>Connector Plastic Autoclave Double Tape  4-7Mm</v>
          </cell>
        </row>
        <row r="2544">
          <cell r="A2544">
            <v>189717395</v>
          </cell>
          <cell r="B2544">
            <v>3567</v>
          </cell>
          <cell r="C2544" t="str">
            <v>Connector Plastic Autoclave Double Tape 10-14Mm</v>
          </cell>
        </row>
        <row r="2545">
          <cell r="A2545">
            <v>180009780</v>
          </cell>
          <cell r="B2545">
            <v>3568</v>
          </cell>
          <cell r="C2545" t="str">
            <v>Connector Plastic Autoclave Y-Shaped 4-6Mm</v>
          </cell>
        </row>
        <row r="2546">
          <cell r="A2546">
            <v>180953394</v>
          </cell>
          <cell r="B2546">
            <v>3569</v>
          </cell>
          <cell r="C2546" t="str">
            <v>Connector Plastic Autoclave Y-Shaped 8-10Mm</v>
          </cell>
        </row>
        <row r="2547">
          <cell r="A2547">
            <v>189717425</v>
          </cell>
          <cell r="B2547">
            <v>3570</v>
          </cell>
          <cell r="C2547" t="str">
            <v>Container Oint Pvc  50G</v>
          </cell>
        </row>
        <row r="2548">
          <cell r="A2548">
            <v>180142463</v>
          </cell>
          <cell r="B2548">
            <v>3571</v>
          </cell>
          <cell r="C2548" t="str">
            <v>Dressing Hydrocolloid Transparent 15Cmx20cm</v>
          </cell>
        </row>
        <row r="2549">
          <cell r="A2549">
            <v>180295330</v>
          </cell>
          <cell r="B2549">
            <v>3572</v>
          </cell>
          <cell r="C2549" t="str">
            <v>Container Oint Pvc 500G</v>
          </cell>
        </row>
        <row r="2550">
          <cell r="A2550">
            <v>180012360</v>
          </cell>
          <cell r="B2550">
            <v>3573</v>
          </cell>
          <cell r="C2550" t="str">
            <v>Cord Orthopaedic</v>
          </cell>
        </row>
        <row r="2551">
          <cell r="A2551" t="str">
            <v>QUOTE</v>
          </cell>
          <cell r="B2551">
            <v>3574</v>
          </cell>
          <cell r="C2551" t="str">
            <v>Cath Silicone 8.1Fr Low Profile Radiopaque</v>
          </cell>
        </row>
        <row r="2552">
          <cell r="A2552" t="str">
            <v>QUOTE</v>
          </cell>
          <cell r="B2552">
            <v>3575</v>
          </cell>
          <cell r="C2552" t="str">
            <v>Cath Silicone 5.4Fr Low Profile Radiopaque</v>
          </cell>
        </row>
        <row r="2553">
          <cell r="A2553" t="str">
            <v>QUOTE</v>
          </cell>
          <cell r="B2553">
            <v>3576</v>
          </cell>
          <cell r="C2553" t="str">
            <v>Cath Sil Prostatectomy 3-Way 24Ch</v>
          </cell>
        </row>
        <row r="2554">
          <cell r="A2554" t="str">
            <v>QOUTE</v>
          </cell>
          <cell r="B2554">
            <v>3577</v>
          </cell>
          <cell r="C2554" t="str">
            <v>Bag Urine Turp (With Lumen)</v>
          </cell>
        </row>
        <row r="2555">
          <cell r="A2555">
            <v>189712739</v>
          </cell>
          <cell r="B2555">
            <v>3578</v>
          </cell>
          <cell r="C2555" t="str">
            <v>Sut Monosyn 6/0 3/8Tp 11.2Mm Urology</v>
          </cell>
        </row>
        <row r="2556">
          <cell r="A2556">
            <v>180212294</v>
          </cell>
          <cell r="B2556">
            <v>3579</v>
          </cell>
          <cell r="C2556" t="str">
            <v>Oestradiol 2Mg/nerethisterone Ace 1Mg</v>
          </cell>
        </row>
        <row r="2557">
          <cell r="A2557">
            <v>1</v>
          </cell>
          <cell r="B2557">
            <v>3580</v>
          </cell>
          <cell r="C2557" t="str">
            <v>Sut Synthabs 2 1/2Tp 45Mm Obs.Gyn</v>
          </cell>
        </row>
        <row r="2558">
          <cell r="A2558">
            <v>180164451</v>
          </cell>
          <cell r="B2558">
            <v>3581</v>
          </cell>
          <cell r="C2558" t="str">
            <v>Sut Plain 3/0 3/8Rc 19Mm</v>
          </cell>
        </row>
        <row r="2559">
          <cell r="A2559">
            <v>180211309</v>
          </cell>
          <cell r="B2559">
            <v>3582</v>
          </cell>
          <cell r="C2559" t="str">
            <v>Sut Nylon 4/0 3/8Rc 13Mm</v>
          </cell>
        </row>
        <row r="2560">
          <cell r="A2560">
            <v>180320710</v>
          </cell>
          <cell r="B2560">
            <v>3583</v>
          </cell>
          <cell r="C2560" t="str">
            <v>Sut Nylon 3/0 3/8Cc 25Mm</v>
          </cell>
        </row>
        <row r="2561">
          <cell r="A2561">
            <v>180047971</v>
          </cell>
          <cell r="B2561">
            <v>3584</v>
          </cell>
          <cell r="C2561" t="str">
            <v>Sut Nylon 5/0 3/8Cc 15Mm</v>
          </cell>
        </row>
        <row r="2562">
          <cell r="A2562">
            <v>189702797</v>
          </cell>
          <cell r="B2562">
            <v>3585</v>
          </cell>
          <cell r="C2562" t="str">
            <v>Fluocinolone Acetonide 0.025% Oint</v>
          </cell>
        </row>
        <row r="2563">
          <cell r="A2563">
            <v>181930750</v>
          </cell>
          <cell r="B2563">
            <v>3586</v>
          </cell>
          <cell r="C2563" t="str">
            <v>Eye Shield Left Cartella</v>
          </cell>
        </row>
        <row r="2564">
          <cell r="A2564">
            <v>181930751</v>
          </cell>
          <cell r="B2564">
            <v>3587</v>
          </cell>
          <cell r="C2564" t="str">
            <v>Eye Shield Right Cartella</v>
          </cell>
        </row>
        <row r="2565">
          <cell r="A2565">
            <v>180103509</v>
          </cell>
          <cell r="B2565">
            <v>3588</v>
          </cell>
          <cell r="C2565" t="str">
            <v>Gabapentin 100Mg Caps (100'S)</v>
          </cell>
        </row>
        <row r="2566">
          <cell r="A2566">
            <v>180090331</v>
          </cell>
          <cell r="B2566">
            <v>3589</v>
          </cell>
          <cell r="C2566" t="str">
            <v>Tape Indicator Ethylene Oxide 12Mm</v>
          </cell>
        </row>
        <row r="2567">
          <cell r="A2567">
            <v>181863977</v>
          </cell>
          <cell r="B2567">
            <v>3590</v>
          </cell>
          <cell r="C2567" t="str">
            <v>Thermometer Non-Mercury Babies &amp; Children</v>
          </cell>
        </row>
        <row r="2568">
          <cell r="A2568">
            <v>180152110</v>
          </cell>
          <cell r="B2568">
            <v>3591</v>
          </cell>
          <cell r="C2568" t="str">
            <v>Tape Masking 24Mm</v>
          </cell>
        </row>
        <row r="2569">
          <cell r="A2569">
            <v>181854786</v>
          </cell>
          <cell r="B2569">
            <v>3592</v>
          </cell>
          <cell r="C2569" t="str">
            <v>Thermometer Non-Mercury</v>
          </cell>
        </row>
        <row r="2570">
          <cell r="A2570">
            <v>189702845</v>
          </cell>
          <cell r="B2570">
            <v>3593</v>
          </cell>
          <cell r="C2570" t="str">
            <v>~Sut Plain 1 1/2Rc 40Mm 68Cm Uro</v>
          </cell>
        </row>
        <row r="2571">
          <cell r="A2571">
            <v>180009501</v>
          </cell>
          <cell r="B2571">
            <v>3594</v>
          </cell>
          <cell r="C2571" t="str">
            <v>~Thermometer Lotion Celcius Range 0-110</v>
          </cell>
        </row>
        <row r="2572">
          <cell r="A2572">
            <v>181790514</v>
          </cell>
          <cell r="B2572">
            <v>3595</v>
          </cell>
          <cell r="C2572" t="str">
            <v>~Tpn 8003Xa (Itn8003xa)</v>
          </cell>
        </row>
        <row r="2573">
          <cell r="A2573">
            <v>181777175</v>
          </cell>
          <cell r="B2573">
            <v>3596</v>
          </cell>
          <cell r="C2573" t="str">
            <v>Tube Endo T Cuffed Intub L/mask 7Mm</v>
          </cell>
        </row>
        <row r="2574">
          <cell r="A2574">
            <v>181777176</v>
          </cell>
          <cell r="B2574">
            <v>3597</v>
          </cell>
          <cell r="C2574" t="str">
            <v>Tube Endo T Cuffed Intub L/mask 7.5Mm</v>
          </cell>
        </row>
        <row r="2575">
          <cell r="A2575">
            <v>181777172</v>
          </cell>
          <cell r="B2575">
            <v>3598</v>
          </cell>
          <cell r="C2575" t="str">
            <v>Tube Endo T Cuffed Intub L/mask 6.5Mm</v>
          </cell>
        </row>
        <row r="2576">
          <cell r="A2576">
            <v>180211159</v>
          </cell>
          <cell r="B2576">
            <v>3599</v>
          </cell>
          <cell r="C2576" t="str">
            <v>Oestradiol Val 2Mg/ Cyproterone Ace 1Mg Tabs</v>
          </cell>
        </row>
        <row r="2577">
          <cell r="A2577">
            <v>181798197</v>
          </cell>
          <cell r="B2577">
            <v>3600</v>
          </cell>
          <cell r="C2577" t="str">
            <v>~Vitamin Multiple Caps Children</v>
          </cell>
        </row>
        <row r="2578">
          <cell r="A2578">
            <v>181798198</v>
          </cell>
          <cell r="B2578">
            <v>3601</v>
          </cell>
          <cell r="C2578" t="str">
            <v>~Vitamin Multiple Caps Adults</v>
          </cell>
        </row>
        <row r="2579">
          <cell r="A2579" t="str">
            <v>.</v>
          </cell>
          <cell r="B2579">
            <v>3602</v>
          </cell>
          <cell r="C2579" t="str">
            <v>Vaccine Meningitis Acw 135Y Vial 10 Dose</v>
          </cell>
        </row>
        <row r="2580">
          <cell r="A2580" t="str">
            <v>QUOTE</v>
          </cell>
          <cell r="B2580">
            <v>3603</v>
          </cell>
          <cell r="C2580" t="str">
            <v>Winged Infus Set 20G Non Coring</v>
          </cell>
        </row>
        <row r="2581">
          <cell r="A2581" t="str">
            <v>QUOTE</v>
          </cell>
          <cell r="B2581">
            <v>3604</v>
          </cell>
          <cell r="C2581" t="str">
            <v>Winged Infus Set 22G Non Coring</v>
          </cell>
        </row>
        <row r="2582">
          <cell r="A2582">
            <v>180954640</v>
          </cell>
          <cell r="B2582">
            <v>3605</v>
          </cell>
          <cell r="C2582" t="str">
            <v>Test Strip Blood Glucose (Accu-Check Active)</v>
          </cell>
        </row>
        <row r="2583">
          <cell r="A2583">
            <v>180070238</v>
          </cell>
          <cell r="B2583">
            <v>3606</v>
          </cell>
          <cell r="C2583" t="str">
            <v>Tramadol Caps 50Mg (20'S)</v>
          </cell>
        </row>
        <row r="2584">
          <cell r="A2584" t="str">
            <v>QUOTE</v>
          </cell>
          <cell r="B2584">
            <v>3607</v>
          </cell>
          <cell r="C2584" t="str">
            <v>~Fluoxetine Susp 20Mg/5ml 70Ml</v>
          </cell>
        </row>
        <row r="2585">
          <cell r="A2585">
            <v>189702018</v>
          </cell>
          <cell r="B2585">
            <v>3608</v>
          </cell>
          <cell r="C2585" t="str">
            <v>Brush Surgical Scrub Sterile Single</v>
          </cell>
        </row>
        <row r="2586">
          <cell r="A2586" t="str">
            <v>QUOTE</v>
          </cell>
          <cell r="B2586">
            <v>3609</v>
          </cell>
          <cell r="C2586" t="str">
            <v>Calcipotriol Cream 100G Tube</v>
          </cell>
        </row>
        <row r="2587">
          <cell r="A2587">
            <v>189704674</v>
          </cell>
          <cell r="B2587">
            <v>3610</v>
          </cell>
          <cell r="C2587" t="str">
            <v>Forceps Dressing Plastic 125Mm</v>
          </cell>
        </row>
        <row r="2588">
          <cell r="A2588">
            <v>181798147</v>
          </cell>
          <cell r="B2588">
            <v>3611</v>
          </cell>
          <cell r="C2588" t="str">
            <v>Co-Trimoxazole Tabs 480Mg (56'S)</v>
          </cell>
        </row>
        <row r="2589">
          <cell r="A2589">
            <v>189763034</v>
          </cell>
          <cell r="B2589">
            <v>3612</v>
          </cell>
          <cell r="C2589" t="str">
            <v>Ciprofloxacin Tabs 500Mg (10'S)</v>
          </cell>
        </row>
        <row r="2590">
          <cell r="A2590">
            <v>189710219</v>
          </cell>
          <cell r="B2590">
            <v>3613</v>
          </cell>
          <cell r="C2590" t="str">
            <v>Carbamazepine Tabs 200Mg (Ward 100)</v>
          </cell>
        </row>
        <row r="2591">
          <cell r="A2591">
            <v>180206558</v>
          </cell>
          <cell r="B2591">
            <v>3614</v>
          </cell>
          <cell r="C2591" t="str">
            <v>~Enalapril Tabs 2.5Mg</v>
          </cell>
        </row>
        <row r="2592">
          <cell r="A2592">
            <v>180340162</v>
          </cell>
          <cell r="B2592">
            <v>3615</v>
          </cell>
          <cell r="C2592" t="str">
            <v>Glibenclamide Tabs 5Mg (56'S)</v>
          </cell>
        </row>
        <row r="2593">
          <cell r="A2593">
            <v>180340166</v>
          </cell>
          <cell r="B2593">
            <v>3616</v>
          </cell>
          <cell r="C2593" t="str">
            <v>Glibenclamide Tabs 5Mg (84'S)</v>
          </cell>
        </row>
        <row r="2594">
          <cell r="A2594">
            <v>189710395</v>
          </cell>
          <cell r="B2594">
            <v>3617</v>
          </cell>
          <cell r="C2594" t="str">
            <v>Glibenclamide Tabs 5Mg (Ward 100)</v>
          </cell>
        </row>
        <row r="2595">
          <cell r="A2595">
            <v>180339463</v>
          </cell>
          <cell r="B2595">
            <v>3618</v>
          </cell>
          <cell r="C2595" t="str">
            <v>~Indomethacin Caps 25Mg (15'S)</v>
          </cell>
        </row>
        <row r="2596">
          <cell r="A2596">
            <v>180155491</v>
          </cell>
          <cell r="B2596">
            <v>3619</v>
          </cell>
          <cell r="C2596" t="str">
            <v>~Indomethacin Caps 25Mg (84'S)</v>
          </cell>
        </row>
        <row r="2597">
          <cell r="A2597" t="str">
            <v>HEDP 088/09</v>
          </cell>
          <cell r="B2597">
            <v>3620</v>
          </cell>
          <cell r="C2597" t="str">
            <v>Gown Hospital Short Sleeves Large - Navy Blue</v>
          </cell>
        </row>
        <row r="2598">
          <cell r="A2598">
            <v>189714494</v>
          </cell>
          <cell r="B2598">
            <v>3621</v>
          </cell>
          <cell r="C2598" t="str">
            <v>Indomethacin Caps 25Mg (Ward 100)</v>
          </cell>
        </row>
        <row r="2599">
          <cell r="A2599">
            <v>181930611</v>
          </cell>
          <cell r="B2599">
            <v>3622</v>
          </cell>
          <cell r="C2599" t="str">
            <v>Mask N95 M.D.R-Tb Small</v>
          </cell>
        </row>
        <row r="2600">
          <cell r="A2600">
            <v>180118185</v>
          </cell>
          <cell r="B2600">
            <v>3623</v>
          </cell>
          <cell r="C2600" t="str">
            <v>~Shield Full Face Protection</v>
          </cell>
        </row>
        <row r="2601">
          <cell r="A2601">
            <v>180158771</v>
          </cell>
          <cell r="B2601">
            <v>3624</v>
          </cell>
          <cell r="C2601" t="str">
            <v>Bag Sterilization  No 1020</v>
          </cell>
        </row>
        <row r="2602">
          <cell r="A2602">
            <v>180174140</v>
          </cell>
          <cell r="B2602">
            <v>3625</v>
          </cell>
          <cell r="C2602" t="str">
            <v>Bandage Retention Crepe  50Mm</v>
          </cell>
        </row>
        <row r="2603">
          <cell r="A2603">
            <v>180174037</v>
          </cell>
          <cell r="B2603">
            <v>3626</v>
          </cell>
          <cell r="C2603" t="str">
            <v>Bandage Retention Crepe 100Mm</v>
          </cell>
        </row>
        <row r="2604">
          <cell r="A2604">
            <v>180174038</v>
          </cell>
          <cell r="B2604">
            <v>3627</v>
          </cell>
          <cell r="C2604" t="str">
            <v>Bandage Retention Crepe 150Mm</v>
          </cell>
        </row>
        <row r="2605">
          <cell r="A2605">
            <v>180961952</v>
          </cell>
          <cell r="B2605">
            <v>3628</v>
          </cell>
          <cell r="C2605" t="str">
            <v>Syringe Safety 10Ml 22Gx40mm (0.7Mm) Needle</v>
          </cell>
        </row>
        <row r="2606">
          <cell r="A2606">
            <v>180057310</v>
          </cell>
          <cell r="B2606">
            <v>3629</v>
          </cell>
          <cell r="C2606" t="str">
            <v>Bandage Heavy Support/compression Cotton 75Mm X 4.5M</v>
          </cell>
        </row>
        <row r="2607">
          <cell r="A2607">
            <v>180173370</v>
          </cell>
          <cell r="B2607">
            <v>3630</v>
          </cell>
          <cell r="C2607" t="str">
            <v>Bandage Compression Porous Elastic Adhe 50Mm</v>
          </cell>
        </row>
        <row r="2608">
          <cell r="A2608" t="str">
            <v>*</v>
          </cell>
          <cell r="B2608">
            <v>3631</v>
          </cell>
          <cell r="C2608" t="str">
            <v>Cath Ureth 10Fg Plastic Disp Atraumatic Tip</v>
          </cell>
        </row>
        <row r="2609">
          <cell r="A2609">
            <v>189714663</v>
          </cell>
          <cell r="B2609">
            <v>3632</v>
          </cell>
          <cell r="C2609" t="str">
            <v>Vaccine Influenza (H1n1): Campaign</v>
          </cell>
        </row>
        <row r="2610">
          <cell r="A2610">
            <v>180087339</v>
          </cell>
          <cell r="B2610">
            <v>3633</v>
          </cell>
          <cell r="C2610" t="str">
            <v>Sodium Hyaluronate 14Mg/ml 0.55Ml Syringe</v>
          </cell>
        </row>
        <row r="2611">
          <cell r="A2611">
            <v>180973899</v>
          </cell>
          <cell r="B2611">
            <v>3635</v>
          </cell>
          <cell r="C2611" t="str">
            <v>Dressing Wound Abs. Adhesive</v>
          </cell>
        </row>
        <row r="2612">
          <cell r="A2612">
            <v>180175053</v>
          </cell>
          <cell r="B2612">
            <v>3636</v>
          </cell>
          <cell r="C2612" t="str">
            <v>Bandage Retention Tubular Orthopaedic  50Mm</v>
          </cell>
        </row>
        <row r="2613">
          <cell r="A2613">
            <v>180175061</v>
          </cell>
          <cell r="B2613">
            <v>3637</v>
          </cell>
          <cell r="C2613" t="str">
            <v>Bandage Retention Tubular Orthopaedic  80Mm</v>
          </cell>
        </row>
        <row r="2614">
          <cell r="A2614" t="str">
            <v>*</v>
          </cell>
          <cell r="B2614">
            <v>3638</v>
          </cell>
          <cell r="C2614" t="str">
            <v>Bud Cotton Autoclavable Double Tipped</v>
          </cell>
        </row>
        <row r="2615">
          <cell r="A2615">
            <v>189704611</v>
          </cell>
          <cell r="B2615">
            <v>3639</v>
          </cell>
          <cell r="C2615" t="str">
            <v>Campaign: Cotton Wool</v>
          </cell>
        </row>
        <row r="2616">
          <cell r="A2616">
            <v>189702850</v>
          </cell>
          <cell r="B2616">
            <v>3640</v>
          </cell>
          <cell r="C2616" t="str">
            <v>~Cotton Wool Absorbent  50G  Non-Interleaved</v>
          </cell>
        </row>
        <row r="2617">
          <cell r="A2617">
            <v>180175240</v>
          </cell>
          <cell r="B2617">
            <v>3641</v>
          </cell>
          <cell r="C2617" t="str">
            <v>Dressing Burn First Aid 60Cmx40cm</v>
          </cell>
        </row>
        <row r="2618">
          <cell r="A2618">
            <v>9632</v>
          </cell>
          <cell r="B2618">
            <v>3642</v>
          </cell>
          <cell r="C2618" t="str">
            <v>Dressing Contreet Foam Adhesive 12.5X12.5Cm</v>
          </cell>
        </row>
        <row r="2619">
          <cell r="A2619">
            <v>9635</v>
          </cell>
          <cell r="B2619">
            <v>3643</v>
          </cell>
          <cell r="C2619" t="str">
            <v>Dressing Contreet Foam Adhesive 18X18cm</v>
          </cell>
        </row>
        <row r="2620">
          <cell r="A2620">
            <v>189701780</v>
          </cell>
          <cell r="B2620">
            <v>3644</v>
          </cell>
          <cell r="C2620" t="str">
            <v>Dressing Standard First Aid  75Mmx2m</v>
          </cell>
        </row>
        <row r="2621">
          <cell r="A2621">
            <v>189701781</v>
          </cell>
          <cell r="B2621">
            <v>3645</v>
          </cell>
          <cell r="C2621" t="str">
            <v>Dressing Standard First Aid 100Mmx4m</v>
          </cell>
        </row>
        <row r="2622">
          <cell r="A2622">
            <v>180057903</v>
          </cell>
          <cell r="B2622">
            <v>3646</v>
          </cell>
          <cell r="C2622" t="str">
            <v>Dressing Standard First Aid 200Mmx6.5M</v>
          </cell>
        </row>
        <row r="2623">
          <cell r="A2623">
            <v>180973826</v>
          </cell>
          <cell r="B2623">
            <v>3647</v>
          </cell>
          <cell r="C2623" t="str">
            <v>Dressing Tulle Gras 100Mmx400mm</v>
          </cell>
        </row>
        <row r="2624">
          <cell r="A2624">
            <v>181931745</v>
          </cell>
          <cell r="B2624">
            <v>3648</v>
          </cell>
          <cell r="C2624" t="str">
            <v>Dressing Wound Abs. 100Mmx100mm 2Ply</v>
          </cell>
        </row>
        <row r="2625">
          <cell r="A2625">
            <v>180349938</v>
          </cell>
          <cell r="B2625">
            <v>3649</v>
          </cell>
          <cell r="C2625" t="str">
            <v>Eye Patch Adhesive Edge Oval</v>
          </cell>
        </row>
        <row r="2626">
          <cell r="A2626">
            <v>181894394</v>
          </cell>
          <cell r="B2626">
            <v>3650</v>
          </cell>
          <cell r="C2626" t="str">
            <v>Factor Viia 2Mg (100Kiu)</v>
          </cell>
        </row>
        <row r="2627">
          <cell r="A2627">
            <v>189715777</v>
          </cell>
          <cell r="B2627">
            <v>3651</v>
          </cell>
          <cell r="C2627" t="str">
            <v>Gauze Plugging Absorbent X-Ray 38Mmx700mm 12Ply</v>
          </cell>
        </row>
        <row r="2628">
          <cell r="A2628">
            <v>189701807</v>
          </cell>
          <cell r="B2628">
            <v>3652</v>
          </cell>
          <cell r="C2628" t="str">
            <v>Gauze Ribbon Absorbent Cotton 12Mmx10m</v>
          </cell>
        </row>
        <row r="2629">
          <cell r="A2629">
            <v>189715778</v>
          </cell>
          <cell r="B2629">
            <v>3653</v>
          </cell>
          <cell r="C2629" t="str">
            <v>~Skin Traction Kit Adult Full Foam</v>
          </cell>
        </row>
        <row r="2630">
          <cell r="A2630">
            <v>180120113</v>
          </cell>
          <cell r="B2630">
            <v>3654</v>
          </cell>
          <cell r="C2630" t="str">
            <v>Sponge Gelatin Absorbable 70Mmx50mmx10mm</v>
          </cell>
        </row>
        <row r="2631">
          <cell r="A2631">
            <v>180058831</v>
          </cell>
          <cell r="B2631">
            <v>3655</v>
          </cell>
          <cell r="C2631" t="str">
            <v>Spongette Triangular + Pliable Handle</v>
          </cell>
        </row>
        <row r="2632">
          <cell r="A2632">
            <v>189701824</v>
          </cell>
          <cell r="B2632">
            <v>3656</v>
          </cell>
          <cell r="C2632" t="str">
            <v>Support Scrotal Suspensory Medium</v>
          </cell>
        </row>
        <row r="2633">
          <cell r="A2633">
            <v>189701825</v>
          </cell>
          <cell r="B2633">
            <v>3657</v>
          </cell>
          <cell r="C2633" t="str">
            <v>Support Scrotal Suspensory Large</v>
          </cell>
        </row>
        <row r="2634">
          <cell r="A2634">
            <v>189705301</v>
          </cell>
          <cell r="B2634">
            <v>3658</v>
          </cell>
          <cell r="C2634" t="str">
            <v>Swabs Abdominal Sterile 170Mmx200mm  8G</v>
          </cell>
        </row>
        <row r="2635">
          <cell r="A2635">
            <v>189712075</v>
          </cell>
          <cell r="B2635">
            <v>3659</v>
          </cell>
          <cell r="C2635" t="str">
            <v>Swabs Gauze Absorbent X-Ray 100Mmx100mm 12Ply</v>
          </cell>
        </row>
        <row r="2636">
          <cell r="A2636">
            <v>189712663</v>
          </cell>
          <cell r="B2636">
            <v>3660</v>
          </cell>
          <cell r="C2636" t="str">
            <v>Swabs Cleansing   30Mm</v>
          </cell>
        </row>
        <row r="2637">
          <cell r="A2637">
            <v>180148951</v>
          </cell>
          <cell r="B2637">
            <v>3661</v>
          </cell>
          <cell r="C2637" t="str">
            <v>Dressing Film Transparent Adhesive 100 X 140</v>
          </cell>
        </row>
        <row r="2638">
          <cell r="A2638">
            <v>180057664</v>
          </cell>
          <cell r="B2638">
            <v>3662</v>
          </cell>
          <cell r="C2638" t="str">
            <v>Drape Surg Incise Adhesive  900Mmx450mm</v>
          </cell>
        </row>
        <row r="2639">
          <cell r="A2639">
            <v>180057660</v>
          </cell>
          <cell r="B2639">
            <v>3663</v>
          </cell>
          <cell r="C2639" t="str">
            <v>Drape Surg Incise Adhesive  600Mmx350mm</v>
          </cell>
        </row>
        <row r="2640">
          <cell r="A2640">
            <v>180057710</v>
          </cell>
          <cell r="B2640">
            <v>3664</v>
          </cell>
          <cell r="C2640" t="str">
            <v>Drape Surgical Adhesive &amp; Circle 400Mmx400mm</v>
          </cell>
        </row>
        <row r="2641">
          <cell r="A2641">
            <v>180057711</v>
          </cell>
          <cell r="B2641">
            <v>3665</v>
          </cell>
          <cell r="C2641" t="str">
            <v>Drape Surgical Adhesive &amp; Oval 800Mmx1300mm</v>
          </cell>
        </row>
        <row r="2642">
          <cell r="A2642">
            <v>181857282</v>
          </cell>
          <cell r="B2642">
            <v>3666</v>
          </cell>
          <cell r="C2642" t="str">
            <v>Drape Surgical Adhesive Strip  300Mmx450mm</v>
          </cell>
        </row>
        <row r="2643">
          <cell r="A2643">
            <v>180059523</v>
          </cell>
          <cell r="B2643">
            <v>3667</v>
          </cell>
          <cell r="C2643" t="str">
            <v>Drape Surgical Adhesive U Slot 1200Mmx1300mm</v>
          </cell>
        </row>
        <row r="2644">
          <cell r="A2644">
            <v>180174318</v>
          </cell>
          <cell r="B2644">
            <v>3668</v>
          </cell>
          <cell r="C2644" t="str">
            <v>Dressing Wound Adh Trans + Grid  100Mmx120mm</v>
          </cell>
        </row>
        <row r="2645">
          <cell r="A2645">
            <v>180312719</v>
          </cell>
          <cell r="B2645">
            <v>3669</v>
          </cell>
          <cell r="C2645" t="str">
            <v>Dressing Post-Op Wound  83Mmx 60Mm</v>
          </cell>
        </row>
        <row r="2646">
          <cell r="A2646">
            <v>4120</v>
          </cell>
          <cell r="B2646">
            <v>3670</v>
          </cell>
          <cell r="C2646" t="str">
            <v>Dressing Biatain-Ibu Softhold 20X20cm</v>
          </cell>
        </row>
        <row r="2647">
          <cell r="A2647">
            <v>181762518</v>
          </cell>
          <cell r="B2647">
            <v>3671</v>
          </cell>
          <cell r="C2647" t="str">
            <v>Salmeterol 25Ug &amp; Fluticasone 125Ug</v>
          </cell>
        </row>
        <row r="2648">
          <cell r="A2648">
            <v>189706252</v>
          </cell>
          <cell r="B2648">
            <v>3672</v>
          </cell>
          <cell r="C2648" t="str">
            <v>Tube Nasal Feeding 10Fg 100Cm</v>
          </cell>
        </row>
        <row r="2649">
          <cell r="A2649" t="str">
            <v>*</v>
          </cell>
          <cell r="B2649">
            <v>3673</v>
          </cell>
          <cell r="C2649" t="str">
            <v>~Filter Breath Viral Neonatal Straight 15Mm, Id 22Mm</v>
          </cell>
        </row>
        <row r="2650">
          <cell r="A2650">
            <v>181936066</v>
          </cell>
          <cell r="B2650">
            <v>3674</v>
          </cell>
          <cell r="C2650" t="str">
            <v>Immunoglobulin Equine Anti-Rabies 1000Iu 5Ml</v>
          </cell>
        </row>
        <row r="2651">
          <cell r="A2651" t="str">
            <v>QUOTE</v>
          </cell>
          <cell r="B2651">
            <v>3675</v>
          </cell>
          <cell r="C2651" t="str">
            <v>Connector Universal Urology</v>
          </cell>
        </row>
        <row r="2652">
          <cell r="A2652" t="str">
            <v>*</v>
          </cell>
          <cell r="B2652">
            <v>3676</v>
          </cell>
          <cell r="C2652" t="str">
            <v>~Filter Breath Viral Paed Angled 15Mm, Id 22Mm</v>
          </cell>
        </row>
        <row r="2653">
          <cell r="A2653">
            <v>180229543</v>
          </cell>
          <cell r="B2653">
            <v>3677</v>
          </cell>
          <cell r="C2653" t="str">
            <v>Tube Endotracheal Non Cuff Nasal 4.5</v>
          </cell>
        </row>
        <row r="2654">
          <cell r="A2654">
            <v>180141728</v>
          </cell>
          <cell r="B2654">
            <v>3678</v>
          </cell>
          <cell r="C2654" t="str">
            <v>Test Tuberculin P P D Liquid T.R/23</v>
          </cell>
        </row>
        <row r="2655">
          <cell r="A2655">
            <v>180141704</v>
          </cell>
          <cell r="B2655">
            <v>3679</v>
          </cell>
          <cell r="C2655" t="str">
            <v>Vaccine Yellow Fever Single Dose + Diluent</v>
          </cell>
        </row>
        <row r="2656">
          <cell r="A2656">
            <v>189752154</v>
          </cell>
          <cell r="B2656">
            <v>3680</v>
          </cell>
          <cell r="C2656" t="str">
            <v>Immunoglobulin Varicella Zoster 2Ml</v>
          </cell>
        </row>
        <row r="2657">
          <cell r="A2657">
            <v>181777088</v>
          </cell>
          <cell r="B2657">
            <v>3681</v>
          </cell>
          <cell r="C2657" t="str">
            <v>Bag Rebreathing 0,5L Double Ended Latex Free</v>
          </cell>
        </row>
        <row r="2658">
          <cell r="A2658">
            <v>180971052</v>
          </cell>
          <cell r="B2658">
            <v>3682</v>
          </cell>
          <cell r="C2658" t="str">
            <v>Dressing Wound Non-Adh  75Mm X 75Mm</v>
          </cell>
        </row>
        <row r="2659">
          <cell r="A2659">
            <v>180971043</v>
          </cell>
          <cell r="B2659">
            <v>3683</v>
          </cell>
          <cell r="C2659" t="str">
            <v>Dressing Wound Non-Adh  75Mm X 200Mm</v>
          </cell>
        </row>
        <row r="2660">
          <cell r="A2660" t="str">
            <v>MOTIVATION</v>
          </cell>
          <cell r="B2660">
            <v>3684</v>
          </cell>
          <cell r="C2660" t="str">
            <v>Dressing Wound Non-Adh  75Mm X 400Mm</v>
          </cell>
        </row>
        <row r="2661">
          <cell r="A2661">
            <v>180971050</v>
          </cell>
          <cell r="B2661">
            <v>3685</v>
          </cell>
          <cell r="C2661" t="str">
            <v>Dressing Wound Non-Adh  75Mm X 1500Mm Roll</v>
          </cell>
        </row>
        <row r="2662">
          <cell r="A2662">
            <v>180971053</v>
          </cell>
          <cell r="B2662">
            <v>3686</v>
          </cell>
          <cell r="C2662" t="str">
            <v>Dressing Wound Non-Adh 125Mm X 225Mm</v>
          </cell>
        </row>
        <row r="2663">
          <cell r="A2663">
            <v>180212813</v>
          </cell>
          <cell r="B2663">
            <v>3687</v>
          </cell>
          <cell r="C2663" t="str">
            <v>Tube Endotracheal Non Cuff Dual 7.0</v>
          </cell>
        </row>
        <row r="2664">
          <cell r="A2664">
            <v>180238184</v>
          </cell>
          <cell r="B2664">
            <v>3688</v>
          </cell>
          <cell r="C2664" t="str">
            <v>Tube Endotracheal Cuff Oral  5.0</v>
          </cell>
        </row>
        <row r="2665">
          <cell r="A2665">
            <v>181777092</v>
          </cell>
          <cell r="B2665">
            <v>3689</v>
          </cell>
          <cell r="C2665" t="str">
            <v>Bag Rebreathing 2L Stra/neck 22F Latex Free</v>
          </cell>
        </row>
        <row r="2666">
          <cell r="A2666">
            <v>189713970</v>
          </cell>
          <cell r="B2666">
            <v>3690</v>
          </cell>
          <cell r="C2666" t="str">
            <v>Tube Endotracheal Non Cuff Dual 6.5</v>
          </cell>
        </row>
        <row r="2667">
          <cell r="A2667" t="str">
            <v>QUOTE</v>
          </cell>
          <cell r="B2667">
            <v>3691</v>
          </cell>
          <cell r="C2667" t="str">
            <v>Tube Endotracheal Cuff Nasal 3.0</v>
          </cell>
        </row>
        <row r="2668">
          <cell r="A2668" t="str">
            <v>QUOTE</v>
          </cell>
          <cell r="B2668">
            <v>3692</v>
          </cell>
          <cell r="C2668" t="str">
            <v>Tube Endotracheal Cuff Nasal 4.0</v>
          </cell>
        </row>
        <row r="2669">
          <cell r="A2669" t="str">
            <v>QUOTE</v>
          </cell>
          <cell r="B2669">
            <v>3693</v>
          </cell>
          <cell r="C2669" t="str">
            <v>Tube Endotracheal Cuff Nasal 4.5</v>
          </cell>
        </row>
        <row r="2670">
          <cell r="A2670">
            <v>180382081</v>
          </cell>
          <cell r="B2670">
            <v>3694</v>
          </cell>
          <cell r="C2670" t="str">
            <v>Airway Pharyngeal(guedel) 5</v>
          </cell>
        </row>
        <row r="2671">
          <cell r="A2671" t="str">
            <v>QUOTE</v>
          </cell>
          <cell r="B2671">
            <v>3695</v>
          </cell>
          <cell r="C2671" t="str">
            <v>Tube Endotracheal Cuff Oral  3.0</v>
          </cell>
        </row>
        <row r="2672">
          <cell r="A2672" t="str">
            <v>QUOTE</v>
          </cell>
          <cell r="B2672">
            <v>3696</v>
          </cell>
          <cell r="C2672" t="str">
            <v>Tube Endotracheal Cuff Oral  3.5</v>
          </cell>
        </row>
        <row r="2673">
          <cell r="A2673">
            <v>180136950</v>
          </cell>
          <cell r="B2673">
            <v>3697</v>
          </cell>
          <cell r="C2673" t="str">
            <v>Tube Endotracheal Non Cuff Oral 4.5</v>
          </cell>
        </row>
        <row r="2674">
          <cell r="A2674">
            <v>180136952</v>
          </cell>
          <cell r="B2674">
            <v>3698</v>
          </cell>
          <cell r="C2674" t="str">
            <v>Tube Endotracheal Non Cuff Oral 5.0</v>
          </cell>
        </row>
        <row r="2675">
          <cell r="A2675">
            <v>180136953</v>
          </cell>
          <cell r="B2675">
            <v>3699</v>
          </cell>
          <cell r="C2675" t="str">
            <v>Tube Endotracheal Non Cuff Oral 5.5</v>
          </cell>
        </row>
        <row r="2676">
          <cell r="A2676">
            <v>180136956</v>
          </cell>
          <cell r="B2676">
            <v>3700</v>
          </cell>
          <cell r="C2676" t="str">
            <v>Tube Endotracheal Non Cuff Oral 6.0</v>
          </cell>
        </row>
        <row r="2677">
          <cell r="A2677">
            <v>181777602</v>
          </cell>
          <cell r="B2677">
            <v>3701</v>
          </cell>
          <cell r="C2677" t="str">
            <v>Laryngeal Mask Airway Size 001 Autoclavable Silicone</v>
          </cell>
        </row>
        <row r="2678">
          <cell r="A2678">
            <v>181777603</v>
          </cell>
          <cell r="B2678">
            <v>3702</v>
          </cell>
          <cell r="C2678" t="str">
            <v>Laryngeal Mask Airway Size 002 Autoclavable Silicone</v>
          </cell>
        </row>
        <row r="2679">
          <cell r="A2679" t="str">
            <v>QUOTE STOMA</v>
          </cell>
          <cell r="B2679">
            <v>3703</v>
          </cell>
          <cell r="C2679" t="str">
            <v>Pouch Ostomy One Piece 10-100Mm</v>
          </cell>
        </row>
        <row r="2680">
          <cell r="A2680" t="str">
            <v>QUOTE STOMA</v>
          </cell>
          <cell r="B2680">
            <v>3704</v>
          </cell>
          <cell r="C2680" t="str">
            <v>Flange  70Mm (Cut To 51Mm) 3724K Convex</v>
          </cell>
        </row>
        <row r="2681">
          <cell r="A2681" t="str">
            <v>QUOTE STOMA</v>
          </cell>
          <cell r="B2681">
            <v>3705</v>
          </cell>
          <cell r="C2681" t="str">
            <v>Pouch Ostomy  70Mm Opague 3814K</v>
          </cell>
        </row>
        <row r="2682">
          <cell r="A2682" t="str">
            <v>QUOTE STOMA</v>
          </cell>
          <cell r="B2682">
            <v>3706</v>
          </cell>
          <cell r="C2682" t="str">
            <v>Pouch Ostomy 70Mm 401604 Convatec Colostomy</v>
          </cell>
        </row>
        <row r="2683">
          <cell r="A2683" t="str">
            <v>QUOTE STOMA</v>
          </cell>
          <cell r="B2683">
            <v>3707</v>
          </cell>
          <cell r="C2683" t="str">
            <v>~Pouch Urostomy One Piece 44Mm Transparent Drainable</v>
          </cell>
        </row>
        <row r="2684">
          <cell r="A2684">
            <v>181897255</v>
          </cell>
          <cell r="B2684">
            <v>3708</v>
          </cell>
          <cell r="C2684" t="str">
            <v>Campaign: Measles 10 Dose Diluent</v>
          </cell>
        </row>
        <row r="2685">
          <cell r="A2685" t="str">
            <v>QUOTE STOMA</v>
          </cell>
          <cell r="B2685">
            <v>3709</v>
          </cell>
          <cell r="C2685" t="str">
            <v>Paste Protective Karaya</v>
          </cell>
        </row>
        <row r="2686">
          <cell r="A2686" t="str">
            <v>QUOTE STOMA</v>
          </cell>
          <cell r="B2686">
            <v>3710</v>
          </cell>
          <cell r="C2686" t="str">
            <v>Flange  45Mm Flexible Urostomy Use</v>
          </cell>
        </row>
        <row r="2687">
          <cell r="A2687">
            <v>189712310</v>
          </cell>
          <cell r="B2687">
            <v>3711</v>
          </cell>
          <cell r="C2687" t="str">
            <v>Fusidate I.V Infusion &amp; Diluent 500Mg</v>
          </cell>
        </row>
        <row r="2688">
          <cell r="A2688">
            <v>181817507</v>
          </cell>
          <cell r="B2688">
            <v>3712</v>
          </cell>
          <cell r="C2688" t="str">
            <v>~Rif 60 Inh 30 Disp Tabs (56'S)</v>
          </cell>
        </row>
        <row r="2689">
          <cell r="A2689">
            <v>181850577</v>
          </cell>
          <cell r="B2689">
            <v>3713</v>
          </cell>
          <cell r="C2689" t="str">
            <v>Drape Ophthalmic Double Pouch Adh:125x125mm Ov:150x275</v>
          </cell>
        </row>
        <row r="2690">
          <cell r="A2690">
            <v>189717345</v>
          </cell>
          <cell r="B2690">
            <v>3714</v>
          </cell>
          <cell r="C2690" t="str">
            <v>~Cath Thoracic 120/36Fg Drainage Straight;6 Eyes;</v>
          </cell>
        </row>
        <row r="2691">
          <cell r="A2691">
            <v>189705608</v>
          </cell>
          <cell r="B2691">
            <v>3715</v>
          </cell>
          <cell r="C2691" t="str">
            <v>Half Darrows + Glucose 5%  200Ml Hospital</v>
          </cell>
        </row>
        <row r="2692">
          <cell r="A2692">
            <v>189761566</v>
          </cell>
          <cell r="B2692">
            <v>3716</v>
          </cell>
          <cell r="C2692" t="str">
            <v>Sodium Chlo 0.9% Irrigation 1L Hospital</v>
          </cell>
        </row>
        <row r="2693">
          <cell r="A2693">
            <v>180006415</v>
          </cell>
          <cell r="B2693">
            <v>3717</v>
          </cell>
          <cell r="C2693" t="str">
            <v>Water For Irrigation 1L (Pour)  Hospital Stock</v>
          </cell>
        </row>
        <row r="2694">
          <cell r="A2694" t="str">
            <v>DELETED</v>
          </cell>
          <cell r="B2694">
            <v>3718</v>
          </cell>
          <cell r="C2694" t="str">
            <v>~Cath Thoracic Trocar Replacement 28Fg 9.3Mm</v>
          </cell>
        </row>
        <row r="2695">
          <cell r="A2695" t="str">
            <v>DELETED</v>
          </cell>
          <cell r="B2695">
            <v>3719</v>
          </cell>
          <cell r="C2695" t="str">
            <v>~Cath Thoracic With Trocar 32Fg 10.7Mm</v>
          </cell>
        </row>
        <row r="2696">
          <cell r="A2696">
            <v>189712890</v>
          </cell>
          <cell r="B2696">
            <v>3720</v>
          </cell>
          <cell r="C2696" t="str">
            <v>Cath Ureth  3Fg Plastic Disp Olive Tip;2eyes</v>
          </cell>
        </row>
        <row r="2697">
          <cell r="A2697">
            <v>189712891</v>
          </cell>
          <cell r="B2697">
            <v>3721</v>
          </cell>
          <cell r="C2697" t="str">
            <v>Cath Ureth  4Fg Plastic Disp Olive Tip;2eyes</v>
          </cell>
        </row>
        <row r="2698">
          <cell r="A2698">
            <v>189712892</v>
          </cell>
          <cell r="B2698">
            <v>3722</v>
          </cell>
          <cell r="C2698" t="str">
            <v>Cath Ureth  5Fg Plastic Disp Olive Tip;2eyes</v>
          </cell>
        </row>
        <row r="2699">
          <cell r="A2699">
            <v>189717354</v>
          </cell>
          <cell r="B2699">
            <v>3723</v>
          </cell>
          <cell r="C2699" t="str">
            <v>Cath Ureth  6Fg Plastic Disp Olive Tip;2eyes</v>
          </cell>
        </row>
        <row r="2700">
          <cell r="A2700">
            <v>189717353</v>
          </cell>
          <cell r="B2700">
            <v>3724</v>
          </cell>
          <cell r="C2700" t="str">
            <v>Cath Ureth  7Fg Plastic Disp Olive Tip;2eyes</v>
          </cell>
        </row>
        <row r="2701">
          <cell r="A2701" t="str">
            <v>DELETED</v>
          </cell>
          <cell r="B2701">
            <v>3725</v>
          </cell>
          <cell r="C2701" t="str">
            <v>~Cath.Ureth.Nelaton  8Fg 160Mm Pvc</v>
          </cell>
        </row>
        <row r="2702">
          <cell r="A2702" t="str">
            <v>DELETED</v>
          </cell>
          <cell r="B2702">
            <v>3726</v>
          </cell>
          <cell r="C2702" t="str">
            <v>~Cath.Ureth.Nelaton 10Fg 160Mm Pvc.Sterile ( Eq 10X410)</v>
          </cell>
        </row>
        <row r="2703">
          <cell r="A2703" t="str">
            <v>DELETED</v>
          </cell>
          <cell r="B2703">
            <v>3727</v>
          </cell>
          <cell r="C2703" t="str">
            <v>~Cath.Ureth.Nelaton 12Fg 160Mm Pvc.Sterile (Eq 12X410)</v>
          </cell>
        </row>
        <row r="2704">
          <cell r="A2704" t="str">
            <v>DELETED</v>
          </cell>
          <cell r="B2704">
            <v>3728</v>
          </cell>
          <cell r="C2704" t="str">
            <v>~Cath.Ureth.Nelaton 14Fg 160Mm Pvc.Sterile. (Eq 14X410)</v>
          </cell>
        </row>
        <row r="2705">
          <cell r="A2705" t="str">
            <v>DELETED</v>
          </cell>
          <cell r="B2705">
            <v>3729</v>
          </cell>
          <cell r="C2705" t="str">
            <v>~Cath.Ureth.Nelaton 16Fg 160Mm Pvc.Sterile (Eq 16X410)</v>
          </cell>
        </row>
        <row r="2706">
          <cell r="A2706">
            <v>180308024</v>
          </cell>
          <cell r="B2706">
            <v>3730</v>
          </cell>
          <cell r="C2706" t="str">
            <v>Cisatracurium Besylate 2Mg/ml Inj 5Ml</v>
          </cell>
        </row>
        <row r="2707">
          <cell r="A2707">
            <v>189714344</v>
          </cell>
          <cell r="B2707">
            <v>3731</v>
          </cell>
          <cell r="C2707" t="str">
            <v>Cath.Ureth.Foley 2Way 12Fg  5Ml Coated</v>
          </cell>
        </row>
        <row r="2708">
          <cell r="A2708">
            <v>189714345</v>
          </cell>
          <cell r="B2708">
            <v>3732</v>
          </cell>
          <cell r="C2708" t="str">
            <v>Cath.Ureth.Foley 2Way 14Fg  5Ml Coated</v>
          </cell>
        </row>
        <row r="2709">
          <cell r="A2709">
            <v>189714346</v>
          </cell>
          <cell r="B2709">
            <v>3733</v>
          </cell>
          <cell r="C2709" t="str">
            <v>Cath.Ureth.Foley 2Way 16Fg  5Ml Coated</v>
          </cell>
        </row>
        <row r="2710">
          <cell r="A2710">
            <v>189714347</v>
          </cell>
          <cell r="B2710">
            <v>3734</v>
          </cell>
          <cell r="C2710" t="str">
            <v>Cath.Ureth.Foley 2Way 18Fg  5Ml Coated</v>
          </cell>
        </row>
        <row r="2711">
          <cell r="A2711">
            <v>189714348</v>
          </cell>
          <cell r="B2711">
            <v>3735</v>
          </cell>
          <cell r="C2711" t="str">
            <v>~Cath.Ureth.Foley 2Way 20Fg  5Ml Coated</v>
          </cell>
        </row>
        <row r="2712">
          <cell r="A2712">
            <v>189714270</v>
          </cell>
          <cell r="B2712">
            <v>3736</v>
          </cell>
          <cell r="C2712" t="str">
            <v>~Cath.Ureth.Foley 2Way 22Fg  5Ml Coated</v>
          </cell>
        </row>
        <row r="2713">
          <cell r="A2713">
            <v>189714269</v>
          </cell>
          <cell r="B2713">
            <v>3737</v>
          </cell>
          <cell r="C2713" t="str">
            <v>~Cath.Ureth.Foley 2Way 24Fg  5Ml Coated</v>
          </cell>
        </row>
        <row r="2714">
          <cell r="A2714">
            <v>180058411</v>
          </cell>
          <cell r="B2714">
            <v>3738</v>
          </cell>
          <cell r="C2714" t="str">
            <v>Cath.Ureth.Foley 2Way 18Fg 30Ml Coated</v>
          </cell>
        </row>
        <row r="2715">
          <cell r="A2715">
            <v>180058413</v>
          </cell>
          <cell r="B2715">
            <v>3739</v>
          </cell>
          <cell r="C2715" t="str">
            <v>Cath.Ureth.Foley 2Way 20Fg 30Ml Coated</v>
          </cell>
        </row>
        <row r="2716">
          <cell r="A2716">
            <v>180058414</v>
          </cell>
          <cell r="B2716">
            <v>3740</v>
          </cell>
          <cell r="C2716" t="str">
            <v>Cath.Ureth.Foley 2Way 22Fg 30Ml Coated</v>
          </cell>
        </row>
        <row r="2717">
          <cell r="A2717">
            <v>180058415</v>
          </cell>
          <cell r="B2717">
            <v>3741</v>
          </cell>
          <cell r="C2717" t="str">
            <v>Cath.Ureth.Foley 2Way 24Fg 30Ml Coated</v>
          </cell>
        </row>
        <row r="2718">
          <cell r="A2718">
            <v>180260304</v>
          </cell>
          <cell r="B2718">
            <v>3742</v>
          </cell>
          <cell r="C2718" t="str">
            <v>Cath.Ureth.Foley 2Way 26Fg 30Ml Coated</v>
          </cell>
        </row>
        <row r="2719">
          <cell r="A2719">
            <v>181767288</v>
          </cell>
          <cell r="B2719">
            <v>3743</v>
          </cell>
          <cell r="C2719" t="str">
            <v>Cisatracrium Besylate 2Mg/ml Inj 2.5Ml</v>
          </cell>
        </row>
        <row r="2720">
          <cell r="A2720">
            <v>189763130</v>
          </cell>
          <cell r="B2720">
            <v>3744</v>
          </cell>
          <cell r="C2720" t="str">
            <v>Fluticasone Propionate 50Mcg Nasal Spray 120 Doses</v>
          </cell>
        </row>
        <row r="2721">
          <cell r="A2721">
            <v>181886512</v>
          </cell>
          <cell r="B2721">
            <v>3745</v>
          </cell>
          <cell r="C2721" t="str">
            <v>Levofloxacin 250Mg Tabs (28'S)</v>
          </cell>
        </row>
        <row r="2722">
          <cell r="A2722" t="str">
            <v>DELETED</v>
          </cell>
          <cell r="B2722">
            <v>3746</v>
          </cell>
          <cell r="C2722" t="str">
            <v>~Cath.Ureth.Foley 2Way 16Fg  5Ml Silic/latex.Rnd Tip;</v>
          </cell>
        </row>
        <row r="2723">
          <cell r="A2723" t="str">
            <v>*</v>
          </cell>
          <cell r="B2723">
            <v>3747</v>
          </cell>
          <cell r="C2723" t="str">
            <v>~Cath.Ureth.Foley 2Way 18Fg  5Ml Coated</v>
          </cell>
        </row>
        <row r="2724">
          <cell r="A2724" t="str">
            <v>*</v>
          </cell>
          <cell r="B2724">
            <v>3748</v>
          </cell>
          <cell r="C2724" t="str">
            <v>~Cath.Ureth.Foley 2Way 20Fg  5Ml Silic/latex.Rnd Tip. 7</v>
          </cell>
        </row>
        <row r="2725">
          <cell r="A2725" t="str">
            <v>*</v>
          </cell>
          <cell r="B2725">
            <v>3749</v>
          </cell>
          <cell r="C2725" t="str">
            <v>~Cath.Ureth.Foley 2Way 22Fg  5Ml Silic/latex.R/tip.7.5M</v>
          </cell>
        </row>
        <row r="2726">
          <cell r="A2726">
            <v>180058406</v>
          </cell>
          <cell r="B2726">
            <v>3750</v>
          </cell>
          <cell r="C2726" t="str">
            <v>~Cath.Ureth.Foley 2Way 12Fg 30Ml Silicone Elastomer-Coa</v>
          </cell>
        </row>
        <row r="2727">
          <cell r="A2727">
            <v>180058408</v>
          </cell>
          <cell r="B2727">
            <v>3751</v>
          </cell>
          <cell r="C2727" t="str">
            <v>~Cath.Ureth.Foley 2Way 14Fg 30Ml Coated</v>
          </cell>
        </row>
        <row r="2728">
          <cell r="A2728">
            <v>180058410</v>
          </cell>
          <cell r="B2728">
            <v>3752</v>
          </cell>
          <cell r="C2728" t="str">
            <v>Cath.Ureth.Foley 2Way 16Fg 30Ml Coated</v>
          </cell>
        </row>
        <row r="2729">
          <cell r="A2729">
            <v>181918853</v>
          </cell>
          <cell r="B2729">
            <v>3753</v>
          </cell>
          <cell r="C2729" t="str">
            <v>Darunavir 75Mg Tabs 480'S</v>
          </cell>
        </row>
        <row r="2730">
          <cell r="A2730">
            <v>181918854</v>
          </cell>
          <cell r="B2730">
            <v>3754</v>
          </cell>
          <cell r="C2730" t="str">
            <v>Darunavir 150Mg Tablets (240'S)</v>
          </cell>
        </row>
        <row r="2731">
          <cell r="A2731">
            <v>181830030</v>
          </cell>
          <cell r="B2731">
            <v>3755</v>
          </cell>
          <cell r="C2731" t="str">
            <v>Mifepristone 200Mg Tabs (3'S)</v>
          </cell>
        </row>
        <row r="2732">
          <cell r="A2732">
            <v>181931141</v>
          </cell>
          <cell r="B2732">
            <v>3756</v>
          </cell>
          <cell r="C2732" t="str">
            <v>Vaccine B C G 20 Dose Vial+ Diluent Sec 21</v>
          </cell>
        </row>
        <row r="2733">
          <cell r="A2733">
            <v>181796839</v>
          </cell>
          <cell r="B2733">
            <v>3757</v>
          </cell>
          <cell r="C2733" t="str">
            <v>Cath.Ureth.Foley 3Way 22Fg 30Ml Silicone</v>
          </cell>
        </row>
        <row r="2734">
          <cell r="A2734">
            <v>180057407</v>
          </cell>
          <cell r="B2734">
            <v>3758</v>
          </cell>
          <cell r="C2734" t="str">
            <v>Cath.Ureth.Foley 3Way 24Fg 30Ml Coated</v>
          </cell>
        </row>
        <row r="2735">
          <cell r="A2735" t="str">
            <v>QUOTE</v>
          </cell>
          <cell r="B2735">
            <v>3759</v>
          </cell>
          <cell r="C2735" t="str">
            <v>~Catheter Tenkhoff Coiled</v>
          </cell>
        </row>
        <row r="2736">
          <cell r="A2736">
            <v>189711830</v>
          </cell>
          <cell r="B2736">
            <v>4021</v>
          </cell>
          <cell r="C2736" t="str">
            <v>Amitriptyline Tabs 25Mg (56'S)</v>
          </cell>
        </row>
        <row r="2737">
          <cell r="A2737">
            <v>189717349</v>
          </cell>
          <cell r="B2737">
            <v>3761</v>
          </cell>
          <cell r="C2737" t="str">
            <v>~Cath.Ureth.Nelaton 20Fg 400Mm Pvc. 2 Eyes</v>
          </cell>
        </row>
        <row r="2738">
          <cell r="A2738">
            <v>189717348</v>
          </cell>
          <cell r="B2738">
            <v>3762</v>
          </cell>
          <cell r="C2738" t="str">
            <v>~Cath.Ureth.Nelaton 22Fg 400Mm Pvc. 2 Eyes</v>
          </cell>
        </row>
        <row r="2739">
          <cell r="A2739" t="str">
            <v>RT  15</v>
          </cell>
          <cell r="B2739">
            <v>3763</v>
          </cell>
          <cell r="C2739" t="str">
            <v>Lens Intra-Ocular 6Mm 25.0 Dioptre</v>
          </cell>
        </row>
        <row r="2740">
          <cell r="A2740" t="str">
            <v>RT  15</v>
          </cell>
          <cell r="B2740">
            <v>3764</v>
          </cell>
          <cell r="C2740" t="str">
            <v>Lens Intra-Ocular 5.25Mm 25.0 Dioptre</v>
          </cell>
        </row>
        <row r="2741">
          <cell r="A2741">
            <v>180335981</v>
          </cell>
          <cell r="B2741">
            <v>3765</v>
          </cell>
          <cell r="C2741" t="str">
            <v>Sheath Incontinence 40-X-Large Latex</v>
          </cell>
        </row>
        <row r="2742">
          <cell r="A2742">
            <v>189717409</v>
          </cell>
          <cell r="B2742">
            <v>3766</v>
          </cell>
          <cell r="C2742" t="str">
            <v>T-Tube Drain 12Fg Kehr Silicone</v>
          </cell>
        </row>
        <row r="2743">
          <cell r="A2743" t="str">
            <v>QUOTE</v>
          </cell>
          <cell r="B2743">
            <v>3767</v>
          </cell>
          <cell r="C2743" t="str">
            <v>Suction Drain 3Mm 1/8In</v>
          </cell>
        </row>
        <row r="2744">
          <cell r="A2744">
            <v>189717411</v>
          </cell>
          <cell r="B2744">
            <v>3768</v>
          </cell>
          <cell r="C2744" t="str">
            <v>T-Tube Drain 16Fg Kehr Silicone</v>
          </cell>
        </row>
        <row r="2745">
          <cell r="A2745" t="str">
            <v>QUOTE</v>
          </cell>
          <cell r="B2745">
            <v>3769</v>
          </cell>
          <cell r="C2745" t="str">
            <v>Suction Drain 6Mm 1/4In</v>
          </cell>
        </row>
        <row r="2746">
          <cell r="A2746">
            <v>189717413</v>
          </cell>
          <cell r="B2746">
            <v>3770</v>
          </cell>
          <cell r="C2746" t="str">
            <v>T-Tube Drain 20(21)Fg Kehr Silicone</v>
          </cell>
        </row>
        <row r="2747">
          <cell r="A2747">
            <v>189717402</v>
          </cell>
          <cell r="B2747">
            <v>3771</v>
          </cell>
          <cell r="C2747" t="str">
            <v>~T-Tube Drain 22Fg Kehr Latex</v>
          </cell>
        </row>
        <row r="2748">
          <cell r="A2748" t="str">
            <v>QUOTE RT 15</v>
          </cell>
          <cell r="B2748">
            <v>3772</v>
          </cell>
          <cell r="C2748" t="str">
            <v>~Lens Intra-Ocular 5.25Mm 19.0 Dioptre</v>
          </cell>
        </row>
        <row r="2749">
          <cell r="A2749" t="str">
            <v>QUOTE</v>
          </cell>
          <cell r="B2749">
            <v>3773</v>
          </cell>
          <cell r="C2749" t="str">
            <v>Gore-Tex Dual Mesh 8X12cm</v>
          </cell>
        </row>
        <row r="2750">
          <cell r="A2750" t="str">
            <v>RT  15</v>
          </cell>
          <cell r="B2750">
            <v>3774</v>
          </cell>
          <cell r="C2750" t="str">
            <v>Lens Intra-Ocular 5.25Mm 20.0 Dioptre</v>
          </cell>
        </row>
        <row r="2751">
          <cell r="A2751" t="str">
            <v>RT  15</v>
          </cell>
          <cell r="B2751">
            <v>3775</v>
          </cell>
          <cell r="C2751" t="str">
            <v>Lens Intra-Ocular 5.25Mm 24.0 Dioptre</v>
          </cell>
        </row>
        <row r="2752">
          <cell r="A2752" t="str">
            <v>RT  15</v>
          </cell>
          <cell r="B2752">
            <v>3776</v>
          </cell>
          <cell r="C2752" t="str">
            <v>Lens Intra-Ocular 5.25Mm 21.0 Dioptre</v>
          </cell>
        </row>
        <row r="2753">
          <cell r="A2753" t="str">
            <v>RT  15</v>
          </cell>
          <cell r="B2753">
            <v>3777</v>
          </cell>
          <cell r="C2753" t="str">
            <v>Lens Intra-Ocular 5.25Mm 21.5 Dioptre</v>
          </cell>
        </row>
        <row r="2754">
          <cell r="A2754">
            <v>180057620</v>
          </cell>
          <cell r="B2754">
            <v>3778</v>
          </cell>
          <cell r="C2754" t="str">
            <v>Tube Drain Penrose Latex 300Mmx15mm (Surg.Sterile)</v>
          </cell>
        </row>
        <row r="2755">
          <cell r="A2755">
            <v>180002053</v>
          </cell>
          <cell r="B2755">
            <v>3779</v>
          </cell>
          <cell r="C2755" t="str">
            <v>Tube Drain Penrose Latex 300Mmx25mm (Surg.Sterile)</v>
          </cell>
        </row>
        <row r="2756">
          <cell r="A2756">
            <v>180286738</v>
          </cell>
          <cell r="B2756">
            <v>3780</v>
          </cell>
          <cell r="C2756" t="str">
            <v>Tube Endo Oesophageal Livingstone 13Mmx150mm</v>
          </cell>
        </row>
        <row r="2757">
          <cell r="A2757">
            <v>189717377</v>
          </cell>
          <cell r="B2757">
            <v>3781</v>
          </cell>
          <cell r="C2757" t="str">
            <v>Tube Flatus 28Fg</v>
          </cell>
        </row>
        <row r="2758">
          <cell r="A2758" t="str">
            <v>RT  15</v>
          </cell>
          <cell r="B2758">
            <v>3782</v>
          </cell>
          <cell r="C2758" t="str">
            <v>Lens Intra-Ocular 5.25Mm 22.0 Diopter</v>
          </cell>
        </row>
        <row r="2759">
          <cell r="A2759">
            <v>189717357</v>
          </cell>
          <cell r="B2759">
            <v>3783</v>
          </cell>
          <cell r="C2759" t="str">
            <v>Tube Stomach Washout 28Fg 800Mm</v>
          </cell>
        </row>
        <row r="2760">
          <cell r="A2760">
            <v>180286749</v>
          </cell>
          <cell r="B2760">
            <v>3784</v>
          </cell>
          <cell r="C2760" t="str">
            <v>Tube Suction Yankauer Control  5Mm</v>
          </cell>
        </row>
        <row r="2761">
          <cell r="A2761" t="str">
            <v>RT  15</v>
          </cell>
          <cell r="B2761">
            <v>3785</v>
          </cell>
          <cell r="C2761" t="str">
            <v>Lens Intra-Ocular 5.25Mm 22.5 Dioptre</v>
          </cell>
        </row>
        <row r="2762">
          <cell r="A2762">
            <v>180227878</v>
          </cell>
          <cell r="B2762">
            <v>3786</v>
          </cell>
          <cell r="C2762" t="str">
            <v>Tube Suction Yankauer W/o Control  5Mm</v>
          </cell>
        </row>
        <row r="2763">
          <cell r="A2763">
            <v>180227887</v>
          </cell>
          <cell r="B2763">
            <v>3787</v>
          </cell>
          <cell r="C2763" t="str">
            <v>~Tube Suction Yankauer W/o Control Od 10Mm L225mm</v>
          </cell>
        </row>
        <row r="2764">
          <cell r="A2764" t="str">
            <v>RT  15</v>
          </cell>
          <cell r="B2764">
            <v>3788</v>
          </cell>
          <cell r="C2764" t="str">
            <v>Lens Intra-Ocular 5.25Mm 23.0 Dioptre</v>
          </cell>
        </row>
        <row r="2765">
          <cell r="A2765" t="str">
            <v>RT  15</v>
          </cell>
          <cell r="B2765">
            <v>3789</v>
          </cell>
          <cell r="C2765" t="str">
            <v>Lens Intra-Ocular 5.25Mm 23.5 Dioptre</v>
          </cell>
        </row>
        <row r="2766">
          <cell r="A2766">
            <v>180057729</v>
          </cell>
          <cell r="B2766">
            <v>3790</v>
          </cell>
          <cell r="C2766" t="str">
            <v>Tubing Funnel Clear  5Mm Suction</v>
          </cell>
        </row>
        <row r="2767">
          <cell r="A2767">
            <v>180057730</v>
          </cell>
          <cell r="B2767">
            <v>3791</v>
          </cell>
          <cell r="C2767" t="str">
            <v>Tubing Funnel Clear  7Mm Suction</v>
          </cell>
        </row>
        <row r="2768">
          <cell r="A2768">
            <v>181901862</v>
          </cell>
          <cell r="B2768">
            <v>3792</v>
          </cell>
          <cell r="C2768" t="str">
            <v>Levonorgestrel 1.5Mg Tablet (1'S)</v>
          </cell>
        </row>
        <row r="2769">
          <cell r="A2769">
            <v>189716041</v>
          </cell>
          <cell r="B2769">
            <v>3793</v>
          </cell>
          <cell r="C2769" t="str">
            <v>~Tube Natural Rubber Latex Id 6.35Mm W1.5Mm</v>
          </cell>
        </row>
        <row r="2770">
          <cell r="A2770" t="str">
            <v>RT  15</v>
          </cell>
          <cell r="B2770">
            <v>3794</v>
          </cell>
          <cell r="C2770" t="str">
            <v>Lens Intra-Ocular 5.25Mm 24.0 Dioptre</v>
          </cell>
        </row>
        <row r="2771">
          <cell r="A2771">
            <v>180057506</v>
          </cell>
          <cell r="B2771">
            <v>3795</v>
          </cell>
          <cell r="C2771" t="str">
            <v>Drainage System Chest Spare Container 2000Ml</v>
          </cell>
        </row>
        <row r="2772">
          <cell r="A2772">
            <v>180057507</v>
          </cell>
          <cell r="B2772">
            <v>3796</v>
          </cell>
          <cell r="C2772" t="str">
            <v>Drainage System Chest U/water Paediatric Size</v>
          </cell>
        </row>
        <row r="2773">
          <cell r="A2773">
            <v>180963168</v>
          </cell>
          <cell r="B2773">
            <v>3797</v>
          </cell>
          <cell r="C2773" t="str">
            <v>Tubing Silicone Id 3.0Mm Od  5.0Mm</v>
          </cell>
        </row>
        <row r="2774">
          <cell r="A2774">
            <v>180228037</v>
          </cell>
          <cell r="B2774">
            <v>3798</v>
          </cell>
          <cell r="C2774" t="str">
            <v>Tubing Silicone Id 5.0Mm Od  8.0Mm</v>
          </cell>
        </row>
        <row r="2775">
          <cell r="A2775">
            <v>180228039</v>
          </cell>
          <cell r="B2775">
            <v>3799</v>
          </cell>
          <cell r="C2775" t="str">
            <v>Tubing Silicone Id 5.0Mm Od 10.0Mm</v>
          </cell>
        </row>
        <row r="2776">
          <cell r="A2776">
            <v>189708972</v>
          </cell>
          <cell r="B2776">
            <v>3800</v>
          </cell>
          <cell r="C2776" t="str">
            <v>Tubing Silicone Id 8.0Mm Od 11.0Mm</v>
          </cell>
        </row>
        <row r="2777">
          <cell r="A2777">
            <v>180228044</v>
          </cell>
          <cell r="B2777">
            <v>3801</v>
          </cell>
          <cell r="C2777" t="str">
            <v>Tubing Silicone Id 8.0Mm Od 13.0Mm</v>
          </cell>
        </row>
        <row r="2778">
          <cell r="A2778">
            <v>180153842</v>
          </cell>
          <cell r="B2778">
            <v>3802</v>
          </cell>
          <cell r="C2778" t="str">
            <v>Desogestrel Oestradiol Tabs 150/20Ug</v>
          </cell>
        </row>
        <row r="2779">
          <cell r="A2779">
            <v>180772047</v>
          </cell>
          <cell r="B2779">
            <v>3803</v>
          </cell>
          <cell r="C2779" t="str">
            <v>Desmopressin Tabs 0.1Mg (30'S)</v>
          </cell>
        </row>
        <row r="2780">
          <cell r="A2780">
            <v>189712666</v>
          </cell>
          <cell r="B2780">
            <v>3804</v>
          </cell>
          <cell r="C2780" t="str">
            <v>Aminoglutethimide Tabs 250Mg</v>
          </cell>
        </row>
        <row r="2781">
          <cell r="A2781">
            <v>189714585</v>
          </cell>
          <cell r="B2781">
            <v>3805</v>
          </cell>
          <cell r="C2781" t="str">
            <v>Cyclophosphamide Tabs 50Mg (50'S)</v>
          </cell>
        </row>
        <row r="2782">
          <cell r="A2782">
            <v>189712691</v>
          </cell>
          <cell r="B2782">
            <v>3806</v>
          </cell>
          <cell r="C2782" t="str">
            <v>Flutamide Tabs 250Mg (100'S)</v>
          </cell>
        </row>
        <row r="2783">
          <cell r="A2783" t="str">
            <v>RT  15</v>
          </cell>
          <cell r="B2783">
            <v>3807</v>
          </cell>
          <cell r="C2783" t="str">
            <v>Lens Intra-Ocular 6Mm 18.0 Dioptre</v>
          </cell>
        </row>
        <row r="2784">
          <cell r="A2784">
            <v>189712364</v>
          </cell>
          <cell r="B2784">
            <v>3808</v>
          </cell>
          <cell r="C2784" t="str">
            <v>Ciclosporin Oral Solution 100Mg/ml 50Ml</v>
          </cell>
        </row>
        <row r="2785">
          <cell r="A2785">
            <v>180001218</v>
          </cell>
          <cell r="B2785">
            <v>3809</v>
          </cell>
          <cell r="C2785" t="str">
            <v>Ciclosporin Caps  25Mg (50'S)</v>
          </cell>
        </row>
        <row r="2786">
          <cell r="A2786">
            <v>180001233</v>
          </cell>
          <cell r="B2786">
            <v>3810</v>
          </cell>
          <cell r="C2786" t="str">
            <v>Ciclosporin Caps 100Mg (50'S)</v>
          </cell>
        </row>
        <row r="2787">
          <cell r="A2787">
            <v>180959708</v>
          </cell>
          <cell r="B2787">
            <v>3811</v>
          </cell>
          <cell r="C2787" t="str">
            <v>Mask Oxygen Diluter 60% Paed</v>
          </cell>
        </row>
        <row r="2788">
          <cell r="A2788">
            <v>189711409</v>
          </cell>
          <cell r="B2788">
            <v>3812</v>
          </cell>
          <cell r="C2788" t="str">
            <v>Desmopressin Sol Intranasal 0.1Mg/ml 2.5Ml</v>
          </cell>
        </row>
        <row r="2789">
          <cell r="A2789">
            <v>189711212</v>
          </cell>
          <cell r="B2789">
            <v>3813</v>
          </cell>
          <cell r="C2789" t="str">
            <v>~Chloramphenicol &amp; Dexamethasone Eye Drops</v>
          </cell>
        </row>
        <row r="2790">
          <cell r="A2790">
            <v>181922275</v>
          </cell>
          <cell r="B2790">
            <v>3814</v>
          </cell>
          <cell r="C2790" t="str">
            <v>Nevirapine Tabs 200Mg (60'S)</v>
          </cell>
        </row>
        <row r="2791">
          <cell r="A2791" t="str">
            <v>RT  15</v>
          </cell>
          <cell r="B2791">
            <v>3815</v>
          </cell>
          <cell r="C2791" t="str">
            <v>Lens Intra-Ocular 6Mm 18.5 Dioptre</v>
          </cell>
        </row>
        <row r="2792">
          <cell r="A2792">
            <v>189704903</v>
          </cell>
          <cell r="B2792">
            <v>3816</v>
          </cell>
          <cell r="C2792" t="str">
            <v>~Sut Chromic 0 1/2Ct 30Mm 75Cm</v>
          </cell>
        </row>
        <row r="2793">
          <cell r="A2793">
            <v>180138681</v>
          </cell>
          <cell r="B2793">
            <v>3817</v>
          </cell>
          <cell r="C2793" t="str">
            <v>Sut Silk 3/0 1/2Cc 22Mm</v>
          </cell>
        </row>
        <row r="2794">
          <cell r="A2794">
            <v>189713780</v>
          </cell>
          <cell r="B2794">
            <v>3818</v>
          </cell>
          <cell r="C2794" t="str">
            <v>Sut Chromic 5/0 1/4 Sp 8.73Mm</v>
          </cell>
        </row>
        <row r="2795">
          <cell r="A2795">
            <v>189758996</v>
          </cell>
          <cell r="B2795">
            <v>3819</v>
          </cell>
          <cell r="C2795" t="str">
            <v>Sut Chromic 1 1/2Tp 45Mm</v>
          </cell>
        </row>
        <row r="2796">
          <cell r="A2796">
            <v>180212830</v>
          </cell>
          <cell r="B2796">
            <v>3820</v>
          </cell>
          <cell r="C2796" t="str">
            <v>Sut Chromic 2/0 3/8Rc 30Mm</v>
          </cell>
        </row>
        <row r="2797">
          <cell r="A2797">
            <v>180215357</v>
          </cell>
          <cell r="B2797">
            <v>3821</v>
          </cell>
          <cell r="C2797" t="str">
            <v>Michel Wound Clips 14Mm</v>
          </cell>
        </row>
        <row r="2798">
          <cell r="A2798">
            <v>180320542</v>
          </cell>
          <cell r="B2798">
            <v>3822</v>
          </cell>
          <cell r="C2798" t="str">
            <v>Michel Wound Clips 16Mm</v>
          </cell>
        </row>
        <row r="2799">
          <cell r="A2799" t="str">
            <v>RT 302</v>
          </cell>
          <cell r="B2799">
            <v>3823</v>
          </cell>
          <cell r="C2799" t="str">
            <v>Ligature Surg.Steel Coils/wire; Dia.0.45;Lg 9M;(0.0181)</v>
          </cell>
        </row>
        <row r="2800">
          <cell r="A2800">
            <v>180956926</v>
          </cell>
          <cell r="B2800">
            <v>3824</v>
          </cell>
          <cell r="C2800" t="str">
            <v>Sut Synthabs Support Mesh 30Cm X 6Cm</v>
          </cell>
        </row>
        <row r="2801">
          <cell r="A2801" t="str">
            <v>QUOTE STOMA</v>
          </cell>
          <cell r="B2801">
            <v>3825</v>
          </cell>
          <cell r="C2801" t="str">
            <v>~Flange 57Mm Flexible</v>
          </cell>
        </row>
        <row r="2802">
          <cell r="A2802">
            <v>180138996</v>
          </cell>
          <cell r="B2802">
            <v>3826</v>
          </cell>
          <cell r="C2802" t="str">
            <v>Sut Nylon 6/0 3/8Rc 12Mm</v>
          </cell>
        </row>
        <row r="2803">
          <cell r="A2803">
            <v>180320706</v>
          </cell>
          <cell r="B2803">
            <v>3827</v>
          </cell>
          <cell r="C2803" t="str">
            <v>Sut Nylon 2/0 3/8Rc 39Mm</v>
          </cell>
        </row>
        <row r="2804">
          <cell r="A2804">
            <v>180320713</v>
          </cell>
          <cell r="B2804">
            <v>3828</v>
          </cell>
          <cell r="C2804" t="str">
            <v>Sut Nylon 2/0 Str Cut 55Mm</v>
          </cell>
        </row>
        <row r="2805">
          <cell r="A2805">
            <v>180212750</v>
          </cell>
          <cell r="B2805">
            <v>3829</v>
          </cell>
          <cell r="C2805" t="str">
            <v>Sut Nylon 3/0 3/8Cc 80Mm</v>
          </cell>
        </row>
        <row r="2806">
          <cell r="A2806" t="str">
            <v>3026870 DEL</v>
          </cell>
          <cell r="B2806">
            <v>3830</v>
          </cell>
          <cell r="C2806" t="str">
            <v>~Sut Nylon 1 3/8Cc 90Mm 75Cm</v>
          </cell>
        </row>
        <row r="2807">
          <cell r="A2807" t="str">
            <v>QUOTE 14055</v>
          </cell>
          <cell r="B2807">
            <v>3831</v>
          </cell>
          <cell r="C2807" t="str">
            <v>Fistula And Wound Management System Mini</v>
          </cell>
        </row>
        <row r="2808">
          <cell r="A2808">
            <v>189753644</v>
          </cell>
          <cell r="B2808">
            <v>3832</v>
          </cell>
          <cell r="C2808" t="str">
            <v>Sut Nylon 3/0 3/8Cc 20Mm</v>
          </cell>
        </row>
        <row r="2809">
          <cell r="A2809">
            <v>181774922</v>
          </cell>
          <cell r="B2809">
            <v>3833</v>
          </cell>
          <cell r="C2809" t="str">
            <v>Sut Polyprop 35X22cm Sup Mesh</v>
          </cell>
        </row>
        <row r="2810">
          <cell r="A2810">
            <v>180186314</v>
          </cell>
          <cell r="B2810">
            <v>3834</v>
          </cell>
          <cell r="C2810" t="str">
            <v>Sut Polyprop 15X15cm Sup Mesh</v>
          </cell>
        </row>
        <row r="2811">
          <cell r="A2811">
            <v>180138975</v>
          </cell>
          <cell r="B2811">
            <v>3835</v>
          </cell>
          <cell r="C2811" t="str">
            <v>Sut Polyprop 0 1/2Tp 40Mm</v>
          </cell>
        </row>
        <row r="2812">
          <cell r="A2812">
            <v>189713851</v>
          </cell>
          <cell r="B2812">
            <v>3836</v>
          </cell>
          <cell r="C2812" t="str">
            <v>Sut Polyprop 7/0 3/8Tp 12Mm 45Cm</v>
          </cell>
        </row>
        <row r="2813">
          <cell r="A2813">
            <v>180956913</v>
          </cell>
          <cell r="B2813">
            <v>3837</v>
          </cell>
          <cell r="C2813" t="str">
            <v>Sut Polyprop 4/0 1/2Tp 17-17.4Mm</v>
          </cell>
        </row>
        <row r="2814">
          <cell r="A2814">
            <v>180956899</v>
          </cell>
          <cell r="B2814">
            <v>3838</v>
          </cell>
          <cell r="C2814" t="str">
            <v>Sut Polyprop 5/0 1/2Tc 17Mm</v>
          </cell>
        </row>
        <row r="2815">
          <cell r="A2815">
            <v>180139528</v>
          </cell>
          <cell r="B2815">
            <v>3839</v>
          </cell>
          <cell r="C2815" t="str">
            <v>~Sut Silk 2/0 Ligation 75Cm</v>
          </cell>
        </row>
        <row r="2816">
          <cell r="A2816">
            <v>180138814</v>
          </cell>
          <cell r="B2816">
            <v>3840</v>
          </cell>
          <cell r="C2816" t="str">
            <v>~Sut Polyest 1 1/2Tp 37Mm</v>
          </cell>
        </row>
        <row r="2817">
          <cell r="A2817">
            <v>180956883</v>
          </cell>
          <cell r="B2817">
            <v>3841</v>
          </cell>
          <cell r="C2817" t="str">
            <v>Sut Polyest 5 1/2Tc 40Mm</v>
          </cell>
        </row>
        <row r="2818">
          <cell r="A2818">
            <v>180047888</v>
          </cell>
          <cell r="B2818">
            <v>3842</v>
          </cell>
          <cell r="C2818" t="str">
            <v>Sut Polyest 2/0 1/2Dp 26Mm Cardio</v>
          </cell>
        </row>
        <row r="2819">
          <cell r="A2819">
            <v>180319906</v>
          </cell>
          <cell r="B2819">
            <v>3843</v>
          </cell>
          <cell r="C2819" t="str">
            <v>Sut Plain   1 1/2Tp 30Mm</v>
          </cell>
        </row>
        <row r="2820">
          <cell r="A2820" t="str">
            <v>RT  15</v>
          </cell>
          <cell r="B2820">
            <v>3844</v>
          </cell>
          <cell r="C2820" t="str">
            <v>Lens Intra-Ocular 6Mm 19.0 Dioptre</v>
          </cell>
        </row>
        <row r="2821">
          <cell r="A2821">
            <v>180211861</v>
          </cell>
          <cell r="B2821">
            <v>3845</v>
          </cell>
          <cell r="C2821" t="str">
            <v>Sut Silk 0 1/2Tp 30Mm</v>
          </cell>
        </row>
        <row r="2822">
          <cell r="A2822" t="str">
            <v>DELETED</v>
          </cell>
          <cell r="B2822">
            <v>3846</v>
          </cell>
          <cell r="C2822" t="str">
            <v>~Sut Silk 1/0 1/2Tp 37Mm White</v>
          </cell>
        </row>
        <row r="2823">
          <cell r="A2823">
            <v>180185777</v>
          </cell>
          <cell r="B2823">
            <v>3847</v>
          </cell>
          <cell r="C2823" t="str">
            <v>~Sut Synthabs 3/0 Ligation 135Cm Green</v>
          </cell>
        </row>
        <row r="2824">
          <cell r="A2824">
            <v>189713782</v>
          </cell>
          <cell r="B2824">
            <v>3848</v>
          </cell>
          <cell r="C2824" t="str">
            <v>Sut Synthabs 2/0 Ligation</v>
          </cell>
        </row>
        <row r="2825">
          <cell r="A2825" t="str">
            <v>RT  15</v>
          </cell>
          <cell r="B2825">
            <v>3849</v>
          </cell>
          <cell r="C2825" t="str">
            <v>Lens Intra-Ocular 6Mm 19.5 Dioptre</v>
          </cell>
        </row>
        <row r="2826">
          <cell r="A2826">
            <v>180185866</v>
          </cell>
          <cell r="B2826">
            <v>3850</v>
          </cell>
          <cell r="C2826" t="str">
            <v>~Sut Synthabs 4/0 3/8Rc 19Mm 45Cm</v>
          </cell>
        </row>
        <row r="2827">
          <cell r="A2827">
            <v>180185868</v>
          </cell>
          <cell r="B2827">
            <v>3851</v>
          </cell>
          <cell r="C2827" t="str">
            <v>Sut Synthabs 4/0 3/8Rc 24Mm</v>
          </cell>
        </row>
        <row r="2828">
          <cell r="A2828">
            <v>180185935</v>
          </cell>
          <cell r="B2828">
            <v>3852</v>
          </cell>
          <cell r="C2828" t="str">
            <v>Sut Synthabs 2/0 3/8Rc 24Mm</v>
          </cell>
        </row>
        <row r="2829">
          <cell r="A2829">
            <v>189759590</v>
          </cell>
          <cell r="B2829">
            <v>3853</v>
          </cell>
          <cell r="C2829" t="str">
            <v>Sut Synthabs 8/0 3/8Sp 6.5Mm</v>
          </cell>
        </row>
        <row r="2830">
          <cell r="A2830">
            <v>180319926</v>
          </cell>
          <cell r="B2830">
            <v>3854</v>
          </cell>
          <cell r="C2830" t="str">
            <v>Sut Synthabs 3/0 3/8Rc 24Mm</v>
          </cell>
        </row>
        <row r="2831">
          <cell r="A2831" t="str">
            <v>DELETED</v>
          </cell>
          <cell r="B2831">
            <v>3855</v>
          </cell>
          <cell r="C2831" t="str">
            <v>Sut Synthabs 2 1/2Tp 45Mm</v>
          </cell>
        </row>
        <row r="2832">
          <cell r="A2832" t="str">
            <v>DELETED</v>
          </cell>
          <cell r="B2832">
            <v>3856</v>
          </cell>
          <cell r="C2832" t="str">
            <v>~Sut Synthabs 2 1/2C 45Mm 90Cm</v>
          </cell>
        </row>
        <row r="2833">
          <cell r="A2833">
            <v>180046811</v>
          </cell>
          <cell r="B2833">
            <v>3857</v>
          </cell>
          <cell r="C2833" t="str">
            <v>Sut Monosyn 3/0 1/2Tp 26Mm</v>
          </cell>
        </row>
        <row r="2834">
          <cell r="A2834">
            <v>180046815</v>
          </cell>
          <cell r="B2834">
            <v>3858</v>
          </cell>
          <cell r="C2834" t="str">
            <v>~Sut Monosyn 2/0 1/2Tp 26Mm Violet</v>
          </cell>
        </row>
        <row r="2835">
          <cell r="A2835">
            <v>180028211</v>
          </cell>
          <cell r="B2835">
            <v>3859</v>
          </cell>
          <cell r="C2835" t="str">
            <v>Sut Monosyn 6/0 3/8Rc 11Mm</v>
          </cell>
        </row>
        <row r="2836">
          <cell r="A2836">
            <v>180956791</v>
          </cell>
          <cell r="B2836">
            <v>3860</v>
          </cell>
          <cell r="C2836" t="str">
            <v>Sut Monosyn 4/0 3/8Rc 19Mm</v>
          </cell>
        </row>
        <row r="2837">
          <cell r="A2837">
            <v>180956811</v>
          </cell>
          <cell r="B2837">
            <v>3861</v>
          </cell>
          <cell r="C2837" t="str">
            <v>Sut Monosyn 3/0 3/8Rc 19Mm</v>
          </cell>
        </row>
        <row r="2838">
          <cell r="A2838">
            <v>180956815</v>
          </cell>
          <cell r="B2838">
            <v>3862</v>
          </cell>
          <cell r="C2838" t="str">
            <v>Sut Monosyn 3/0 3/8Rc 24Mm</v>
          </cell>
        </row>
        <row r="2839">
          <cell r="A2839">
            <v>189710888</v>
          </cell>
          <cell r="B2839">
            <v>3863</v>
          </cell>
          <cell r="C2839" t="str">
            <v>Clindamycin Inj 600Mg</v>
          </cell>
        </row>
        <row r="2840">
          <cell r="A2840" t="str">
            <v>QUOTE</v>
          </cell>
          <cell r="B2840">
            <v>3864</v>
          </cell>
          <cell r="C2840" t="str">
            <v>Needle Bonemarrow 13G Aspiration</v>
          </cell>
        </row>
        <row r="2841">
          <cell r="A2841">
            <v>180387396</v>
          </cell>
          <cell r="B2841">
            <v>3865</v>
          </cell>
          <cell r="C2841" t="str">
            <v>Nevirapine Susp 50Mg/5ml (240Ml)</v>
          </cell>
        </row>
        <row r="2842">
          <cell r="A2842">
            <v>181758086</v>
          </cell>
          <cell r="B2842">
            <v>3866</v>
          </cell>
          <cell r="C2842" t="str">
            <v>Imatinib Mesilate 100Mg Tabs (60'S)</v>
          </cell>
        </row>
        <row r="2843">
          <cell r="A2843">
            <v>180240869</v>
          </cell>
          <cell r="B2843">
            <v>3867</v>
          </cell>
          <cell r="C2843" t="str">
            <v>~Saw Bone Cutting Wire Gigli Twisted Lg500-508Mm</v>
          </cell>
        </row>
        <row r="2844">
          <cell r="A2844">
            <v>189712252</v>
          </cell>
          <cell r="B2844">
            <v>3868</v>
          </cell>
          <cell r="C2844" t="str">
            <v>~Fluorescein Eye Drops 2% 0.5Ml</v>
          </cell>
        </row>
        <row r="2845">
          <cell r="A2845" t="str">
            <v>RT  15</v>
          </cell>
          <cell r="B2845">
            <v>3869</v>
          </cell>
          <cell r="C2845" t="str">
            <v>Lens Intra-Ocular 6Mm 20.0 Dioptre</v>
          </cell>
        </row>
        <row r="2846">
          <cell r="A2846" t="str">
            <v>QUOTE</v>
          </cell>
          <cell r="B2846">
            <v>3870</v>
          </cell>
          <cell r="C2846" t="str">
            <v>Cath Umbilical Artery Size 5 40Cm</v>
          </cell>
        </row>
        <row r="2847">
          <cell r="A2847" t="str">
            <v>RT  15</v>
          </cell>
          <cell r="B2847">
            <v>3871</v>
          </cell>
          <cell r="C2847" t="str">
            <v>Lens Intra-Ocular 6Mm 20.5 Dioptre</v>
          </cell>
        </row>
        <row r="2848">
          <cell r="A2848" t="str">
            <v>RT  15</v>
          </cell>
          <cell r="B2848">
            <v>3872</v>
          </cell>
          <cell r="C2848" t="str">
            <v>Lens Intra-Ocular 6Mm 21.0 Dioptre</v>
          </cell>
        </row>
        <row r="2849">
          <cell r="A2849" t="str">
            <v>RT  15</v>
          </cell>
          <cell r="B2849">
            <v>3873</v>
          </cell>
          <cell r="C2849" t="str">
            <v>Lens Intra-Ocular 6Mm 21.5 Dioptre</v>
          </cell>
        </row>
        <row r="2850">
          <cell r="A2850" t="str">
            <v>RT  15</v>
          </cell>
          <cell r="B2850">
            <v>3874</v>
          </cell>
          <cell r="C2850" t="str">
            <v>Lens Intra-Ocular 6Mm 22.0 Dioptre</v>
          </cell>
        </row>
        <row r="2851">
          <cell r="A2851" t="str">
            <v>RT  15</v>
          </cell>
          <cell r="B2851">
            <v>3875</v>
          </cell>
          <cell r="C2851" t="str">
            <v>Lens Intra-Ocular 6Mm 22.5 Dioptre</v>
          </cell>
        </row>
        <row r="2852">
          <cell r="A2852">
            <v>181844609</v>
          </cell>
          <cell r="B2852">
            <v>3876</v>
          </cell>
          <cell r="C2852" t="str">
            <v>Zoledronic Acid Inj 4Mg</v>
          </cell>
        </row>
        <row r="2853">
          <cell r="A2853">
            <v>189711130</v>
          </cell>
          <cell r="B2853">
            <v>3877</v>
          </cell>
          <cell r="C2853" t="str">
            <v>Salbutamol 0.5 Mg Injection</v>
          </cell>
        </row>
        <row r="2854">
          <cell r="A2854">
            <v>189750638</v>
          </cell>
          <cell r="B2854">
            <v>3878</v>
          </cell>
          <cell r="C2854" t="str">
            <v>Inhaler Device Infants With Mask + Valve</v>
          </cell>
        </row>
        <row r="2855">
          <cell r="A2855">
            <v>181879044</v>
          </cell>
          <cell r="B2855">
            <v>3879</v>
          </cell>
          <cell r="C2855" t="str">
            <v>Isoniazid Tabs 100Mg (28'S)</v>
          </cell>
        </row>
        <row r="2856">
          <cell r="A2856" t="str">
            <v>RT  15</v>
          </cell>
          <cell r="B2856">
            <v>3880</v>
          </cell>
          <cell r="C2856" t="str">
            <v>Lens Intra-Ocular 6Mm 23.0 Dioptre</v>
          </cell>
        </row>
        <row r="2857">
          <cell r="A2857">
            <v>181899468</v>
          </cell>
          <cell r="B2857">
            <v>3881</v>
          </cell>
          <cell r="C2857" t="str">
            <v>Tpn Multi Bag Adult L-Vpc With Electro(weaning Bag 1.5L</v>
          </cell>
        </row>
        <row r="2858">
          <cell r="A2858">
            <v>180175386</v>
          </cell>
          <cell r="B2858">
            <v>3882</v>
          </cell>
          <cell r="C2858" t="str">
            <v>Strips Skin Closure 12Mmx100mm</v>
          </cell>
        </row>
        <row r="2859">
          <cell r="A2859">
            <v>189713992</v>
          </cell>
          <cell r="B2859">
            <v>3883</v>
          </cell>
          <cell r="C2859" t="str">
            <v>Dressing Burn Absorbent Gauze 225Mmx225mm 16Ply</v>
          </cell>
        </row>
        <row r="2860">
          <cell r="A2860">
            <v>180057524</v>
          </cell>
          <cell r="B2860">
            <v>3884</v>
          </cell>
          <cell r="C2860" t="str">
            <v>Bandage Retention Tubular Elastic Sz 6 100Mm</v>
          </cell>
        </row>
        <row r="2861">
          <cell r="A2861">
            <v>180058780</v>
          </cell>
          <cell r="B2861">
            <v>3885</v>
          </cell>
          <cell r="C2861" t="str">
            <v>Sponge Surgical Nasal Tampon 45Mm</v>
          </cell>
        </row>
        <row r="2862">
          <cell r="A2862">
            <v>180174246</v>
          </cell>
          <cell r="B2862">
            <v>3886</v>
          </cell>
          <cell r="C2862" t="str">
            <v>Drape Surgical Adhesive + Oval 230Mmx450mm</v>
          </cell>
        </row>
        <row r="2863">
          <cell r="A2863" t="str">
            <v>RT  15</v>
          </cell>
          <cell r="B2863">
            <v>3887</v>
          </cell>
          <cell r="C2863" t="str">
            <v>Lens Intra-Ocular 6Mm 23.5 Dioptre</v>
          </cell>
        </row>
        <row r="2864">
          <cell r="A2864" t="str">
            <v>QUOTE STOMA</v>
          </cell>
          <cell r="B2864">
            <v>3888</v>
          </cell>
          <cell r="C2864" t="str">
            <v>~Pouch Urostomy One Piece 44Mm Opague Drainable</v>
          </cell>
        </row>
        <row r="2865">
          <cell r="A2865" t="str">
            <v>QUOTE STOMA</v>
          </cell>
          <cell r="B2865">
            <v>3889</v>
          </cell>
          <cell r="C2865" t="str">
            <v>Flange  44Mm (Cut To 32Mm) 15602 Green</v>
          </cell>
        </row>
        <row r="2866">
          <cell r="A2866" t="str">
            <v>QUOTE STOMA</v>
          </cell>
          <cell r="B2866">
            <v>3890</v>
          </cell>
          <cell r="C2866" t="str">
            <v>Flange  38Mm Flexible Urostomy Use</v>
          </cell>
        </row>
        <row r="2867">
          <cell r="A2867" t="str">
            <v>QUOTE STOMA</v>
          </cell>
          <cell r="B2867">
            <v>3891</v>
          </cell>
          <cell r="C2867" t="str">
            <v>Flange  70Mm Flexible</v>
          </cell>
        </row>
        <row r="2868">
          <cell r="A2868" t="str">
            <v>QUOTE STOMA</v>
          </cell>
          <cell r="B2868">
            <v>3892</v>
          </cell>
          <cell r="C2868" t="str">
            <v>Adhesive Remover For Stoma Use</v>
          </cell>
        </row>
        <row r="2869">
          <cell r="A2869" t="str">
            <v>QUOTE STOMA</v>
          </cell>
          <cell r="B2869">
            <v>3893</v>
          </cell>
          <cell r="C2869" t="str">
            <v>Barrier Wipe Stoma For Skin Preparation</v>
          </cell>
        </row>
        <row r="2870">
          <cell r="A2870">
            <v>189708768</v>
          </cell>
          <cell r="B2870">
            <v>3894</v>
          </cell>
          <cell r="C2870" t="str">
            <v>Connector Swivel 360 Brochoscope 15Mm</v>
          </cell>
        </row>
        <row r="2871">
          <cell r="A2871">
            <v>181744815</v>
          </cell>
          <cell r="B2871">
            <v>3895</v>
          </cell>
          <cell r="C2871" t="str">
            <v>Budesonide Nasal Spray 100Mcg 200 Doses</v>
          </cell>
        </row>
        <row r="2872">
          <cell r="A2872" t="str">
            <v>QUOTE STOMA</v>
          </cell>
          <cell r="B2872">
            <v>3896</v>
          </cell>
          <cell r="C2872" t="str">
            <v>Flange  38Mm Microporous</v>
          </cell>
        </row>
        <row r="2873">
          <cell r="A2873" t="str">
            <v>QUOTE STOMA</v>
          </cell>
          <cell r="B2873">
            <v>3897</v>
          </cell>
          <cell r="C2873" t="str">
            <v>Flange  57Mm Microporous</v>
          </cell>
        </row>
        <row r="2874">
          <cell r="A2874" t="str">
            <v>QUOTE STOMA</v>
          </cell>
          <cell r="B2874">
            <v>3898</v>
          </cell>
          <cell r="C2874" t="str">
            <v>~Pouch Urostomy Two Piece 32Mm Clear Drainable</v>
          </cell>
        </row>
        <row r="2875">
          <cell r="A2875" t="str">
            <v>QUOTE STOMA</v>
          </cell>
          <cell r="B2875">
            <v>3899</v>
          </cell>
          <cell r="C2875" t="str">
            <v>Pouch Urostomy Two Piece 57Mm Clear Drainable</v>
          </cell>
        </row>
        <row r="2876">
          <cell r="A2876" t="str">
            <v>QUOTE STOMA</v>
          </cell>
          <cell r="B2876">
            <v>3900</v>
          </cell>
          <cell r="C2876" t="str">
            <v>Skin Barrier Stoma 20X20cm</v>
          </cell>
        </row>
        <row r="2877">
          <cell r="A2877">
            <v>181809457</v>
          </cell>
          <cell r="B2877">
            <v>3901</v>
          </cell>
          <cell r="C2877" t="str">
            <v>Ropinirole Hcl 1Mg Tabs (84'S)</v>
          </cell>
        </row>
        <row r="2878">
          <cell r="A2878">
            <v>180956790</v>
          </cell>
          <cell r="B2878">
            <v>3902</v>
          </cell>
          <cell r="C2878" t="str">
            <v>Sut Monosyn 5/0 3/8Rc 19Mm  70Cm</v>
          </cell>
        </row>
        <row r="2879">
          <cell r="A2879" t="str">
            <v>RT  15</v>
          </cell>
          <cell r="B2879">
            <v>3903</v>
          </cell>
          <cell r="C2879" t="str">
            <v>Lens Intra-Ocular 6Mm 24.0 Dioptre</v>
          </cell>
        </row>
        <row r="2880">
          <cell r="A2880" t="str">
            <v>QUOTE</v>
          </cell>
          <cell r="B2880">
            <v>3904</v>
          </cell>
          <cell r="C2880" t="str">
            <v>Minoxidil Solution 2% 60Ml</v>
          </cell>
        </row>
        <row r="2881">
          <cell r="A2881" t="str">
            <v>QUOTE</v>
          </cell>
          <cell r="B2881">
            <v>3905</v>
          </cell>
          <cell r="C2881" t="str">
            <v>~Methylene Blue Powder</v>
          </cell>
        </row>
        <row r="2882">
          <cell r="A2882" t="str">
            <v>QUOTE</v>
          </cell>
          <cell r="B2882">
            <v>3906</v>
          </cell>
          <cell r="C2882" t="str">
            <v>Colouring Red (Edicol Carmousine)food Grade</v>
          </cell>
        </row>
        <row r="2883">
          <cell r="A2883">
            <v>180380806</v>
          </cell>
          <cell r="B2883">
            <v>3907</v>
          </cell>
          <cell r="C2883" t="str">
            <v>Mask Oxygen Diluter 28% Adult</v>
          </cell>
        </row>
        <row r="2884">
          <cell r="A2884">
            <v>180368198</v>
          </cell>
          <cell r="B2884">
            <v>3908</v>
          </cell>
          <cell r="C2884" t="str">
            <v>Mask Oxygen Diluter 35% Adult</v>
          </cell>
        </row>
        <row r="2885">
          <cell r="A2885">
            <v>180219801</v>
          </cell>
          <cell r="B2885">
            <v>3909</v>
          </cell>
          <cell r="C2885" t="str">
            <v>Mask Oxygen Diluter 40% Adult</v>
          </cell>
        </row>
        <row r="2886">
          <cell r="A2886">
            <v>180380806</v>
          </cell>
          <cell r="B2886">
            <v>3910</v>
          </cell>
          <cell r="C2886" t="str">
            <v>Mask Oxygen Diluter 24% Paed</v>
          </cell>
        </row>
        <row r="2887">
          <cell r="A2887">
            <v>189715200</v>
          </cell>
          <cell r="B2887">
            <v>3911</v>
          </cell>
          <cell r="C2887" t="str">
            <v>Mask Oxygen Diluter 40% Paed</v>
          </cell>
        </row>
        <row r="2888">
          <cell r="A2888">
            <v>180371481</v>
          </cell>
          <cell r="B2888">
            <v>3912</v>
          </cell>
          <cell r="C2888" t="str">
            <v>Mask Oxygen Diluter 35% Paed</v>
          </cell>
        </row>
        <row r="2889">
          <cell r="A2889">
            <v>181864469</v>
          </cell>
          <cell r="B2889">
            <v>3913</v>
          </cell>
          <cell r="C2889" t="str">
            <v>Mask N95 Mdr Tb Medium</v>
          </cell>
        </row>
        <row r="2890">
          <cell r="A2890">
            <v>1829750640</v>
          </cell>
          <cell r="B2890">
            <v>3914</v>
          </cell>
          <cell r="C2890" t="str">
            <v>Aerochamber Adults</v>
          </cell>
        </row>
        <row r="2891">
          <cell r="A2891">
            <v>180177534</v>
          </cell>
          <cell r="B2891">
            <v>3915</v>
          </cell>
          <cell r="C2891" t="str">
            <v>Sheath Incontinence 35-Large No Latex</v>
          </cell>
        </row>
        <row r="2892">
          <cell r="A2892">
            <v>180177543</v>
          </cell>
          <cell r="B2892">
            <v>3916</v>
          </cell>
          <cell r="C2892" t="str">
            <v>Sheath Incontinence 40-X-Large No Latex</v>
          </cell>
        </row>
        <row r="2893">
          <cell r="A2893" t="str">
            <v>PREPACK 10ML</v>
          </cell>
          <cell r="B2893">
            <v>3917</v>
          </cell>
          <cell r="C2893" t="str">
            <v>Acetic Acid Ear Drops 2% In Alcohol</v>
          </cell>
        </row>
        <row r="2894">
          <cell r="A2894">
            <v>180257956</v>
          </cell>
          <cell r="B2894">
            <v>3918</v>
          </cell>
          <cell r="C2894" t="str">
            <v>Tube Tracheostomy Cuff 8.0</v>
          </cell>
        </row>
        <row r="2895">
          <cell r="A2895">
            <v>181777568</v>
          </cell>
          <cell r="B2895">
            <v>3919</v>
          </cell>
          <cell r="C2895" t="str">
            <v>Tube Tracheostomy Cuff 6.0</v>
          </cell>
        </row>
        <row r="2896">
          <cell r="A2896">
            <v>180257952</v>
          </cell>
          <cell r="B2896">
            <v>3920</v>
          </cell>
          <cell r="C2896" t="str">
            <v>Tube Tracheostomy Cuff 7.0</v>
          </cell>
        </row>
        <row r="2897">
          <cell r="A2897">
            <v>180257957</v>
          </cell>
          <cell r="B2897">
            <v>3921</v>
          </cell>
          <cell r="C2897" t="str">
            <v>Tube Tracheostomy Cuff 9.0</v>
          </cell>
        </row>
        <row r="2898">
          <cell r="A2898">
            <v>181917348</v>
          </cell>
          <cell r="B2898">
            <v>4022</v>
          </cell>
          <cell r="C2898" t="str">
            <v>Chlorpheniramine Tabs 4Mg (30'S)</v>
          </cell>
        </row>
        <row r="2899">
          <cell r="A2899" t="str">
            <v>QUOTE STOMA</v>
          </cell>
          <cell r="B2899">
            <v>3923</v>
          </cell>
          <cell r="C2899" t="str">
            <v>Collector Faecal</v>
          </cell>
        </row>
        <row r="2900">
          <cell r="A2900" t="str">
            <v>RT13</v>
          </cell>
          <cell r="B2900">
            <v>3924</v>
          </cell>
          <cell r="C2900" t="str">
            <v>Tube Tracheostomy Non Cuff  4.0</v>
          </cell>
        </row>
        <row r="2901">
          <cell r="A2901" t="str">
            <v>RT13-20-12-05</v>
          </cell>
          <cell r="B2901">
            <v>3925</v>
          </cell>
          <cell r="C2901" t="str">
            <v>Tube Tracheostomy Non Cuff  4.5</v>
          </cell>
        </row>
        <row r="2902">
          <cell r="A2902" t="str">
            <v>DELETED</v>
          </cell>
          <cell r="B2902">
            <v>3926</v>
          </cell>
          <cell r="C2902" t="str">
            <v>Tube Tracheostomy Non Cuff  5.0</v>
          </cell>
        </row>
        <row r="2903">
          <cell r="A2903" t="str">
            <v>DELETED</v>
          </cell>
          <cell r="B2903">
            <v>3927</v>
          </cell>
          <cell r="C2903" t="str">
            <v>Tube Tracheostomy Non Cuff  6.0</v>
          </cell>
        </row>
        <row r="2904">
          <cell r="A2904" t="str">
            <v>RT13-20-12-06</v>
          </cell>
          <cell r="B2904">
            <v>3928</v>
          </cell>
          <cell r="C2904" t="str">
            <v>Tube Tracheostomy Non Cuff  7.0</v>
          </cell>
        </row>
        <row r="2905">
          <cell r="A2905" t="str">
            <v>RT13-20-12-07</v>
          </cell>
          <cell r="B2905">
            <v>3929</v>
          </cell>
          <cell r="C2905" t="str">
            <v>Tube Tracheostomy Non Cuff  7.5</v>
          </cell>
        </row>
        <row r="2906">
          <cell r="A2906" t="str">
            <v>DELETED</v>
          </cell>
          <cell r="B2906">
            <v>3930</v>
          </cell>
          <cell r="C2906" t="str">
            <v>Tube Tracheostomy Non Cuff  8.0</v>
          </cell>
        </row>
        <row r="2907">
          <cell r="A2907" t="str">
            <v>DELETED</v>
          </cell>
          <cell r="B2907">
            <v>3931</v>
          </cell>
          <cell r="C2907" t="str">
            <v>Tube Tracheostomy Non Cuff  9.0</v>
          </cell>
        </row>
        <row r="2908">
          <cell r="A2908" t="str">
            <v>DELETED</v>
          </cell>
          <cell r="B2908">
            <v>3932</v>
          </cell>
          <cell r="C2908" t="str">
            <v>Tube Tracheostomy Non Cuff 10.0</v>
          </cell>
        </row>
        <row r="2909">
          <cell r="A2909">
            <v>180670494</v>
          </cell>
          <cell r="B2909">
            <v>3933</v>
          </cell>
          <cell r="C2909" t="str">
            <v>Metformin Tabs 850Mg (56/60'S)</v>
          </cell>
        </row>
        <row r="2910">
          <cell r="A2910" t="str">
            <v>DELETED</v>
          </cell>
          <cell r="B2910">
            <v>3934</v>
          </cell>
          <cell r="C2910" t="str">
            <v>Mask Oxygen Adult.Trach &amp; Collar 28% (Drc 210)</v>
          </cell>
        </row>
        <row r="2911">
          <cell r="A2911" t="str">
            <v>DELETED</v>
          </cell>
          <cell r="B2911">
            <v>3935</v>
          </cell>
          <cell r="C2911" t="str">
            <v>Mask Oxygen Adult.Trach &amp; Collar 35% (Drc 211)</v>
          </cell>
        </row>
        <row r="2912">
          <cell r="A2912">
            <v>189704487</v>
          </cell>
          <cell r="B2912">
            <v>3936</v>
          </cell>
          <cell r="C2912" t="str">
            <v>Cyclophosphamide Inj 1000Mg</v>
          </cell>
        </row>
        <row r="2913">
          <cell r="A2913">
            <v>189762896</v>
          </cell>
          <cell r="B2913">
            <v>3937</v>
          </cell>
          <cell r="C2913" t="str">
            <v>Pump Dispenser - Biopump (Bio-/Hibiscrub)</v>
          </cell>
        </row>
        <row r="2914">
          <cell r="A2914">
            <v>189708676</v>
          </cell>
          <cell r="B2914">
            <v>3938</v>
          </cell>
          <cell r="C2914" t="str">
            <v>Mupirocin 2% Topical Oint 15G</v>
          </cell>
        </row>
        <row r="2915">
          <cell r="A2915">
            <v>181896936</v>
          </cell>
          <cell r="B2915">
            <v>3939</v>
          </cell>
          <cell r="C2915" t="str">
            <v>Zinc Scored 20Mg Dis Tabs (10'S)</v>
          </cell>
        </row>
        <row r="2916">
          <cell r="A2916" t="str">
            <v>MOTIVATION</v>
          </cell>
          <cell r="B2916">
            <v>3940</v>
          </cell>
          <cell r="C2916" t="str">
            <v>Epoetin Alfa 50Mg</v>
          </cell>
        </row>
        <row r="2917">
          <cell r="A2917">
            <v>180012709</v>
          </cell>
          <cell r="B2917">
            <v>3945</v>
          </cell>
          <cell r="C2917" t="str">
            <v>Nifedipine Tabs 60Mg S R (30'S)</v>
          </cell>
        </row>
        <row r="2918">
          <cell r="A2918">
            <v>180329952</v>
          </cell>
          <cell r="B2918">
            <v>3946</v>
          </cell>
          <cell r="C2918" t="str">
            <v>Tube Endo Cuff Dual 6.5 Reinforced</v>
          </cell>
        </row>
        <row r="2919">
          <cell r="A2919">
            <v>180329951</v>
          </cell>
          <cell r="B2919">
            <v>3947</v>
          </cell>
          <cell r="C2919" t="str">
            <v>Tube Endo Cuff Dual 7.0 Reinforced</v>
          </cell>
        </row>
        <row r="2920">
          <cell r="A2920">
            <v>180329953</v>
          </cell>
          <cell r="B2920">
            <v>3948</v>
          </cell>
          <cell r="C2920" t="str">
            <v>Tube Endo Cuff Dual 7.5 Reinforced</v>
          </cell>
        </row>
        <row r="2921">
          <cell r="A2921">
            <v>180166914</v>
          </cell>
          <cell r="B2921">
            <v>3949</v>
          </cell>
          <cell r="C2921" t="str">
            <v>Fluorouracil Ointment 5% 20G</v>
          </cell>
        </row>
        <row r="2922">
          <cell r="A2922">
            <v>181777583</v>
          </cell>
          <cell r="B2922">
            <v>3950</v>
          </cell>
          <cell r="C2922" t="str">
            <v>Tube Tracheostomy Cuff 8.5</v>
          </cell>
        </row>
        <row r="2923">
          <cell r="A2923">
            <v>181843408</v>
          </cell>
          <cell r="B2923">
            <v>3951</v>
          </cell>
          <cell r="C2923" t="str">
            <v>Tube Trach Cuff + Inner Cannula 9.0</v>
          </cell>
        </row>
        <row r="2924">
          <cell r="A2924">
            <v>189705490</v>
          </cell>
          <cell r="B2924">
            <v>3952</v>
          </cell>
          <cell r="C2924" t="str">
            <v>~Tube Duodenal Levin 10Fg</v>
          </cell>
        </row>
        <row r="2925">
          <cell r="A2925">
            <v>181817633</v>
          </cell>
          <cell r="B2925">
            <v>3953</v>
          </cell>
          <cell r="C2925" t="str">
            <v>Rif 150 Inh  75 (56'S)</v>
          </cell>
        </row>
        <row r="2926">
          <cell r="A2926">
            <v>181817624</v>
          </cell>
          <cell r="B2926">
            <v>3954</v>
          </cell>
          <cell r="C2926" t="str">
            <v>Rif 150 Pza 400 Inh 75 Eth 275  (28'S)</v>
          </cell>
        </row>
        <row r="2927">
          <cell r="A2927">
            <v>181780162</v>
          </cell>
          <cell r="B2927">
            <v>3955</v>
          </cell>
          <cell r="C2927" t="str">
            <v>Stavudine Solution 1Mg/ml (200Ml)</v>
          </cell>
        </row>
        <row r="2928">
          <cell r="A2928">
            <v>180061386</v>
          </cell>
          <cell r="B2928">
            <v>3956</v>
          </cell>
          <cell r="C2928" t="str">
            <v>Test Strip Blood Glucose (Accutrend)</v>
          </cell>
        </row>
        <row r="2929">
          <cell r="A2929">
            <v>181802351</v>
          </cell>
          <cell r="B2929">
            <v>3957</v>
          </cell>
          <cell r="C2929" t="str">
            <v>Laryngeal Mask Airway Size 3 Autoclavable Silicone</v>
          </cell>
        </row>
        <row r="2930">
          <cell r="A2930">
            <v>189710155</v>
          </cell>
          <cell r="B2930">
            <v>3958</v>
          </cell>
          <cell r="C2930" t="str">
            <v>Oxybutynin Tabs 5Mg (84'S)</v>
          </cell>
        </row>
        <row r="2931">
          <cell r="A2931" t="str">
            <v>QUOTE</v>
          </cell>
          <cell r="B2931">
            <v>3959</v>
          </cell>
          <cell r="C2931" t="str">
            <v>~Momethasone 0.1% Cream</v>
          </cell>
        </row>
        <row r="2932">
          <cell r="A2932" t="str">
            <v>QUOTE</v>
          </cell>
          <cell r="B2932">
            <v>3960</v>
          </cell>
          <cell r="C2932" t="str">
            <v>Labels Red 75Mm X 50Mm (2 To View)</v>
          </cell>
        </row>
        <row r="2933">
          <cell r="A2933">
            <v>181896242</v>
          </cell>
          <cell r="B2933">
            <v>3961</v>
          </cell>
          <cell r="C2933" t="str">
            <v>Tenofovir 300Mg (30'S)</v>
          </cell>
        </row>
        <row r="2934">
          <cell r="A2934" t="str">
            <v>QUOTE</v>
          </cell>
          <cell r="B2934">
            <v>3962</v>
          </cell>
          <cell r="C2934" t="str">
            <v>~Oestradiol Transdermal 8Mg (100Ug/day)</v>
          </cell>
        </row>
        <row r="2935">
          <cell r="A2935">
            <v>189710058</v>
          </cell>
          <cell r="B2935">
            <v>3963</v>
          </cell>
          <cell r="C2935" t="str">
            <v>~Isopropam Phenylprop Diphenyl Caps</v>
          </cell>
        </row>
        <row r="2936">
          <cell r="A2936" t="str">
            <v>QUOTE</v>
          </cell>
          <cell r="B2936">
            <v>3964</v>
          </cell>
          <cell r="C2936" t="str">
            <v>Tube Tracheostomy Non Cuff  3.5</v>
          </cell>
        </row>
        <row r="2937">
          <cell r="A2937">
            <v>189712346</v>
          </cell>
          <cell r="B2937">
            <v>3965</v>
          </cell>
          <cell r="C2937" t="str">
            <v>Proparacaine Eye Drops 0.5% 15Ml</v>
          </cell>
        </row>
        <row r="2938">
          <cell r="A2938">
            <v>180069483</v>
          </cell>
          <cell r="B2938">
            <v>3966</v>
          </cell>
          <cell r="C2938" t="str">
            <v>~Sodium Cromoglycate Inhalant Sol 20Mg/2ml</v>
          </cell>
        </row>
        <row r="2939">
          <cell r="A2939">
            <v>189710231</v>
          </cell>
          <cell r="B2939">
            <v>3967</v>
          </cell>
          <cell r="C2939" t="str">
            <v>~Chlorpheniramine Tabs 4Mg Tabs (Ward 100'S)</v>
          </cell>
        </row>
        <row r="2940">
          <cell r="A2940" t="str">
            <v>MOTIVATION</v>
          </cell>
          <cell r="B2940">
            <v>3968</v>
          </cell>
          <cell r="C2940" t="str">
            <v>Zolpimed Tartrate 10Mg</v>
          </cell>
        </row>
        <row r="2941">
          <cell r="A2941">
            <v>181894471</v>
          </cell>
          <cell r="B2941">
            <v>3978</v>
          </cell>
          <cell r="C2941" t="str">
            <v>Calcium Carbonate &amp; Glycine(84's)</v>
          </cell>
        </row>
        <row r="2942">
          <cell r="A2942">
            <v>181932173</v>
          </cell>
          <cell r="B2942">
            <v>3969</v>
          </cell>
          <cell r="C2942" t="str">
            <v>Needle Disposable 29G (0.33Mm) X 8Mm (Red)</v>
          </cell>
        </row>
        <row r="2943">
          <cell r="A2943">
            <v>181932200</v>
          </cell>
          <cell r="B2943">
            <v>3970</v>
          </cell>
          <cell r="C2943" t="str">
            <v>Syringe Irrigation Bulbex</v>
          </cell>
        </row>
        <row r="2944">
          <cell r="A2944" t="str">
            <v>RT  20</v>
          </cell>
          <cell r="B2944">
            <v>3971</v>
          </cell>
          <cell r="C2944" t="str">
            <v>Electro Surgical Blade, With Handle</v>
          </cell>
        </row>
        <row r="2945">
          <cell r="A2945" t="str">
            <v>RT  20</v>
          </cell>
          <cell r="B2945">
            <v>3972</v>
          </cell>
          <cell r="C2945" t="str">
            <v>Electro Surgical Lead, For Dissecting Forceps</v>
          </cell>
        </row>
        <row r="2946">
          <cell r="A2946">
            <v>181860989</v>
          </cell>
          <cell r="B2946">
            <v>3973</v>
          </cell>
          <cell r="C2946" t="str">
            <v>Co-Trimoxazole Tabs 480Mg (28'S)</v>
          </cell>
        </row>
        <row r="2947">
          <cell r="A2947">
            <v>189750013</v>
          </cell>
          <cell r="B2947">
            <v>3974</v>
          </cell>
          <cell r="C2947" t="str">
            <v>Metronidazole Tabs 200Mg (21'S)</v>
          </cell>
        </row>
        <row r="2948">
          <cell r="A2948">
            <v>180339460</v>
          </cell>
          <cell r="B2948">
            <v>3975</v>
          </cell>
          <cell r="C2948" t="str">
            <v>Ibuprofen Tabs 200Mg (15'S)</v>
          </cell>
        </row>
        <row r="2949">
          <cell r="A2949">
            <v>181931938</v>
          </cell>
          <cell r="B2949">
            <v>3976</v>
          </cell>
          <cell r="C2949" t="str">
            <v>Bag Plastic Tablet White 104Mm X 120Mm Top Feed-Printed</v>
          </cell>
        </row>
        <row r="2950">
          <cell r="A2950">
            <v>189710380</v>
          </cell>
          <cell r="B2950">
            <v>3977</v>
          </cell>
          <cell r="C2950" t="str">
            <v>Co-Trimoxazole Tabs 480Mg (Ward 100)</v>
          </cell>
        </row>
        <row r="2951">
          <cell r="A2951">
            <v>180339515</v>
          </cell>
          <cell r="B2951">
            <v>3979</v>
          </cell>
          <cell r="C2951" t="str">
            <v>Nicotinamide Tabs 100Mg (28'S)</v>
          </cell>
        </row>
        <row r="2952">
          <cell r="A2952">
            <v>180186466</v>
          </cell>
          <cell r="B2952">
            <v>3980</v>
          </cell>
          <cell r="C2952" t="str">
            <v>Cefepime Inj 1G</v>
          </cell>
        </row>
        <row r="2953">
          <cell r="A2953">
            <v>180187880</v>
          </cell>
          <cell r="B2953">
            <v>3981</v>
          </cell>
          <cell r="C2953" t="str">
            <v>Cefepime Inj 2G</v>
          </cell>
        </row>
        <row r="2954">
          <cell r="A2954">
            <v>180948562</v>
          </cell>
          <cell r="B2954">
            <v>3982</v>
          </cell>
          <cell r="C2954" t="str">
            <v>Tpn 8801A (8001A)</v>
          </cell>
        </row>
        <row r="2955">
          <cell r="A2955">
            <v>180948570</v>
          </cell>
          <cell r="B2955">
            <v>3983</v>
          </cell>
          <cell r="C2955" t="str">
            <v>Tpn 7001A</v>
          </cell>
        </row>
        <row r="2956">
          <cell r="A2956">
            <v>189761964</v>
          </cell>
          <cell r="B2956">
            <v>3984</v>
          </cell>
          <cell r="C2956" t="str">
            <v>Bandage Cast Polyester/prophelene Fibre Glass 50Mm</v>
          </cell>
        </row>
        <row r="2957">
          <cell r="A2957">
            <v>180245760</v>
          </cell>
          <cell r="B2957">
            <v>3985</v>
          </cell>
          <cell r="C2957" t="str">
            <v>Poly Estre/propy Fibre Glass Resin Rolls 100Mm</v>
          </cell>
        </row>
        <row r="2958">
          <cell r="A2958" t="str">
            <v>*</v>
          </cell>
          <cell r="B2958">
            <v>3986</v>
          </cell>
          <cell r="C2958" t="str">
            <v>Poly Ester/propylene Fibre Glass Resin Roll 75Mm</v>
          </cell>
        </row>
        <row r="2959">
          <cell r="A2959">
            <v>181896194</v>
          </cell>
          <cell r="B2959">
            <v>3987</v>
          </cell>
          <cell r="C2959" t="str">
            <v>Efavirenz  50Mg Caps (30'S)</v>
          </cell>
        </row>
        <row r="2960">
          <cell r="A2960">
            <v>180185389</v>
          </cell>
          <cell r="B2960">
            <v>3988</v>
          </cell>
          <cell r="C2960" t="str">
            <v>Soddi Suph Polyethylene Glycol</v>
          </cell>
        </row>
        <row r="2961">
          <cell r="A2961" t="str">
            <v>REG</v>
          </cell>
          <cell r="B2961">
            <v>3989</v>
          </cell>
          <cell r="C2961" t="str">
            <v>~Gentamycin/streptomycin Soln</v>
          </cell>
        </row>
        <row r="2962">
          <cell r="A2962" t="str">
            <v>*</v>
          </cell>
          <cell r="B2962">
            <v>3990</v>
          </cell>
          <cell r="C2962" t="str">
            <v>Heparin Lithium 500Iu Luer Lock Sans Needle</v>
          </cell>
        </row>
        <row r="2963">
          <cell r="A2963" t="str">
            <v>QUOTE</v>
          </cell>
          <cell r="B2963">
            <v>3991</v>
          </cell>
          <cell r="C2963" t="str">
            <v>Filter Viral Pedi</v>
          </cell>
        </row>
        <row r="2964">
          <cell r="A2964">
            <v>181932180</v>
          </cell>
          <cell r="B2964">
            <v>3995</v>
          </cell>
          <cell r="C2964" t="str">
            <v>Campaign: Needle Hypodermic 19G (1.1Mm)x40mm</v>
          </cell>
        </row>
        <row r="2965">
          <cell r="A2965">
            <v>181774882</v>
          </cell>
          <cell r="B2965">
            <v>3996</v>
          </cell>
          <cell r="C2965" t="str">
            <v>Tpn 5501A/xa (5001A)</v>
          </cell>
        </row>
        <row r="2966">
          <cell r="A2966">
            <v>180948510</v>
          </cell>
          <cell r="B2966">
            <v>3997</v>
          </cell>
          <cell r="C2966" t="str">
            <v>Tpn 6001A</v>
          </cell>
        </row>
        <row r="2967">
          <cell r="A2967">
            <v>181762655</v>
          </cell>
          <cell r="B2967">
            <v>3998</v>
          </cell>
          <cell r="C2967" t="str">
            <v>Tpn 8807A/xa (8007A)</v>
          </cell>
        </row>
        <row r="2968">
          <cell r="A2968">
            <v>181747895</v>
          </cell>
          <cell r="B2968">
            <v>3999</v>
          </cell>
          <cell r="C2968" t="str">
            <v>Pancreatin Caps 10,000 Units (100'S)</v>
          </cell>
        </row>
        <row r="2969">
          <cell r="A2969">
            <v>180091224</v>
          </cell>
          <cell r="B2969">
            <v>4003</v>
          </cell>
          <cell r="C2969" t="str">
            <v>Hydralazine Tabs 25Mg (84'S)</v>
          </cell>
        </row>
        <row r="2970">
          <cell r="A2970">
            <v>189714582</v>
          </cell>
          <cell r="B2970">
            <v>4005</v>
          </cell>
          <cell r="C2970" t="str">
            <v>Dihydrocodeine Tartate 30 Mg Tabs (100'S)</v>
          </cell>
        </row>
        <row r="2971">
          <cell r="A2971">
            <v>4110</v>
          </cell>
          <cell r="B2971">
            <v>4006</v>
          </cell>
          <cell r="C2971" t="str">
            <v>4110 Dressing Biatain -Ibu Non Adhesive</v>
          </cell>
        </row>
        <row r="2972">
          <cell r="A2972" t="str">
            <v>MOTIVATION</v>
          </cell>
          <cell r="B2972">
            <v>4007</v>
          </cell>
          <cell r="C2972" t="str">
            <v>Prolene  Mesh  Medium</v>
          </cell>
        </row>
        <row r="2973">
          <cell r="A2973" t="str">
            <v>MOTIVATION</v>
          </cell>
          <cell r="B2973">
            <v>4008</v>
          </cell>
          <cell r="C2973" t="str">
            <v>Sut Mersilk</v>
          </cell>
        </row>
        <row r="2974">
          <cell r="A2974" t="str">
            <v>MOTIVATION</v>
          </cell>
          <cell r="B2974">
            <v>4009</v>
          </cell>
          <cell r="C2974" t="str">
            <v>Tube Endotracheal Cuff Oral Rae 5.5 Mm</v>
          </cell>
        </row>
        <row r="2975">
          <cell r="A2975" t="str">
            <v>MOTIVATION</v>
          </cell>
          <cell r="B2975">
            <v>4010</v>
          </cell>
          <cell r="C2975" t="str">
            <v>Tube Endotracheal Cuff Oral Rae 5.0Mm</v>
          </cell>
        </row>
        <row r="2976">
          <cell r="A2976">
            <v>180318479</v>
          </cell>
          <cell r="B2976">
            <v>4013</v>
          </cell>
          <cell r="C2976" t="str">
            <v>Tamsulosin Hcl 0.4Mg S R Capsule (28'S)</v>
          </cell>
        </row>
        <row r="2977">
          <cell r="A2977">
            <v>189710319</v>
          </cell>
          <cell r="B2977">
            <v>4014</v>
          </cell>
          <cell r="C2977" t="str">
            <v>~Aspirin Tabs 300Mg Soluble (1000'S)</v>
          </cell>
        </row>
        <row r="2978">
          <cell r="A2978">
            <v>189710489</v>
          </cell>
          <cell r="B2978">
            <v>4015</v>
          </cell>
          <cell r="C2978" t="str">
            <v>Phenytoin Caps 100Mg (1000'S)</v>
          </cell>
        </row>
        <row r="2979">
          <cell r="A2979">
            <v>180339393</v>
          </cell>
          <cell r="B2979">
            <v>4016</v>
          </cell>
          <cell r="C2979" t="str">
            <v>Biperiden Tabs 2Mg (56'S)</v>
          </cell>
        </row>
        <row r="2980">
          <cell r="A2980" t="str">
            <v>DONATION</v>
          </cell>
          <cell r="B2980">
            <v>4017</v>
          </cell>
          <cell r="C2980" t="str">
            <v>Campaign: Finger Marking Pens</v>
          </cell>
        </row>
        <row r="2981">
          <cell r="A2981">
            <v>1</v>
          </cell>
          <cell r="B2981">
            <v>4018</v>
          </cell>
          <cell r="C2981" t="str">
            <v>~Rif 60 Inh 30 Disp Tabs (100'S)</v>
          </cell>
        </row>
        <row r="2982">
          <cell r="A2982">
            <v>180952644</v>
          </cell>
          <cell r="B2982">
            <v>4019</v>
          </cell>
          <cell r="C2982" t="str">
            <v>Gown Hospital Short Sleeves X-Large</v>
          </cell>
        </row>
        <row r="2983">
          <cell r="A2983">
            <v>181886604</v>
          </cell>
          <cell r="B2983">
            <v>4020</v>
          </cell>
          <cell r="C2983" t="str">
            <v>Gown Hospital Short Sleeves Large Green</v>
          </cell>
        </row>
        <row r="2984">
          <cell r="A2984">
            <v>181868872</v>
          </cell>
          <cell r="B2984">
            <v>4023</v>
          </cell>
          <cell r="C2984" t="str">
            <v>Chlorpromazine Tabs  25Mg (56'S)</v>
          </cell>
        </row>
        <row r="2985">
          <cell r="A2985">
            <v>181868874</v>
          </cell>
          <cell r="B2985">
            <v>4024</v>
          </cell>
          <cell r="C2985" t="str">
            <v>Chlorpromazine Tabs  25Mg (84'S)</v>
          </cell>
        </row>
        <row r="2986">
          <cell r="A2986">
            <v>189711826</v>
          </cell>
          <cell r="B2986">
            <v>4025</v>
          </cell>
          <cell r="C2986" t="str">
            <v>Chlorpromazine Tabs 100Mg (56'S)</v>
          </cell>
        </row>
        <row r="2987">
          <cell r="A2987">
            <v>189711834</v>
          </cell>
          <cell r="B2987">
            <v>4026</v>
          </cell>
          <cell r="C2987" t="str">
            <v>Chlorpromazine Tabs 100Mg (84'S)</v>
          </cell>
        </row>
        <row r="2988">
          <cell r="A2988">
            <v>181923349</v>
          </cell>
          <cell r="B2988">
            <v>4027</v>
          </cell>
          <cell r="C2988" t="str">
            <v>Ferrous Sulphate Co Tabs (56'S)</v>
          </cell>
        </row>
        <row r="2989">
          <cell r="A2989">
            <v>180106075</v>
          </cell>
          <cell r="B2989">
            <v>4028</v>
          </cell>
          <cell r="C2989" t="str">
            <v>Fluoxetine Caps 20Mg (100'S)</v>
          </cell>
        </row>
        <row r="2990">
          <cell r="A2990">
            <v>181798154</v>
          </cell>
          <cell r="B2990">
            <v>4029</v>
          </cell>
          <cell r="C2990" t="str">
            <v>Furosemide Tabs 40Mg (56'S)</v>
          </cell>
        </row>
        <row r="2991">
          <cell r="A2991">
            <v>189714161</v>
          </cell>
          <cell r="B2991">
            <v>4030</v>
          </cell>
          <cell r="C2991" t="str">
            <v>Haloperidol Tabs 5Mg (500'S)</v>
          </cell>
        </row>
        <row r="2992">
          <cell r="A2992">
            <v>189711808</v>
          </cell>
          <cell r="B2992">
            <v>4031</v>
          </cell>
          <cell r="C2992" t="str">
            <v>Metformin Tabs 850Mg (84'S)</v>
          </cell>
        </row>
        <row r="2993">
          <cell r="A2993">
            <v>181798173</v>
          </cell>
          <cell r="B2993">
            <v>4032</v>
          </cell>
          <cell r="C2993" t="str">
            <v>Ibuprofen Tabs 200Mg (42'S)</v>
          </cell>
        </row>
        <row r="2994">
          <cell r="A2994">
            <v>189710513</v>
          </cell>
          <cell r="B2994">
            <v>4033</v>
          </cell>
          <cell r="C2994" t="str">
            <v>~Metformin Tabs 500Mg (500'S)</v>
          </cell>
        </row>
        <row r="2995">
          <cell r="A2995">
            <v>180339480</v>
          </cell>
          <cell r="B2995">
            <v>4034</v>
          </cell>
          <cell r="C2995" t="str">
            <v>Metformin Tabs 500Mg (84'S/90's)</v>
          </cell>
        </row>
        <row r="2996">
          <cell r="A2996">
            <v>180344233</v>
          </cell>
          <cell r="B2996">
            <v>4035</v>
          </cell>
          <cell r="C2996" t="str">
            <v>Montelukast Tabs 10Mg (28'S)</v>
          </cell>
        </row>
        <row r="2997">
          <cell r="A2997">
            <v>181798175</v>
          </cell>
          <cell r="B2997">
            <v>4036</v>
          </cell>
          <cell r="C2997" t="str">
            <v>Isoniazid Tabs 100Mg (84'S)</v>
          </cell>
        </row>
        <row r="2998">
          <cell r="A2998">
            <v>181799554</v>
          </cell>
          <cell r="B2998">
            <v>4037</v>
          </cell>
          <cell r="C2998" t="str">
            <v>Risperidone Tabs 0.5Mg (30'S)</v>
          </cell>
        </row>
        <row r="2999">
          <cell r="A2999">
            <v>180339003</v>
          </cell>
          <cell r="B2999">
            <v>4038</v>
          </cell>
          <cell r="C2999" t="str">
            <v>Risperidone Tabs 1Mg (30'S)</v>
          </cell>
        </row>
        <row r="3000">
          <cell r="A3000">
            <v>180964999</v>
          </cell>
          <cell r="B3000">
            <v>4039</v>
          </cell>
          <cell r="C3000" t="str">
            <v>Risperidone Tabs 3Mg (30'S)</v>
          </cell>
        </row>
        <row r="3001">
          <cell r="A3001">
            <v>181892395</v>
          </cell>
          <cell r="B3001">
            <v>4040</v>
          </cell>
          <cell r="C3001" t="str">
            <v>~Prednisone Tabs 5Mg (40'S)</v>
          </cell>
        </row>
        <row r="3002">
          <cell r="A3002">
            <v>181923355</v>
          </cell>
          <cell r="B3002">
            <v>4041</v>
          </cell>
          <cell r="C3002" t="str">
            <v>Ibuprofen Tabs 400Mg (15'S)</v>
          </cell>
        </row>
        <row r="3003">
          <cell r="A3003">
            <v>189710183</v>
          </cell>
          <cell r="B3003">
            <v>4042</v>
          </cell>
          <cell r="C3003" t="str">
            <v>~Vitamin C Tabs 250Mg (100'S)</v>
          </cell>
        </row>
        <row r="3004">
          <cell r="A3004">
            <v>181817501</v>
          </cell>
          <cell r="B3004">
            <v>4043</v>
          </cell>
          <cell r="C3004" t="str">
            <v>Pyrazinamide Tabs 500Mg (84'S)</v>
          </cell>
        </row>
        <row r="3005">
          <cell r="A3005">
            <v>189711816</v>
          </cell>
          <cell r="B3005">
            <v>4044</v>
          </cell>
          <cell r="C3005" t="str">
            <v>Ibuprofen Tabs 400Mg (84'S)</v>
          </cell>
        </row>
        <row r="3006">
          <cell r="A3006">
            <v>181817490</v>
          </cell>
          <cell r="B3006">
            <v>4045</v>
          </cell>
          <cell r="C3006" t="str">
            <v>Ethionamide Tabs 250Mg (56'S)</v>
          </cell>
        </row>
        <row r="3007">
          <cell r="A3007">
            <v>181817491</v>
          </cell>
          <cell r="B3007">
            <v>4046</v>
          </cell>
          <cell r="C3007" t="str">
            <v>Ethionamide Tabs 250Mg (84'S)</v>
          </cell>
        </row>
        <row r="3008">
          <cell r="A3008">
            <v>189710249</v>
          </cell>
          <cell r="B3008">
            <v>4047</v>
          </cell>
          <cell r="C3008" t="str">
            <v>Ethionamide Tabs 250Mg (250'S)</v>
          </cell>
        </row>
        <row r="3009">
          <cell r="A3009">
            <v>181901440</v>
          </cell>
          <cell r="B3009">
            <v>4048</v>
          </cell>
          <cell r="C3009" t="str">
            <v>Levofloxacin Tabs 250Mg (5'S)</v>
          </cell>
        </row>
        <row r="3010">
          <cell r="A3010">
            <v>181925747</v>
          </cell>
          <cell r="B3010">
            <v>4049</v>
          </cell>
          <cell r="C3010" t="str">
            <v>Levofloxacin Tabs 500Mg (28'S)</v>
          </cell>
        </row>
        <row r="3011">
          <cell r="A3011">
            <v>181927706</v>
          </cell>
          <cell r="B3011">
            <v>4050</v>
          </cell>
          <cell r="C3011" t="str">
            <v>Doxycycline Caps 100Mg (28'S)</v>
          </cell>
        </row>
        <row r="3012">
          <cell r="A3012">
            <v>181854377</v>
          </cell>
          <cell r="B3012">
            <v>4051</v>
          </cell>
          <cell r="C3012" t="str">
            <v>~Erythromycin Caps 250Mg (40'S)</v>
          </cell>
        </row>
        <row r="3013">
          <cell r="A3013">
            <v>181818571</v>
          </cell>
          <cell r="B3013">
            <v>4052</v>
          </cell>
          <cell r="C3013" t="str">
            <v>~Erythromycin Caps 250Mg (56'S)</v>
          </cell>
        </row>
        <row r="3014">
          <cell r="A3014">
            <v>181798178</v>
          </cell>
          <cell r="B3014">
            <v>4053</v>
          </cell>
          <cell r="C3014" t="str">
            <v>Metronidazole Tabs 400Mg (21'S)</v>
          </cell>
        </row>
        <row r="3015">
          <cell r="A3015">
            <v>189711323</v>
          </cell>
          <cell r="B3015">
            <v>4054</v>
          </cell>
          <cell r="C3015" t="str">
            <v>Silver Sulphadiazine 1% Cream (250G)</v>
          </cell>
        </row>
        <row r="3016">
          <cell r="A3016">
            <v>189714706</v>
          </cell>
          <cell r="B3016">
            <v>4055</v>
          </cell>
          <cell r="C3016" t="str">
            <v>~Buffered Cream B.P (10Kg Bucket)</v>
          </cell>
        </row>
        <row r="3017">
          <cell r="A3017">
            <v>189708048</v>
          </cell>
          <cell r="B3017">
            <v>4056</v>
          </cell>
          <cell r="C3017" t="str">
            <v>Clotrimazole Vag Cream 500Mg/50g</v>
          </cell>
        </row>
        <row r="3018">
          <cell r="A3018">
            <v>181885838</v>
          </cell>
          <cell r="B3018">
            <v>4057</v>
          </cell>
          <cell r="C3018" t="str">
            <v>Bimatoprost 0.3Mg &amp; Timolol 5Mg/ml Eye Drops (3Ml)</v>
          </cell>
        </row>
        <row r="3019">
          <cell r="A3019" t="str">
            <v>*</v>
          </cell>
          <cell r="B3019">
            <v>4058</v>
          </cell>
          <cell r="C3019" t="str">
            <v>Silver Gel 474Ml</v>
          </cell>
        </row>
      </sheetData>
      <sheetData sheetId="4"/>
      <sheetData sheetId="5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Report"/>
      <sheetName val="ART cost Adults"/>
      <sheetName val="Adult vs Children"/>
      <sheetName val="ART distribution"/>
      <sheetName val="2022 ART costs"/>
      <sheetName val="Labs (ART guidelines)"/>
      <sheetName val="PPP summary"/>
      <sheetName val="PPP Assets"/>
      <sheetName val="PPP Master Equipment"/>
      <sheetName val="PPP Staff"/>
      <sheetName val="PPP DHIS"/>
      <sheetName val="Infl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I1">
            <v>14.45</v>
          </cell>
        </row>
        <row r="14">
          <cell r="B14">
            <v>21.287147509663878</v>
          </cell>
        </row>
        <row r="15">
          <cell r="B15">
            <v>46.165070285505401</v>
          </cell>
        </row>
        <row r="16">
          <cell r="B16">
            <v>221.88811024808496</v>
          </cell>
        </row>
        <row r="19">
          <cell r="B19">
            <v>1.2741184732724689</v>
          </cell>
        </row>
        <row r="24">
          <cell r="B24">
            <v>32.606030036433623</v>
          </cell>
        </row>
        <row r="30">
          <cell r="C30">
            <v>7.54</v>
          </cell>
        </row>
        <row r="31">
          <cell r="C31">
            <v>4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ist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affcosts" displayName="staffcosts" ref="A21:D49" totalsRowShown="0" headerRowDxfId="10" headerRowBorderDxfId="9" tableBorderDxfId="8" totalsRowBorderDxfId="7">
  <sortState xmlns:xlrd2="http://schemas.microsoft.com/office/spreadsheetml/2017/richdata2" ref="A22:E30">
    <sortCondition ref="A21:A29"/>
  </sortState>
  <tableColumns count="4">
    <tableColumn id="1" xr3:uid="{00000000-0010-0000-0000-000001000000}" name="Category" dataDxfId="6"/>
    <tableColumn id="2" xr3:uid="{00000000-0010-0000-0000-000002000000}" name="Total monthly cost (average of grades below)" dataDxfId="5" dataCellStyle="Comma"/>
    <tableColumn id="4" xr3:uid="{00000000-0010-0000-0000-000004000000}" name="Wage per minute" dataDxfId="4">
      <calculatedColumnFormula>(12*staffcosts[[#This Row],[Total monthly cost (average of grades below)]])/$C$18</calculatedColumnFormula>
    </tableColumn>
    <tableColumn id="15" xr3:uid="{00000000-0010-0000-0000-00000F000000}" name="Comment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38/s41598-019-49109-w;%20Tabana%20Operational%20Vehicle%202016" TargetMode="External"/><Relationship Id="rId3" Type="http://schemas.openxmlformats.org/officeDocument/2006/relationships/hyperlink" Target="https://www.makro.co.za/stationery-office-furniture/paper-filing/filing-folders/file-storage/tidy-files-medium-weight-files-/p/000000000000125629_PK" TargetMode="External"/><Relationship Id="rId7" Type="http://schemas.openxmlformats.org/officeDocument/2006/relationships/hyperlink" Target="http://www.treasury.gov.za/divisions/ocpo/ostb/contracts/RT42-2022zip" TargetMode="External"/><Relationship Id="rId2" Type="http://schemas.openxmlformats.org/officeDocument/2006/relationships/hyperlink" Target="https://www.psira.co.za/psira/dmdocuments/circular/Industry_Circular_Minimum_wage_new.pdf" TargetMode="External"/><Relationship Id="rId1" Type="http://schemas.openxmlformats.org/officeDocument/2006/relationships/hyperlink" Target="http://www.treasury.gov.za/divisions/ocpo/ostb/contracts/RT75-2021.zip" TargetMode="External"/><Relationship Id="rId6" Type="http://schemas.openxmlformats.org/officeDocument/2006/relationships/hyperlink" Target="https://www.medicalinnovations.co.za/product/sharps-container-5l/" TargetMode="External"/><Relationship Id="rId11" Type="http://schemas.openxmlformats.org/officeDocument/2006/relationships/comments" Target="../comments1.xml"/><Relationship Id="rId5" Type="http://schemas.openxmlformats.org/officeDocument/2006/relationships/hyperlink" Target="https://www.treasury.gov.za/divisions/ocpo/ostb/contracts/RT41-2020.zip" TargetMode="External"/><Relationship Id="rId10" Type="http://schemas.openxmlformats.org/officeDocument/2006/relationships/vmlDrawing" Target="../drawings/vmlDrawing1.vml"/><Relationship Id="rId4" Type="http://schemas.openxmlformats.org/officeDocument/2006/relationships/hyperlink" Target="http://www.treasury.gov.za/divisions/ocpo/ostb/contracts/RT42-2022zip" TargetMode="External"/><Relationship Id="rId9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38/s41598-019-49109-w" TargetMode="External"/><Relationship Id="rId2" Type="http://schemas.openxmlformats.org/officeDocument/2006/relationships/hyperlink" Target="https://doi.org/10.1038/s41598-019-49109-w" TargetMode="External"/><Relationship Id="rId1" Type="http://schemas.openxmlformats.org/officeDocument/2006/relationships/hyperlink" Target="http://www.nature.com/articles/s41598-019-49109-w" TargetMode="Externa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dx.doi.org/10.1136/bmjgh-2021-005019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www.health.gov.za/wp-content/uploads/2022/07/Health-Department-welcomes-Bargaining-Council-resolution-to-improve-work-conditions-of-CHWs-27-July-2022.pdf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2" Type="http://schemas.openxmlformats.org/officeDocument/2006/relationships/hyperlink" Target="https://knowledgehub.health.gov.za/system/files/elibdownloads/2023-04/PPQ24.2022%2520Dolutegravir%252010mg%2520dispersible%2520Tablet%252C%252030%2520Tablets.pdf" TargetMode="External"/><Relationship Id="rId1" Type="http://schemas.openxmlformats.org/officeDocument/2006/relationships/hyperlink" Target="https://knowledgehub.health.gov.za/system/files/elibdownloads/2023-04/PPQ24.2022%2520Dolutegravir%252010mg%2520dispersible%2520Tablet%252C%252030%2520Tablets.pdf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A28E1-B3A3-42A3-842E-D4EC62E66BDC}">
  <dimension ref="A1:Z1000"/>
  <sheetViews>
    <sheetView showGridLines="0" workbookViewId="0">
      <selection activeCell="E37" sqref="E37"/>
    </sheetView>
  </sheetViews>
  <sheetFormatPr baseColWidth="10" defaultColWidth="14.5" defaultRowHeight="15" customHeight="1"/>
  <cols>
    <col min="1" max="5" width="9.5" customWidth="1"/>
    <col min="6" max="6" width="3.5" customWidth="1"/>
    <col min="7" max="7" width="7.5" customWidth="1"/>
    <col min="8" max="11" width="9.5" customWidth="1"/>
    <col min="12" max="12" width="7.83203125" customWidth="1"/>
    <col min="13" max="13" width="9.5" customWidth="1"/>
    <col min="14" max="14" width="12.5" customWidth="1"/>
    <col min="15" max="19" width="9.5" customWidth="1"/>
    <col min="20" max="20" width="2.6640625" customWidth="1"/>
    <col min="21" max="21" width="3.5" customWidth="1"/>
    <col min="22" max="26" width="9.5" customWidth="1"/>
  </cols>
  <sheetData>
    <row r="1" spans="1:26" ht="14.25" customHeight="1">
      <c r="A1" s="340"/>
      <c r="B1" s="340"/>
      <c r="C1" s="340"/>
      <c r="D1" s="340"/>
      <c r="E1" s="340"/>
      <c r="F1" s="340"/>
      <c r="G1" s="340"/>
      <c r="H1" s="340"/>
      <c r="I1" s="340"/>
      <c r="J1" s="340"/>
      <c r="K1" s="340"/>
      <c r="L1" s="340"/>
      <c r="M1" s="340"/>
      <c r="N1" s="340"/>
      <c r="O1" s="340"/>
      <c r="P1" s="340"/>
      <c r="Q1" s="340"/>
      <c r="R1" s="340"/>
      <c r="S1" s="340"/>
      <c r="T1" s="340"/>
      <c r="U1" s="340"/>
      <c r="V1" s="340"/>
      <c r="W1" s="340"/>
      <c r="X1" s="340"/>
      <c r="Y1" s="340"/>
      <c r="Z1" s="340"/>
    </row>
    <row r="2" spans="1:26" ht="14.25" customHeight="1">
      <c r="A2" s="340"/>
      <c r="B2" s="340"/>
      <c r="C2" s="340"/>
      <c r="D2" s="340"/>
      <c r="E2" s="340"/>
      <c r="F2" s="340"/>
      <c r="G2" s="340"/>
      <c r="H2" s="340"/>
      <c r="I2" s="340"/>
      <c r="J2" s="340"/>
      <c r="K2" s="340"/>
      <c r="L2" s="340"/>
      <c r="M2" s="340"/>
      <c r="N2" s="340"/>
      <c r="O2" s="340"/>
      <c r="P2" s="340"/>
      <c r="Q2" s="340"/>
      <c r="R2" s="340"/>
      <c r="S2" s="340"/>
      <c r="T2" s="340"/>
      <c r="U2" s="340"/>
      <c r="V2" s="340"/>
      <c r="W2" s="340"/>
      <c r="X2" s="340"/>
      <c r="Y2" s="340"/>
      <c r="Z2" s="340"/>
    </row>
    <row r="3" spans="1:26" ht="14.25" customHeight="1">
      <c r="A3" s="340"/>
      <c r="B3" s="340"/>
      <c r="C3" s="340"/>
      <c r="D3" s="340"/>
      <c r="E3" s="340"/>
      <c r="F3" s="340"/>
      <c r="G3" s="340"/>
      <c r="H3" s="340"/>
      <c r="I3" s="340"/>
      <c r="J3" s="340"/>
      <c r="K3" s="340"/>
      <c r="L3" s="340"/>
      <c r="M3" s="340"/>
      <c r="N3" s="340"/>
      <c r="O3" s="340"/>
      <c r="P3" s="340"/>
      <c r="Q3" s="340"/>
      <c r="R3" s="340"/>
      <c r="S3" s="340"/>
      <c r="T3" s="340"/>
      <c r="U3" s="340"/>
      <c r="V3" s="340"/>
      <c r="W3" s="340"/>
      <c r="X3" s="340"/>
      <c r="Y3" s="340"/>
      <c r="Z3" s="340"/>
    </row>
    <row r="4" spans="1:26" ht="14.25" customHeight="1">
      <c r="A4" s="340"/>
      <c r="B4" s="340"/>
      <c r="C4" s="340"/>
      <c r="D4" s="340"/>
      <c r="E4" s="340"/>
      <c r="F4" s="340"/>
      <c r="G4" s="340"/>
      <c r="H4" s="340"/>
      <c r="I4" s="340"/>
      <c r="J4" s="340"/>
      <c r="K4" s="340"/>
      <c r="L4" s="340"/>
      <c r="M4" s="340"/>
      <c r="N4" s="340"/>
      <c r="O4" s="340"/>
      <c r="P4" s="340"/>
      <c r="Q4" s="340"/>
      <c r="R4" s="340"/>
      <c r="S4" s="340"/>
      <c r="T4" s="340"/>
      <c r="U4" s="340"/>
      <c r="V4" s="340"/>
      <c r="W4" s="340"/>
      <c r="X4" s="340"/>
      <c r="Y4" s="340"/>
      <c r="Z4" s="340"/>
    </row>
    <row r="5" spans="1:26" ht="14.25" customHeight="1">
      <c r="A5" s="340"/>
      <c r="B5" s="340"/>
      <c r="C5" s="340"/>
      <c r="D5" s="340"/>
      <c r="E5" s="340"/>
      <c r="F5" s="341"/>
      <c r="G5" s="341"/>
      <c r="H5" s="341"/>
      <c r="I5" s="341"/>
      <c r="J5" s="341"/>
      <c r="K5" s="341"/>
      <c r="L5" s="341"/>
      <c r="M5" s="441" t="s">
        <v>1578</v>
      </c>
      <c r="N5" s="442"/>
      <c r="O5" s="341"/>
      <c r="P5" s="341"/>
      <c r="Q5" s="341"/>
      <c r="R5" s="341"/>
      <c r="S5" s="341"/>
      <c r="T5" s="341"/>
      <c r="U5" s="341"/>
      <c r="V5" s="340"/>
      <c r="W5" s="340"/>
      <c r="X5" s="340"/>
      <c r="Y5" s="340"/>
      <c r="Z5" s="340"/>
    </row>
    <row r="6" spans="1:26" ht="14.25" customHeight="1">
      <c r="A6" s="340"/>
      <c r="B6" s="340"/>
      <c r="C6" s="340"/>
      <c r="D6" s="340"/>
      <c r="E6" s="340"/>
      <c r="F6" s="341"/>
      <c r="G6" s="340"/>
      <c r="H6" s="340"/>
      <c r="I6" s="340"/>
      <c r="J6" s="340"/>
      <c r="K6" s="340"/>
      <c r="L6" s="340"/>
      <c r="M6" s="340"/>
      <c r="N6" s="340"/>
      <c r="O6" s="340"/>
      <c r="P6" s="340"/>
      <c r="Q6" s="340"/>
      <c r="R6" s="340"/>
      <c r="S6" s="340"/>
      <c r="T6" s="340"/>
      <c r="U6" s="341"/>
      <c r="V6" s="340"/>
      <c r="W6" s="340"/>
      <c r="X6" s="340"/>
      <c r="Y6" s="340"/>
      <c r="Z6" s="340"/>
    </row>
    <row r="7" spans="1:26" ht="14.25" customHeight="1">
      <c r="A7" s="340"/>
      <c r="B7" s="340"/>
      <c r="C7" s="340"/>
      <c r="D7" s="340"/>
      <c r="E7" s="340"/>
      <c r="F7" s="341"/>
      <c r="G7" s="340"/>
      <c r="H7" s="340"/>
      <c r="I7" s="340"/>
      <c r="J7" s="340"/>
      <c r="K7" s="340"/>
      <c r="L7" s="340"/>
      <c r="M7" s="340"/>
      <c r="N7" s="340"/>
      <c r="O7" s="340"/>
      <c r="P7" s="340"/>
      <c r="Q7" s="340"/>
      <c r="R7" s="340"/>
      <c r="S7" s="340"/>
      <c r="T7" s="340"/>
      <c r="U7" s="341"/>
      <c r="V7" s="340"/>
      <c r="W7" s="340"/>
      <c r="X7" s="340"/>
      <c r="Y7" s="340"/>
      <c r="Z7" s="340"/>
    </row>
    <row r="8" spans="1:26" ht="14.25" customHeight="1">
      <c r="A8" s="340"/>
      <c r="B8" s="340"/>
      <c r="C8" s="340"/>
      <c r="D8" s="340"/>
      <c r="E8" s="340"/>
      <c r="F8" s="341"/>
      <c r="G8" s="340"/>
      <c r="H8" s="340"/>
      <c r="I8" s="340"/>
      <c r="J8" s="340"/>
      <c r="K8" s="340"/>
      <c r="L8" s="340"/>
      <c r="M8" s="340"/>
      <c r="N8" s="340"/>
      <c r="O8" s="340"/>
      <c r="P8" s="340"/>
      <c r="Q8" s="340"/>
      <c r="R8" s="340"/>
      <c r="S8" s="340"/>
      <c r="T8" s="340"/>
      <c r="U8" s="341"/>
      <c r="V8" s="340"/>
      <c r="W8" s="340"/>
      <c r="X8" s="340"/>
      <c r="Y8" s="340"/>
      <c r="Z8" s="340"/>
    </row>
    <row r="9" spans="1:26" ht="14.25" customHeight="1">
      <c r="A9" s="340"/>
      <c r="B9" s="340"/>
      <c r="C9" s="340"/>
      <c r="D9" s="340"/>
      <c r="E9" s="340"/>
      <c r="F9" s="341"/>
      <c r="G9" s="340"/>
      <c r="H9" s="340"/>
      <c r="I9" s="340"/>
      <c r="J9" s="340"/>
      <c r="K9" s="340"/>
      <c r="L9" s="340"/>
      <c r="M9" s="340"/>
      <c r="N9" s="340"/>
      <c r="O9" s="340"/>
      <c r="P9" s="340"/>
      <c r="Q9" s="340"/>
      <c r="R9" s="340"/>
      <c r="S9" s="340"/>
      <c r="T9" s="340"/>
      <c r="U9" s="341"/>
      <c r="V9" s="340"/>
      <c r="W9" s="340"/>
      <c r="X9" s="340"/>
      <c r="Y9" s="340"/>
      <c r="Z9" s="340"/>
    </row>
    <row r="10" spans="1:26" ht="14.25" customHeight="1">
      <c r="A10" s="340"/>
      <c r="B10" s="340"/>
      <c r="C10" s="340"/>
      <c r="D10" s="340"/>
      <c r="E10" s="340"/>
      <c r="F10" s="341"/>
      <c r="G10" s="340"/>
      <c r="H10" s="340"/>
      <c r="I10" s="340"/>
      <c r="J10" s="340"/>
      <c r="K10" s="340"/>
      <c r="L10" s="340"/>
      <c r="M10" s="340"/>
      <c r="N10" s="340"/>
      <c r="O10" s="340"/>
      <c r="P10" s="340"/>
      <c r="Q10" s="340"/>
      <c r="R10" s="340"/>
      <c r="S10" s="340"/>
      <c r="T10" s="340"/>
      <c r="U10" s="341"/>
      <c r="V10" s="340"/>
      <c r="W10" s="340"/>
      <c r="X10" s="340"/>
      <c r="Y10" s="340"/>
      <c r="Z10" s="340"/>
    </row>
    <row r="11" spans="1:26" ht="14.25" customHeight="1">
      <c r="A11" s="340"/>
      <c r="B11" s="340"/>
      <c r="C11" s="340"/>
      <c r="D11" s="340"/>
      <c r="E11" s="340"/>
      <c r="F11" s="341"/>
      <c r="G11" s="340"/>
      <c r="H11" s="340"/>
      <c r="I11" s="340"/>
      <c r="J11" s="340"/>
      <c r="K11" s="340"/>
      <c r="L11" s="340"/>
      <c r="M11" s="340"/>
      <c r="N11" s="340"/>
      <c r="O11" s="340"/>
      <c r="P11" s="340"/>
      <c r="Q11" s="340"/>
      <c r="R11" s="340"/>
      <c r="S11" s="340"/>
      <c r="T11" s="340"/>
      <c r="U11" s="341"/>
      <c r="V11" s="340"/>
      <c r="W11" s="340"/>
      <c r="X11" s="340"/>
      <c r="Y11" s="340"/>
      <c r="Z11" s="340"/>
    </row>
    <row r="12" spans="1:26" ht="14.25" customHeight="1">
      <c r="A12" s="340"/>
      <c r="B12" s="340"/>
      <c r="C12" s="340"/>
      <c r="D12" s="340"/>
      <c r="E12" s="340"/>
      <c r="F12" s="341"/>
      <c r="G12" s="340"/>
      <c r="H12" s="340"/>
      <c r="I12" s="340"/>
      <c r="J12" s="340"/>
      <c r="K12" s="340"/>
      <c r="L12" s="340"/>
      <c r="M12" s="340"/>
      <c r="N12" s="340"/>
      <c r="O12" s="340"/>
      <c r="P12" s="340"/>
      <c r="Q12" s="340"/>
      <c r="R12" s="340"/>
      <c r="S12" s="340"/>
      <c r="T12" s="340"/>
      <c r="U12" s="341"/>
      <c r="V12" s="340"/>
      <c r="W12" s="340"/>
      <c r="X12" s="340"/>
      <c r="Y12" s="340"/>
      <c r="Z12" s="340"/>
    </row>
    <row r="13" spans="1:26" ht="14.25" customHeight="1">
      <c r="A13" s="340"/>
      <c r="B13" s="340"/>
      <c r="C13" s="340"/>
      <c r="D13" s="340"/>
      <c r="E13" s="340"/>
      <c r="F13" s="341"/>
      <c r="G13" s="340"/>
      <c r="H13" s="340"/>
      <c r="I13" s="340"/>
      <c r="J13" s="340"/>
      <c r="K13" s="340"/>
      <c r="L13" s="340"/>
      <c r="M13" s="340"/>
      <c r="N13" s="340"/>
      <c r="O13" s="340"/>
      <c r="P13" s="340"/>
      <c r="Q13" s="340"/>
      <c r="R13" s="340"/>
      <c r="S13" s="340"/>
      <c r="T13" s="340"/>
      <c r="U13" s="341"/>
      <c r="V13" s="340"/>
      <c r="W13" s="340"/>
      <c r="X13" s="340"/>
      <c r="Y13" s="340"/>
      <c r="Z13" s="340"/>
    </row>
    <row r="14" spans="1:26" ht="14.25" customHeight="1">
      <c r="A14" s="340"/>
      <c r="B14" s="340"/>
      <c r="C14" s="340"/>
      <c r="D14" s="340"/>
      <c r="E14" s="340"/>
      <c r="F14" s="341"/>
      <c r="G14" s="340"/>
      <c r="H14" s="340"/>
      <c r="I14" s="340"/>
      <c r="J14" s="340"/>
      <c r="K14" s="340"/>
      <c r="L14" s="340"/>
      <c r="M14" s="340"/>
      <c r="N14" s="340"/>
      <c r="O14" s="340"/>
      <c r="P14" s="340"/>
      <c r="Q14" s="340"/>
      <c r="R14" s="340"/>
      <c r="S14" s="340"/>
      <c r="T14" s="340"/>
      <c r="U14" s="341"/>
      <c r="V14" s="340"/>
      <c r="W14" s="340"/>
      <c r="X14" s="340"/>
      <c r="Y14" s="340"/>
      <c r="Z14" s="340"/>
    </row>
    <row r="15" spans="1:26" ht="14.25" customHeight="1">
      <c r="A15" s="340"/>
      <c r="B15" s="340"/>
      <c r="C15" s="340"/>
      <c r="D15" s="340"/>
      <c r="E15" s="340"/>
      <c r="F15" s="341"/>
      <c r="G15" s="340"/>
      <c r="H15" s="340"/>
      <c r="I15" s="340"/>
      <c r="J15" s="340"/>
      <c r="K15" s="340"/>
      <c r="L15" s="340"/>
      <c r="M15" s="340"/>
      <c r="N15" s="340"/>
      <c r="O15" s="340"/>
      <c r="P15" s="340"/>
      <c r="Q15" s="340"/>
      <c r="R15" s="340"/>
      <c r="S15" s="340"/>
      <c r="T15" s="340"/>
      <c r="U15" s="341"/>
      <c r="V15" s="340"/>
      <c r="W15" s="340"/>
      <c r="X15" s="340"/>
      <c r="Y15" s="340"/>
      <c r="Z15" s="340"/>
    </row>
    <row r="16" spans="1:26" ht="14.25" customHeight="1">
      <c r="A16" s="340"/>
      <c r="B16" s="340"/>
      <c r="C16" s="340"/>
      <c r="D16" s="340"/>
      <c r="E16" s="340"/>
      <c r="F16" s="341"/>
      <c r="G16" s="340"/>
      <c r="H16" s="340"/>
      <c r="I16" s="340"/>
      <c r="J16" s="340"/>
      <c r="K16" s="340"/>
      <c r="L16" s="340"/>
      <c r="M16" s="340"/>
      <c r="N16" s="340"/>
      <c r="O16" s="340"/>
      <c r="P16" s="340"/>
      <c r="Q16" s="340"/>
      <c r="R16" s="340"/>
      <c r="S16" s="340"/>
      <c r="T16" s="340"/>
      <c r="U16" s="341"/>
      <c r="V16" s="340"/>
      <c r="W16" s="340"/>
      <c r="X16" s="340"/>
      <c r="Y16" s="340"/>
      <c r="Z16" s="340"/>
    </row>
    <row r="17" spans="1:26" ht="14.25" customHeight="1">
      <c r="A17" s="340"/>
      <c r="B17" s="340"/>
      <c r="C17" s="340"/>
      <c r="D17" s="340"/>
      <c r="E17" s="340"/>
      <c r="F17" s="341"/>
      <c r="G17" s="340"/>
      <c r="H17" s="340"/>
      <c r="I17" s="340"/>
      <c r="J17" s="340"/>
      <c r="K17" s="340"/>
      <c r="L17" s="340"/>
      <c r="M17" s="340"/>
      <c r="N17" s="340"/>
      <c r="O17" s="340"/>
      <c r="P17" s="340"/>
      <c r="Q17" s="340"/>
      <c r="R17" s="340"/>
      <c r="S17" s="340"/>
      <c r="T17" s="340"/>
      <c r="U17" s="341"/>
      <c r="V17" s="340"/>
      <c r="W17" s="340"/>
      <c r="X17" s="340"/>
      <c r="Y17" s="340"/>
      <c r="Z17" s="340"/>
    </row>
    <row r="18" spans="1:26" ht="14.25" customHeight="1">
      <c r="A18" s="340"/>
      <c r="B18" s="340"/>
      <c r="C18" s="340"/>
      <c r="D18" s="340"/>
      <c r="E18" s="340"/>
      <c r="F18" s="341"/>
      <c r="G18" s="340"/>
      <c r="H18" s="340"/>
      <c r="I18" s="340"/>
      <c r="J18" s="340"/>
      <c r="K18" s="340"/>
      <c r="L18" s="340"/>
      <c r="M18" s="340"/>
      <c r="N18" s="340"/>
      <c r="O18" s="340"/>
      <c r="P18" s="340"/>
      <c r="Q18" s="340"/>
      <c r="R18" s="340"/>
      <c r="S18" s="340"/>
      <c r="T18" s="340"/>
      <c r="U18" s="341"/>
      <c r="V18" s="340"/>
      <c r="W18" s="340"/>
      <c r="X18" s="340"/>
      <c r="Y18" s="340"/>
      <c r="Z18" s="340"/>
    </row>
    <row r="19" spans="1:26" ht="14.25" customHeight="1">
      <c r="A19" s="340"/>
      <c r="B19" s="340"/>
      <c r="C19" s="340"/>
      <c r="D19" s="340"/>
      <c r="E19" s="340"/>
      <c r="F19" s="341"/>
      <c r="G19" s="340"/>
      <c r="H19" s="340"/>
      <c r="I19" s="340"/>
      <c r="J19" s="340"/>
      <c r="K19" s="340"/>
      <c r="L19" s="340"/>
      <c r="M19" s="340"/>
      <c r="N19" s="340"/>
      <c r="O19" s="340"/>
      <c r="P19" s="340"/>
      <c r="Q19" s="340"/>
      <c r="R19" s="340"/>
      <c r="S19" s="340"/>
      <c r="T19" s="340"/>
      <c r="U19" s="341"/>
      <c r="V19" s="340"/>
      <c r="W19" s="340"/>
      <c r="X19" s="340"/>
      <c r="Y19" s="340"/>
      <c r="Z19" s="340"/>
    </row>
    <row r="20" spans="1:26" ht="14.25" customHeight="1">
      <c r="A20" s="340"/>
      <c r="B20" s="340"/>
      <c r="C20" s="340"/>
      <c r="D20" s="340"/>
      <c r="E20" s="340"/>
      <c r="F20" s="341"/>
      <c r="G20" s="340"/>
      <c r="H20" s="340"/>
      <c r="I20" s="340"/>
      <c r="J20" s="340"/>
      <c r="K20" s="340"/>
      <c r="L20" s="340"/>
      <c r="M20" s="340"/>
      <c r="N20" s="340"/>
      <c r="O20" s="340"/>
      <c r="P20" s="340"/>
      <c r="Q20" s="340"/>
      <c r="R20" s="340"/>
      <c r="S20" s="340"/>
      <c r="T20" s="340"/>
      <c r="U20" s="341"/>
      <c r="V20" s="340"/>
      <c r="W20" s="340"/>
      <c r="X20" s="340"/>
      <c r="Y20" s="340"/>
      <c r="Z20" s="340"/>
    </row>
    <row r="21" spans="1:26" ht="14.25" customHeight="1">
      <c r="A21" s="340"/>
      <c r="B21" s="340"/>
      <c r="C21" s="340"/>
      <c r="D21" s="340"/>
      <c r="E21" s="340"/>
      <c r="F21" s="341"/>
      <c r="G21" s="340"/>
      <c r="H21" s="340"/>
      <c r="I21" s="340"/>
      <c r="J21" s="340"/>
      <c r="K21" s="340"/>
      <c r="L21" s="340"/>
      <c r="M21" s="340"/>
      <c r="N21" s="340"/>
      <c r="O21" s="340"/>
      <c r="P21" s="340"/>
      <c r="Q21" s="340"/>
      <c r="R21" s="340"/>
      <c r="S21" s="340"/>
      <c r="T21" s="340"/>
      <c r="U21" s="341"/>
      <c r="V21" s="340"/>
      <c r="W21" s="340"/>
      <c r="X21" s="340"/>
      <c r="Y21" s="340"/>
      <c r="Z21" s="340"/>
    </row>
    <row r="22" spans="1:26" ht="14.25" customHeight="1">
      <c r="A22" s="340"/>
      <c r="B22" s="340"/>
      <c r="C22" s="340"/>
      <c r="D22" s="340"/>
      <c r="E22" s="340"/>
      <c r="F22" s="341"/>
      <c r="G22" s="340"/>
      <c r="H22" s="340"/>
      <c r="I22" s="340"/>
      <c r="J22" s="340"/>
      <c r="K22" s="340"/>
      <c r="L22" s="340"/>
      <c r="M22" s="340"/>
      <c r="N22" s="340"/>
      <c r="O22" s="340"/>
      <c r="P22" s="340"/>
      <c r="Q22" s="340"/>
      <c r="R22" s="340"/>
      <c r="S22" s="340"/>
      <c r="T22" s="340"/>
      <c r="U22" s="341"/>
      <c r="V22" s="340"/>
      <c r="W22" s="340"/>
      <c r="X22" s="340"/>
      <c r="Y22" s="340"/>
      <c r="Z22" s="340"/>
    </row>
    <row r="23" spans="1:26" ht="14.25" customHeight="1">
      <c r="A23" s="340"/>
      <c r="B23" s="340"/>
      <c r="C23" s="340"/>
      <c r="D23" s="340"/>
      <c r="E23" s="340"/>
      <c r="F23" s="341"/>
      <c r="G23" s="340"/>
      <c r="H23" s="340"/>
      <c r="I23" s="340"/>
      <c r="J23" s="340"/>
      <c r="K23" s="340"/>
      <c r="L23" s="340"/>
      <c r="M23" s="340"/>
      <c r="N23" s="340"/>
      <c r="O23" s="340"/>
      <c r="P23" s="340"/>
      <c r="Q23" s="340"/>
      <c r="R23" s="340"/>
      <c r="S23" s="340"/>
      <c r="T23" s="340"/>
      <c r="U23" s="341"/>
      <c r="V23" s="340"/>
      <c r="W23" s="340"/>
      <c r="X23" s="340"/>
      <c r="Y23" s="340"/>
      <c r="Z23" s="340"/>
    </row>
    <row r="24" spans="1:26" ht="14.25" customHeight="1">
      <c r="A24" s="340"/>
      <c r="B24" s="340"/>
      <c r="C24" s="340"/>
      <c r="D24" s="340"/>
      <c r="E24" s="340"/>
      <c r="F24" s="341"/>
      <c r="G24" s="340"/>
      <c r="H24" s="340"/>
      <c r="I24" s="340"/>
      <c r="J24" s="340"/>
      <c r="K24" s="340"/>
      <c r="L24" s="340"/>
      <c r="M24" s="340"/>
      <c r="N24" s="340"/>
      <c r="O24" s="340"/>
      <c r="P24" s="340"/>
      <c r="Q24" s="340"/>
      <c r="R24" s="340"/>
      <c r="S24" s="340"/>
      <c r="T24" s="340"/>
      <c r="U24" s="341"/>
      <c r="V24" s="340"/>
      <c r="W24" s="340"/>
      <c r="X24" s="340"/>
      <c r="Y24" s="340"/>
      <c r="Z24" s="340"/>
    </row>
    <row r="25" spans="1:26" ht="14.25" customHeight="1">
      <c r="A25" s="340"/>
      <c r="B25" s="340"/>
      <c r="C25" s="340"/>
      <c r="D25" s="340"/>
      <c r="E25" s="340"/>
      <c r="F25" s="341"/>
      <c r="G25" s="340"/>
      <c r="H25" s="340"/>
      <c r="I25" s="340"/>
      <c r="J25" s="340"/>
      <c r="K25" s="340"/>
      <c r="L25" s="340"/>
      <c r="M25" s="340"/>
      <c r="N25" s="340"/>
      <c r="O25" s="340"/>
      <c r="P25" s="340"/>
      <c r="Q25" s="340"/>
      <c r="R25" s="340"/>
      <c r="S25" s="340"/>
      <c r="T25" s="340"/>
      <c r="U25" s="341"/>
      <c r="V25" s="340"/>
      <c r="W25" s="340"/>
      <c r="X25" s="340"/>
      <c r="Y25" s="340"/>
      <c r="Z25" s="340"/>
    </row>
    <row r="26" spans="1:26" ht="14.25" customHeight="1">
      <c r="A26" s="340"/>
      <c r="B26" s="340"/>
      <c r="C26" s="340"/>
      <c r="D26" s="340"/>
      <c r="E26" s="340"/>
      <c r="F26" s="341"/>
      <c r="G26" s="340"/>
      <c r="H26" s="340"/>
      <c r="I26" s="340"/>
      <c r="J26" s="340"/>
      <c r="K26" s="340"/>
      <c r="L26" s="340"/>
      <c r="M26" s="340"/>
      <c r="N26" s="340"/>
      <c r="O26" s="340"/>
      <c r="P26" s="340"/>
      <c r="Q26" s="340"/>
      <c r="R26" s="340"/>
      <c r="S26" s="340"/>
      <c r="T26" s="340"/>
      <c r="U26" s="341"/>
      <c r="V26" s="340"/>
      <c r="W26" s="340"/>
      <c r="X26" s="340"/>
      <c r="Y26" s="340"/>
      <c r="Z26" s="340"/>
    </row>
    <row r="27" spans="1:26" ht="14.25" customHeight="1">
      <c r="A27" s="340"/>
      <c r="B27" s="340"/>
      <c r="C27" s="340"/>
      <c r="D27" s="340"/>
      <c r="E27" s="340"/>
      <c r="F27" s="341"/>
      <c r="G27" s="340"/>
      <c r="H27" s="340"/>
      <c r="I27" s="340"/>
      <c r="J27" s="340"/>
      <c r="K27" s="340"/>
      <c r="L27" s="340"/>
      <c r="M27" s="340"/>
      <c r="N27" s="340"/>
      <c r="O27" s="340"/>
      <c r="P27" s="340"/>
      <c r="Q27" s="340"/>
      <c r="R27" s="340"/>
      <c r="S27" s="340"/>
      <c r="T27" s="340"/>
      <c r="U27" s="341"/>
      <c r="V27" s="340"/>
      <c r="W27" s="340"/>
      <c r="X27" s="340"/>
      <c r="Y27" s="340"/>
      <c r="Z27" s="340"/>
    </row>
    <row r="28" spans="1:26" ht="14.25" customHeight="1">
      <c r="A28" s="340"/>
      <c r="B28" s="340"/>
      <c r="C28" s="340"/>
      <c r="D28" s="340"/>
      <c r="E28" s="340"/>
      <c r="F28" s="341"/>
      <c r="G28" s="340"/>
      <c r="H28" s="340"/>
      <c r="I28" s="340"/>
      <c r="J28" s="340"/>
      <c r="K28" s="340"/>
      <c r="L28" s="340"/>
      <c r="M28" s="340"/>
      <c r="N28" s="340"/>
      <c r="O28" s="340"/>
      <c r="P28" s="340"/>
      <c r="Q28" s="340"/>
      <c r="R28" s="340"/>
      <c r="S28" s="340"/>
      <c r="T28" s="340"/>
      <c r="U28" s="341"/>
      <c r="V28" s="340"/>
      <c r="W28" s="340"/>
      <c r="X28" s="340"/>
      <c r="Y28" s="340"/>
      <c r="Z28" s="340"/>
    </row>
    <row r="29" spans="1:26" ht="14.25" customHeight="1">
      <c r="A29" s="340"/>
      <c r="B29" s="340"/>
      <c r="C29" s="340"/>
      <c r="D29" s="340"/>
      <c r="E29" s="340"/>
      <c r="F29" s="341"/>
      <c r="G29" s="340"/>
      <c r="H29" s="340"/>
      <c r="I29" s="340"/>
      <c r="J29" s="340"/>
      <c r="K29" s="340"/>
      <c r="L29" s="340"/>
      <c r="M29" s="340"/>
      <c r="N29" s="340"/>
      <c r="O29" s="340"/>
      <c r="P29" s="340"/>
      <c r="Q29" s="340"/>
      <c r="R29" s="340"/>
      <c r="S29" s="340"/>
      <c r="T29" s="340"/>
      <c r="U29" s="341"/>
      <c r="V29" s="340"/>
      <c r="W29" s="340"/>
      <c r="X29" s="340"/>
      <c r="Y29" s="340"/>
      <c r="Z29" s="340"/>
    </row>
    <row r="30" spans="1:26" ht="14.25" customHeight="1">
      <c r="A30" s="340"/>
      <c r="B30" s="340"/>
      <c r="C30" s="340"/>
      <c r="D30" s="340"/>
      <c r="E30" s="340"/>
      <c r="F30" s="341"/>
      <c r="G30" s="340"/>
      <c r="H30" s="340"/>
      <c r="I30" s="340"/>
      <c r="J30" s="340"/>
      <c r="K30" s="340"/>
      <c r="L30" s="340"/>
      <c r="M30" s="340"/>
      <c r="N30" s="340"/>
      <c r="O30" s="340"/>
      <c r="P30" s="340"/>
      <c r="Q30" s="340"/>
      <c r="R30" s="340"/>
      <c r="S30" s="340"/>
      <c r="T30" s="340"/>
      <c r="U30" s="341"/>
      <c r="V30" s="340"/>
      <c r="W30" s="340"/>
      <c r="X30" s="340"/>
      <c r="Y30" s="340"/>
      <c r="Z30" s="340"/>
    </row>
    <row r="31" spans="1:26" ht="14.25" customHeight="1">
      <c r="A31" s="340"/>
      <c r="B31" s="340"/>
      <c r="C31" s="340"/>
      <c r="D31" s="340"/>
      <c r="E31" s="340"/>
      <c r="F31" s="341"/>
      <c r="G31" s="340"/>
      <c r="H31" s="340"/>
      <c r="I31" s="340"/>
      <c r="J31" s="340"/>
      <c r="K31" s="340"/>
      <c r="L31" s="340"/>
      <c r="M31" s="340"/>
      <c r="N31" s="340"/>
      <c r="O31" s="340"/>
      <c r="P31" s="340"/>
      <c r="Q31" s="340"/>
      <c r="R31" s="340"/>
      <c r="S31" s="340"/>
      <c r="T31" s="340"/>
      <c r="U31" s="341"/>
      <c r="V31" s="340"/>
      <c r="W31" s="340"/>
      <c r="X31" s="340"/>
      <c r="Y31" s="340"/>
      <c r="Z31" s="340"/>
    </row>
    <row r="32" spans="1:26" ht="14.25" customHeight="1">
      <c r="A32" s="340"/>
      <c r="B32" s="340"/>
      <c r="C32" s="340"/>
      <c r="D32" s="340"/>
      <c r="E32" s="340"/>
      <c r="F32" s="341"/>
      <c r="G32" s="340"/>
      <c r="H32" s="340"/>
      <c r="I32" s="340"/>
      <c r="J32" s="340"/>
      <c r="K32" s="340"/>
      <c r="L32" s="340"/>
      <c r="M32" s="340"/>
      <c r="N32" s="340"/>
      <c r="O32" s="340"/>
      <c r="P32" s="340"/>
      <c r="Q32" s="340"/>
      <c r="R32" s="340"/>
      <c r="S32" s="340"/>
      <c r="T32" s="340"/>
      <c r="U32" s="341"/>
      <c r="V32" s="340"/>
      <c r="W32" s="340"/>
      <c r="X32" s="340"/>
      <c r="Y32" s="340"/>
      <c r="Z32" s="340"/>
    </row>
    <row r="33" spans="1:26" ht="14.25" customHeight="1">
      <c r="A33" s="340"/>
      <c r="B33" s="340"/>
      <c r="C33" s="340"/>
      <c r="D33" s="340"/>
      <c r="E33" s="340"/>
      <c r="F33" s="341"/>
      <c r="G33" s="340"/>
      <c r="H33" s="340"/>
      <c r="I33" s="340"/>
      <c r="J33" s="340"/>
      <c r="K33" s="340"/>
      <c r="L33" s="340"/>
      <c r="M33" s="340"/>
      <c r="N33" s="340"/>
      <c r="O33" s="340"/>
      <c r="P33" s="340"/>
      <c r="Q33" s="340"/>
      <c r="R33" s="340"/>
      <c r="S33" s="340"/>
      <c r="T33" s="340"/>
      <c r="U33" s="341"/>
      <c r="V33" s="340"/>
      <c r="W33" s="340"/>
      <c r="X33" s="340"/>
      <c r="Y33" s="340"/>
      <c r="Z33" s="340"/>
    </row>
    <row r="34" spans="1:26" ht="14.25" customHeight="1">
      <c r="A34" s="340"/>
      <c r="B34" s="340"/>
      <c r="C34" s="340"/>
      <c r="D34" s="340"/>
      <c r="E34" s="340"/>
      <c r="F34" s="342"/>
      <c r="G34" s="341"/>
      <c r="H34" s="341"/>
      <c r="I34" s="341"/>
      <c r="J34" s="342"/>
      <c r="K34" s="342"/>
      <c r="L34" s="342" t="s">
        <v>1494</v>
      </c>
      <c r="M34" s="341"/>
      <c r="N34" s="341"/>
      <c r="O34" s="341"/>
      <c r="P34" s="341"/>
      <c r="Q34" s="341"/>
      <c r="R34" s="341"/>
      <c r="S34" s="341"/>
      <c r="T34" s="341"/>
      <c r="U34" s="341"/>
      <c r="V34" s="340"/>
      <c r="W34" s="340"/>
      <c r="X34" s="340"/>
      <c r="Y34" s="340"/>
      <c r="Z34" s="340"/>
    </row>
    <row r="35" spans="1:26" ht="14.25" customHeight="1">
      <c r="A35" s="340"/>
      <c r="B35" s="340"/>
      <c r="C35" s="340"/>
      <c r="D35" s="340"/>
      <c r="E35" s="340"/>
      <c r="F35" s="340"/>
      <c r="G35" s="340"/>
      <c r="H35" s="340"/>
      <c r="I35" s="340"/>
      <c r="J35" s="343"/>
      <c r="K35" s="340"/>
      <c r="L35" s="340"/>
      <c r="M35" s="344" t="s">
        <v>1495</v>
      </c>
      <c r="N35" s="340"/>
      <c r="O35" s="340"/>
      <c r="P35" s="340"/>
      <c r="Q35" s="340"/>
      <c r="R35" s="340"/>
      <c r="S35" s="340"/>
      <c r="T35" s="340"/>
      <c r="U35" s="340"/>
      <c r="V35" s="340"/>
      <c r="W35" s="340"/>
      <c r="X35" s="340"/>
      <c r="Y35" s="340"/>
      <c r="Z35" s="340"/>
    </row>
    <row r="36" spans="1:26" ht="14.25" customHeight="1">
      <c r="A36" s="340"/>
      <c r="B36" s="340"/>
      <c r="C36" s="340"/>
      <c r="D36" s="340"/>
      <c r="E36" s="340"/>
      <c r="F36" s="340"/>
      <c r="G36" s="340"/>
      <c r="H36" s="340"/>
      <c r="I36" s="340"/>
      <c r="J36" s="340"/>
      <c r="K36" s="340"/>
      <c r="L36" s="340"/>
      <c r="M36" s="340"/>
      <c r="N36" s="340"/>
      <c r="O36" s="340"/>
      <c r="P36" s="340"/>
      <c r="Q36" s="340"/>
      <c r="R36" s="340"/>
      <c r="S36" s="340"/>
      <c r="T36" s="340"/>
      <c r="U36" s="340"/>
      <c r="V36" s="340"/>
      <c r="W36" s="340"/>
      <c r="X36" s="340"/>
      <c r="Y36" s="340"/>
      <c r="Z36" s="340"/>
    </row>
    <row r="37" spans="1:26" ht="14.25" customHeight="1">
      <c r="A37" s="340"/>
      <c r="B37" s="340"/>
      <c r="C37" s="340"/>
      <c r="D37" s="340"/>
      <c r="E37" s="340"/>
      <c r="F37" s="340"/>
      <c r="G37" s="340"/>
      <c r="H37" s="340"/>
      <c r="I37" s="340"/>
      <c r="J37" s="340"/>
      <c r="K37" s="340"/>
      <c r="L37" s="340"/>
      <c r="M37" s="340"/>
      <c r="N37" s="340"/>
      <c r="O37" s="340"/>
      <c r="P37" s="340"/>
      <c r="Q37" s="340"/>
      <c r="R37" s="340"/>
      <c r="S37" s="340"/>
      <c r="T37" s="340"/>
      <c r="U37" s="340"/>
      <c r="V37" s="340"/>
      <c r="W37" s="340"/>
      <c r="X37" s="340"/>
      <c r="Y37" s="340"/>
      <c r="Z37" s="340"/>
    </row>
    <row r="38" spans="1:26" ht="14.25" customHeight="1">
      <c r="A38" s="340"/>
      <c r="B38" s="340"/>
      <c r="C38" s="340"/>
      <c r="D38" s="340"/>
      <c r="E38" s="340"/>
      <c r="F38" s="340"/>
      <c r="G38" s="340"/>
      <c r="H38" s="340"/>
      <c r="I38" s="340"/>
      <c r="J38" s="340"/>
      <c r="K38" s="340"/>
      <c r="L38" s="340"/>
      <c r="M38" s="340"/>
      <c r="N38" s="340"/>
      <c r="O38" s="340"/>
      <c r="P38" s="340"/>
      <c r="Q38" s="340"/>
      <c r="R38" s="340"/>
      <c r="S38" s="340"/>
      <c r="T38" s="340"/>
      <c r="U38" s="340"/>
      <c r="V38" s="340"/>
      <c r="W38" s="340"/>
      <c r="X38" s="340"/>
      <c r="Y38" s="340"/>
      <c r="Z38" s="340"/>
    </row>
    <row r="39" spans="1:26" ht="14.25" customHeight="1">
      <c r="A39" s="340"/>
      <c r="B39" s="340"/>
      <c r="C39" s="340"/>
      <c r="D39" s="340"/>
      <c r="E39" s="340"/>
      <c r="F39" s="340"/>
      <c r="G39" s="340"/>
      <c r="H39" s="340"/>
      <c r="I39" s="340"/>
      <c r="J39" s="340"/>
      <c r="K39" s="340"/>
      <c r="L39" s="340"/>
      <c r="M39" s="340"/>
      <c r="N39" s="340"/>
      <c r="O39" s="340"/>
      <c r="P39" s="340"/>
      <c r="Q39" s="340"/>
      <c r="R39" s="340"/>
      <c r="S39" s="340"/>
      <c r="T39" s="340"/>
      <c r="U39" s="340"/>
      <c r="V39" s="340"/>
      <c r="W39" s="340"/>
      <c r="X39" s="340"/>
      <c r="Y39" s="340"/>
      <c r="Z39" s="340"/>
    </row>
    <row r="40" spans="1:26" ht="14.25" customHeight="1">
      <c r="A40" s="340"/>
      <c r="B40" s="340"/>
      <c r="C40" s="340"/>
      <c r="D40" s="340"/>
      <c r="E40" s="340"/>
      <c r="F40" s="340"/>
      <c r="G40" s="340"/>
      <c r="H40" s="340"/>
      <c r="I40" s="340"/>
      <c r="J40" s="340"/>
      <c r="K40" s="340"/>
      <c r="L40" s="340"/>
      <c r="M40" s="340"/>
      <c r="N40" s="340"/>
      <c r="O40" s="340"/>
      <c r="P40" s="340"/>
      <c r="Q40" s="340"/>
      <c r="R40" s="340"/>
      <c r="S40" s="340"/>
      <c r="T40" s="340"/>
      <c r="U40" s="340"/>
      <c r="V40" s="340"/>
      <c r="W40" s="340"/>
      <c r="X40" s="340"/>
      <c r="Y40" s="340"/>
      <c r="Z40" s="340"/>
    </row>
    <row r="41" spans="1:26" ht="14.25" customHeight="1">
      <c r="A41" s="340"/>
      <c r="B41" s="340"/>
      <c r="C41" s="340"/>
      <c r="D41" s="340"/>
      <c r="E41" s="340"/>
      <c r="F41" s="340"/>
      <c r="G41" s="340"/>
      <c r="H41" s="340"/>
      <c r="I41" s="340"/>
      <c r="J41" s="340"/>
      <c r="K41" s="345" t="s">
        <v>1496</v>
      </c>
      <c r="L41" s="345"/>
      <c r="M41" s="345"/>
      <c r="N41" s="345"/>
      <c r="O41" s="345"/>
      <c r="P41" s="345"/>
      <c r="Q41" s="345"/>
      <c r="R41" s="340"/>
      <c r="S41" s="340"/>
      <c r="T41" s="340"/>
      <c r="U41" s="340"/>
      <c r="V41" s="340"/>
      <c r="W41" s="340"/>
      <c r="X41" s="340"/>
      <c r="Y41" s="340"/>
      <c r="Z41" s="340"/>
    </row>
    <row r="42" spans="1:26" ht="14.25" customHeight="1">
      <c r="A42" s="340"/>
      <c r="B42" s="340"/>
      <c r="C42" s="340"/>
      <c r="D42" s="340"/>
      <c r="E42" s="340"/>
      <c r="F42" s="340"/>
      <c r="G42" s="340"/>
      <c r="H42" s="340"/>
      <c r="I42" s="340"/>
      <c r="J42" s="340"/>
      <c r="K42" s="443" t="s">
        <v>1497</v>
      </c>
      <c r="L42" s="442"/>
      <c r="M42" s="442"/>
      <c r="N42" s="442"/>
      <c r="O42" s="442"/>
      <c r="P42" s="442"/>
      <c r="Q42" s="442"/>
      <c r="R42" s="340"/>
      <c r="S42" s="340"/>
      <c r="T42" s="340"/>
      <c r="U42" s="340"/>
      <c r="V42" s="340"/>
      <c r="W42" s="340"/>
      <c r="X42" s="340"/>
      <c r="Y42" s="340"/>
      <c r="Z42" s="340"/>
    </row>
    <row r="43" spans="1:26" ht="14.25" customHeight="1">
      <c r="A43" s="340"/>
      <c r="B43" s="340"/>
      <c r="C43" s="340"/>
      <c r="D43" s="340"/>
      <c r="E43" s="340"/>
      <c r="F43" s="340"/>
      <c r="G43" s="340"/>
      <c r="H43" s="340"/>
      <c r="I43" s="340"/>
      <c r="J43" s="340"/>
      <c r="K43" s="442"/>
      <c r="L43" s="444"/>
      <c r="M43" s="444"/>
      <c r="N43" s="444"/>
      <c r="O43" s="444"/>
      <c r="P43" s="444"/>
      <c r="Q43" s="442"/>
      <c r="R43" s="340"/>
      <c r="S43" s="340"/>
      <c r="T43" s="340"/>
      <c r="U43" s="340"/>
      <c r="V43" s="340"/>
      <c r="W43" s="340"/>
      <c r="X43" s="340"/>
      <c r="Y43" s="340"/>
      <c r="Z43" s="340"/>
    </row>
    <row r="44" spans="1:26" ht="14.25" customHeight="1">
      <c r="A44" s="340"/>
      <c r="B44" s="340"/>
      <c r="C44" s="340"/>
      <c r="D44" s="340"/>
      <c r="E44" s="340"/>
      <c r="F44" s="340"/>
      <c r="G44" s="340"/>
      <c r="H44" s="340"/>
      <c r="I44" s="340"/>
      <c r="J44" s="340"/>
      <c r="K44" s="442"/>
      <c r="L44" s="442"/>
      <c r="M44" s="442"/>
      <c r="N44" s="442"/>
      <c r="O44" s="442"/>
      <c r="P44" s="442"/>
      <c r="Q44" s="442"/>
      <c r="R44" s="340"/>
      <c r="S44" s="340"/>
      <c r="T44" s="340"/>
      <c r="U44" s="340"/>
      <c r="V44" s="340"/>
      <c r="W44" s="340"/>
      <c r="X44" s="340"/>
      <c r="Y44" s="340"/>
      <c r="Z44" s="340"/>
    </row>
    <row r="45" spans="1:26" ht="14.25" customHeight="1">
      <c r="A45" s="340"/>
      <c r="B45" s="340"/>
      <c r="C45" s="340"/>
      <c r="D45" s="340"/>
      <c r="E45" s="340"/>
      <c r="F45" s="340"/>
      <c r="G45" s="340"/>
      <c r="H45" s="340"/>
      <c r="I45" s="340"/>
      <c r="J45" s="340"/>
      <c r="K45" s="340"/>
      <c r="L45" s="340"/>
      <c r="M45" s="340"/>
      <c r="N45" s="340"/>
      <c r="O45" s="340"/>
      <c r="P45" s="340"/>
      <c r="Q45" s="340"/>
      <c r="R45" s="340"/>
      <c r="S45" s="340"/>
      <c r="T45" s="340"/>
      <c r="U45" s="340"/>
      <c r="V45" s="340"/>
      <c r="W45" s="340"/>
      <c r="X45" s="340"/>
      <c r="Y45" s="340"/>
      <c r="Z45" s="340"/>
    </row>
    <row r="46" spans="1:26" ht="14.25" customHeight="1">
      <c r="A46" s="340"/>
      <c r="B46" s="340"/>
      <c r="C46" s="340"/>
      <c r="D46" s="340"/>
      <c r="E46" s="340"/>
      <c r="F46" s="340"/>
      <c r="G46" s="340"/>
      <c r="H46" s="340"/>
      <c r="I46" s="340"/>
      <c r="J46" s="340"/>
      <c r="K46" s="340"/>
      <c r="L46" s="340"/>
      <c r="M46" s="340"/>
      <c r="N46" s="340"/>
      <c r="O46" s="340"/>
      <c r="P46" s="340"/>
      <c r="Q46" s="340"/>
      <c r="R46" s="340"/>
      <c r="S46" s="340"/>
      <c r="T46" s="340"/>
      <c r="U46" s="340"/>
      <c r="V46" s="340"/>
      <c r="W46" s="340"/>
      <c r="X46" s="340"/>
      <c r="Y46" s="340"/>
      <c r="Z46" s="340"/>
    </row>
    <row r="47" spans="1:26" ht="14.25" customHeight="1">
      <c r="A47" s="340"/>
      <c r="B47" s="340"/>
      <c r="C47" s="340"/>
      <c r="D47" s="340"/>
      <c r="E47" s="340"/>
      <c r="F47" s="340"/>
      <c r="G47" s="340"/>
      <c r="H47" s="340"/>
      <c r="I47" s="340"/>
      <c r="J47" s="340"/>
      <c r="K47" s="340"/>
      <c r="L47" s="340"/>
      <c r="M47" s="340"/>
      <c r="N47" s="340"/>
      <c r="O47" s="340"/>
      <c r="P47" s="340"/>
      <c r="Q47" s="340"/>
      <c r="R47" s="340"/>
      <c r="S47" s="340"/>
      <c r="T47" s="340"/>
      <c r="U47" s="340"/>
      <c r="V47" s="340"/>
      <c r="W47" s="340"/>
      <c r="X47" s="340"/>
      <c r="Y47" s="340"/>
      <c r="Z47" s="340"/>
    </row>
    <row r="48" spans="1:26" ht="14.25" customHeight="1">
      <c r="A48" s="340"/>
      <c r="B48" s="340"/>
      <c r="C48" s="340"/>
      <c r="D48" s="340"/>
      <c r="E48" s="340"/>
      <c r="F48" s="340"/>
      <c r="G48" s="340"/>
      <c r="H48" s="340"/>
      <c r="I48" s="340"/>
      <c r="J48" s="340"/>
      <c r="K48" s="340"/>
      <c r="L48" s="340"/>
      <c r="M48" s="340"/>
      <c r="N48" s="340"/>
      <c r="O48" s="340"/>
      <c r="P48" s="340"/>
      <c r="Q48" s="340"/>
      <c r="R48" s="340"/>
      <c r="S48" s="340"/>
      <c r="T48" s="340"/>
      <c r="U48" s="340"/>
      <c r="V48" s="340"/>
      <c r="W48" s="340"/>
      <c r="X48" s="340"/>
      <c r="Y48" s="340"/>
      <c r="Z48" s="340"/>
    </row>
    <row r="49" spans="1:26" ht="14.25" customHeight="1">
      <c r="A49" s="340"/>
      <c r="B49" s="340"/>
      <c r="C49" s="340"/>
      <c r="D49" s="340"/>
      <c r="E49" s="340"/>
      <c r="F49" s="340"/>
      <c r="G49" s="340"/>
      <c r="H49" s="340"/>
      <c r="I49" s="340"/>
      <c r="J49" s="340"/>
      <c r="K49" s="340"/>
      <c r="L49" s="340"/>
      <c r="M49" s="340"/>
      <c r="N49" s="340"/>
      <c r="O49" s="340"/>
      <c r="P49" s="340"/>
      <c r="Q49" s="340"/>
      <c r="R49" s="340"/>
      <c r="S49" s="340"/>
      <c r="T49" s="340"/>
      <c r="U49" s="340"/>
      <c r="V49" s="340"/>
      <c r="W49" s="340"/>
      <c r="X49" s="340"/>
      <c r="Y49" s="340"/>
      <c r="Z49" s="340"/>
    </row>
    <row r="50" spans="1:26" ht="14.25" customHeight="1">
      <c r="A50" s="340"/>
      <c r="B50" s="340"/>
      <c r="C50" s="340"/>
      <c r="D50" s="340"/>
      <c r="E50" s="340"/>
      <c r="F50" s="340"/>
      <c r="G50" s="340"/>
      <c r="H50" s="340"/>
      <c r="I50" s="340"/>
      <c r="J50" s="340"/>
      <c r="K50" s="340"/>
      <c r="L50" s="340"/>
      <c r="M50" s="340"/>
      <c r="N50" s="340"/>
      <c r="O50" s="340"/>
      <c r="P50" s="340"/>
      <c r="Q50" s="340"/>
      <c r="R50" s="340"/>
      <c r="S50" s="340"/>
      <c r="T50" s="340"/>
      <c r="U50" s="340"/>
      <c r="V50" s="340"/>
      <c r="W50" s="340"/>
      <c r="X50" s="340"/>
      <c r="Y50" s="340"/>
      <c r="Z50" s="340"/>
    </row>
    <row r="51" spans="1:26" ht="14.25" customHeight="1">
      <c r="A51" s="340"/>
      <c r="B51" s="340"/>
      <c r="C51" s="340"/>
      <c r="D51" s="340"/>
      <c r="E51" s="340"/>
      <c r="F51" s="340"/>
      <c r="G51" s="340"/>
      <c r="H51" s="340"/>
      <c r="I51" s="340"/>
      <c r="J51" s="340"/>
      <c r="K51" s="340"/>
      <c r="L51" s="340"/>
      <c r="M51" s="340"/>
      <c r="N51" s="340"/>
      <c r="O51" s="340"/>
      <c r="P51" s="340"/>
      <c r="Q51" s="340"/>
      <c r="R51" s="340"/>
      <c r="S51" s="340"/>
      <c r="T51" s="340"/>
      <c r="U51" s="340"/>
      <c r="V51" s="340"/>
      <c r="W51" s="340"/>
      <c r="X51" s="340"/>
      <c r="Y51" s="340"/>
      <c r="Z51" s="340"/>
    </row>
    <row r="52" spans="1:26" ht="14.25" customHeight="1">
      <c r="A52" s="340"/>
      <c r="B52" s="340"/>
      <c r="C52" s="340"/>
      <c r="D52" s="340"/>
      <c r="E52" s="340"/>
      <c r="F52" s="340"/>
      <c r="G52" s="340"/>
      <c r="H52" s="340"/>
      <c r="I52" s="340"/>
      <c r="J52" s="340"/>
      <c r="K52" s="340"/>
      <c r="L52" s="340"/>
      <c r="M52" s="340"/>
      <c r="N52" s="340"/>
      <c r="O52" s="340"/>
      <c r="P52" s="340"/>
      <c r="Q52" s="340"/>
      <c r="R52" s="340"/>
      <c r="S52" s="340"/>
      <c r="T52" s="340"/>
      <c r="U52" s="340"/>
      <c r="V52" s="340"/>
      <c r="W52" s="340"/>
      <c r="X52" s="340"/>
      <c r="Y52" s="340"/>
      <c r="Z52" s="340"/>
    </row>
    <row r="53" spans="1:26" ht="14.25" customHeight="1">
      <c r="A53" s="340"/>
      <c r="B53" s="340"/>
      <c r="C53" s="340"/>
      <c r="D53" s="340"/>
      <c r="E53" s="340"/>
      <c r="F53" s="340"/>
      <c r="G53" s="340"/>
      <c r="H53" s="340"/>
      <c r="I53" s="340"/>
      <c r="J53" s="340"/>
      <c r="K53" s="340"/>
      <c r="L53" s="340"/>
      <c r="M53" s="340"/>
      <c r="N53" s="340"/>
      <c r="O53" s="340"/>
      <c r="P53" s="340"/>
      <c r="Q53" s="340"/>
      <c r="R53" s="340"/>
      <c r="S53" s="340"/>
      <c r="T53" s="340"/>
      <c r="U53" s="340"/>
      <c r="V53" s="340"/>
      <c r="W53" s="340"/>
      <c r="X53" s="340"/>
      <c r="Y53" s="340"/>
      <c r="Z53" s="340"/>
    </row>
    <row r="54" spans="1:26" ht="14.25" customHeight="1">
      <c r="A54" s="340"/>
      <c r="B54" s="340"/>
      <c r="C54" s="340"/>
      <c r="D54" s="340"/>
      <c r="E54" s="340"/>
      <c r="F54" s="340"/>
      <c r="G54" s="340"/>
      <c r="H54" s="340"/>
      <c r="I54" s="340"/>
      <c r="J54" s="340"/>
      <c r="K54" s="340"/>
      <c r="L54" s="340"/>
      <c r="M54" s="340"/>
      <c r="N54" s="340"/>
      <c r="O54" s="340"/>
      <c r="P54" s="340"/>
      <c r="Q54" s="340"/>
      <c r="R54" s="340"/>
      <c r="S54" s="340"/>
      <c r="T54" s="340"/>
      <c r="U54" s="340"/>
      <c r="V54" s="340"/>
      <c r="W54" s="340"/>
      <c r="X54" s="340"/>
      <c r="Y54" s="340"/>
      <c r="Z54" s="340"/>
    </row>
    <row r="55" spans="1:26" ht="14.25" customHeight="1">
      <c r="A55" s="340"/>
      <c r="B55" s="340"/>
      <c r="C55" s="340"/>
      <c r="D55" s="340"/>
      <c r="E55" s="340"/>
      <c r="F55" s="340"/>
      <c r="G55" s="340"/>
      <c r="H55" s="340"/>
      <c r="I55" s="340"/>
      <c r="J55" s="340"/>
      <c r="K55" s="340"/>
      <c r="L55" s="340"/>
      <c r="M55" s="340"/>
      <c r="N55" s="340"/>
      <c r="O55" s="340"/>
      <c r="P55" s="340"/>
      <c r="Q55" s="340"/>
      <c r="R55" s="340"/>
      <c r="S55" s="340"/>
      <c r="T55" s="340"/>
      <c r="U55" s="340"/>
      <c r="V55" s="340"/>
      <c r="W55" s="340"/>
      <c r="X55" s="340"/>
      <c r="Y55" s="340"/>
      <c r="Z55" s="340"/>
    </row>
    <row r="56" spans="1:26" ht="14.25" customHeight="1">
      <c r="A56" s="340"/>
      <c r="B56" s="340"/>
      <c r="C56" s="340"/>
      <c r="D56" s="340"/>
      <c r="E56" s="340"/>
      <c r="F56" s="340"/>
      <c r="G56" s="340"/>
      <c r="H56" s="340"/>
      <c r="I56" s="340"/>
      <c r="J56" s="340"/>
      <c r="K56" s="340"/>
      <c r="L56" s="340"/>
      <c r="M56" s="340"/>
      <c r="N56" s="340"/>
      <c r="O56" s="340"/>
      <c r="P56" s="340"/>
      <c r="Q56" s="340"/>
      <c r="R56" s="340"/>
      <c r="S56" s="340"/>
      <c r="T56" s="340"/>
      <c r="U56" s="340"/>
      <c r="V56" s="340"/>
      <c r="W56" s="340"/>
      <c r="X56" s="340"/>
      <c r="Y56" s="340"/>
      <c r="Z56" s="340"/>
    </row>
    <row r="57" spans="1:26" ht="14.25" customHeight="1">
      <c r="A57" s="340"/>
      <c r="B57" s="340"/>
      <c r="C57" s="340"/>
      <c r="D57" s="340"/>
      <c r="E57" s="340"/>
      <c r="F57" s="340"/>
      <c r="G57" s="340"/>
      <c r="H57" s="340"/>
      <c r="I57" s="340"/>
      <c r="J57" s="340"/>
      <c r="K57" s="340"/>
      <c r="L57" s="340"/>
      <c r="M57" s="340"/>
      <c r="N57" s="340"/>
      <c r="O57" s="340"/>
      <c r="P57" s="340"/>
      <c r="Q57" s="340"/>
      <c r="R57" s="340"/>
      <c r="S57" s="340"/>
      <c r="T57" s="340"/>
      <c r="U57" s="340"/>
      <c r="V57" s="340"/>
      <c r="W57" s="340"/>
      <c r="X57" s="340"/>
      <c r="Y57" s="340"/>
      <c r="Z57" s="340"/>
    </row>
    <row r="58" spans="1:26" ht="14.25" customHeight="1">
      <c r="A58" s="340"/>
      <c r="B58" s="340"/>
      <c r="C58" s="340"/>
      <c r="D58" s="340"/>
      <c r="E58" s="340"/>
      <c r="F58" s="340"/>
      <c r="G58" s="340"/>
      <c r="H58" s="340"/>
      <c r="I58" s="340"/>
      <c r="J58" s="340"/>
      <c r="K58" s="340"/>
      <c r="L58" s="340"/>
      <c r="M58" s="340"/>
      <c r="N58" s="340"/>
      <c r="O58" s="340"/>
      <c r="P58" s="340"/>
      <c r="Q58" s="340"/>
      <c r="R58" s="340"/>
      <c r="S58" s="340"/>
      <c r="T58" s="340"/>
      <c r="U58" s="340"/>
      <c r="V58" s="340"/>
      <c r="W58" s="340"/>
      <c r="X58" s="340"/>
      <c r="Y58" s="340"/>
      <c r="Z58" s="340"/>
    </row>
    <row r="59" spans="1:26" ht="14.25" customHeight="1">
      <c r="A59" s="340"/>
      <c r="B59" s="340"/>
      <c r="C59" s="340"/>
      <c r="D59" s="340"/>
      <c r="E59" s="340"/>
      <c r="F59" s="340"/>
      <c r="G59" s="340"/>
      <c r="H59" s="340"/>
      <c r="I59" s="340"/>
      <c r="J59" s="340"/>
      <c r="K59" s="340"/>
      <c r="L59" s="340"/>
      <c r="M59" s="340"/>
      <c r="N59" s="340"/>
      <c r="O59" s="340"/>
      <c r="P59" s="340"/>
      <c r="Q59" s="340"/>
      <c r="R59" s="340"/>
      <c r="S59" s="340"/>
      <c r="T59" s="340"/>
      <c r="U59" s="340"/>
      <c r="V59" s="340"/>
      <c r="W59" s="340"/>
      <c r="X59" s="340"/>
      <c r="Y59" s="340"/>
      <c r="Z59" s="340"/>
    </row>
    <row r="60" spans="1:26" ht="14.25" customHeight="1">
      <c r="A60" s="340"/>
      <c r="B60" s="340"/>
      <c r="C60" s="340"/>
      <c r="D60" s="340"/>
      <c r="E60" s="340"/>
      <c r="F60" s="340"/>
      <c r="G60" s="340"/>
      <c r="H60" s="340"/>
      <c r="I60" s="340"/>
      <c r="J60" s="340"/>
      <c r="K60" s="340"/>
      <c r="L60" s="340"/>
      <c r="M60" s="340"/>
      <c r="N60" s="340"/>
      <c r="O60" s="340"/>
      <c r="P60" s="340"/>
      <c r="Q60" s="340"/>
      <c r="R60" s="340"/>
      <c r="S60" s="340"/>
      <c r="T60" s="340"/>
      <c r="U60" s="340"/>
      <c r="V60" s="340"/>
      <c r="W60" s="340"/>
      <c r="X60" s="340"/>
      <c r="Y60" s="340"/>
      <c r="Z60" s="340"/>
    </row>
    <row r="61" spans="1:26" ht="14.25" customHeight="1">
      <c r="A61" s="340"/>
      <c r="B61" s="340"/>
      <c r="C61" s="340"/>
      <c r="D61" s="340"/>
      <c r="E61" s="340"/>
      <c r="F61" s="340"/>
      <c r="G61" s="340"/>
      <c r="H61" s="340"/>
      <c r="I61" s="340"/>
      <c r="J61" s="340"/>
      <c r="K61" s="340"/>
      <c r="L61" s="340"/>
      <c r="M61" s="340"/>
      <c r="N61" s="340"/>
      <c r="O61" s="340"/>
      <c r="P61" s="340"/>
      <c r="Q61" s="340"/>
      <c r="R61" s="340"/>
      <c r="S61" s="340"/>
      <c r="T61" s="340"/>
      <c r="U61" s="340"/>
      <c r="V61" s="340"/>
      <c r="W61" s="340"/>
      <c r="X61" s="340"/>
      <c r="Y61" s="340"/>
      <c r="Z61" s="340"/>
    </row>
    <row r="62" spans="1:26" ht="14.25" customHeight="1">
      <c r="A62" s="340"/>
      <c r="B62" s="340"/>
      <c r="C62" s="340"/>
      <c r="D62" s="340"/>
      <c r="E62" s="340"/>
      <c r="F62" s="340"/>
      <c r="G62" s="340"/>
      <c r="H62" s="340"/>
      <c r="I62" s="340"/>
      <c r="J62" s="340"/>
      <c r="K62" s="340"/>
      <c r="L62" s="340"/>
      <c r="M62" s="340"/>
      <c r="N62" s="340"/>
      <c r="O62" s="340"/>
      <c r="P62" s="340"/>
      <c r="Q62" s="340"/>
      <c r="R62" s="340"/>
      <c r="S62" s="340"/>
      <c r="T62" s="340"/>
      <c r="U62" s="340"/>
      <c r="V62" s="340"/>
      <c r="W62" s="340"/>
      <c r="X62" s="340"/>
      <c r="Y62" s="340"/>
      <c r="Z62" s="340"/>
    </row>
    <row r="63" spans="1:26" ht="14.25" customHeight="1">
      <c r="A63" s="340"/>
      <c r="B63" s="340"/>
      <c r="C63" s="340"/>
      <c r="D63" s="340"/>
      <c r="E63" s="340"/>
      <c r="F63" s="340"/>
      <c r="G63" s="340"/>
      <c r="H63" s="340"/>
      <c r="I63" s="340"/>
      <c r="J63" s="340"/>
      <c r="K63" s="340"/>
      <c r="L63" s="340"/>
      <c r="M63" s="340"/>
      <c r="N63" s="340"/>
      <c r="O63" s="340"/>
      <c r="P63" s="340"/>
      <c r="Q63" s="340"/>
      <c r="R63" s="340"/>
      <c r="S63" s="340"/>
      <c r="T63" s="340"/>
      <c r="U63" s="340"/>
      <c r="V63" s="340"/>
      <c r="W63" s="340"/>
      <c r="X63" s="340"/>
      <c r="Y63" s="340"/>
      <c r="Z63" s="340"/>
    </row>
    <row r="64" spans="1:26" ht="14.25" customHeight="1">
      <c r="A64" s="340"/>
      <c r="B64" s="340"/>
      <c r="C64" s="340"/>
      <c r="D64" s="340"/>
      <c r="E64" s="340"/>
      <c r="F64" s="340"/>
      <c r="G64" s="340"/>
      <c r="H64" s="340"/>
      <c r="I64" s="340"/>
      <c r="J64" s="340"/>
      <c r="K64" s="340"/>
      <c r="L64" s="340"/>
      <c r="M64" s="340"/>
      <c r="N64" s="340"/>
      <c r="O64" s="340"/>
      <c r="P64" s="340"/>
      <c r="Q64" s="340"/>
      <c r="R64" s="340"/>
      <c r="S64" s="340"/>
      <c r="T64" s="340"/>
      <c r="U64" s="340"/>
      <c r="V64" s="340"/>
      <c r="W64" s="340"/>
      <c r="X64" s="340"/>
      <c r="Y64" s="340"/>
      <c r="Z64" s="340"/>
    </row>
    <row r="65" spans="1:26" ht="14.25" customHeight="1">
      <c r="A65" s="340"/>
      <c r="B65" s="340"/>
      <c r="C65" s="340"/>
      <c r="D65" s="340"/>
      <c r="E65" s="340"/>
      <c r="F65" s="340"/>
      <c r="G65" s="340"/>
      <c r="H65" s="340"/>
      <c r="I65" s="340"/>
      <c r="J65" s="340"/>
      <c r="K65" s="340"/>
      <c r="L65" s="340"/>
      <c r="M65" s="340"/>
      <c r="N65" s="340"/>
      <c r="O65" s="340"/>
      <c r="P65" s="340"/>
      <c r="Q65" s="340"/>
      <c r="R65" s="340"/>
      <c r="S65" s="340"/>
      <c r="T65" s="340"/>
      <c r="U65" s="340"/>
      <c r="V65" s="340"/>
      <c r="W65" s="340"/>
      <c r="X65" s="340"/>
      <c r="Y65" s="340"/>
      <c r="Z65" s="340"/>
    </row>
    <row r="66" spans="1:26" ht="14.25" customHeight="1">
      <c r="A66" s="340"/>
      <c r="B66" s="340"/>
      <c r="C66" s="340"/>
      <c r="D66" s="340"/>
      <c r="E66" s="340"/>
      <c r="F66" s="340"/>
      <c r="G66" s="340"/>
      <c r="H66" s="340"/>
      <c r="I66" s="340"/>
      <c r="J66" s="340"/>
      <c r="K66" s="340"/>
      <c r="L66" s="340"/>
      <c r="M66" s="340"/>
      <c r="N66" s="340"/>
      <c r="O66" s="340"/>
      <c r="P66" s="340"/>
      <c r="Q66" s="340"/>
      <c r="R66" s="340"/>
      <c r="S66" s="340"/>
      <c r="T66" s="340"/>
      <c r="U66" s="340"/>
      <c r="V66" s="340"/>
      <c r="W66" s="340"/>
      <c r="X66" s="340"/>
      <c r="Y66" s="340"/>
      <c r="Z66" s="340"/>
    </row>
    <row r="67" spans="1:26" ht="14.25" customHeight="1">
      <c r="A67" s="340"/>
      <c r="B67" s="340"/>
      <c r="C67" s="340"/>
      <c r="D67" s="340"/>
      <c r="E67" s="340"/>
      <c r="F67" s="340"/>
      <c r="G67" s="340"/>
      <c r="H67" s="340"/>
      <c r="I67" s="340"/>
      <c r="J67" s="340"/>
      <c r="K67" s="340"/>
      <c r="L67" s="340"/>
      <c r="M67" s="340"/>
      <c r="N67" s="340"/>
      <c r="O67" s="340"/>
      <c r="P67" s="340"/>
      <c r="Q67" s="340"/>
      <c r="R67" s="340"/>
      <c r="S67" s="340"/>
      <c r="T67" s="340"/>
      <c r="U67" s="340"/>
      <c r="V67" s="340"/>
      <c r="W67" s="340"/>
      <c r="X67" s="340"/>
      <c r="Y67" s="340"/>
      <c r="Z67" s="340"/>
    </row>
    <row r="68" spans="1:26" ht="14.25" customHeight="1">
      <c r="A68" s="340"/>
      <c r="B68" s="340"/>
      <c r="C68" s="340"/>
      <c r="D68" s="340"/>
      <c r="E68" s="340"/>
      <c r="F68" s="340"/>
      <c r="G68" s="340"/>
      <c r="H68" s="340"/>
      <c r="I68" s="340"/>
      <c r="J68" s="340"/>
      <c r="K68" s="340"/>
      <c r="L68" s="340"/>
      <c r="M68" s="340"/>
      <c r="N68" s="340"/>
      <c r="O68" s="340"/>
      <c r="P68" s="340"/>
      <c r="Q68" s="340"/>
      <c r="R68" s="340"/>
      <c r="S68" s="340"/>
      <c r="T68" s="340"/>
      <c r="U68" s="340"/>
      <c r="V68" s="340"/>
      <c r="W68" s="340"/>
      <c r="X68" s="340"/>
      <c r="Y68" s="340"/>
      <c r="Z68" s="340"/>
    </row>
    <row r="69" spans="1:26" ht="14.25" customHeight="1">
      <c r="A69" s="340"/>
      <c r="B69" s="340"/>
      <c r="C69" s="340"/>
      <c r="D69" s="340"/>
      <c r="E69" s="340"/>
      <c r="F69" s="340"/>
      <c r="G69" s="340"/>
      <c r="H69" s="340"/>
      <c r="I69" s="340"/>
      <c r="J69" s="340"/>
      <c r="K69" s="340"/>
      <c r="L69" s="340"/>
      <c r="M69" s="340"/>
      <c r="N69" s="340"/>
      <c r="O69" s="340"/>
      <c r="P69" s="340"/>
      <c r="Q69" s="340"/>
      <c r="R69" s="340"/>
      <c r="S69" s="340"/>
      <c r="T69" s="340"/>
      <c r="U69" s="340"/>
      <c r="V69" s="340"/>
      <c r="W69" s="340"/>
      <c r="X69" s="340"/>
      <c r="Y69" s="340"/>
      <c r="Z69" s="340"/>
    </row>
    <row r="70" spans="1:26" ht="14.25" customHeight="1">
      <c r="A70" s="340"/>
      <c r="B70" s="340"/>
      <c r="C70" s="340"/>
      <c r="D70" s="340"/>
      <c r="E70" s="340"/>
      <c r="F70" s="340"/>
      <c r="G70" s="340"/>
      <c r="H70" s="340"/>
      <c r="I70" s="340"/>
      <c r="J70" s="340"/>
      <c r="K70" s="340"/>
      <c r="L70" s="340"/>
      <c r="M70" s="340"/>
      <c r="N70" s="340"/>
      <c r="O70" s="340"/>
      <c r="P70" s="340"/>
      <c r="Q70" s="340"/>
      <c r="R70" s="340"/>
      <c r="S70" s="340"/>
      <c r="T70" s="340"/>
      <c r="U70" s="340"/>
      <c r="V70" s="340"/>
      <c r="W70" s="340"/>
      <c r="X70" s="340"/>
      <c r="Y70" s="340"/>
      <c r="Z70" s="340"/>
    </row>
    <row r="71" spans="1:26" ht="14.25" customHeight="1">
      <c r="A71" s="340"/>
      <c r="B71" s="340"/>
      <c r="C71" s="340"/>
      <c r="D71" s="340"/>
      <c r="E71" s="340"/>
      <c r="F71" s="340"/>
      <c r="G71" s="340"/>
      <c r="H71" s="340"/>
      <c r="I71" s="340"/>
      <c r="J71" s="340"/>
      <c r="K71" s="340"/>
      <c r="L71" s="340"/>
      <c r="M71" s="340"/>
      <c r="N71" s="340"/>
      <c r="O71" s="340"/>
      <c r="P71" s="340"/>
      <c r="Q71" s="340"/>
      <c r="R71" s="340"/>
      <c r="S71" s="340"/>
      <c r="T71" s="340"/>
      <c r="U71" s="340"/>
      <c r="V71" s="340"/>
      <c r="W71" s="340"/>
      <c r="X71" s="340"/>
      <c r="Y71" s="340"/>
      <c r="Z71" s="340"/>
    </row>
    <row r="72" spans="1:26" ht="14.25" customHeight="1">
      <c r="A72" s="340"/>
      <c r="B72" s="340"/>
      <c r="C72" s="340"/>
      <c r="D72" s="340"/>
      <c r="E72" s="340"/>
      <c r="F72" s="340"/>
      <c r="G72" s="340"/>
      <c r="H72" s="340"/>
      <c r="I72" s="340"/>
      <c r="J72" s="340"/>
      <c r="K72" s="340"/>
      <c r="L72" s="340"/>
      <c r="M72" s="340"/>
      <c r="N72" s="340"/>
      <c r="O72" s="340"/>
      <c r="P72" s="340"/>
      <c r="Q72" s="340"/>
      <c r="R72" s="340"/>
      <c r="S72" s="340"/>
      <c r="T72" s="340"/>
      <c r="U72" s="340"/>
      <c r="V72" s="340"/>
      <c r="W72" s="340"/>
      <c r="X72" s="340"/>
      <c r="Y72" s="340"/>
      <c r="Z72" s="340"/>
    </row>
    <row r="73" spans="1:26" ht="14.25" customHeight="1">
      <c r="A73" s="340"/>
      <c r="B73" s="340"/>
      <c r="C73" s="340"/>
      <c r="D73" s="340"/>
      <c r="E73" s="340"/>
      <c r="F73" s="340"/>
      <c r="G73" s="340"/>
      <c r="H73" s="340"/>
      <c r="I73" s="340"/>
      <c r="J73" s="340"/>
      <c r="K73" s="340"/>
      <c r="L73" s="340"/>
      <c r="M73" s="340"/>
      <c r="N73" s="340"/>
      <c r="O73" s="340"/>
      <c r="P73" s="340"/>
      <c r="Q73" s="340"/>
      <c r="R73" s="340"/>
      <c r="S73" s="340"/>
      <c r="T73" s="340"/>
      <c r="U73" s="340"/>
      <c r="V73" s="340"/>
      <c r="W73" s="340"/>
      <c r="X73" s="340"/>
      <c r="Y73" s="340"/>
      <c r="Z73" s="340"/>
    </row>
    <row r="74" spans="1:26" ht="14.25" customHeight="1">
      <c r="A74" s="340"/>
      <c r="B74" s="340"/>
      <c r="C74" s="340"/>
      <c r="D74" s="340"/>
      <c r="E74" s="340"/>
      <c r="F74" s="340"/>
      <c r="G74" s="340"/>
      <c r="H74" s="340"/>
      <c r="I74" s="340"/>
      <c r="J74" s="340"/>
      <c r="K74" s="340"/>
      <c r="L74" s="340"/>
      <c r="M74" s="340"/>
      <c r="N74" s="340"/>
      <c r="O74" s="340"/>
      <c r="P74" s="340"/>
      <c r="Q74" s="340"/>
      <c r="R74" s="340"/>
      <c r="S74" s="340"/>
      <c r="T74" s="340"/>
      <c r="U74" s="340"/>
      <c r="V74" s="340"/>
      <c r="W74" s="340"/>
      <c r="X74" s="340"/>
      <c r="Y74" s="340"/>
      <c r="Z74" s="340"/>
    </row>
    <row r="75" spans="1:26" ht="14.25" customHeight="1">
      <c r="A75" s="340"/>
      <c r="B75" s="340"/>
      <c r="C75" s="340"/>
      <c r="D75" s="340"/>
      <c r="E75" s="340"/>
      <c r="F75" s="340"/>
      <c r="G75" s="340"/>
      <c r="H75" s="340"/>
      <c r="I75" s="340"/>
      <c r="J75" s="340"/>
      <c r="K75" s="340"/>
      <c r="L75" s="340"/>
      <c r="M75" s="340"/>
      <c r="N75" s="340"/>
      <c r="O75" s="340"/>
      <c r="P75" s="340"/>
      <c r="Q75" s="340"/>
      <c r="R75" s="340"/>
      <c r="S75" s="340"/>
      <c r="T75" s="340"/>
      <c r="U75" s="340"/>
      <c r="V75" s="340"/>
      <c r="W75" s="340"/>
      <c r="X75" s="340"/>
      <c r="Y75" s="340"/>
      <c r="Z75" s="340"/>
    </row>
    <row r="76" spans="1:26" ht="14.25" customHeight="1">
      <c r="A76" s="340"/>
      <c r="B76" s="340"/>
      <c r="C76" s="340"/>
      <c r="D76" s="340"/>
      <c r="E76" s="340"/>
      <c r="F76" s="340"/>
      <c r="G76" s="340"/>
      <c r="H76" s="340"/>
      <c r="I76" s="340"/>
      <c r="J76" s="340"/>
      <c r="K76" s="340"/>
      <c r="L76" s="340"/>
      <c r="M76" s="340"/>
      <c r="N76" s="340"/>
      <c r="O76" s="340"/>
      <c r="P76" s="340"/>
      <c r="Q76" s="340"/>
      <c r="R76" s="340"/>
      <c r="S76" s="340"/>
      <c r="T76" s="340"/>
      <c r="U76" s="340"/>
      <c r="V76" s="340"/>
      <c r="W76" s="340"/>
      <c r="X76" s="340"/>
      <c r="Y76" s="340"/>
      <c r="Z76" s="340"/>
    </row>
    <row r="77" spans="1:26" ht="14.25" customHeight="1">
      <c r="A77" s="340"/>
      <c r="B77" s="340"/>
      <c r="C77" s="340"/>
      <c r="D77" s="340"/>
      <c r="E77" s="340"/>
      <c r="F77" s="340"/>
      <c r="G77" s="340"/>
      <c r="H77" s="340"/>
      <c r="I77" s="340"/>
      <c r="J77" s="340"/>
      <c r="K77" s="340"/>
      <c r="L77" s="340"/>
      <c r="M77" s="340"/>
      <c r="N77" s="340"/>
      <c r="O77" s="340"/>
      <c r="P77" s="340"/>
      <c r="Q77" s="340"/>
      <c r="R77" s="340"/>
      <c r="S77" s="340"/>
      <c r="T77" s="340"/>
      <c r="U77" s="340"/>
      <c r="V77" s="340"/>
      <c r="W77" s="340"/>
      <c r="X77" s="340"/>
      <c r="Y77" s="340"/>
      <c r="Z77" s="340"/>
    </row>
    <row r="78" spans="1:26" ht="14.25" customHeight="1">
      <c r="A78" s="340"/>
      <c r="B78" s="340"/>
      <c r="C78" s="340"/>
      <c r="D78" s="340"/>
      <c r="E78" s="340"/>
      <c r="F78" s="340"/>
      <c r="G78" s="340"/>
      <c r="H78" s="340"/>
      <c r="I78" s="340"/>
      <c r="J78" s="340"/>
      <c r="K78" s="340"/>
      <c r="L78" s="340"/>
      <c r="M78" s="340"/>
      <c r="N78" s="340"/>
      <c r="O78" s="340"/>
      <c r="P78" s="340"/>
      <c r="Q78" s="340"/>
      <c r="R78" s="340"/>
      <c r="S78" s="340"/>
      <c r="T78" s="340"/>
      <c r="U78" s="340"/>
      <c r="V78" s="340"/>
      <c r="W78" s="340"/>
      <c r="X78" s="340"/>
      <c r="Y78" s="340"/>
      <c r="Z78" s="340"/>
    </row>
    <row r="79" spans="1:26" ht="14.25" customHeight="1">
      <c r="A79" s="340"/>
      <c r="B79" s="340"/>
      <c r="C79" s="340"/>
      <c r="D79" s="340"/>
      <c r="E79" s="340"/>
      <c r="F79" s="340"/>
      <c r="G79" s="340"/>
      <c r="H79" s="340"/>
      <c r="I79" s="340"/>
      <c r="J79" s="340"/>
      <c r="K79" s="340"/>
      <c r="L79" s="340"/>
      <c r="M79" s="340"/>
      <c r="N79" s="340"/>
      <c r="O79" s="340"/>
      <c r="P79" s="340"/>
      <c r="Q79" s="340"/>
      <c r="R79" s="340"/>
      <c r="S79" s="340"/>
      <c r="T79" s="340"/>
      <c r="U79" s="340"/>
      <c r="V79" s="340"/>
      <c r="W79" s="340"/>
      <c r="X79" s="340"/>
      <c r="Y79" s="340"/>
      <c r="Z79" s="340"/>
    </row>
    <row r="80" spans="1:26" ht="14.25" customHeight="1">
      <c r="A80" s="340"/>
      <c r="B80" s="340"/>
      <c r="C80" s="340"/>
      <c r="D80" s="340"/>
      <c r="E80" s="340"/>
      <c r="F80" s="340"/>
      <c r="G80" s="340"/>
      <c r="H80" s="340"/>
      <c r="I80" s="340"/>
      <c r="J80" s="340"/>
      <c r="K80" s="340"/>
      <c r="L80" s="340"/>
      <c r="M80" s="340"/>
      <c r="N80" s="340"/>
      <c r="O80" s="340"/>
      <c r="P80" s="340"/>
      <c r="Q80" s="340"/>
      <c r="R80" s="340"/>
      <c r="S80" s="340"/>
      <c r="T80" s="340"/>
      <c r="U80" s="340"/>
      <c r="V80" s="340"/>
      <c r="W80" s="340"/>
      <c r="X80" s="340"/>
      <c r="Y80" s="340"/>
      <c r="Z80" s="340"/>
    </row>
    <row r="81" spans="1:26" ht="14.25" customHeight="1">
      <c r="A81" s="340"/>
      <c r="B81" s="340"/>
      <c r="C81" s="340"/>
      <c r="D81" s="340"/>
      <c r="E81" s="340"/>
      <c r="F81" s="340"/>
      <c r="G81" s="340"/>
      <c r="H81" s="340"/>
      <c r="I81" s="340"/>
      <c r="J81" s="340"/>
      <c r="K81" s="340"/>
      <c r="L81" s="340"/>
      <c r="M81" s="340"/>
      <c r="N81" s="340"/>
      <c r="O81" s="340"/>
      <c r="P81" s="340"/>
      <c r="Q81" s="340"/>
      <c r="R81" s="340"/>
      <c r="S81" s="340"/>
      <c r="T81" s="340"/>
      <c r="U81" s="340"/>
      <c r="V81" s="340"/>
      <c r="W81" s="340"/>
      <c r="X81" s="340"/>
      <c r="Y81" s="340"/>
      <c r="Z81" s="340"/>
    </row>
    <row r="82" spans="1:26" ht="14.25" customHeight="1">
      <c r="A82" s="340"/>
      <c r="B82" s="340"/>
      <c r="C82" s="340"/>
      <c r="D82" s="340"/>
      <c r="E82" s="340"/>
      <c r="F82" s="340"/>
      <c r="G82" s="340"/>
      <c r="H82" s="340"/>
      <c r="I82" s="340"/>
      <c r="J82" s="340"/>
      <c r="K82" s="340"/>
      <c r="L82" s="340"/>
      <c r="M82" s="340"/>
      <c r="N82" s="340"/>
      <c r="O82" s="340"/>
      <c r="P82" s="340"/>
      <c r="Q82" s="340"/>
      <c r="R82" s="340"/>
      <c r="S82" s="340"/>
      <c r="T82" s="340"/>
      <c r="U82" s="340"/>
      <c r="V82" s="340"/>
      <c r="W82" s="340"/>
      <c r="X82" s="340"/>
      <c r="Y82" s="340"/>
      <c r="Z82" s="340"/>
    </row>
    <row r="83" spans="1:26" ht="14.25" customHeight="1">
      <c r="A83" s="340"/>
      <c r="B83" s="340"/>
      <c r="C83" s="340"/>
      <c r="D83" s="340"/>
      <c r="E83" s="340"/>
      <c r="F83" s="340"/>
      <c r="G83" s="340"/>
      <c r="H83" s="340"/>
      <c r="I83" s="340"/>
      <c r="J83" s="340"/>
      <c r="K83" s="340"/>
      <c r="L83" s="340"/>
      <c r="M83" s="340"/>
      <c r="N83" s="340"/>
      <c r="O83" s="340"/>
      <c r="P83" s="340"/>
      <c r="Q83" s="340"/>
      <c r="R83" s="340"/>
      <c r="S83" s="340"/>
      <c r="T83" s="340"/>
      <c r="U83" s="340"/>
      <c r="V83" s="340"/>
      <c r="W83" s="340"/>
      <c r="X83" s="340"/>
      <c r="Y83" s="340"/>
      <c r="Z83" s="340"/>
    </row>
    <row r="84" spans="1:26" ht="14.25" customHeight="1">
      <c r="A84" s="340"/>
      <c r="B84" s="340"/>
      <c r="C84" s="340"/>
      <c r="D84" s="340"/>
      <c r="E84" s="340"/>
      <c r="F84" s="340"/>
      <c r="G84" s="340"/>
      <c r="H84" s="340"/>
      <c r="I84" s="340"/>
      <c r="J84" s="340"/>
      <c r="K84" s="340"/>
      <c r="L84" s="340"/>
      <c r="M84" s="340"/>
      <c r="N84" s="340"/>
      <c r="O84" s="340"/>
      <c r="P84" s="340"/>
      <c r="Q84" s="340"/>
      <c r="R84" s="340"/>
      <c r="S84" s="340"/>
      <c r="T84" s="340"/>
      <c r="U84" s="340"/>
      <c r="V84" s="340"/>
      <c r="W84" s="340"/>
      <c r="X84" s="340"/>
      <c r="Y84" s="340"/>
      <c r="Z84" s="340"/>
    </row>
    <row r="85" spans="1:26" ht="14.25" customHeight="1">
      <c r="A85" s="340"/>
      <c r="B85" s="340"/>
      <c r="C85" s="340"/>
      <c r="D85" s="340"/>
      <c r="E85" s="340"/>
      <c r="F85" s="340"/>
      <c r="G85" s="340"/>
      <c r="H85" s="340"/>
      <c r="I85" s="340"/>
      <c r="J85" s="340"/>
      <c r="K85" s="340"/>
      <c r="L85" s="340"/>
      <c r="M85" s="340"/>
      <c r="N85" s="340"/>
      <c r="O85" s="340"/>
      <c r="P85" s="340"/>
      <c r="Q85" s="340"/>
      <c r="R85" s="340"/>
      <c r="S85" s="340"/>
      <c r="T85" s="340"/>
      <c r="U85" s="340"/>
      <c r="V85" s="340"/>
      <c r="W85" s="340"/>
      <c r="X85" s="340"/>
      <c r="Y85" s="340"/>
      <c r="Z85" s="340"/>
    </row>
    <row r="86" spans="1:26" ht="14.25" customHeight="1">
      <c r="A86" s="340"/>
      <c r="B86" s="340"/>
      <c r="C86" s="340"/>
      <c r="D86" s="340"/>
      <c r="E86" s="340"/>
      <c r="F86" s="340"/>
      <c r="G86" s="340"/>
      <c r="H86" s="340"/>
      <c r="I86" s="340"/>
      <c r="J86" s="340"/>
      <c r="K86" s="340"/>
      <c r="L86" s="340"/>
      <c r="M86" s="340"/>
      <c r="N86" s="340"/>
      <c r="O86" s="340"/>
      <c r="P86" s="340"/>
      <c r="Q86" s="340"/>
      <c r="R86" s="340"/>
      <c r="S86" s="340"/>
      <c r="T86" s="340"/>
      <c r="U86" s="340"/>
      <c r="V86" s="340"/>
      <c r="W86" s="340"/>
      <c r="X86" s="340"/>
      <c r="Y86" s="340"/>
      <c r="Z86" s="340"/>
    </row>
    <row r="87" spans="1:26" ht="14.25" customHeight="1">
      <c r="A87" s="340"/>
      <c r="B87" s="340"/>
      <c r="C87" s="340"/>
      <c r="D87" s="340"/>
      <c r="E87" s="340"/>
      <c r="F87" s="340"/>
      <c r="G87" s="340"/>
      <c r="H87" s="340"/>
      <c r="I87" s="340"/>
      <c r="J87" s="340"/>
      <c r="K87" s="340"/>
      <c r="L87" s="340"/>
      <c r="M87" s="340"/>
      <c r="N87" s="340"/>
      <c r="O87" s="340"/>
      <c r="P87" s="340"/>
      <c r="Q87" s="340"/>
      <c r="R87" s="340"/>
      <c r="S87" s="340"/>
      <c r="T87" s="340"/>
      <c r="U87" s="340"/>
      <c r="V87" s="340"/>
      <c r="W87" s="340"/>
      <c r="X87" s="340"/>
      <c r="Y87" s="340"/>
      <c r="Z87" s="340"/>
    </row>
    <row r="88" spans="1:26" ht="14.25" customHeight="1">
      <c r="A88" s="340"/>
      <c r="B88" s="340"/>
      <c r="C88" s="340"/>
      <c r="D88" s="340"/>
      <c r="E88" s="340"/>
      <c r="F88" s="340"/>
      <c r="G88" s="340"/>
      <c r="H88" s="340"/>
      <c r="I88" s="340"/>
      <c r="J88" s="340"/>
      <c r="K88" s="340"/>
      <c r="L88" s="340"/>
      <c r="M88" s="340"/>
      <c r="N88" s="340"/>
      <c r="O88" s="340"/>
      <c r="P88" s="340"/>
      <c r="Q88" s="340"/>
      <c r="R88" s="340"/>
      <c r="S88" s="340"/>
      <c r="T88" s="340"/>
      <c r="U88" s="340"/>
      <c r="V88" s="340"/>
      <c r="W88" s="340"/>
      <c r="X88" s="340"/>
      <c r="Y88" s="340"/>
      <c r="Z88" s="340"/>
    </row>
    <row r="89" spans="1:26" ht="14.25" customHeight="1">
      <c r="A89" s="340"/>
      <c r="B89" s="340"/>
      <c r="C89" s="340"/>
      <c r="D89" s="340"/>
      <c r="E89" s="340"/>
      <c r="F89" s="340"/>
      <c r="G89" s="340"/>
      <c r="H89" s="340"/>
      <c r="I89" s="340"/>
      <c r="J89" s="340"/>
      <c r="K89" s="340"/>
      <c r="L89" s="340"/>
      <c r="M89" s="340"/>
      <c r="N89" s="340"/>
      <c r="O89" s="340"/>
      <c r="P89" s="340"/>
      <c r="Q89" s="340"/>
      <c r="R89" s="340"/>
      <c r="S89" s="340"/>
      <c r="T89" s="340"/>
      <c r="U89" s="340"/>
      <c r="V89" s="340"/>
      <c r="W89" s="340"/>
      <c r="X89" s="340"/>
      <c r="Y89" s="340"/>
      <c r="Z89" s="340"/>
    </row>
    <row r="90" spans="1:26" ht="14.25" customHeight="1">
      <c r="A90" s="340"/>
      <c r="B90" s="340"/>
      <c r="C90" s="340"/>
      <c r="D90" s="340"/>
      <c r="E90" s="340"/>
      <c r="F90" s="340"/>
      <c r="G90" s="340"/>
      <c r="H90" s="340"/>
      <c r="I90" s="340"/>
      <c r="J90" s="340"/>
      <c r="K90" s="340"/>
      <c r="L90" s="340"/>
      <c r="M90" s="340"/>
      <c r="N90" s="340"/>
      <c r="O90" s="340"/>
      <c r="P90" s="340"/>
      <c r="Q90" s="340"/>
      <c r="R90" s="340"/>
      <c r="S90" s="340"/>
      <c r="T90" s="340"/>
      <c r="U90" s="340"/>
      <c r="V90" s="340"/>
      <c r="W90" s="340"/>
      <c r="X90" s="340"/>
      <c r="Y90" s="340"/>
      <c r="Z90" s="340"/>
    </row>
    <row r="91" spans="1:26" ht="14.25" customHeight="1">
      <c r="A91" s="340"/>
      <c r="B91" s="340"/>
      <c r="C91" s="340"/>
      <c r="D91" s="340"/>
      <c r="E91" s="340"/>
      <c r="F91" s="340"/>
      <c r="G91" s="340"/>
      <c r="H91" s="340"/>
      <c r="I91" s="340"/>
      <c r="J91" s="340"/>
      <c r="K91" s="340"/>
      <c r="L91" s="340"/>
      <c r="M91" s="340"/>
      <c r="N91" s="340"/>
      <c r="O91" s="340"/>
      <c r="P91" s="340"/>
      <c r="Q91" s="340"/>
      <c r="R91" s="340"/>
      <c r="S91" s="340"/>
      <c r="T91" s="340"/>
      <c r="U91" s="340"/>
      <c r="V91" s="340"/>
      <c r="W91" s="340"/>
      <c r="X91" s="340"/>
      <c r="Y91" s="340"/>
      <c r="Z91" s="340"/>
    </row>
    <row r="92" spans="1:26" ht="14.25" customHeight="1">
      <c r="A92" s="340"/>
      <c r="B92" s="340"/>
      <c r="C92" s="340"/>
      <c r="D92" s="340"/>
      <c r="E92" s="340"/>
      <c r="F92" s="340"/>
      <c r="G92" s="340"/>
      <c r="H92" s="340"/>
      <c r="I92" s="340"/>
      <c r="J92" s="340"/>
      <c r="K92" s="340"/>
      <c r="L92" s="340"/>
      <c r="M92" s="340"/>
      <c r="N92" s="340"/>
      <c r="O92" s="340"/>
      <c r="P92" s="340"/>
      <c r="Q92" s="340"/>
      <c r="R92" s="340"/>
      <c r="S92" s="340"/>
      <c r="T92" s="340"/>
      <c r="U92" s="340"/>
      <c r="V92" s="340"/>
      <c r="W92" s="340"/>
      <c r="X92" s="340"/>
      <c r="Y92" s="340"/>
      <c r="Z92" s="340"/>
    </row>
    <row r="93" spans="1:26" ht="14.25" customHeight="1">
      <c r="A93" s="340"/>
      <c r="B93" s="340"/>
      <c r="C93" s="340"/>
      <c r="D93" s="340"/>
      <c r="E93" s="340"/>
      <c r="F93" s="340"/>
      <c r="G93" s="340"/>
      <c r="H93" s="340"/>
      <c r="I93" s="340"/>
      <c r="J93" s="340"/>
      <c r="K93" s="340"/>
      <c r="L93" s="340"/>
      <c r="M93" s="340"/>
      <c r="N93" s="340"/>
      <c r="O93" s="340"/>
      <c r="P93" s="340"/>
      <c r="Q93" s="340"/>
      <c r="R93" s="340"/>
      <c r="S93" s="340"/>
      <c r="T93" s="340"/>
      <c r="U93" s="340"/>
      <c r="V93" s="340"/>
      <c r="W93" s="340"/>
      <c r="X93" s="340"/>
      <c r="Y93" s="340"/>
      <c r="Z93" s="340"/>
    </row>
    <row r="94" spans="1:26" ht="14.25" customHeight="1">
      <c r="A94" s="340"/>
      <c r="B94" s="340"/>
      <c r="C94" s="340"/>
      <c r="D94" s="340"/>
      <c r="E94" s="340"/>
      <c r="F94" s="340"/>
      <c r="G94" s="340"/>
      <c r="H94" s="340"/>
      <c r="I94" s="340"/>
      <c r="J94" s="340"/>
      <c r="K94" s="340"/>
      <c r="L94" s="340"/>
      <c r="M94" s="340"/>
      <c r="N94" s="340"/>
      <c r="O94" s="340"/>
      <c r="P94" s="340"/>
      <c r="Q94" s="340"/>
      <c r="R94" s="340"/>
      <c r="S94" s="340"/>
      <c r="T94" s="340"/>
      <c r="U94" s="340"/>
      <c r="V94" s="340"/>
      <c r="W94" s="340"/>
      <c r="X94" s="340"/>
      <c r="Y94" s="340"/>
      <c r="Z94" s="340"/>
    </row>
    <row r="95" spans="1:26" ht="14.25" customHeight="1">
      <c r="A95" s="340"/>
      <c r="B95" s="340"/>
      <c r="C95" s="340"/>
      <c r="D95" s="340"/>
      <c r="E95" s="340"/>
      <c r="F95" s="340"/>
      <c r="G95" s="340"/>
      <c r="H95" s="340"/>
      <c r="I95" s="340"/>
      <c r="J95" s="340"/>
      <c r="K95" s="340"/>
      <c r="L95" s="340"/>
      <c r="M95" s="340"/>
      <c r="N95" s="340"/>
      <c r="O95" s="340"/>
      <c r="P95" s="340"/>
      <c r="Q95" s="340"/>
      <c r="R95" s="340"/>
      <c r="S95" s="340"/>
      <c r="T95" s="340"/>
      <c r="U95" s="340"/>
      <c r="V95" s="340"/>
      <c r="W95" s="340"/>
      <c r="X95" s="340"/>
      <c r="Y95" s="340"/>
      <c r="Z95" s="340"/>
    </row>
    <row r="96" spans="1:26" ht="14.25" customHeight="1">
      <c r="A96" s="340"/>
      <c r="B96" s="340"/>
      <c r="C96" s="340"/>
      <c r="D96" s="340"/>
      <c r="E96" s="340"/>
      <c r="F96" s="340"/>
      <c r="G96" s="340"/>
      <c r="H96" s="340"/>
      <c r="I96" s="340"/>
      <c r="J96" s="340"/>
      <c r="K96" s="340"/>
      <c r="L96" s="340"/>
      <c r="M96" s="340"/>
      <c r="N96" s="340"/>
      <c r="O96" s="340"/>
      <c r="P96" s="340"/>
      <c r="Q96" s="340"/>
      <c r="R96" s="340"/>
      <c r="S96" s="340"/>
      <c r="T96" s="340"/>
      <c r="U96" s="340"/>
      <c r="V96" s="340"/>
      <c r="W96" s="340"/>
      <c r="X96" s="340"/>
      <c r="Y96" s="340"/>
      <c r="Z96" s="340"/>
    </row>
    <row r="97" spans="1:26" ht="14.25" customHeight="1">
      <c r="A97" s="340"/>
      <c r="B97" s="340"/>
      <c r="C97" s="340"/>
      <c r="D97" s="340"/>
      <c r="E97" s="340"/>
      <c r="F97" s="340"/>
      <c r="G97" s="340"/>
      <c r="H97" s="340"/>
      <c r="I97" s="340"/>
      <c r="J97" s="340"/>
      <c r="K97" s="340"/>
      <c r="L97" s="340"/>
      <c r="M97" s="340"/>
      <c r="N97" s="340"/>
      <c r="O97" s="340"/>
      <c r="P97" s="340"/>
      <c r="Q97" s="340"/>
      <c r="R97" s="340"/>
      <c r="S97" s="340"/>
      <c r="T97" s="340"/>
      <c r="U97" s="340"/>
      <c r="V97" s="340"/>
      <c r="W97" s="340"/>
      <c r="X97" s="340"/>
      <c r="Y97" s="340"/>
      <c r="Z97" s="340"/>
    </row>
    <row r="98" spans="1:26" ht="14.25" customHeight="1">
      <c r="A98" s="340"/>
      <c r="B98" s="340"/>
      <c r="C98" s="340"/>
      <c r="D98" s="340"/>
      <c r="E98" s="340"/>
      <c r="F98" s="340"/>
      <c r="G98" s="340"/>
      <c r="H98" s="340"/>
      <c r="I98" s="340"/>
      <c r="J98" s="340"/>
      <c r="K98" s="340"/>
      <c r="L98" s="340"/>
      <c r="M98" s="340"/>
      <c r="N98" s="340"/>
      <c r="O98" s="340"/>
      <c r="P98" s="340"/>
      <c r="Q98" s="340"/>
      <c r="R98" s="340"/>
      <c r="S98" s="340"/>
      <c r="T98" s="340"/>
      <c r="U98" s="340"/>
      <c r="V98" s="340"/>
      <c r="W98" s="340"/>
      <c r="X98" s="340"/>
      <c r="Y98" s="340"/>
      <c r="Z98" s="340"/>
    </row>
    <row r="99" spans="1:26" ht="14.25" customHeight="1">
      <c r="A99" s="340"/>
      <c r="B99" s="340"/>
      <c r="C99" s="340"/>
      <c r="D99" s="340"/>
      <c r="E99" s="340"/>
      <c r="F99" s="340"/>
      <c r="G99" s="340"/>
      <c r="H99" s="340"/>
      <c r="I99" s="340"/>
      <c r="J99" s="340"/>
      <c r="K99" s="340"/>
      <c r="L99" s="340"/>
      <c r="M99" s="340"/>
      <c r="N99" s="340"/>
      <c r="O99" s="340"/>
      <c r="P99" s="340"/>
      <c r="Q99" s="340"/>
      <c r="R99" s="340"/>
      <c r="S99" s="340"/>
      <c r="T99" s="340"/>
      <c r="U99" s="340"/>
      <c r="V99" s="340"/>
      <c r="W99" s="340"/>
      <c r="X99" s="340"/>
      <c r="Y99" s="340"/>
      <c r="Z99" s="340"/>
    </row>
    <row r="100" spans="1:26" ht="14.25" customHeight="1">
      <c r="A100" s="340"/>
      <c r="B100" s="340"/>
      <c r="C100" s="340"/>
      <c r="D100" s="340"/>
      <c r="E100" s="340"/>
      <c r="F100" s="340"/>
      <c r="G100" s="340"/>
      <c r="H100" s="340"/>
      <c r="I100" s="340"/>
      <c r="J100" s="340"/>
      <c r="K100" s="340"/>
      <c r="L100" s="340"/>
      <c r="M100" s="340"/>
      <c r="N100" s="340"/>
      <c r="O100" s="340"/>
      <c r="P100" s="340"/>
      <c r="Q100" s="340"/>
      <c r="R100" s="340"/>
      <c r="S100" s="340"/>
      <c r="T100" s="340"/>
      <c r="U100" s="340"/>
      <c r="V100" s="340"/>
      <c r="W100" s="340"/>
      <c r="X100" s="340"/>
      <c r="Y100" s="340"/>
      <c r="Z100" s="340"/>
    </row>
    <row r="101" spans="1:26" ht="14.25" customHeight="1">
      <c r="A101" s="340"/>
      <c r="B101" s="340"/>
      <c r="C101" s="340"/>
      <c r="D101" s="340"/>
      <c r="E101" s="340"/>
      <c r="F101" s="340"/>
      <c r="G101" s="340"/>
      <c r="H101" s="340"/>
      <c r="I101" s="340"/>
      <c r="J101" s="340"/>
      <c r="K101" s="340"/>
      <c r="L101" s="340"/>
      <c r="M101" s="340"/>
      <c r="N101" s="340"/>
      <c r="O101" s="340"/>
      <c r="P101" s="340"/>
      <c r="Q101" s="340"/>
      <c r="R101" s="340"/>
      <c r="S101" s="340"/>
      <c r="T101" s="340"/>
      <c r="U101" s="340"/>
      <c r="V101" s="340"/>
      <c r="W101" s="340"/>
      <c r="X101" s="340"/>
      <c r="Y101" s="340"/>
      <c r="Z101" s="340"/>
    </row>
    <row r="102" spans="1:26" ht="14.25" customHeight="1">
      <c r="A102" s="340"/>
      <c r="B102" s="340"/>
      <c r="C102" s="340"/>
      <c r="D102" s="340"/>
      <c r="E102" s="340"/>
      <c r="F102" s="340"/>
      <c r="G102" s="340"/>
      <c r="H102" s="340"/>
      <c r="I102" s="340"/>
      <c r="J102" s="340"/>
      <c r="K102" s="340"/>
      <c r="L102" s="340"/>
      <c r="M102" s="340"/>
      <c r="N102" s="340"/>
      <c r="O102" s="340"/>
      <c r="P102" s="340"/>
      <c r="Q102" s="340"/>
      <c r="R102" s="340"/>
      <c r="S102" s="340"/>
      <c r="T102" s="340"/>
      <c r="U102" s="340"/>
      <c r="V102" s="340"/>
      <c r="W102" s="340"/>
      <c r="X102" s="340"/>
      <c r="Y102" s="340"/>
      <c r="Z102" s="340"/>
    </row>
    <row r="103" spans="1:26" ht="14.25" customHeight="1">
      <c r="A103" s="340"/>
      <c r="B103" s="340"/>
      <c r="C103" s="340"/>
      <c r="D103" s="340"/>
      <c r="E103" s="340"/>
      <c r="F103" s="340"/>
      <c r="G103" s="340"/>
      <c r="H103" s="340"/>
      <c r="I103" s="340"/>
      <c r="J103" s="340"/>
      <c r="K103" s="340"/>
      <c r="L103" s="340"/>
      <c r="M103" s="340"/>
      <c r="N103" s="340"/>
      <c r="O103" s="340"/>
      <c r="P103" s="340"/>
      <c r="Q103" s="340"/>
      <c r="R103" s="340"/>
      <c r="S103" s="340"/>
      <c r="T103" s="340"/>
      <c r="U103" s="340"/>
      <c r="V103" s="340"/>
      <c r="W103" s="340"/>
      <c r="X103" s="340"/>
      <c r="Y103" s="340"/>
      <c r="Z103" s="340"/>
    </row>
    <row r="104" spans="1:26" ht="14.25" customHeight="1">
      <c r="A104" s="340"/>
      <c r="B104" s="340"/>
      <c r="C104" s="340"/>
      <c r="D104" s="340"/>
      <c r="E104" s="340"/>
      <c r="F104" s="340"/>
      <c r="G104" s="340"/>
      <c r="H104" s="340"/>
      <c r="I104" s="340"/>
      <c r="J104" s="340"/>
      <c r="K104" s="340"/>
      <c r="L104" s="340"/>
      <c r="M104" s="340"/>
      <c r="N104" s="340"/>
      <c r="O104" s="340"/>
      <c r="P104" s="340"/>
      <c r="Q104" s="340"/>
      <c r="R104" s="340"/>
      <c r="S104" s="340"/>
      <c r="T104" s="340"/>
      <c r="U104" s="340"/>
      <c r="V104" s="340"/>
      <c r="W104" s="340"/>
      <c r="X104" s="340"/>
      <c r="Y104" s="340"/>
      <c r="Z104" s="340"/>
    </row>
    <row r="105" spans="1:26" ht="14.25" customHeight="1">
      <c r="A105" s="340"/>
      <c r="B105" s="340"/>
      <c r="C105" s="340"/>
      <c r="D105" s="340"/>
      <c r="E105" s="340"/>
      <c r="F105" s="340"/>
      <c r="G105" s="340"/>
      <c r="H105" s="340"/>
      <c r="I105" s="340"/>
      <c r="J105" s="340"/>
      <c r="K105" s="340"/>
      <c r="L105" s="340"/>
      <c r="M105" s="340"/>
      <c r="N105" s="340"/>
      <c r="O105" s="340"/>
      <c r="P105" s="340"/>
      <c r="Q105" s="340"/>
      <c r="R105" s="340"/>
      <c r="S105" s="340"/>
      <c r="T105" s="340"/>
      <c r="U105" s="340"/>
      <c r="V105" s="340"/>
      <c r="W105" s="340"/>
      <c r="X105" s="340"/>
      <c r="Y105" s="340"/>
      <c r="Z105" s="340"/>
    </row>
    <row r="106" spans="1:26" ht="14.25" customHeight="1">
      <c r="A106" s="340"/>
      <c r="B106" s="340"/>
      <c r="C106" s="340"/>
      <c r="D106" s="340"/>
      <c r="E106" s="340"/>
      <c r="F106" s="340"/>
      <c r="G106" s="340"/>
      <c r="H106" s="340"/>
      <c r="I106" s="340"/>
      <c r="J106" s="340"/>
      <c r="K106" s="340"/>
      <c r="L106" s="340"/>
      <c r="M106" s="340"/>
      <c r="N106" s="340"/>
      <c r="O106" s="340"/>
      <c r="P106" s="340"/>
      <c r="Q106" s="340"/>
      <c r="R106" s="340"/>
      <c r="S106" s="340"/>
      <c r="T106" s="340"/>
      <c r="U106" s="340"/>
      <c r="V106" s="340"/>
      <c r="W106" s="340"/>
      <c r="X106" s="340"/>
      <c r="Y106" s="340"/>
      <c r="Z106" s="340"/>
    </row>
    <row r="107" spans="1:26" ht="14.25" customHeight="1">
      <c r="A107" s="340"/>
      <c r="B107" s="340"/>
      <c r="C107" s="340"/>
      <c r="D107" s="340"/>
      <c r="E107" s="340"/>
      <c r="F107" s="340"/>
      <c r="G107" s="340"/>
      <c r="H107" s="340"/>
      <c r="I107" s="340"/>
      <c r="J107" s="340"/>
      <c r="K107" s="340"/>
      <c r="L107" s="340"/>
      <c r="M107" s="340"/>
      <c r="N107" s="340"/>
      <c r="O107" s="340"/>
      <c r="P107" s="340"/>
      <c r="Q107" s="340"/>
      <c r="R107" s="340"/>
      <c r="S107" s="340"/>
      <c r="T107" s="340"/>
      <c r="U107" s="340"/>
      <c r="V107" s="340"/>
      <c r="W107" s="340"/>
      <c r="X107" s="340"/>
      <c r="Y107" s="340"/>
      <c r="Z107" s="340"/>
    </row>
    <row r="108" spans="1:26" ht="14.25" customHeight="1">
      <c r="A108" s="340"/>
      <c r="B108" s="340"/>
      <c r="C108" s="340"/>
      <c r="D108" s="340"/>
      <c r="E108" s="340"/>
      <c r="F108" s="340"/>
      <c r="G108" s="340"/>
      <c r="H108" s="340"/>
      <c r="I108" s="340"/>
      <c r="J108" s="340"/>
      <c r="K108" s="340"/>
      <c r="L108" s="340"/>
      <c r="M108" s="340"/>
      <c r="N108" s="340"/>
      <c r="O108" s="340"/>
      <c r="P108" s="340"/>
      <c r="Q108" s="340"/>
      <c r="R108" s="340"/>
      <c r="S108" s="340"/>
      <c r="T108" s="340"/>
      <c r="U108" s="340"/>
      <c r="V108" s="340"/>
      <c r="W108" s="340"/>
      <c r="X108" s="340"/>
      <c r="Y108" s="340"/>
      <c r="Z108" s="340"/>
    </row>
    <row r="109" spans="1:26" ht="14.25" customHeight="1">
      <c r="A109" s="340"/>
      <c r="B109" s="340"/>
      <c r="C109" s="340"/>
      <c r="D109" s="340"/>
      <c r="E109" s="340"/>
      <c r="F109" s="340"/>
      <c r="G109" s="340"/>
      <c r="H109" s="340"/>
      <c r="I109" s="340"/>
      <c r="J109" s="340"/>
      <c r="K109" s="340"/>
      <c r="L109" s="340"/>
      <c r="M109" s="340"/>
      <c r="N109" s="340"/>
      <c r="O109" s="340"/>
      <c r="P109" s="340"/>
      <c r="Q109" s="340"/>
      <c r="R109" s="340"/>
      <c r="S109" s="340"/>
      <c r="T109" s="340"/>
      <c r="U109" s="340"/>
      <c r="V109" s="340"/>
      <c r="W109" s="340"/>
      <c r="X109" s="340"/>
      <c r="Y109" s="340"/>
      <c r="Z109" s="340"/>
    </row>
    <row r="110" spans="1:26" ht="14.25" customHeight="1">
      <c r="A110" s="340"/>
      <c r="B110" s="340"/>
      <c r="C110" s="340"/>
      <c r="D110" s="340"/>
      <c r="E110" s="340"/>
      <c r="F110" s="340"/>
      <c r="G110" s="340"/>
      <c r="H110" s="340"/>
      <c r="I110" s="340"/>
      <c r="J110" s="340"/>
      <c r="K110" s="340"/>
      <c r="L110" s="340"/>
      <c r="M110" s="340"/>
      <c r="N110" s="340"/>
      <c r="O110" s="340"/>
      <c r="P110" s="340"/>
      <c r="Q110" s="340"/>
      <c r="R110" s="340"/>
      <c r="S110" s="340"/>
      <c r="T110" s="340"/>
      <c r="U110" s="340"/>
      <c r="V110" s="340"/>
      <c r="W110" s="340"/>
      <c r="X110" s="340"/>
      <c r="Y110" s="340"/>
      <c r="Z110" s="340"/>
    </row>
    <row r="111" spans="1:26" ht="14.25" customHeight="1">
      <c r="A111" s="340"/>
      <c r="B111" s="340"/>
      <c r="C111" s="340"/>
      <c r="D111" s="340"/>
      <c r="E111" s="340"/>
      <c r="F111" s="340"/>
      <c r="G111" s="340"/>
      <c r="H111" s="340"/>
      <c r="I111" s="340"/>
      <c r="J111" s="340"/>
      <c r="K111" s="340"/>
      <c r="L111" s="340"/>
      <c r="M111" s="340"/>
      <c r="N111" s="340"/>
      <c r="O111" s="340"/>
      <c r="P111" s="340"/>
      <c r="Q111" s="340"/>
      <c r="R111" s="340"/>
      <c r="S111" s="340"/>
      <c r="T111" s="340"/>
      <c r="U111" s="340"/>
      <c r="V111" s="340"/>
      <c r="W111" s="340"/>
      <c r="X111" s="340"/>
      <c r="Y111" s="340"/>
      <c r="Z111" s="340"/>
    </row>
    <row r="112" spans="1:26" ht="14.25" customHeight="1">
      <c r="A112" s="340"/>
      <c r="B112" s="340"/>
      <c r="C112" s="340"/>
      <c r="D112" s="340"/>
      <c r="E112" s="340"/>
      <c r="F112" s="340"/>
      <c r="G112" s="340"/>
      <c r="H112" s="340"/>
      <c r="I112" s="340"/>
      <c r="J112" s="340"/>
      <c r="K112" s="340"/>
      <c r="L112" s="340"/>
      <c r="M112" s="340"/>
      <c r="N112" s="340"/>
      <c r="O112" s="340"/>
      <c r="P112" s="340"/>
      <c r="Q112" s="340"/>
      <c r="R112" s="340"/>
      <c r="S112" s="340"/>
      <c r="T112" s="340"/>
      <c r="U112" s="340"/>
      <c r="V112" s="340"/>
      <c r="W112" s="340"/>
      <c r="X112" s="340"/>
      <c r="Y112" s="340"/>
      <c r="Z112" s="340"/>
    </row>
    <row r="113" spans="1:26" ht="14.25" customHeight="1">
      <c r="A113" s="340"/>
      <c r="B113" s="340"/>
      <c r="C113" s="340"/>
      <c r="D113" s="340"/>
      <c r="E113" s="340"/>
      <c r="F113" s="340"/>
      <c r="G113" s="340"/>
      <c r="H113" s="340"/>
      <c r="I113" s="340"/>
      <c r="J113" s="340"/>
      <c r="K113" s="340"/>
      <c r="L113" s="340"/>
      <c r="M113" s="340"/>
      <c r="N113" s="340"/>
      <c r="O113" s="340"/>
      <c r="P113" s="340"/>
      <c r="Q113" s="340"/>
      <c r="R113" s="340"/>
      <c r="S113" s="340"/>
      <c r="T113" s="340"/>
      <c r="U113" s="340"/>
      <c r="V113" s="340"/>
      <c r="W113" s="340"/>
      <c r="X113" s="340"/>
      <c r="Y113" s="340"/>
      <c r="Z113" s="340"/>
    </row>
    <row r="114" spans="1:26" ht="14.25" customHeight="1">
      <c r="A114" s="340"/>
      <c r="B114" s="340"/>
      <c r="C114" s="340"/>
      <c r="D114" s="340"/>
      <c r="E114" s="340"/>
      <c r="F114" s="340"/>
      <c r="G114" s="340"/>
      <c r="H114" s="340"/>
      <c r="I114" s="340"/>
      <c r="J114" s="340"/>
      <c r="K114" s="340"/>
      <c r="L114" s="340"/>
      <c r="M114" s="340"/>
      <c r="N114" s="340"/>
      <c r="O114" s="340"/>
      <c r="P114" s="340"/>
      <c r="Q114" s="340"/>
      <c r="R114" s="340"/>
      <c r="S114" s="340"/>
      <c r="T114" s="340"/>
      <c r="U114" s="340"/>
      <c r="V114" s="340"/>
      <c r="W114" s="340"/>
      <c r="X114" s="340"/>
      <c r="Y114" s="340"/>
      <c r="Z114" s="340"/>
    </row>
    <row r="115" spans="1:26" ht="14.25" customHeight="1">
      <c r="A115" s="340"/>
      <c r="B115" s="340"/>
      <c r="C115" s="340"/>
      <c r="D115" s="340"/>
      <c r="E115" s="340"/>
      <c r="F115" s="340"/>
      <c r="G115" s="340"/>
      <c r="H115" s="340"/>
      <c r="I115" s="340"/>
      <c r="J115" s="340"/>
      <c r="K115" s="340"/>
      <c r="L115" s="340"/>
      <c r="M115" s="340"/>
      <c r="N115" s="340"/>
      <c r="O115" s="340"/>
      <c r="P115" s="340"/>
      <c r="Q115" s="340"/>
      <c r="R115" s="340"/>
      <c r="S115" s="340"/>
      <c r="T115" s="340"/>
      <c r="U115" s="340"/>
      <c r="V115" s="340"/>
      <c r="W115" s="340"/>
      <c r="X115" s="340"/>
      <c r="Y115" s="340"/>
      <c r="Z115" s="340"/>
    </row>
    <row r="116" spans="1:26" ht="14.25" customHeight="1">
      <c r="A116" s="340"/>
      <c r="B116" s="340"/>
      <c r="C116" s="340"/>
      <c r="D116" s="340"/>
      <c r="E116" s="340"/>
      <c r="F116" s="340"/>
      <c r="G116" s="340"/>
      <c r="H116" s="340"/>
      <c r="I116" s="340"/>
      <c r="J116" s="340"/>
      <c r="K116" s="340"/>
      <c r="L116" s="340"/>
      <c r="M116" s="340"/>
      <c r="N116" s="340"/>
      <c r="O116" s="340"/>
      <c r="P116" s="340"/>
      <c r="Q116" s="340"/>
      <c r="R116" s="340"/>
      <c r="S116" s="340"/>
      <c r="T116" s="340"/>
      <c r="U116" s="340"/>
      <c r="V116" s="340"/>
      <c r="W116" s="340"/>
      <c r="X116" s="340"/>
      <c r="Y116" s="340"/>
      <c r="Z116" s="340"/>
    </row>
    <row r="117" spans="1:26" ht="14.25" customHeight="1">
      <c r="A117" s="340"/>
      <c r="B117" s="340"/>
      <c r="C117" s="340"/>
      <c r="D117" s="340"/>
      <c r="E117" s="340"/>
      <c r="F117" s="340"/>
      <c r="G117" s="340"/>
      <c r="H117" s="340"/>
      <c r="I117" s="340"/>
      <c r="J117" s="340"/>
      <c r="K117" s="340"/>
      <c r="L117" s="340"/>
      <c r="M117" s="340"/>
      <c r="N117" s="340"/>
      <c r="O117" s="340"/>
      <c r="P117" s="340"/>
      <c r="Q117" s="340"/>
      <c r="R117" s="340"/>
      <c r="S117" s="340"/>
      <c r="T117" s="340"/>
      <c r="U117" s="340"/>
      <c r="V117" s="340"/>
      <c r="W117" s="340"/>
      <c r="X117" s="340"/>
      <c r="Y117" s="340"/>
      <c r="Z117" s="340"/>
    </row>
    <row r="118" spans="1:26" ht="14.25" customHeight="1">
      <c r="A118" s="340"/>
      <c r="B118" s="340"/>
      <c r="C118" s="340"/>
      <c r="D118" s="340"/>
      <c r="E118" s="340"/>
      <c r="F118" s="340"/>
      <c r="G118" s="340"/>
      <c r="H118" s="340"/>
      <c r="I118" s="340"/>
      <c r="J118" s="340"/>
      <c r="K118" s="340"/>
      <c r="L118" s="340"/>
      <c r="M118" s="340"/>
      <c r="N118" s="340"/>
      <c r="O118" s="340"/>
      <c r="P118" s="340"/>
      <c r="Q118" s="340"/>
      <c r="R118" s="340"/>
      <c r="S118" s="340"/>
      <c r="T118" s="340"/>
      <c r="U118" s="340"/>
      <c r="V118" s="340"/>
      <c r="W118" s="340"/>
      <c r="X118" s="340"/>
      <c r="Y118" s="340"/>
      <c r="Z118" s="340"/>
    </row>
    <row r="119" spans="1:26" ht="14.25" customHeight="1">
      <c r="A119" s="340"/>
      <c r="B119" s="340"/>
      <c r="C119" s="340"/>
      <c r="D119" s="340"/>
      <c r="E119" s="340"/>
      <c r="F119" s="340"/>
      <c r="G119" s="340"/>
      <c r="H119" s="340"/>
      <c r="I119" s="340"/>
      <c r="J119" s="340"/>
      <c r="K119" s="340"/>
      <c r="L119" s="340"/>
      <c r="M119" s="340"/>
      <c r="N119" s="340"/>
      <c r="O119" s="340"/>
      <c r="P119" s="340"/>
      <c r="Q119" s="340"/>
      <c r="R119" s="340"/>
      <c r="S119" s="340"/>
      <c r="T119" s="340"/>
      <c r="U119" s="340"/>
      <c r="V119" s="340"/>
      <c r="W119" s="340"/>
      <c r="X119" s="340"/>
      <c r="Y119" s="340"/>
      <c r="Z119" s="340"/>
    </row>
    <row r="120" spans="1:26" ht="14.25" customHeight="1">
      <c r="A120" s="340"/>
      <c r="B120" s="340"/>
      <c r="C120" s="340"/>
      <c r="D120" s="340"/>
      <c r="E120" s="340"/>
      <c r="F120" s="340"/>
      <c r="G120" s="340"/>
      <c r="H120" s="340"/>
      <c r="I120" s="340"/>
      <c r="J120" s="340"/>
      <c r="K120" s="340"/>
      <c r="L120" s="340"/>
      <c r="M120" s="340"/>
      <c r="N120" s="340"/>
      <c r="O120" s="340"/>
      <c r="P120" s="340"/>
      <c r="Q120" s="340"/>
      <c r="R120" s="340"/>
      <c r="S120" s="340"/>
      <c r="T120" s="340"/>
      <c r="U120" s="340"/>
      <c r="V120" s="340"/>
      <c r="W120" s="340"/>
      <c r="X120" s="340"/>
      <c r="Y120" s="340"/>
      <c r="Z120" s="340"/>
    </row>
    <row r="121" spans="1:26" ht="14.25" customHeight="1">
      <c r="A121" s="340"/>
      <c r="B121" s="340"/>
      <c r="C121" s="340"/>
      <c r="D121" s="340"/>
      <c r="E121" s="340"/>
      <c r="F121" s="340"/>
      <c r="G121" s="340"/>
      <c r="H121" s="340"/>
      <c r="I121" s="340"/>
      <c r="J121" s="340"/>
      <c r="K121" s="340"/>
      <c r="L121" s="340"/>
      <c r="M121" s="340"/>
      <c r="N121" s="340"/>
      <c r="O121" s="340"/>
      <c r="P121" s="340"/>
      <c r="Q121" s="340"/>
      <c r="R121" s="340"/>
      <c r="S121" s="340"/>
      <c r="T121" s="340"/>
      <c r="U121" s="340"/>
      <c r="V121" s="340"/>
      <c r="W121" s="340"/>
      <c r="X121" s="340"/>
      <c r="Y121" s="340"/>
      <c r="Z121" s="340"/>
    </row>
    <row r="122" spans="1:26" ht="14.25" customHeight="1">
      <c r="A122" s="340"/>
      <c r="B122" s="340"/>
      <c r="C122" s="340"/>
      <c r="D122" s="340"/>
      <c r="E122" s="340"/>
      <c r="F122" s="340"/>
      <c r="G122" s="340"/>
      <c r="H122" s="340"/>
      <c r="I122" s="340"/>
      <c r="J122" s="340"/>
      <c r="K122" s="340"/>
      <c r="L122" s="340"/>
      <c r="M122" s="340"/>
      <c r="N122" s="340"/>
      <c r="O122" s="340"/>
      <c r="P122" s="340"/>
      <c r="Q122" s="340"/>
      <c r="R122" s="340"/>
      <c r="S122" s="340"/>
      <c r="T122" s="340"/>
      <c r="U122" s="340"/>
      <c r="V122" s="340"/>
      <c r="W122" s="340"/>
      <c r="X122" s="340"/>
      <c r="Y122" s="340"/>
      <c r="Z122" s="340"/>
    </row>
    <row r="123" spans="1:26" ht="14.25" customHeight="1">
      <c r="A123" s="340"/>
      <c r="B123" s="340"/>
      <c r="C123" s="340"/>
      <c r="D123" s="340"/>
      <c r="E123" s="340"/>
      <c r="F123" s="340"/>
      <c r="G123" s="340"/>
      <c r="H123" s="340"/>
      <c r="I123" s="340"/>
      <c r="J123" s="340"/>
      <c r="K123" s="340"/>
      <c r="L123" s="340"/>
      <c r="M123" s="340"/>
      <c r="N123" s="340"/>
      <c r="O123" s="340"/>
      <c r="P123" s="340"/>
      <c r="Q123" s="340"/>
      <c r="R123" s="340"/>
      <c r="S123" s="340"/>
      <c r="T123" s="340"/>
      <c r="U123" s="340"/>
      <c r="V123" s="340"/>
      <c r="W123" s="340"/>
      <c r="X123" s="340"/>
      <c r="Y123" s="340"/>
      <c r="Z123" s="340"/>
    </row>
    <row r="124" spans="1:26" ht="14.25" customHeight="1">
      <c r="A124" s="340"/>
      <c r="B124" s="340"/>
      <c r="C124" s="340"/>
      <c r="D124" s="340"/>
      <c r="E124" s="340"/>
      <c r="F124" s="340"/>
      <c r="G124" s="340"/>
      <c r="H124" s="340"/>
      <c r="I124" s="340"/>
      <c r="J124" s="340"/>
      <c r="K124" s="340"/>
      <c r="L124" s="340"/>
      <c r="M124" s="340"/>
      <c r="N124" s="340"/>
      <c r="O124" s="340"/>
      <c r="P124" s="340"/>
      <c r="Q124" s="340"/>
      <c r="R124" s="340"/>
      <c r="S124" s="340"/>
      <c r="T124" s="340"/>
      <c r="U124" s="340"/>
      <c r="V124" s="340"/>
      <c r="W124" s="340"/>
      <c r="X124" s="340"/>
      <c r="Y124" s="340"/>
      <c r="Z124" s="340"/>
    </row>
    <row r="125" spans="1:26" ht="14.25" customHeight="1">
      <c r="A125" s="340"/>
      <c r="B125" s="340"/>
      <c r="C125" s="340"/>
      <c r="D125" s="340"/>
      <c r="E125" s="340"/>
      <c r="F125" s="340"/>
      <c r="G125" s="340"/>
      <c r="H125" s="340"/>
      <c r="I125" s="340"/>
      <c r="J125" s="340"/>
      <c r="K125" s="340"/>
      <c r="L125" s="340"/>
      <c r="M125" s="340"/>
      <c r="N125" s="340"/>
      <c r="O125" s="340"/>
      <c r="P125" s="340"/>
      <c r="Q125" s="340"/>
      <c r="R125" s="340"/>
      <c r="S125" s="340"/>
      <c r="T125" s="340"/>
      <c r="U125" s="340"/>
      <c r="V125" s="340"/>
      <c r="W125" s="340"/>
      <c r="X125" s="340"/>
      <c r="Y125" s="340"/>
      <c r="Z125" s="340"/>
    </row>
    <row r="126" spans="1:26" ht="14.25" customHeight="1">
      <c r="A126" s="340"/>
      <c r="B126" s="340"/>
      <c r="C126" s="340"/>
      <c r="D126" s="340"/>
      <c r="E126" s="340"/>
      <c r="F126" s="340"/>
      <c r="G126" s="340"/>
      <c r="H126" s="340"/>
      <c r="I126" s="340"/>
      <c r="J126" s="340"/>
      <c r="K126" s="340"/>
      <c r="L126" s="340"/>
      <c r="M126" s="340"/>
      <c r="N126" s="340"/>
      <c r="O126" s="340"/>
      <c r="P126" s="340"/>
      <c r="Q126" s="340"/>
      <c r="R126" s="340"/>
      <c r="S126" s="340"/>
      <c r="T126" s="340"/>
      <c r="U126" s="340"/>
      <c r="V126" s="340"/>
      <c r="W126" s="340"/>
      <c r="X126" s="340"/>
      <c r="Y126" s="340"/>
      <c r="Z126" s="340"/>
    </row>
    <row r="127" spans="1:26" ht="14.25" customHeight="1">
      <c r="A127" s="340"/>
      <c r="B127" s="340"/>
      <c r="C127" s="340"/>
      <c r="D127" s="340"/>
      <c r="E127" s="340"/>
      <c r="F127" s="340"/>
      <c r="G127" s="340"/>
      <c r="H127" s="340"/>
      <c r="I127" s="340"/>
      <c r="J127" s="340"/>
      <c r="K127" s="340"/>
      <c r="L127" s="340"/>
      <c r="M127" s="340"/>
      <c r="N127" s="340"/>
      <c r="O127" s="340"/>
      <c r="P127" s="340"/>
      <c r="Q127" s="340"/>
      <c r="R127" s="340"/>
      <c r="S127" s="340"/>
      <c r="T127" s="340"/>
      <c r="U127" s="340"/>
      <c r="V127" s="340"/>
      <c r="W127" s="340"/>
      <c r="X127" s="340"/>
      <c r="Y127" s="340"/>
      <c r="Z127" s="340"/>
    </row>
    <row r="128" spans="1:26" ht="14.25" customHeight="1">
      <c r="A128" s="340"/>
      <c r="B128" s="340"/>
      <c r="C128" s="340"/>
      <c r="D128" s="340"/>
      <c r="E128" s="340"/>
      <c r="F128" s="340"/>
      <c r="G128" s="340"/>
      <c r="H128" s="340"/>
      <c r="I128" s="340"/>
      <c r="J128" s="340"/>
      <c r="K128" s="340"/>
      <c r="L128" s="340"/>
      <c r="M128" s="340"/>
      <c r="N128" s="340"/>
      <c r="O128" s="340"/>
      <c r="P128" s="340"/>
      <c r="Q128" s="340"/>
      <c r="R128" s="340"/>
      <c r="S128" s="340"/>
      <c r="T128" s="340"/>
      <c r="U128" s="340"/>
      <c r="V128" s="340"/>
      <c r="W128" s="340"/>
      <c r="X128" s="340"/>
      <c r="Y128" s="340"/>
      <c r="Z128" s="340"/>
    </row>
    <row r="129" spans="1:26" ht="14.25" customHeight="1">
      <c r="A129" s="340"/>
      <c r="B129" s="340"/>
      <c r="C129" s="340"/>
      <c r="D129" s="340"/>
      <c r="E129" s="340"/>
      <c r="F129" s="340"/>
      <c r="G129" s="340"/>
      <c r="H129" s="340"/>
      <c r="I129" s="340"/>
      <c r="J129" s="340"/>
      <c r="K129" s="340"/>
      <c r="L129" s="340"/>
      <c r="M129" s="340"/>
      <c r="N129" s="340"/>
      <c r="O129" s="340"/>
      <c r="P129" s="340"/>
      <c r="Q129" s="340"/>
      <c r="R129" s="340"/>
      <c r="S129" s="340"/>
      <c r="T129" s="340"/>
      <c r="U129" s="340"/>
      <c r="V129" s="340"/>
      <c r="W129" s="340"/>
      <c r="X129" s="340"/>
      <c r="Y129" s="340"/>
      <c r="Z129" s="340"/>
    </row>
    <row r="130" spans="1:26" ht="14.25" customHeight="1">
      <c r="A130" s="340"/>
      <c r="B130" s="340"/>
      <c r="C130" s="340"/>
      <c r="D130" s="340"/>
      <c r="E130" s="340"/>
      <c r="F130" s="340"/>
      <c r="G130" s="340"/>
      <c r="H130" s="340"/>
      <c r="I130" s="340"/>
      <c r="J130" s="340"/>
      <c r="K130" s="340"/>
      <c r="L130" s="340"/>
      <c r="M130" s="340"/>
      <c r="N130" s="340"/>
      <c r="O130" s="340"/>
      <c r="P130" s="340"/>
      <c r="Q130" s="340"/>
      <c r="R130" s="340"/>
      <c r="S130" s="340"/>
      <c r="T130" s="340"/>
      <c r="U130" s="340"/>
      <c r="V130" s="340"/>
      <c r="W130" s="340"/>
      <c r="X130" s="340"/>
      <c r="Y130" s="340"/>
      <c r="Z130" s="340"/>
    </row>
    <row r="131" spans="1:26" ht="14.25" customHeight="1">
      <c r="A131" s="340"/>
      <c r="B131" s="340"/>
      <c r="C131" s="340"/>
      <c r="D131" s="340"/>
      <c r="E131" s="340"/>
      <c r="F131" s="340"/>
      <c r="G131" s="340"/>
      <c r="H131" s="340"/>
      <c r="I131" s="340"/>
      <c r="J131" s="340"/>
      <c r="K131" s="340"/>
      <c r="L131" s="340"/>
      <c r="M131" s="340"/>
      <c r="N131" s="340"/>
      <c r="O131" s="340"/>
      <c r="P131" s="340"/>
      <c r="Q131" s="340"/>
      <c r="R131" s="340"/>
      <c r="S131" s="340"/>
      <c r="T131" s="340"/>
      <c r="U131" s="340"/>
      <c r="V131" s="340"/>
      <c r="W131" s="340"/>
      <c r="X131" s="340"/>
      <c r="Y131" s="340"/>
      <c r="Z131" s="340"/>
    </row>
    <row r="132" spans="1:26" ht="14.25" customHeight="1">
      <c r="A132" s="340"/>
      <c r="B132" s="340"/>
      <c r="C132" s="340"/>
      <c r="D132" s="340"/>
      <c r="E132" s="340"/>
      <c r="F132" s="340"/>
      <c r="G132" s="340"/>
      <c r="H132" s="340"/>
      <c r="I132" s="340"/>
      <c r="J132" s="340"/>
      <c r="K132" s="340"/>
      <c r="L132" s="340"/>
      <c r="M132" s="340"/>
      <c r="N132" s="340"/>
      <c r="O132" s="340"/>
      <c r="P132" s="340"/>
      <c r="Q132" s="340"/>
      <c r="R132" s="340"/>
      <c r="S132" s="340"/>
      <c r="T132" s="340"/>
      <c r="U132" s="340"/>
      <c r="V132" s="340"/>
      <c r="W132" s="340"/>
      <c r="X132" s="340"/>
      <c r="Y132" s="340"/>
      <c r="Z132" s="340"/>
    </row>
    <row r="133" spans="1:26" ht="14.25" customHeight="1">
      <c r="A133" s="340"/>
      <c r="B133" s="340"/>
      <c r="C133" s="340"/>
      <c r="D133" s="340"/>
      <c r="E133" s="340"/>
      <c r="F133" s="340"/>
      <c r="G133" s="340"/>
      <c r="H133" s="340"/>
      <c r="I133" s="340"/>
      <c r="J133" s="340"/>
      <c r="K133" s="340"/>
      <c r="L133" s="340"/>
      <c r="M133" s="340"/>
      <c r="N133" s="340"/>
      <c r="O133" s="340"/>
      <c r="P133" s="340"/>
      <c r="Q133" s="340"/>
      <c r="R133" s="340"/>
      <c r="S133" s="340"/>
      <c r="T133" s="340"/>
      <c r="U133" s="340"/>
      <c r="V133" s="340"/>
      <c r="W133" s="340"/>
      <c r="X133" s="340"/>
      <c r="Y133" s="340"/>
      <c r="Z133" s="340"/>
    </row>
    <row r="134" spans="1:26" ht="14.25" customHeight="1">
      <c r="A134" s="340"/>
      <c r="B134" s="340"/>
      <c r="C134" s="340"/>
      <c r="D134" s="340"/>
      <c r="E134" s="340"/>
      <c r="F134" s="340"/>
      <c r="G134" s="340"/>
      <c r="H134" s="340"/>
      <c r="I134" s="340"/>
      <c r="J134" s="340"/>
      <c r="K134" s="340"/>
      <c r="L134" s="340"/>
      <c r="M134" s="340"/>
      <c r="N134" s="340"/>
      <c r="O134" s="340"/>
      <c r="P134" s="340"/>
      <c r="Q134" s="340"/>
      <c r="R134" s="340"/>
      <c r="S134" s="340"/>
      <c r="T134" s="340"/>
      <c r="U134" s="340"/>
      <c r="V134" s="340"/>
      <c r="W134" s="340"/>
      <c r="X134" s="340"/>
      <c r="Y134" s="340"/>
      <c r="Z134" s="340"/>
    </row>
    <row r="135" spans="1:26" ht="14.25" customHeight="1">
      <c r="A135" s="340"/>
      <c r="B135" s="340"/>
      <c r="C135" s="340"/>
      <c r="D135" s="340"/>
      <c r="E135" s="340"/>
      <c r="F135" s="340"/>
      <c r="G135" s="340"/>
      <c r="H135" s="340"/>
      <c r="I135" s="340"/>
      <c r="J135" s="340"/>
      <c r="K135" s="340"/>
      <c r="L135" s="340"/>
      <c r="M135" s="340"/>
      <c r="N135" s="340"/>
      <c r="O135" s="340"/>
      <c r="P135" s="340"/>
      <c r="Q135" s="340"/>
      <c r="R135" s="340"/>
      <c r="S135" s="340"/>
      <c r="T135" s="340"/>
      <c r="U135" s="340"/>
      <c r="V135" s="340"/>
      <c r="W135" s="340"/>
      <c r="X135" s="340"/>
      <c r="Y135" s="340"/>
      <c r="Z135" s="340"/>
    </row>
    <row r="136" spans="1:26" ht="14.25" customHeight="1">
      <c r="A136" s="340"/>
      <c r="B136" s="340"/>
      <c r="C136" s="340"/>
      <c r="D136" s="340"/>
      <c r="E136" s="340"/>
      <c r="F136" s="340"/>
      <c r="G136" s="340"/>
      <c r="H136" s="340"/>
      <c r="I136" s="340"/>
      <c r="J136" s="340"/>
      <c r="K136" s="340"/>
      <c r="L136" s="340"/>
      <c r="M136" s="340"/>
      <c r="N136" s="340"/>
      <c r="O136" s="340"/>
      <c r="P136" s="340"/>
      <c r="Q136" s="340"/>
      <c r="R136" s="340"/>
      <c r="S136" s="340"/>
      <c r="T136" s="340"/>
      <c r="U136" s="340"/>
      <c r="V136" s="340"/>
      <c r="W136" s="340"/>
      <c r="X136" s="340"/>
      <c r="Y136" s="340"/>
      <c r="Z136" s="340"/>
    </row>
    <row r="137" spans="1:26" ht="14.25" customHeight="1">
      <c r="A137" s="340"/>
      <c r="B137" s="340"/>
      <c r="C137" s="340"/>
      <c r="D137" s="340"/>
      <c r="E137" s="340"/>
      <c r="F137" s="340"/>
      <c r="G137" s="340"/>
      <c r="H137" s="340"/>
      <c r="I137" s="340"/>
      <c r="J137" s="340"/>
      <c r="K137" s="340"/>
      <c r="L137" s="340"/>
      <c r="M137" s="340"/>
      <c r="N137" s="340"/>
      <c r="O137" s="340"/>
      <c r="P137" s="340"/>
      <c r="Q137" s="340"/>
      <c r="R137" s="340"/>
      <c r="S137" s="340"/>
      <c r="T137" s="340"/>
      <c r="U137" s="340"/>
      <c r="V137" s="340"/>
      <c r="W137" s="340"/>
      <c r="X137" s="340"/>
      <c r="Y137" s="340"/>
      <c r="Z137" s="340"/>
    </row>
    <row r="138" spans="1:26" ht="14.25" customHeight="1">
      <c r="A138" s="340"/>
      <c r="B138" s="340"/>
      <c r="C138" s="340"/>
      <c r="D138" s="340"/>
      <c r="E138" s="340"/>
      <c r="F138" s="340"/>
      <c r="G138" s="340"/>
      <c r="H138" s="340"/>
      <c r="I138" s="340"/>
      <c r="J138" s="340"/>
      <c r="K138" s="340"/>
      <c r="L138" s="340"/>
      <c r="M138" s="340"/>
      <c r="N138" s="340"/>
      <c r="O138" s="340"/>
      <c r="P138" s="340"/>
      <c r="Q138" s="340"/>
      <c r="R138" s="340"/>
      <c r="S138" s="340"/>
      <c r="T138" s="340"/>
      <c r="U138" s="340"/>
      <c r="V138" s="340"/>
      <c r="W138" s="340"/>
      <c r="X138" s="340"/>
      <c r="Y138" s="340"/>
      <c r="Z138" s="340"/>
    </row>
    <row r="139" spans="1:26" ht="14.25" customHeight="1">
      <c r="A139" s="340"/>
      <c r="B139" s="340"/>
      <c r="C139" s="340"/>
      <c r="D139" s="340"/>
      <c r="E139" s="340"/>
      <c r="F139" s="340"/>
      <c r="G139" s="340"/>
      <c r="H139" s="340"/>
      <c r="I139" s="340"/>
      <c r="J139" s="340"/>
      <c r="K139" s="340"/>
      <c r="L139" s="340"/>
      <c r="M139" s="340"/>
      <c r="N139" s="340"/>
      <c r="O139" s="340"/>
      <c r="P139" s="340"/>
      <c r="Q139" s="340"/>
      <c r="R139" s="340"/>
      <c r="S139" s="340"/>
      <c r="T139" s="340"/>
      <c r="U139" s="340"/>
      <c r="V139" s="340"/>
      <c r="W139" s="340"/>
      <c r="X139" s="340"/>
      <c r="Y139" s="340"/>
      <c r="Z139" s="340"/>
    </row>
    <row r="140" spans="1:26" ht="14.25" customHeight="1">
      <c r="A140" s="340"/>
      <c r="B140" s="340"/>
      <c r="C140" s="340"/>
      <c r="D140" s="340"/>
      <c r="E140" s="340"/>
      <c r="F140" s="340"/>
      <c r="G140" s="340"/>
      <c r="H140" s="340"/>
      <c r="I140" s="340"/>
      <c r="J140" s="340"/>
      <c r="K140" s="340"/>
      <c r="L140" s="340"/>
      <c r="M140" s="340"/>
      <c r="N140" s="340"/>
      <c r="O140" s="340"/>
      <c r="P140" s="340"/>
      <c r="Q140" s="340"/>
      <c r="R140" s="340"/>
      <c r="S140" s="340"/>
      <c r="T140" s="340"/>
      <c r="U140" s="340"/>
      <c r="V140" s="340"/>
      <c r="W140" s="340"/>
      <c r="X140" s="340"/>
      <c r="Y140" s="340"/>
      <c r="Z140" s="340"/>
    </row>
    <row r="141" spans="1:26" ht="14.25" customHeight="1">
      <c r="A141" s="340"/>
      <c r="B141" s="340"/>
      <c r="C141" s="340"/>
      <c r="D141" s="340"/>
      <c r="E141" s="340"/>
      <c r="F141" s="340"/>
      <c r="G141" s="340"/>
      <c r="H141" s="340"/>
      <c r="I141" s="340"/>
      <c r="J141" s="340"/>
      <c r="K141" s="340"/>
      <c r="L141" s="340"/>
      <c r="M141" s="340"/>
      <c r="N141" s="340"/>
      <c r="O141" s="340"/>
      <c r="P141" s="340"/>
      <c r="Q141" s="340"/>
      <c r="R141" s="340"/>
      <c r="S141" s="340"/>
      <c r="T141" s="340"/>
      <c r="U141" s="340"/>
      <c r="V141" s="340"/>
      <c r="W141" s="340"/>
      <c r="X141" s="340"/>
      <c r="Y141" s="340"/>
      <c r="Z141" s="340"/>
    </row>
    <row r="142" spans="1:26" ht="14.25" customHeight="1">
      <c r="A142" s="340"/>
      <c r="B142" s="340"/>
      <c r="C142" s="340"/>
      <c r="D142" s="340"/>
      <c r="E142" s="340"/>
      <c r="F142" s="340"/>
      <c r="G142" s="340"/>
      <c r="H142" s="340"/>
      <c r="I142" s="340"/>
      <c r="J142" s="340"/>
      <c r="K142" s="340"/>
      <c r="L142" s="340"/>
      <c r="M142" s="340"/>
      <c r="N142" s="340"/>
      <c r="O142" s="340"/>
      <c r="P142" s="340"/>
      <c r="Q142" s="340"/>
      <c r="R142" s="340"/>
      <c r="S142" s="340"/>
      <c r="T142" s="340"/>
      <c r="U142" s="340"/>
      <c r="V142" s="340"/>
      <c r="W142" s="340"/>
      <c r="X142" s="340"/>
      <c r="Y142" s="340"/>
      <c r="Z142" s="340"/>
    </row>
    <row r="143" spans="1:26" ht="14.25" customHeight="1">
      <c r="A143" s="340"/>
      <c r="B143" s="340"/>
      <c r="C143" s="340"/>
      <c r="D143" s="340"/>
      <c r="E143" s="340"/>
      <c r="F143" s="340"/>
      <c r="G143" s="340"/>
      <c r="H143" s="340"/>
      <c r="I143" s="340"/>
      <c r="J143" s="340"/>
      <c r="K143" s="340"/>
      <c r="L143" s="340"/>
      <c r="M143" s="340"/>
      <c r="N143" s="340"/>
      <c r="O143" s="340"/>
      <c r="P143" s="340"/>
      <c r="Q143" s="340"/>
      <c r="R143" s="340"/>
      <c r="S143" s="340"/>
      <c r="T143" s="340"/>
      <c r="U143" s="340"/>
      <c r="V143" s="340"/>
      <c r="W143" s="340"/>
      <c r="X143" s="340"/>
      <c r="Y143" s="340"/>
      <c r="Z143" s="340"/>
    </row>
    <row r="144" spans="1:26" ht="14.25" customHeight="1">
      <c r="A144" s="340"/>
      <c r="B144" s="340"/>
      <c r="C144" s="340"/>
      <c r="D144" s="340"/>
      <c r="E144" s="340"/>
      <c r="F144" s="340"/>
      <c r="G144" s="340"/>
      <c r="H144" s="340"/>
      <c r="I144" s="340"/>
      <c r="J144" s="340"/>
      <c r="K144" s="340"/>
      <c r="L144" s="340"/>
      <c r="M144" s="340"/>
      <c r="N144" s="340"/>
      <c r="O144" s="340"/>
      <c r="P144" s="340"/>
      <c r="Q144" s="340"/>
      <c r="R144" s="340"/>
      <c r="S144" s="340"/>
      <c r="T144" s="340"/>
      <c r="U144" s="340"/>
      <c r="V144" s="340"/>
      <c r="W144" s="340"/>
      <c r="X144" s="340"/>
      <c r="Y144" s="340"/>
      <c r="Z144" s="340"/>
    </row>
    <row r="145" spans="1:26" ht="14.25" customHeight="1">
      <c r="A145" s="340"/>
      <c r="B145" s="340"/>
      <c r="C145" s="340"/>
      <c r="D145" s="340"/>
      <c r="E145" s="340"/>
      <c r="F145" s="340"/>
      <c r="G145" s="340"/>
      <c r="H145" s="340"/>
      <c r="I145" s="340"/>
      <c r="J145" s="340"/>
      <c r="K145" s="340"/>
      <c r="L145" s="340"/>
      <c r="M145" s="340"/>
      <c r="N145" s="340"/>
      <c r="O145" s="340"/>
      <c r="P145" s="340"/>
      <c r="Q145" s="340"/>
      <c r="R145" s="340"/>
      <c r="S145" s="340"/>
      <c r="T145" s="340"/>
      <c r="U145" s="340"/>
      <c r="V145" s="340"/>
      <c r="W145" s="340"/>
      <c r="X145" s="340"/>
      <c r="Y145" s="340"/>
      <c r="Z145" s="340"/>
    </row>
    <row r="146" spans="1:26" ht="14.25" customHeight="1">
      <c r="A146" s="340"/>
      <c r="B146" s="340"/>
      <c r="C146" s="340"/>
      <c r="D146" s="340"/>
      <c r="E146" s="340"/>
      <c r="F146" s="340"/>
      <c r="G146" s="340"/>
      <c r="H146" s="340"/>
      <c r="I146" s="340"/>
      <c r="J146" s="340"/>
      <c r="K146" s="340"/>
      <c r="L146" s="340"/>
      <c r="M146" s="340"/>
      <c r="N146" s="340"/>
      <c r="O146" s="340"/>
      <c r="P146" s="340"/>
      <c r="Q146" s="340"/>
      <c r="R146" s="340"/>
      <c r="S146" s="340"/>
      <c r="T146" s="340"/>
      <c r="U146" s="340"/>
      <c r="V146" s="340"/>
      <c r="W146" s="340"/>
      <c r="X146" s="340"/>
      <c r="Y146" s="340"/>
      <c r="Z146" s="340"/>
    </row>
    <row r="147" spans="1:26" ht="14.25" customHeight="1">
      <c r="A147" s="340"/>
      <c r="B147" s="340"/>
      <c r="C147" s="340"/>
      <c r="D147" s="340"/>
      <c r="E147" s="340"/>
      <c r="F147" s="340"/>
      <c r="G147" s="340"/>
      <c r="H147" s="340"/>
      <c r="I147" s="340"/>
      <c r="J147" s="340"/>
      <c r="K147" s="340"/>
      <c r="L147" s="340"/>
      <c r="M147" s="340"/>
      <c r="N147" s="340"/>
      <c r="O147" s="340"/>
      <c r="P147" s="340"/>
      <c r="Q147" s="340"/>
      <c r="R147" s="340"/>
      <c r="S147" s="340"/>
      <c r="T147" s="340"/>
      <c r="U147" s="340"/>
      <c r="V147" s="340"/>
      <c r="W147" s="340"/>
      <c r="X147" s="340"/>
      <c r="Y147" s="340"/>
      <c r="Z147" s="340"/>
    </row>
    <row r="148" spans="1:26" ht="14.25" customHeight="1">
      <c r="A148" s="340"/>
      <c r="B148" s="340"/>
      <c r="C148" s="340"/>
      <c r="D148" s="340"/>
      <c r="E148" s="340"/>
      <c r="F148" s="340"/>
      <c r="G148" s="340"/>
      <c r="H148" s="340"/>
      <c r="I148" s="340"/>
      <c r="J148" s="340"/>
      <c r="K148" s="340"/>
      <c r="L148" s="340"/>
      <c r="M148" s="340"/>
      <c r="N148" s="340"/>
      <c r="O148" s="340"/>
      <c r="P148" s="340"/>
      <c r="Q148" s="340"/>
      <c r="R148" s="340"/>
      <c r="S148" s="340"/>
      <c r="T148" s="340"/>
      <c r="U148" s="340"/>
      <c r="V148" s="340"/>
      <c r="W148" s="340"/>
      <c r="X148" s="340"/>
      <c r="Y148" s="340"/>
      <c r="Z148" s="340"/>
    </row>
    <row r="149" spans="1:26" ht="14.25" customHeight="1">
      <c r="A149" s="340"/>
      <c r="B149" s="340"/>
      <c r="C149" s="340"/>
      <c r="D149" s="340"/>
      <c r="E149" s="340"/>
      <c r="F149" s="340"/>
      <c r="G149" s="340"/>
      <c r="H149" s="340"/>
      <c r="I149" s="340"/>
      <c r="J149" s="340"/>
      <c r="K149" s="340"/>
      <c r="L149" s="340"/>
      <c r="M149" s="340"/>
      <c r="N149" s="340"/>
      <c r="O149" s="340"/>
      <c r="P149" s="340"/>
      <c r="Q149" s="340"/>
      <c r="R149" s="340"/>
      <c r="S149" s="340"/>
      <c r="T149" s="340"/>
      <c r="U149" s="340"/>
      <c r="V149" s="340"/>
      <c r="W149" s="340"/>
      <c r="X149" s="340"/>
      <c r="Y149" s="340"/>
      <c r="Z149" s="340"/>
    </row>
    <row r="150" spans="1:26" ht="14.25" customHeight="1">
      <c r="A150" s="340"/>
      <c r="B150" s="340"/>
      <c r="C150" s="340"/>
      <c r="D150" s="340"/>
      <c r="E150" s="340"/>
      <c r="F150" s="340"/>
      <c r="G150" s="340"/>
      <c r="H150" s="340"/>
      <c r="I150" s="340"/>
      <c r="J150" s="340"/>
      <c r="K150" s="340"/>
      <c r="L150" s="340"/>
      <c r="M150" s="340"/>
      <c r="N150" s="340"/>
      <c r="O150" s="340"/>
      <c r="P150" s="340"/>
      <c r="Q150" s="340"/>
      <c r="R150" s="340"/>
      <c r="S150" s="340"/>
      <c r="T150" s="340"/>
      <c r="U150" s="340"/>
      <c r="V150" s="340"/>
      <c r="W150" s="340"/>
      <c r="X150" s="340"/>
      <c r="Y150" s="340"/>
      <c r="Z150" s="340"/>
    </row>
    <row r="151" spans="1:26" ht="14.25" customHeight="1">
      <c r="A151" s="340"/>
      <c r="B151" s="340"/>
      <c r="C151" s="340"/>
      <c r="D151" s="340"/>
      <c r="E151" s="340"/>
      <c r="F151" s="340"/>
      <c r="G151" s="340"/>
      <c r="H151" s="340"/>
      <c r="I151" s="340"/>
      <c r="J151" s="340"/>
      <c r="K151" s="340"/>
      <c r="L151" s="340"/>
      <c r="M151" s="340"/>
      <c r="N151" s="340"/>
      <c r="O151" s="340"/>
      <c r="P151" s="340"/>
      <c r="Q151" s="340"/>
      <c r="R151" s="340"/>
      <c r="S151" s="340"/>
      <c r="T151" s="340"/>
      <c r="U151" s="340"/>
      <c r="V151" s="340"/>
      <c r="W151" s="340"/>
      <c r="X151" s="340"/>
      <c r="Y151" s="340"/>
      <c r="Z151" s="340"/>
    </row>
    <row r="152" spans="1:26" ht="14.25" customHeight="1">
      <c r="A152" s="340"/>
      <c r="B152" s="340"/>
      <c r="C152" s="340"/>
      <c r="D152" s="340"/>
      <c r="E152" s="340"/>
      <c r="F152" s="340"/>
      <c r="G152" s="340"/>
      <c r="H152" s="340"/>
      <c r="I152" s="340"/>
      <c r="J152" s="340"/>
      <c r="K152" s="340"/>
      <c r="L152" s="340"/>
      <c r="M152" s="340"/>
      <c r="N152" s="340"/>
      <c r="O152" s="340"/>
      <c r="P152" s="340"/>
      <c r="Q152" s="340"/>
      <c r="R152" s="340"/>
      <c r="S152" s="340"/>
      <c r="T152" s="340"/>
      <c r="U152" s="340"/>
      <c r="V152" s="340"/>
      <c r="W152" s="340"/>
      <c r="X152" s="340"/>
      <c r="Y152" s="340"/>
      <c r="Z152" s="340"/>
    </row>
    <row r="153" spans="1:26" ht="14.25" customHeight="1">
      <c r="A153" s="340"/>
      <c r="B153" s="340"/>
      <c r="C153" s="340"/>
      <c r="D153" s="340"/>
      <c r="E153" s="340"/>
      <c r="F153" s="340"/>
      <c r="G153" s="340"/>
      <c r="H153" s="340"/>
      <c r="I153" s="340"/>
      <c r="J153" s="340"/>
      <c r="K153" s="340"/>
      <c r="L153" s="340"/>
      <c r="M153" s="340"/>
      <c r="N153" s="340"/>
      <c r="O153" s="340"/>
      <c r="P153" s="340"/>
      <c r="Q153" s="340"/>
      <c r="R153" s="340"/>
      <c r="S153" s="340"/>
      <c r="T153" s="340"/>
      <c r="U153" s="340"/>
      <c r="V153" s="340"/>
      <c r="W153" s="340"/>
      <c r="X153" s="340"/>
      <c r="Y153" s="340"/>
      <c r="Z153" s="340"/>
    </row>
    <row r="154" spans="1:26" ht="14.25" customHeight="1">
      <c r="A154" s="340"/>
      <c r="B154" s="340"/>
      <c r="C154" s="340"/>
      <c r="D154" s="340"/>
      <c r="E154" s="340"/>
      <c r="F154" s="340"/>
      <c r="G154" s="340"/>
      <c r="H154" s="340"/>
      <c r="I154" s="340"/>
      <c r="J154" s="340"/>
      <c r="K154" s="340"/>
      <c r="L154" s="340"/>
      <c r="M154" s="340"/>
      <c r="N154" s="340"/>
      <c r="O154" s="340"/>
      <c r="P154" s="340"/>
      <c r="Q154" s="340"/>
      <c r="R154" s="340"/>
      <c r="S154" s="340"/>
      <c r="T154" s="340"/>
      <c r="U154" s="340"/>
      <c r="V154" s="340"/>
      <c r="W154" s="340"/>
      <c r="X154" s="340"/>
      <c r="Y154" s="340"/>
      <c r="Z154" s="340"/>
    </row>
    <row r="155" spans="1:26" ht="14.25" customHeight="1">
      <c r="A155" s="340"/>
      <c r="B155" s="340"/>
      <c r="C155" s="340"/>
      <c r="D155" s="340"/>
      <c r="E155" s="340"/>
      <c r="F155" s="340"/>
      <c r="G155" s="340"/>
      <c r="H155" s="340"/>
      <c r="I155" s="340"/>
      <c r="J155" s="340"/>
      <c r="K155" s="340"/>
      <c r="L155" s="340"/>
      <c r="M155" s="340"/>
      <c r="N155" s="340"/>
      <c r="O155" s="340"/>
      <c r="P155" s="340"/>
      <c r="Q155" s="340"/>
      <c r="R155" s="340"/>
      <c r="S155" s="340"/>
      <c r="T155" s="340"/>
      <c r="U155" s="340"/>
      <c r="V155" s="340"/>
      <c r="W155" s="340"/>
      <c r="X155" s="340"/>
      <c r="Y155" s="340"/>
      <c r="Z155" s="340"/>
    </row>
    <row r="156" spans="1:26" ht="14.25" customHeight="1">
      <c r="A156" s="340"/>
      <c r="B156" s="340"/>
      <c r="C156" s="340"/>
      <c r="D156" s="340"/>
      <c r="E156" s="340"/>
      <c r="F156" s="340"/>
      <c r="G156" s="340"/>
      <c r="H156" s="340"/>
      <c r="I156" s="340"/>
      <c r="J156" s="340"/>
      <c r="K156" s="340"/>
      <c r="L156" s="340"/>
      <c r="M156" s="340"/>
      <c r="N156" s="340"/>
      <c r="O156" s="340"/>
      <c r="P156" s="340"/>
      <c r="Q156" s="340"/>
      <c r="R156" s="340"/>
      <c r="S156" s="340"/>
      <c r="T156" s="340"/>
      <c r="U156" s="340"/>
      <c r="V156" s="340"/>
      <c r="W156" s="340"/>
      <c r="X156" s="340"/>
      <c r="Y156" s="340"/>
      <c r="Z156" s="340"/>
    </row>
    <row r="157" spans="1:26" ht="14.25" customHeight="1">
      <c r="A157" s="340"/>
      <c r="B157" s="340"/>
      <c r="C157" s="340"/>
      <c r="D157" s="340"/>
      <c r="E157" s="340"/>
      <c r="F157" s="340"/>
      <c r="G157" s="340"/>
      <c r="H157" s="340"/>
      <c r="I157" s="340"/>
      <c r="J157" s="340"/>
      <c r="K157" s="340"/>
      <c r="L157" s="340"/>
      <c r="M157" s="340"/>
      <c r="N157" s="340"/>
      <c r="O157" s="340"/>
      <c r="P157" s="340"/>
      <c r="Q157" s="340"/>
      <c r="R157" s="340"/>
      <c r="S157" s="340"/>
      <c r="T157" s="340"/>
      <c r="U157" s="340"/>
      <c r="V157" s="340"/>
      <c r="W157" s="340"/>
      <c r="X157" s="340"/>
      <c r="Y157" s="340"/>
      <c r="Z157" s="340"/>
    </row>
    <row r="158" spans="1:26" ht="14.25" customHeight="1">
      <c r="A158" s="340"/>
      <c r="B158" s="340"/>
      <c r="C158" s="340"/>
      <c r="D158" s="340"/>
      <c r="E158" s="340"/>
      <c r="F158" s="340"/>
      <c r="G158" s="340"/>
      <c r="H158" s="340"/>
      <c r="I158" s="340"/>
      <c r="J158" s="340"/>
      <c r="K158" s="340"/>
      <c r="L158" s="340"/>
      <c r="M158" s="340"/>
      <c r="N158" s="340"/>
      <c r="O158" s="340"/>
      <c r="P158" s="340"/>
      <c r="Q158" s="340"/>
      <c r="R158" s="340"/>
      <c r="S158" s="340"/>
      <c r="T158" s="340"/>
      <c r="U158" s="340"/>
      <c r="V158" s="340"/>
      <c r="W158" s="340"/>
      <c r="X158" s="340"/>
      <c r="Y158" s="340"/>
      <c r="Z158" s="340"/>
    </row>
    <row r="159" spans="1:26" ht="14.25" customHeight="1">
      <c r="A159" s="340"/>
      <c r="B159" s="340"/>
      <c r="C159" s="340"/>
      <c r="D159" s="340"/>
      <c r="E159" s="340"/>
      <c r="F159" s="340"/>
      <c r="G159" s="340"/>
      <c r="H159" s="340"/>
      <c r="I159" s="340"/>
      <c r="J159" s="340"/>
      <c r="K159" s="340"/>
      <c r="L159" s="340"/>
      <c r="M159" s="340"/>
      <c r="N159" s="340"/>
      <c r="O159" s="340"/>
      <c r="P159" s="340"/>
      <c r="Q159" s="340"/>
      <c r="R159" s="340"/>
      <c r="S159" s="340"/>
      <c r="T159" s="340"/>
      <c r="U159" s="340"/>
      <c r="V159" s="340"/>
      <c r="W159" s="340"/>
      <c r="X159" s="340"/>
      <c r="Y159" s="340"/>
      <c r="Z159" s="340"/>
    </row>
    <row r="160" spans="1:26" ht="14.25" customHeight="1">
      <c r="A160" s="340"/>
      <c r="B160" s="340"/>
      <c r="C160" s="340"/>
      <c r="D160" s="340"/>
      <c r="E160" s="340"/>
      <c r="F160" s="340"/>
      <c r="G160" s="340"/>
      <c r="H160" s="340"/>
      <c r="I160" s="340"/>
      <c r="J160" s="340"/>
      <c r="K160" s="340"/>
      <c r="L160" s="340"/>
      <c r="M160" s="340"/>
      <c r="N160" s="340"/>
      <c r="O160" s="340"/>
      <c r="P160" s="340"/>
      <c r="Q160" s="340"/>
      <c r="R160" s="340"/>
      <c r="S160" s="340"/>
      <c r="T160" s="340"/>
      <c r="U160" s="340"/>
      <c r="V160" s="340"/>
      <c r="W160" s="340"/>
      <c r="X160" s="340"/>
      <c r="Y160" s="340"/>
      <c r="Z160" s="340"/>
    </row>
    <row r="161" spans="1:26" ht="14.25" customHeight="1">
      <c r="A161" s="340"/>
      <c r="B161" s="340"/>
      <c r="C161" s="340"/>
      <c r="D161" s="340"/>
      <c r="E161" s="340"/>
      <c r="F161" s="340"/>
      <c r="G161" s="340"/>
      <c r="H161" s="340"/>
      <c r="I161" s="340"/>
      <c r="J161" s="340"/>
      <c r="K161" s="340"/>
      <c r="L161" s="340"/>
      <c r="M161" s="340"/>
      <c r="N161" s="340"/>
      <c r="O161" s="340"/>
      <c r="P161" s="340"/>
      <c r="Q161" s="340"/>
      <c r="R161" s="340"/>
      <c r="S161" s="340"/>
      <c r="T161" s="340"/>
      <c r="U161" s="340"/>
      <c r="V161" s="340"/>
      <c r="W161" s="340"/>
      <c r="X161" s="340"/>
      <c r="Y161" s="340"/>
      <c r="Z161" s="340"/>
    </row>
    <row r="162" spans="1:26" ht="14.25" customHeight="1">
      <c r="A162" s="340"/>
      <c r="B162" s="340"/>
      <c r="C162" s="340"/>
      <c r="D162" s="340"/>
      <c r="E162" s="340"/>
      <c r="F162" s="340"/>
      <c r="G162" s="340"/>
      <c r="H162" s="340"/>
      <c r="I162" s="340"/>
      <c r="J162" s="340"/>
      <c r="K162" s="340"/>
      <c r="L162" s="340"/>
      <c r="M162" s="340"/>
      <c r="N162" s="340"/>
      <c r="O162" s="340"/>
      <c r="P162" s="340"/>
      <c r="Q162" s="340"/>
      <c r="R162" s="340"/>
      <c r="S162" s="340"/>
      <c r="T162" s="340"/>
      <c r="U162" s="340"/>
      <c r="V162" s="340"/>
      <c r="W162" s="340"/>
      <c r="X162" s="340"/>
      <c r="Y162" s="340"/>
      <c r="Z162" s="340"/>
    </row>
    <row r="163" spans="1:26" ht="14.25" customHeight="1">
      <c r="A163" s="340"/>
      <c r="B163" s="340"/>
      <c r="C163" s="340"/>
      <c r="D163" s="340"/>
      <c r="E163" s="340"/>
      <c r="F163" s="340"/>
      <c r="G163" s="340"/>
      <c r="H163" s="340"/>
      <c r="I163" s="340"/>
      <c r="J163" s="340"/>
      <c r="K163" s="340"/>
      <c r="L163" s="340"/>
      <c r="M163" s="340"/>
      <c r="N163" s="340"/>
      <c r="O163" s="340"/>
      <c r="P163" s="340"/>
      <c r="Q163" s="340"/>
      <c r="R163" s="340"/>
      <c r="S163" s="340"/>
      <c r="T163" s="340"/>
      <c r="U163" s="340"/>
      <c r="V163" s="340"/>
      <c r="W163" s="340"/>
      <c r="X163" s="340"/>
      <c r="Y163" s="340"/>
      <c r="Z163" s="340"/>
    </row>
    <row r="164" spans="1:26" ht="14.25" customHeight="1">
      <c r="A164" s="340"/>
      <c r="B164" s="340"/>
      <c r="C164" s="340"/>
      <c r="D164" s="340"/>
      <c r="E164" s="340"/>
      <c r="F164" s="340"/>
      <c r="G164" s="340"/>
      <c r="H164" s="340"/>
      <c r="I164" s="340"/>
      <c r="J164" s="340"/>
      <c r="K164" s="340"/>
      <c r="L164" s="340"/>
      <c r="M164" s="340"/>
      <c r="N164" s="340"/>
      <c r="O164" s="340"/>
      <c r="P164" s="340"/>
      <c r="Q164" s="340"/>
      <c r="R164" s="340"/>
      <c r="S164" s="340"/>
      <c r="T164" s="340"/>
      <c r="U164" s="340"/>
      <c r="V164" s="340"/>
      <c r="W164" s="340"/>
      <c r="X164" s="340"/>
      <c r="Y164" s="340"/>
      <c r="Z164" s="340"/>
    </row>
    <row r="165" spans="1:26" ht="14.25" customHeight="1">
      <c r="A165" s="340"/>
      <c r="B165" s="340"/>
      <c r="C165" s="340"/>
      <c r="D165" s="340"/>
      <c r="E165" s="340"/>
      <c r="F165" s="340"/>
      <c r="G165" s="340"/>
      <c r="H165" s="340"/>
      <c r="I165" s="340"/>
      <c r="J165" s="340"/>
      <c r="K165" s="340"/>
      <c r="L165" s="340"/>
      <c r="M165" s="340"/>
      <c r="N165" s="340"/>
      <c r="O165" s="340"/>
      <c r="P165" s="340"/>
      <c r="Q165" s="340"/>
      <c r="R165" s="340"/>
      <c r="S165" s="340"/>
      <c r="T165" s="340"/>
      <c r="U165" s="340"/>
      <c r="V165" s="340"/>
      <c r="W165" s="340"/>
      <c r="X165" s="340"/>
      <c r="Y165" s="340"/>
      <c r="Z165" s="340"/>
    </row>
    <row r="166" spans="1:26" ht="14.25" customHeight="1">
      <c r="A166" s="340"/>
      <c r="B166" s="340"/>
      <c r="C166" s="340"/>
      <c r="D166" s="340"/>
      <c r="E166" s="340"/>
      <c r="F166" s="340"/>
      <c r="G166" s="340"/>
      <c r="H166" s="340"/>
      <c r="I166" s="340"/>
      <c r="J166" s="340"/>
      <c r="K166" s="340"/>
      <c r="L166" s="340"/>
      <c r="M166" s="340"/>
      <c r="N166" s="340"/>
      <c r="O166" s="340"/>
      <c r="P166" s="340"/>
      <c r="Q166" s="340"/>
      <c r="R166" s="340"/>
      <c r="S166" s="340"/>
      <c r="T166" s="340"/>
      <c r="U166" s="340"/>
      <c r="V166" s="340"/>
      <c r="W166" s="340"/>
      <c r="X166" s="340"/>
      <c r="Y166" s="340"/>
      <c r="Z166" s="340"/>
    </row>
    <row r="167" spans="1:26" ht="14.25" customHeight="1">
      <c r="A167" s="340"/>
      <c r="B167" s="340"/>
      <c r="C167" s="340"/>
      <c r="D167" s="340"/>
      <c r="E167" s="340"/>
      <c r="F167" s="340"/>
      <c r="G167" s="340"/>
      <c r="H167" s="340"/>
      <c r="I167" s="340"/>
      <c r="J167" s="340"/>
      <c r="K167" s="340"/>
      <c r="L167" s="340"/>
      <c r="M167" s="340"/>
      <c r="N167" s="340"/>
      <c r="O167" s="340"/>
      <c r="P167" s="340"/>
      <c r="Q167" s="340"/>
      <c r="R167" s="340"/>
      <c r="S167" s="340"/>
      <c r="T167" s="340"/>
      <c r="U167" s="340"/>
      <c r="V167" s="340"/>
      <c r="W167" s="340"/>
      <c r="X167" s="340"/>
      <c r="Y167" s="340"/>
      <c r="Z167" s="340"/>
    </row>
    <row r="168" spans="1:26" ht="14.25" customHeight="1">
      <c r="A168" s="340"/>
      <c r="B168" s="340"/>
      <c r="C168" s="340"/>
      <c r="D168" s="340"/>
      <c r="E168" s="340"/>
      <c r="F168" s="340"/>
      <c r="G168" s="340"/>
      <c r="H168" s="340"/>
      <c r="I168" s="340"/>
      <c r="J168" s="340"/>
      <c r="K168" s="340"/>
      <c r="L168" s="340"/>
      <c r="M168" s="340"/>
      <c r="N168" s="340"/>
      <c r="O168" s="340"/>
      <c r="P168" s="340"/>
      <c r="Q168" s="340"/>
      <c r="R168" s="340"/>
      <c r="S168" s="340"/>
      <c r="T168" s="340"/>
      <c r="U168" s="340"/>
      <c r="V168" s="340"/>
      <c r="W168" s="340"/>
      <c r="X168" s="340"/>
      <c r="Y168" s="340"/>
      <c r="Z168" s="340"/>
    </row>
    <row r="169" spans="1:26" ht="14.25" customHeight="1">
      <c r="A169" s="340"/>
      <c r="B169" s="340"/>
      <c r="C169" s="340"/>
      <c r="D169" s="340"/>
      <c r="E169" s="340"/>
      <c r="F169" s="340"/>
      <c r="G169" s="340"/>
      <c r="H169" s="340"/>
      <c r="I169" s="340"/>
      <c r="J169" s="340"/>
      <c r="K169" s="340"/>
      <c r="L169" s="340"/>
      <c r="M169" s="340"/>
      <c r="N169" s="340"/>
      <c r="O169" s="340"/>
      <c r="P169" s="340"/>
      <c r="Q169" s="340"/>
      <c r="R169" s="340"/>
      <c r="S169" s="340"/>
      <c r="T169" s="340"/>
      <c r="U169" s="340"/>
      <c r="V169" s="340"/>
      <c r="W169" s="340"/>
      <c r="X169" s="340"/>
      <c r="Y169" s="340"/>
      <c r="Z169" s="340"/>
    </row>
    <row r="170" spans="1:26" ht="14.25" customHeight="1">
      <c r="A170" s="340"/>
      <c r="B170" s="340"/>
      <c r="C170" s="340"/>
      <c r="D170" s="340"/>
      <c r="E170" s="340"/>
      <c r="F170" s="340"/>
      <c r="G170" s="340"/>
      <c r="H170" s="340"/>
      <c r="I170" s="340"/>
      <c r="J170" s="340"/>
      <c r="K170" s="340"/>
      <c r="L170" s="340"/>
      <c r="M170" s="340"/>
      <c r="N170" s="340"/>
      <c r="O170" s="340"/>
      <c r="P170" s="340"/>
      <c r="Q170" s="340"/>
      <c r="R170" s="340"/>
      <c r="S170" s="340"/>
      <c r="T170" s="340"/>
      <c r="U170" s="340"/>
      <c r="V170" s="340"/>
      <c r="W170" s="340"/>
      <c r="X170" s="340"/>
      <c r="Y170" s="340"/>
      <c r="Z170" s="340"/>
    </row>
    <row r="171" spans="1:26" ht="14.25" customHeight="1">
      <c r="A171" s="340"/>
      <c r="B171" s="340"/>
      <c r="C171" s="340"/>
      <c r="D171" s="340"/>
      <c r="E171" s="340"/>
      <c r="F171" s="340"/>
      <c r="G171" s="340"/>
      <c r="H171" s="340"/>
      <c r="I171" s="340"/>
      <c r="J171" s="340"/>
      <c r="K171" s="340"/>
      <c r="L171" s="340"/>
      <c r="M171" s="340"/>
      <c r="N171" s="340"/>
      <c r="O171" s="340"/>
      <c r="P171" s="340"/>
      <c r="Q171" s="340"/>
      <c r="R171" s="340"/>
      <c r="S171" s="340"/>
      <c r="T171" s="340"/>
      <c r="U171" s="340"/>
      <c r="V171" s="340"/>
      <c r="W171" s="340"/>
      <c r="X171" s="340"/>
      <c r="Y171" s="340"/>
      <c r="Z171" s="340"/>
    </row>
    <row r="172" spans="1:26" ht="14.25" customHeight="1">
      <c r="A172" s="340"/>
      <c r="B172" s="340"/>
      <c r="C172" s="340"/>
      <c r="D172" s="340"/>
      <c r="E172" s="340"/>
      <c r="F172" s="340"/>
      <c r="G172" s="340"/>
      <c r="H172" s="340"/>
      <c r="I172" s="340"/>
      <c r="J172" s="340"/>
      <c r="K172" s="340"/>
      <c r="L172" s="340"/>
      <c r="M172" s="340"/>
      <c r="N172" s="340"/>
      <c r="O172" s="340"/>
      <c r="P172" s="340"/>
      <c r="Q172" s="340"/>
      <c r="R172" s="340"/>
      <c r="S172" s="340"/>
      <c r="T172" s="340"/>
      <c r="U172" s="340"/>
      <c r="V172" s="340"/>
      <c r="W172" s="340"/>
      <c r="X172" s="340"/>
      <c r="Y172" s="340"/>
      <c r="Z172" s="340"/>
    </row>
    <row r="173" spans="1:26" ht="14.25" customHeight="1">
      <c r="A173" s="340"/>
      <c r="B173" s="340"/>
      <c r="C173" s="340"/>
      <c r="D173" s="340"/>
      <c r="E173" s="340"/>
      <c r="F173" s="340"/>
      <c r="G173" s="340"/>
      <c r="H173" s="340"/>
      <c r="I173" s="340"/>
      <c r="J173" s="340"/>
      <c r="K173" s="340"/>
      <c r="L173" s="340"/>
      <c r="M173" s="340"/>
      <c r="N173" s="340"/>
      <c r="O173" s="340"/>
      <c r="P173" s="340"/>
      <c r="Q173" s="340"/>
      <c r="R173" s="340"/>
      <c r="S173" s="340"/>
      <c r="T173" s="340"/>
      <c r="U173" s="340"/>
      <c r="V173" s="340"/>
      <c r="W173" s="340"/>
      <c r="X173" s="340"/>
      <c r="Y173" s="340"/>
      <c r="Z173" s="340"/>
    </row>
    <row r="174" spans="1:26" ht="14.25" customHeight="1">
      <c r="A174" s="340"/>
      <c r="B174" s="340"/>
      <c r="C174" s="340"/>
      <c r="D174" s="340"/>
      <c r="E174" s="340"/>
      <c r="F174" s="340"/>
      <c r="G174" s="340"/>
      <c r="H174" s="340"/>
      <c r="I174" s="340"/>
      <c r="J174" s="340"/>
      <c r="K174" s="340"/>
      <c r="L174" s="340"/>
      <c r="M174" s="340"/>
      <c r="N174" s="340"/>
      <c r="O174" s="340"/>
      <c r="P174" s="340"/>
      <c r="Q174" s="340"/>
      <c r="R174" s="340"/>
      <c r="S174" s="340"/>
      <c r="T174" s="340"/>
      <c r="U174" s="340"/>
      <c r="V174" s="340"/>
      <c r="W174" s="340"/>
      <c r="X174" s="340"/>
      <c r="Y174" s="340"/>
      <c r="Z174" s="340"/>
    </row>
    <row r="175" spans="1:26" ht="14.25" customHeight="1">
      <c r="A175" s="340"/>
      <c r="B175" s="340"/>
      <c r="C175" s="340"/>
      <c r="D175" s="340"/>
      <c r="E175" s="340"/>
      <c r="F175" s="340"/>
      <c r="G175" s="340"/>
      <c r="H175" s="340"/>
      <c r="I175" s="340"/>
      <c r="J175" s="340"/>
      <c r="K175" s="340"/>
      <c r="L175" s="340"/>
      <c r="M175" s="340"/>
      <c r="N175" s="340"/>
      <c r="O175" s="340"/>
      <c r="P175" s="340"/>
      <c r="Q175" s="340"/>
      <c r="R175" s="340"/>
      <c r="S175" s="340"/>
      <c r="T175" s="340"/>
      <c r="U175" s="340"/>
      <c r="V175" s="340"/>
      <c r="W175" s="340"/>
      <c r="X175" s="340"/>
      <c r="Y175" s="340"/>
      <c r="Z175" s="340"/>
    </row>
    <row r="176" spans="1:26" ht="14.25" customHeight="1">
      <c r="A176" s="340"/>
      <c r="B176" s="340"/>
      <c r="C176" s="340"/>
      <c r="D176" s="340"/>
      <c r="E176" s="340"/>
      <c r="F176" s="340"/>
      <c r="G176" s="340"/>
      <c r="H176" s="340"/>
      <c r="I176" s="340"/>
      <c r="J176" s="340"/>
      <c r="K176" s="340"/>
      <c r="L176" s="340"/>
      <c r="M176" s="340"/>
      <c r="N176" s="340"/>
      <c r="O176" s="340"/>
      <c r="P176" s="340"/>
      <c r="Q176" s="340"/>
      <c r="R176" s="340"/>
      <c r="S176" s="340"/>
      <c r="T176" s="340"/>
      <c r="U176" s="340"/>
      <c r="V176" s="340"/>
      <c r="W176" s="340"/>
      <c r="X176" s="340"/>
      <c r="Y176" s="340"/>
      <c r="Z176" s="340"/>
    </row>
    <row r="177" spans="1:26" ht="14.25" customHeight="1">
      <c r="A177" s="340"/>
      <c r="B177" s="340"/>
      <c r="C177" s="340"/>
      <c r="D177" s="340"/>
      <c r="E177" s="340"/>
      <c r="F177" s="340"/>
      <c r="G177" s="340"/>
      <c r="H177" s="340"/>
      <c r="I177" s="340"/>
      <c r="J177" s="340"/>
      <c r="K177" s="340"/>
      <c r="L177" s="340"/>
      <c r="M177" s="340"/>
      <c r="N177" s="340"/>
      <c r="O177" s="340"/>
      <c r="P177" s="340"/>
      <c r="Q177" s="340"/>
      <c r="R177" s="340"/>
      <c r="S177" s="340"/>
      <c r="T177" s="340"/>
      <c r="U177" s="340"/>
      <c r="V177" s="340"/>
      <c r="W177" s="340"/>
      <c r="X177" s="340"/>
      <c r="Y177" s="340"/>
      <c r="Z177" s="340"/>
    </row>
    <row r="178" spans="1:26" ht="14.25" customHeight="1">
      <c r="A178" s="340"/>
      <c r="B178" s="340"/>
      <c r="C178" s="340"/>
      <c r="D178" s="340"/>
      <c r="E178" s="340"/>
      <c r="F178" s="340"/>
      <c r="G178" s="340"/>
      <c r="H178" s="340"/>
      <c r="I178" s="340"/>
      <c r="J178" s="340"/>
      <c r="K178" s="340"/>
      <c r="L178" s="340"/>
      <c r="M178" s="340"/>
      <c r="N178" s="340"/>
      <c r="O178" s="340"/>
      <c r="P178" s="340"/>
      <c r="Q178" s="340"/>
      <c r="R178" s="340"/>
      <c r="S178" s="340"/>
      <c r="T178" s="340"/>
      <c r="U178" s="340"/>
      <c r="V178" s="340"/>
      <c r="W178" s="340"/>
      <c r="X178" s="340"/>
      <c r="Y178" s="340"/>
      <c r="Z178" s="340"/>
    </row>
    <row r="179" spans="1:26" ht="14.25" customHeight="1">
      <c r="A179" s="340"/>
      <c r="B179" s="340"/>
      <c r="C179" s="340"/>
      <c r="D179" s="340"/>
      <c r="E179" s="340"/>
      <c r="F179" s="340"/>
      <c r="G179" s="340"/>
      <c r="H179" s="340"/>
      <c r="I179" s="340"/>
      <c r="J179" s="340"/>
      <c r="K179" s="340"/>
      <c r="L179" s="340"/>
      <c r="M179" s="340"/>
      <c r="N179" s="340"/>
      <c r="O179" s="340"/>
      <c r="P179" s="340"/>
      <c r="Q179" s="340"/>
      <c r="R179" s="340"/>
      <c r="S179" s="340"/>
      <c r="T179" s="340"/>
      <c r="U179" s="340"/>
      <c r="V179" s="340"/>
      <c r="W179" s="340"/>
      <c r="X179" s="340"/>
      <c r="Y179" s="340"/>
      <c r="Z179" s="340"/>
    </row>
    <row r="180" spans="1:26" ht="14.25" customHeight="1">
      <c r="A180" s="340"/>
      <c r="B180" s="340"/>
      <c r="C180" s="340"/>
      <c r="D180" s="340"/>
      <c r="E180" s="340"/>
      <c r="F180" s="340"/>
      <c r="G180" s="340"/>
      <c r="H180" s="340"/>
      <c r="I180" s="340"/>
      <c r="J180" s="340"/>
      <c r="K180" s="340"/>
      <c r="L180" s="340"/>
      <c r="M180" s="340"/>
      <c r="N180" s="340"/>
      <c r="O180" s="340"/>
      <c r="P180" s="340"/>
      <c r="Q180" s="340"/>
      <c r="R180" s="340"/>
      <c r="S180" s="340"/>
      <c r="T180" s="340"/>
      <c r="U180" s="340"/>
      <c r="V180" s="340"/>
      <c r="W180" s="340"/>
      <c r="X180" s="340"/>
      <c r="Y180" s="340"/>
      <c r="Z180" s="340"/>
    </row>
    <row r="181" spans="1:26" ht="14.25" customHeight="1">
      <c r="A181" s="340"/>
      <c r="B181" s="340"/>
      <c r="C181" s="340"/>
      <c r="D181" s="340"/>
      <c r="E181" s="340"/>
      <c r="F181" s="340"/>
      <c r="G181" s="340"/>
      <c r="H181" s="340"/>
      <c r="I181" s="340"/>
      <c r="J181" s="340"/>
      <c r="K181" s="340"/>
      <c r="L181" s="340"/>
      <c r="M181" s="340"/>
      <c r="N181" s="340"/>
      <c r="O181" s="340"/>
      <c r="P181" s="340"/>
      <c r="Q181" s="340"/>
      <c r="R181" s="340"/>
      <c r="S181" s="340"/>
      <c r="T181" s="340"/>
      <c r="U181" s="340"/>
      <c r="V181" s="340"/>
      <c r="W181" s="340"/>
      <c r="X181" s="340"/>
      <c r="Y181" s="340"/>
      <c r="Z181" s="340"/>
    </row>
    <row r="182" spans="1:26" ht="14.25" customHeight="1">
      <c r="A182" s="340"/>
      <c r="B182" s="340"/>
      <c r="C182" s="340"/>
      <c r="D182" s="340"/>
      <c r="E182" s="340"/>
      <c r="F182" s="340"/>
      <c r="G182" s="340"/>
      <c r="H182" s="340"/>
      <c r="I182" s="340"/>
      <c r="J182" s="340"/>
      <c r="K182" s="340"/>
      <c r="L182" s="340"/>
      <c r="M182" s="340"/>
      <c r="N182" s="340"/>
      <c r="O182" s="340"/>
      <c r="P182" s="340"/>
      <c r="Q182" s="340"/>
      <c r="R182" s="340"/>
      <c r="S182" s="340"/>
      <c r="T182" s="340"/>
      <c r="U182" s="340"/>
      <c r="V182" s="340"/>
      <c r="W182" s="340"/>
      <c r="X182" s="340"/>
      <c r="Y182" s="340"/>
      <c r="Z182" s="340"/>
    </row>
    <row r="183" spans="1:26" ht="14.25" customHeight="1">
      <c r="A183" s="340"/>
      <c r="B183" s="340"/>
      <c r="C183" s="340"/>
      <c r="D183" s="340"/>
      <c r="E183" s="340"/>
      <c r="F183" s="340"/>
      <c r="G183" s="340"/>
      <c r="H183" s="340"/>
      <c r="I183" s="340"/>
      <c r="J183" s="340"/>
      <c r="K183" s="340"/>
      <c r="L183" s="340"/>
      <c r="M183" s="340"/>
      <c r="N183" s="340"/>
      <c r="O183" s="340"/>
      <c r="P183" s="340"/>
      <c r="Q183" s="340"/>
      <c r="R183" s="340"/>
      <c r="S183" s="340"/>
      <c r="T183" s="340"/>
      <c r="U183" s="340"/>
      <c r="V183" s="340"/>
      <c r="W183" s="340"/>
      <c r="X183" s="340"/>
      <c r="Y183" s="340"/>
      <c r="Z183" s="340"/>
    </row>
    <row r="184" spans="1:26" ht="14.25" customHeight="1">
      <c r="A184" s="340"/>
      <c r="B184" s="340"/>
      <c r="C184" s="340"/>
      <c r="D184" s="340"/>
      <c r="E184" s="340"/>
      <c r="F184" s="340"/>
      <c r="G184" s="340"/>
      <c r="H184" s="340"/>
      <c r="I184" s="340"/>
      <c r="J184" s="340"/>
      <c r="K184" s="340"/>
      <c r="L184" s="340"/>
      <c r="M184" s="340"/>
      <c r="N184" s="340"/>
      <c r="O184" s="340"/>
      <c r="P184" s="340"/>
      <c r="Q184" s="340"/>
      <c r="R184" s="340"/>
      <c r="S184" s="340"/>
      <c r="T184" s="340"/>
      <c r="U184" s="340"/>
      <c r="V184" s="340"/>
      <c r="W184" s="340"/>
      <c r="X184" s="340"/>
      <c r="Y184" s="340"/>
      <c r="Z184" s="340"/>
    </row>
    <row r="185" spans="1:26" ht="14.25" customHeight="1">
      <c r="A185" s="340"/>
      <c r="B185" s="340"/>
      <c r="C185" s="340"/>
      <c r="D185" s="340"/>
      <c r="E185" s="340"/>
      <c r="F185" s="340"/>
      <c r="G185" s="340"/>
      <c r="H185" s="340"/>
      <c r="I185" s="340"/>
      <c r="J185" s="340"/>
      <c r="K185" s="340"/>
      <c r="L185" s="340"/>
      <c r="M185" s="340"/>
      <c r="N185" s="340"/>
      <c r="O185" s="340"/>
      <c r="P185" s="340"/>
      <c r="Q185" s="340"/>
      <c r="R185" s="340"/>
      <c r="S185" s="340"/>
      <c r="T185" s="340"/>
      <c r="U185" s="340"/>
      <c r="V185" s="340"/>
      <c r="W185" s="340"/>
      <c r="X185" s="340"/>
      <c r="Y185" s="340"/>
      <c r="Z185" s="340"/>
    </row>
    <row r="186" spans="1:26" ht="14.25" customHeight="1">
      <c r="A186" s="340"/>
      <c r="B186" s="340"/>
      <c r="C186" s="340"/>
      <c r="D186" s="340"/>
      <c r="E186" s="340"/>
      <c r="F186" s="340"/>
      <c r="G186" s="340"/>
      <c r="H186" s="340"/>
      <c r="I186" s="340"/>
      <c r="J186" s="340"/>
      <c r="K186" s="340"/>
      <c r="L186" s="340"/>
      <c r="M186" s="340"/>
      <c r="N186" s="340"/>
      <c r="O186" s="340"/>
      <c r="P186" s="340"/>
      <c r="Q186" s="340"/>
      <c r="R186" s="340"/>
      <c r="S186" s="340"/>
      <c r="T186" s="340"/>
      <c r="U186" s="340"/>
      <c r="V186" s="340"/>
      <c r="W186" s="340"/>
      <c r="X186" s="340"/>
      <c r="Y186" s="340"/>
      <c r="Z186" s="340"/>
    </row>
    <row r="187" spans="1:26" ht="14.25" customHeight="1">
      <c r="A187" s="340"/>
      <c r="B187" s="340"/>
      <c r="C187" s="340"/>
      <c r="D187" s="340"/>
      <c r="E187" s="340"/>
      <c r="F187" s="340"/>
      <c r="G187" s="340"/>
      <c r="H187" s="340"/>
      <c r="I187" s="340"/>
      <c r="J187" s="340"/>
      <c r="K187" s="340"/>
      <c r="L187" s="340"/>
      <c r="M187" s="340"/>
      <c r="N187" s="340"/>
      <c r="O187" s="340"/>
      <c r="P187" s="340"/>
      <c r="Q187" s="340"/>
      <c r="R187" s="340"/>
      <c r="S187" s="340"/>
      <c r="T187" s="340"/>
      <c r="U187" s="340"/>
      <c r="V187" s="340"/>
      <c r="W187" s="340"/>
      <c r="X187" s="340"/>
      <c r="Y187" s="340"/>
      <c r="Z187" s="340"/>
    </row>
    <row r="188" spans="1:26" ht="14.25" customHeight="1">
      <c r="A188" s="340"/>
      <c r="B188" s="340"/>
      <c r="C188" s="340"/>
      <c r="D188" s="340"/>
      <c r="E188" s="340"/>
      <c r="F188" s="340"/>
      <c r="G188" s="340"/>
      <c r="H188" s="340"/>
      <c r="I188" s="340"/>
      <c r="J188" s="340"/>
      <c r="K188" s="340"/>
      <c r="L188" s="340"/>
      <c r="M188" s="340"/>
      <c r="N188" s="340"/>
      <c r="O188" s="340"/>
      <c r="P188" s="340"/>
      <c r="Q188" s="340"/>
      <c r="R188" s="340"/>
      <c r="S188" s="340"/>
      <c r="T188" s="340"/>
      <c r="U188" s="340"/>
      <c r="V188" s="340"/>
      <c r="W188" s="340"/>
      <c r="X188" s="340"/>
      <c r="Y188" s="340"/>
      <c r="Z188" s="340"/>
    </row>
    <row r="189" spans="1:26" ht="14.25" customHeight="1">
      <c r="A189" s="340"/>
      <c r="B189" s="340"/>
      <c r="C189" s="340"/>
      <c r="D189" s="340"/>
      <c r="E189" s="340"/>
      <c r="F189" s="340"/>
      <c r="G189" s="340"/>
      <c r="H189" s="340"/>
      <c r="I189" s="340"/>
      <c r="J189" s="340"/>
      <c r="K189" s="340"/>
      <c r="L189" s="340"/>
      <c r="M189" s="340"/>
      <c r="N189" s="340"/>
      <c r="O189" s="340"/>
      <c r="P189" s="340"/>
      <c r="Q189" s="340"/>
      <c r="R189" s="340"/>
      <c r="S189" s="340"/>
      <c r="T189" s="340"/>
      <c r="U189" s="340"/>
      <c r="V189" s="340"/>
      <c r="W189" s="340"/>
      <c r="X189" s="340"/>
      <c r="Y189" s="340"/>
      <c r="Z189" s="340"/>
    </row>
    <row r="190" spans="1:26" ht="14.25" customHeight="1">
      <c r="A190" s="340"/>
      <c r="B190" s="340"/>
      <c r="C190" s="340"/>
      <c r="D190" s="340"/>
      <c r="E190" s="340"/>
      <c r="F190" s="340"/>
      <c r="G190" s="340"/>
      <c r="H190" s="340"/>
      <c r="I190" s="340"/>
      <c r="J190" s="340"/>
      <c r="K190" s="340"/>
      <c r="L190" s="340"/>
      <c r="M190" s="340"/>
      <c r="N190" s="340"/>
      <c r="O190" s="340"/>
      <c r="P190" s="340"/>
      <c r="Q190" s="340"/>
      <c r="R190" s="340"/>
      <c r="S190" s="340"/>
      <c r="T190" s="340"/>
      <c r="U190" s="340"/>
      <c r="V190" s="340"/>
      <c r="W190" s="340"/>
      <c r="X190" s="340"/>
      <c r="Y190" s="340"/>
      <c r="Z190" s="340"/>
    </row>
    <row r="191" spans="1:26" ht="14.25" customHeight="1">
      <c r="A191" s="340"/>
      <c r="B191" s="340"/>
      <c r="C191" s="340"/>
      <c r="D191" s="340"/>
      <c r="E191" s="340"/>
      <c r="F191" s="340"/>
      <c r="G191" s="340"/>
      <c r="H191" s="340"/>
      <c r="I191" s="340"/>
      <c r="J191" s="340"/>
      <c r="K191" s="340"/>
      <c r="L191" s="340"/>
      <c r="M191" s="340"/>
      <c r="N191" s="340"/>
      <c r="O191" s="340"/>
      <c r="P191" s="340"/>
      <c r="Q191" s="340"/>
      <c r="R191" s="340"/>
      <c r="S191" s="340"/>
      <c r="T191" s="340"/>
      <c r="U191" s="340"/>
      <c r="V191" s="340"/>
      <c r="W191" s="340"/>
      <c r="X191" s="340"/>
      <c r="Y191" s="340"/>
      <c r="Z191" s="340"/>
    </row>
    <row r="192" spans="1:26" ht="14.25" customHeight="1">
      <c r="A192" s="340"/>
      <c r="B192" s="340"/>
      <c r="C192" s="340"/>
      <c r="D192" s="340"/>
      <c r="E192" s="340"/>
      <c r="F192" s="340"/>
      <c r="G192" s="340"/>
      <c r="H192" s="340"/>
      <c r="I192" s="340"/>
      <c r="J192" s="340"/>
      <c r="K192" s="340"/>
      <c r="L192" s="340"/>
      <c r="M192" s="340"/>
      <c r="N192" s="340"/>
      <c r="O192" s="340"/>
      <c r="P192" s="340"/>
      <c r="Q192" s="340"/>
      <c r="R192" s="340"/>
      <c r="S192" s="340"/>
      <c r="T192" s="340"/>
      <c r="U192" s="340"/>
      <c r="V192" s="340"/>
      <c r="W192" s="340"/>
      <c r="X192" s="340"/>
      <c r="Y192" s="340"/>
      <c r="Z192" s="340"/>
    </row>
    <row r="193" spans="1:26" ht="14.25" customHeight="1">
      <c r="A193" s="340"/>
      <c r="B193" s="340"/>
      <c r="C193" s="340"/>
      <c r="D193" s="340"/>
      <c r="E193" s="340"/>
      <c r="F193" s="340"/>
      <c r="G193" s="340"/>
      <c r="H193" s="340"/>
      <c r="I193" s="340"/>
      <c r="J193" s="340"/>
      <c r="K193" s="340"/>
      <c r="L193" s="340"/>
      <c r="M193" s="340"/>
      <c r="N193" s="340"/>
      <c r="O193" s="340"/>
      <c r="P193" s="340"/>
      <c r="Q193" s="340"/>
      <c r="R193" s="340"/>
      <c r="S193" s="340"/>
      <c r="T193" s="340"/>
      <c r="U193" s="340"/>
      <c r="V193" s="340"/>
      <c r="W193" s="340"/>
      <c r="X193" s="340"/>
      <c r="Y193" s="340"/>
      <c r="Z193" s="340"/>
    </row>
    <row r="194" spans="1:26" ht="14.25" customHeight="1">
      <c r="A194" s="340"/>
      <c r="B194" s="340"/>
      <c r="C194" s="340"/>
      <c r="D194" s="340"/>
      <c r="E194" s="340"/>
      <c r="F194" s="340"/>
      <c r="G194" s="340"/>
      <c r="H194" s="340"/>
      <c r="I194" s="340"/>
      <c r="J194" s="340"/>
      <c r="K194" s="340"/>
      <c r="L194" s="340"/>
      <c r="M194" s="340"/>
      <c r="N194" s="340"/>
      <c r="O194" s="340"/>
      <c r="P194" s="340"/>
      <c r="Q194" s="340"/>
      <c r="R194" s="340"/>
      <c r="S194" s="340"/>
      <c r="T194" s="340"/>
      <c r="U194" s="340"/>
      <c r="V194" s="340"/>
      <c r="W194" s="340"/>
      <c r="X194" s="340"/>
      <c r="Y194" s="340"/>
      <c r="Z194" s="340"/>
    </row>
    <row r="195" spans="1:26" ht="14.25" customHeight="1">
      <c r="A195" s="340"/>
      <c r="B195" s="340"/>
      <c r="C195" s="340"/>
      <c r="D195" s="340"/>
      <c r="E195" s="340"/>
      <c r="F195" s="340"/>
      <c r="G195" s="340"/>
      <c r="H195" s="340"/>
      <c r="I195" s="340"/>
      <c r="J195" s="340"/>
      <c r="K195" s="340"/>
      <c r="L195" s="340"/>
      <c r="M195" s="340"/>
      <c r="N195" s="340"/>
      <c r="O195" s="340"/>
      <c r="P195" s="340"/>
      <c r="Q195" s="340"/>
      <c r="R195" s="340"/>
      <c r="S195" s="340"/>
      <c r="T195" s="340"/>
      <c r="U195" s="340"/>
      <c r="V195" s="340"/>
      <c r="W195" s="340"/>
      <c r="X195" s="340"/>
      <c r="Y195" s="340"/>
      <c r="Z195" s="340"/>
    </row>
    <row r="196" spans="1:26" ht="14.25" customHeight="1">
      <c r="A196" s="340"/>
      <c r="B196" s="340"/>
      <c r="C196" s="340"/>
      <c r="D196" s="340"/>
      <c r="E196" s="340"/>
      <c r="F196" s="340"/>
      <c r="G196" s="340"/>
      <c r="H196" s="340"/>
      <c r="I196" s="340"/>
      <c r="J196" s="340"/>
      <c r="K196" s="340"/>
      <c r="L196" s="340"/>
      <c r="M196" s="340"/>
      <c r="N196" s="340"/>
      <c r="O196" s="340"/>
      <c r="P196" s="340"/>
      <c r="Q196" s="340"/>
      <c r="R196" s="340"/>
      <c r="S196" s="340"/>
      <c r="T196" s="340"/>
      <c r="U196" s="340"/>
      <c r="V196" s="340"/>
      <c r="W196" s="340"/>
      <c r="X196" s="340"/>
      <c r="Y196" s="340"/>
      <c r="Z196" s="340"/>
    </row>
    <row r="197" spans="1:26" ht="14.25" customHeight="1">
      <c r="A197" s="340"/>
      <c r="B197" s="340"/>
      <c r="C197" s="340"/>
      <c r="D197" s="340"/>
      <c r="E197" s="340"/>
      <c r="F197" s="340"/>
      <c r="G197" s="340"/>
      <c r="H197" s="340"/>
      <c r="I197" s="340"/>
      <c r="J197" s="340"/>
      <c r="K197" s="340"/>
      <c r="L197" s="340"/>
      <c r="M197" s="340"/>
      <c r="N197" s="340"/>
      <c r="O197" s="340"/>
      <c r="P197" s="340"/>
      <c r="Q197" s="340"/>
      <c r="R197" s="340"/>
      <c r="S197" s="340"/>
      <c r="T197" s="340"/>
      <c r="U197" s="340"/>
      <c r="V197" s="340"/>
      <c r="W197" s="340"/>
      <c r="X197" s="340"/>
      <c r="Y197" s="340"/>
      <c r="Z197" s="340"/>
    </row>
    <row r="198" spans="1:26" ht="14.25" customHeight="1">
      <c r="A198" s="340"/>
      <c r="B198" s="340"/>
      <c r="C198" s="340"/>
      <c r="D198" s="340"/>
      <c r="E198" s="340"/>
      <c r="F198" s="340"/>
      <c r="G198" s="340"/>
      <c r="H198" s="340"/>
      <c r="I198" s="340"/>
      <c r="J198" s="340"/>
      <c r="K198" s="340"/>
      <c r="L198" s="340"/>
      <c r="M198" s="340"/>
      <c r="N198" s="340"/>
      <c r="O198" s="340"/>
      <c r="P198" s="340"/>
      <c r="Q198" s="340"/>
      <c r="R198" s="340"/>
      <c r="S198" s="340"/>
      <c r="T198" s="340"/>
      <c r="U198" s="340"/>
      <c r="V198" s="340"/>
      <c r="W198" s="340"/>
      <c r="X198" s="340"/>
      <c r="Y198" s="340"/>
      <c r="Z198" s="340"/>
    </row>
    <row r="199" spans="1:26" ht="14.25" customHeight="1">
      <c r="A199" s="340"/>
      <c r="B199" s="340"/>
      <c r="C199" s="340"/>
      <c r="D199" s="340"/>
      <c r="E199" s="340"/>
      <c r="F199" s="340"/>
      <c r="G199" s="340"/>
      <c r="H199" s="340"/>
      <c r="I199" s="340"/>
      <c r="J199" s="340"/>
      <c r="K199" s="340"/>
      <c r="L199" s="340"/>
      <c r="M199" s="340"/>
      <c r="N199" s="340"/>
      <c r="O199" s="340"/>
      <c r="P199" s="340"/>
      <c r="Q199" s="340"/>
      <c r="R199" s="340"/>
      <c r="S199" s="340"/>
      <c r="T199" s="340"/>
      <c r="U199" s="340"/>
      <c r="V199" s="340"/>
      <c r="W199" s="340"/>
      <c r="X199" s="340"/>
      <c r="Y199" s="340"/>
      <c r="Z199" s="340"/>
    </row>
    <row r="200" spans="1:26" ht="14.25" customHeight="1">
      <c r="A200" s="340"/>
      <c r="B200" s="340"/>
      <c r="C200" s="340"/>
      <c r="D200" s="340"/>
      <c r="E200" s="340"/>
      <c r="F200" s="340"/>
      <c r="G200" s="340"/>
      <c r="H200" s="340"/>
      <c r="I200" s="340"/>
      <c r="J200" s="340"/>
      <c r="K200" s="340"/>
      <c r="L200" s="340"/>
      <c r="M200" s="340"/>
      <c r="N200" s="340"/>
      <c r="O200" s="340"/>
      <c r="P200" s="340"/>
      <c r="Q200" s="340"/>
      <c r="R200" s="340"/>
      <c r="S200" s="340"/>
      <c r="T200" s="340"/>
      <c r="U200" s="340"/>
      <c r="V200" s="340"/>
      <c r="W200" s="340"/>
      <c r="X200" s="340"/>
      <c r="Y200" s="340"/>
      <c r="Z200" s="340"/>
    </row>
    <row r="201" spans="1:26" ht="14.25" customHeight="1">
      <c r="A201" s="340"/>
      <c r="B201" s="340"/>
      <c r="C201" s="340"/>
      <c r="D201" s="340"/>
      <c r="E201" s="340"/>
      <c r="F201" s="340"/>
      <c r="G201" s="340"/>
      <c r="H201" s="340"/>
      <c r="I201" s="340"/>
      <c r="J201" s="340"/>
      <c r="K201" s="340"/>
      <c r="L201" s="340"/>
      <c r="M201" s="340"/>
      <c r="N201" s="340"/>
      <c r="O201" s="340"/>
      <c r="P201" s="340"/>
      <c r="Q201" s="340"/>
      <c r="R201" s="340"/>
      <c r="S201" s="340"/>
      <c r="T201" s="340"/>
      <c r="U201" s="340"/>
      <c r="V201" s="340"/>
      <c r="W201" s="340"/>
      <c r="X201" s="340"/>
      <c r="Y201" s="340"/>
      <c r="Z201" s="340"/>
    </row>
    <row r="202" spans="1:26" ht="14.25" customHeight="1">
      <c r="A202" s="340"/>
      <c r="B202" s="340"/>
      <c r="C202" s="340"/>
      <c r="D202" s="340"/>
      <c r="E202" s="340"/>
      <c r="F202" s="340"/>
      <c r="G202" s="340"/>
      <c r="H202" s="340"/>
      <c r="I202" s="340"/>
      <c r="J202" s="340"/>
      <c r="K202" s="340"/>
      <c r="L202" s="340"/>
      <c r="M202" s="340"/>
      <c r="N202" s="340"/>
      <c r="O202" s="340"/>
      <c r="P202" s="340"/>
      <c r="Q202" s="340"/>
      <c r="R202" s="340"/>
      <c r="S202" s="340"/>
      <c r="T202" s="340"/>
      <c r="U202" s="340"/>
      <c r="V202" s="340"/>
      <c r="W202" s="340"/>
      <c r="X202" s="340"/>
      <c r="Y202" s="340"/>
      <c r="Z202" s="340"/>
    </row>
    <row r="203" spans="1:26" ht="14.25" customHeight="1">
      <c r="A203" s="340"/>
      <c r="B203" s="340"/>
      <c r="C203" s="340"/>
      <c r="D203" s="340"/>
      <c r="E203" s="340"/>
      <c r="F203" s="340"/>
      <c r="G203" s="340"/>
      <c r="H203" s="340"/>
      <c r="I203" s="340"/>
      <c r="J203" s="340"/>
      <c r="K203" s="340"/>
      <c r="L203" s="340"/>
      <c r="M203" s="340"/>
      <c r="N203" s="340"/>
      <c r="O203" s="340"/>
      <c r="P203" s="340"/>
      <c r="Q203" s="340"/>
      <c r="R203" s="340"/>
      <c r="S203" s="340"/>
      <c r="T203" s="340"/>
      <c r="U203" s="340"/>
      <c r="V203" s="340"/>
      <c r="W203" s="340"/>
      <c r="X203" s="340"/>
      <c r="Y203" s="340"/>
      <c r="Z203" s="340"/>
    </row>
    <row r="204" spans="1:26" ht="14.25" customHeight="1">
      <c r="A204" s="340"/>
      <c r="B204" s="340"/>
      <c r="C204" s="340"/>
      <c r="D204" s="340"/>
      <c r="E204" s="340"/>
      <c r="F204" s="340"/>
      <c r="G204" s="340"/>
      <c r="H204" s="340"/>
      <c r="I204" s="340"/>
      <c r="J204" s="340"/>
      <c r="K204" s="340"/>
      <c r="L204" s="340"/>
      <c r="M204" s="340"/>
      <c r="N204" s="340"/>
      <c r="O204" s="340"/>
      <c r="P204" s="340"/>
      <c r="Q204" s="340"/>
      <c r="R204" s="340"/>
      <c r="S204" s="340"/>
      <c r="T204" s="340"/>
      <c r="U204" s="340"/>
      <c r="V204" s="340"/>
      <c r="W204" s="340"/>
      <c r="X204" s="340"/>
      <c r="Y204" s="340"/>
      <c r="Z204" s="340"/>
    </row>
    <row r="205" spans="1:26" ht="14.25" customHeight="1">
      <c r="A205" s="340"/>
      <c r="B205" s="340"/>
      <c r="C205" s="340"/>
      <c r="D205" s="340"/>
      <c r="E205" s="340"/>
      <c r="F205" s="340"/>
      <c r="G205" s="340"/>
      <c r="H205" s="340"/>
      <c r="I205" s="340"/>
      <c r="J205" s="340"/>
      <c r="K205" s="340"/>
      <c r="L205" s="340"/>
      <c r="M205" s="340"/>
      <c r="N205" s="340"/>
      <c r="O205" s="340"/>
      <c r="P205" s="340"/>
      <c r="Q205" s="340"/>
      <c r="R205" s="340"/>
      <c r="S205" s="340"/>
      <c r="T205" s="340"/>
      <c r="U205" s="340"/>
      <c r="V205" s="340"/>
      <c r="W205" s="340"/>
      <c r="X205" s="340"/>
      <c r="Y205" s="340"/>
      <c r="Z205" s="340"/>
    </row>
    <row r="206" spans="1:26" ht="14.25" customHeight="1">
      <c r="A206" s="340"/>
      <c r="B206" s="340"/>
      <c r="C206" s="340"/>
      <c r="D206" s="340"/>
      <c r="E206" s="340"/>
      <c r="F206" s="340"/>
      <c r="G206" s="340"/>
      <c r="H206" s="340"/>
      <c r="I206" s="340"/>
      <c r="J206" s="340"/>
      <c r="K206" s="340"/>
      <c r="L206" s="340"/>
      <c r="M206" s="340"/>
      <c r="N206" s="340"/>
      <c r="O206" s="340"/>
      <c r="P206" s="340"/>
      <c r="Q206" s="340"/>
      <c r="R206" s="340"/>
      <c r="S206" s="340"/>
      <c r="T206" s="340"/>
      <c r="U206" s="340"/>
      <c r="V206" s="340"/>
      <c r="W206" s="340"/>
      <c r="X206" s="340"/>
      <c r="Y206" s="340"/>
      <c r="Z206" s="340"/>
    </row>
    <row r="207" spans="1:26" ht="14.25" customHeight="1">
      <c r="A207" s="340"/>
      <c r="B207" s="340"/>
      <c r="C207" s="340"/>
      <c r="D207" s="340"/>
      <c r="E207" s="340"/>
      <c r="F207" s="340"/>
      <c r="G207" s="340"/>
      <c r="H207" s="340"/>
      <c r="I207" s="340"/>
      <c r="J207" s="340"/>
      <c r="K207" s="340"/>
      <c r="L207" s="340"/>
      <c r="M207" s="340"/>
      <c r="N207" s="340"/>
      <c r="O207" s="340"/>
      <c r="P207" s="340"/>
      <c r="Q207" s="340"/>
      <c r="R207" s="340"/>
      <c r="S207" s="340"/>
      <c r="T207" s="340"/>
      <c r="U207" s="340"/>
      <c r="V207" s="340"/>
      <c r="W207" s="340"/>
      <c r="X207" s="340"/>
      <c r="Y207" s="340"/>
      <c r="Z207" s="340"/>
    </row>
    <row r="208" spans="1:26" ht="14.25" customHeight="1">
      <c r="A208" s="340"/>
      <c r="B208" s="340"/>
      <c r="C208" s="340"/>
      <c r="D208" s="340"/>
      <c r="E208" s="340"/>
      <c r="F208" s="340"/>
      <c r="G208" s="340"/>
      <c r="H208" s="340"/>
      <c r="I208" s="340"/>
      <c r="J208" s="340"/>
      <c r="K208" s="340"/>
      <c r="L208" s="340"/>
      <c r="M208" s="340"/>
      <c r="N208" s="340"/>
      <c r="O208" s="340"/>
      <c r="P208" s="340"/>
      <c r="Q208" s="340"/>
      <c r="R208" s="340"/>
      <c r="S208" s="340"/>
      <c r="T208" s="340"/>
      <c r="U208" s="340"/>
      <c r="V208" s="340"/>
      <c r="W208" s="340"/>
      <c r="X208" s="340"/>
      <c r="Y208" s="340"/>
      <c r="Z208" s="340"/>
    </row>
    <row r="209" spans="1:26" ht="14.25" customHeight="1">
      <c r="A209" s="340"/>
      <c r="B209" s="340"/>
      <c r="C209" s="340"/>
      <c r="D209" s="340"/>
      <c r="E209" s="340"/>
      <c r="F209" s="340"/>
      <c r="G209" s="340"/>
      <c r="H209" s="340"/>
      <c r="I209" s="340"/>
      <c r="J209" s="340"/>
      <c r="K209" s="340"/>
      <c r="L209" s="340"/>
      <c r="M209" s="340"/>
      <c r="N209" s="340"/>
      <c r="O209" s="340"/>
      <c r="P209" s="340"/>
      <c r="Q209" s="340"/>
      <c r="R209" s="340"/>
      <c r="S209" s="340"/>
      <c r="T209" s="340"/>
      <c r="U209" s="340"/>
      <c r="V209" s="340"/>
      <c r="W209" s="340"/>
      <c r="X209" s="340"/>
      <c r="Y209" s="340"/>
      <c r="Z209" s="340"/>
    </row>
    <row r="210" spans="1:26" ht="14.25" customHeight="1">
      <c r="A210" s="340"/>
      <c r="B210" s="340"/>
      <c r="C210" s="340"/>
      <c r="D210" s="340"/>
      <c r="E210" s="340"/>
      <c r="F210" s="340"/>
      <c r="G210" s="340"/>
      <c r="H210" s="340"/>
      <c r="I210" s="340"/>
      <c r="J210" s="340"/>
      <c r="K210" s="340"/>
      <c r="L210" s="340"/>
      <c r="M210" s="340"/>
      <c r="N210" s="340"/>
      <c r="O210" s="340"/>
      <c r="P210" s="340"/>
      <c r="Q210" s="340"/>
      <c r="R210" s="340"/>
      <c r="S210" s="340"/>
      <c r="T210" s="340"/>
      <c r="U210" s="340"/>
      <c r="V210" s="340"/>
      <c r="W210" s="340"/>
      <c r="X210" s="340"/>
      <c r="Y210" s="340"/>
      <c r="Z210" s="340"/>
    </row>
    <row r="211" spans="1:26" ht="14.25" customHeight="1">
      <c r="A211" s="340"/>
      <c r="B211" s="340"/>
      <c r="C211" s="340"/>
      <c r="D211" s="340"/>
      <c r="E211" s="340"/>
      <c r="F211" s="340"/>
      <c r="G211" s="340"/>
      <c r="H211" s="340"/>
      <c r="I211" s="340"/>
      <c r="J211" s="340"/>
      <c r="K211" s="340"/>
      <c r="L211" s="340"/>
      <c r="M211" s="340"/>
      <c r="N211" s="340"/>
      <c r="O211" s="340"/>
      <c r="P211" s="340"/>
      <c r="Q211" s="340"/>
      <c r="R211" s="340"/>
      <c r="S211" s="340"/>
      <c r="T211" s="340"/>
      <c r="U211" s="340"/>
      <c r="V211" s="340"/>
      <c r="W211" s="340"/>
      <c r="X211" s="340"/>
      <c r="Y211" s="340"/>
      <c r="Z211" s="340"/>
    </row>
    <row r="212" spans="1:26" ht="14.25" customHeight="1">
      <c r="A212" s="340"/>
      <c r="B212" s="340"/>
      <c r="C212" s="340"/>
      <c r="D212" s="340"/>
      <c r="E212" s="340"/>
      <c r="F212" s="340"/>
      <c r="G212" s="340"/>
      <c r="H212" s="340"/>
      <c r="I212" s="340"/>
      <c r="J212" s="340"/>
      <c r="K212" s="340"/>
      <c r="L212" s="340"/>
      <c r="M212" s="340"/>
      <c r="N212" s="340"/>
      <c r="O212" s="340"/>
      <c r="P212" s="340"/>
      <c r="Q212" s="340"/>
      <c r="R212" s="340"/>
      <c r="S212" s="340"/>
      <c r="T212" s="340"/>
      <c r="U212" s="340"/>
      <c r="V212" s="340"/>
      <c r="W212" s="340"/>
      <c r="X212" s="340"/>
      <c r="Y212" s="340"/>
      <c r="Z212" s="340"/>
    </row>
    <row r="213" spans="1:26" ht="14.25" customHeight="1">
      <c r="A213" s="340"/>
      <c r="B213" s="340"/>
      <c r="C213" s="340"/>
      <c r="D213" s="340"/>
      <c r="E213" s="340"/>
      <c r="F213" s="340"/>
      <c r="G213" s="340"/>
      <c r="H213" s="340"/>
      <c r="I213" s="340"/>
      <c r="J213" s="340"/>
      <c r="K213" s="340"/>
      <c r="L213" s="340"/>
      <c r="M213" s="340"/>
      <c r="N213" s="340"/>
      <c r="O213" s="340"/>
      <c r="P213" s="340"/>
      <c r="Q213" s="340"/>
      <c r="R213" s="340"/>
      <c r="S213" s="340"/>
      <c r="T213" s="340"/>
      <c r="U213" s="340"/>
      <c r="V213" s="340"/>
      <c r="W213" s="340"/>
      <c r="X213" s="340"/>
      <c r="Y213" s="340"/>
      <c r="Z213" s="340"/>
    </row>
    <row r="214" spans="1:26" ht="14.25" customHeight="1">
      <c r="A214" s="340"/>
      <c r="B214" s="340"/>
      <c r="C214" s="340"/>
      <c r="D214" s="340"/>
      <c r="E214" s="340"/>
      <c r="F214" s="340"/>
      <c r="G214" s="340"/>
      <c r="H214" s="340"/>
      <c r="I214" s="340"/>
      <c r="J214" s="340"/>
      <c r="K214" s="340"/>
      <c r="L214" s="340"/>
      <c r="M214" s="340"/>
      <c r="N214" s="340"/>
      <c r="O214" s="340"/>
      <c r="P214" s="340"/>
      <c r="Q214" s="340"/>
      <c r="R214" s="340"/>
      <c r="S214" s="340"/>
      <c r="T214" s="340"/>
      <c r="U214" s="340"/>
      <c r="V214" s="340"/>
      <c r="W214" s="340"/>
      <c r="X214" s="340"/>
      <c r="Y214" s="340"/>
      <c r="Z214" s="340"/>
    </row>
    <row r="215" spans="1:26" ht="14.25" customHeight="1">
      <c r="A215" s="340"/>
      <c r="B215" s="340"/>
      <c r="C215" s="340"/>
      <c r="D215" s="340"/>
      <c r="E215" s="340"/>
      <c r="F215" s="340"/>
      <c r="G215" s="340"/>
      <c r="H215" s="340"/>
      <c r="I215" s="340"/>
      <c r="J215" s="340"/>
      <c r="K215" s="340"/>
      <c r="L215" s="340"/>
      <c r="M215" s="340"/>
      <c r="N215" s="340"/>
      <c r="O215" s="340"/>
      <c r="P215" s="340"/>
      <c r="Q215" s="340"/>
      <c r="R215" s="340"/>
      <c r="S215" s="340"/>
      <c r="T215" s="340"/>
      <c r="U215" s="340"/>
      <c r="V215" s="340"/>
      <c r="W215" s="340"/>
      <c r="X215" s="340"/>
      <c r="Y215" s="340"/>
      <c r="Z215" s="340"/>
    </row>
    <row r="216" spans="1:26" ht="14.25" customHeight="1">
      <c r="A216" s="340"/>
      <c r="B216" s="340"/>
      <c r="C216" s="340"/>
      <c r="D216" s="340"/>
      <c r="E216" s="340"/>
      <c r="F216" s="340"/>
      <c r="G216" s="340"/>
      <c r="H216" s="340"/>
      <c r="I216" s="340"/>
      <c r="J216" s="340"/>
      <c r="K216" s="340"/>
      <c r="L216" s="340"/>
      <c r="M216" s="340"/>
      <c r="N216" s="340"/>
      <c r="O216" s="340"/>
      <c r="P216" s="340"/>
      <c r="Q216" s="340"/>
      <c r="R216" s="340"/>
      <c r="S216" s="340"/>
      <c r="T216" s="340"/>
      <c r="U216" s="340"/>
      <c r="V216" s="340"/>
      <c r="W216" s="340"/>
      <c r="X216" s="340"/>
      <c r="Y216" s="340"/>
      <c r="Z216" s="340"/>
    </row>
    <row r="217" spans="1:26" ht="14.25" customHeight="1">
      <c r="A217" s="340"/>
      <c r="B217" s="340"/>
      <c r="C217" s="340"/>
      <c r="D217" s="340"/>
      <c r="E217" s="340"/>
      <c r="F217" s="340"/>
      <c r="G217" s="340"/>
      <c r="H217" s="340"/>
      <c r="I217" s="340"/>
      <c r="J217" s="340"/>
      <c r="K217" s="340"/>
      <c r="L217" s="340"/>
      <c r="M217" s="340"/>
      <c r="N217" s="340"/>
      <c r="O217" s="340"/>
      <c r="P217" s="340"/>
      <c r="Q217" s="340"/>
      <c r="R217" s="340"/>
      <c r="S217" s="340"/>
      <c r="T217" s="340"/>
      <c r="U217" s="340"/>
      <c r="V217" s="340"/>
      <c r="W217" s="340"/>
      <c r="X217" s="340"/>
      <c r="Y217" s="340"/>
      <c r="Z217" s="340"/>
    </row>
    <row r="218" spans="1:26" ht="14.25" customHeight="1">
      <c r="A218" s="340"/>
      <c r="B218" s="340"/>
      <c r="C218" s="340"/>
      <c r="D218" s="340"/>
      <c r="E218" s="340"/>
      <c r="F218" s="340"/>
      <c r="G218" s="340"/>
      <c r="H218" s="340"/>
      <c r="I218" s="340"/>
      <c r="J218" s="340"/>
      <c r="K218" s="340"/>
      <c r="L218" s="340"/>
      <c r="M218" s="340"/>
      <c r="N218" s="340"/>
      <c r="O218" s="340"/>
      <c r="P218" s="340"/>
      <c r="Q218" s="340"/>
      <c r="R218" s="340"/>
      <c r="S218" s="340"/>
      <c r="T218" s="340"/>
      <c r="U218" s="340"/>
      <c r="V218" s="340"/>
      <c r="W218" s="340"/>
      <c r="X218" s="340"/>
      <c r="Y218" s="340"/>
      <c r="Z218" s="340"/>
    </row>
    <row r="219" spans="1:26" ht="14.25" customHeight="1">
      <c r="A219" s="340"/>
      <c r="B219" s="340"/>
      <c r="C219" s="340"/>
      <c r="D219" s="340"/>
      <c r="E219" s="340"/>
      <c r="F219" s="340"/>
      <c r="G219" s="340"/>
      <c r="H219" s="340"/>
      <c r="I219" s="340"/>
      <c r="J219" s="340"/>
      <c r="K219" s="340"/>
      <c r="L219" s="340"/>
      <c r="M219" s="340"/>
      <c r="N219" s="340"/>
      <c r="O219" s="340"/>
      <c r="P219" s="340"/>
      <c r="Q219" s="340"/>
      <c r="R219" s="340"/>
      <c r="S219" s="340"/>
      <c r="T219" s="340"/>
      <c r="U219" s="340"/>
      <c r="V219" s="340"/>
      <c r="W219" s="340"/>
      <c r="X219" s="340"/>
      <c r="Y219" s="340"/>
      <c r="Z219" s="340"/>
    </row>
    <row r="220" spans="1:26" ht="14.25" customHeight="1">
      <c r="A220" s="340"/>
      <c r="B220" s="340"/>
      <c r="C220" s="340"/>
      <c r="D220" s="340"/>
      <c r="E220" s="340"/>
      <c r="F220" s="340"/>
      <c r="G220" s="340"/>
      <c r="H220" s="340"/>
      <c r="I220" s="340"/>
      <c r="J220" s="340"/>
      <c r="K220" s="340"/>
      <c r="L220" s="340"/>
      <c r="M220" s="340"/>
      <c r="N220" s="340"/>
      <c r="O220" s="340"/>
      <c r="P220" s="340"/>
      <c r="Q220" s="340"/>
      <c r="R220" s="340"/>
      <c r="S220" s="340"/>
      <c r="T220" s="340"/>
      <c r="U220" s="340"/>
      <c r="V220" s="340"/>
      <c r="W220" s="340"/>
      <c r="X220" s="340"/>
      <c r="Y220" s="340"/>
      <c r="Z220" s="340"/>
    </row>
    <row r="221" spans="1:26" ht="14.25" customHeight="1">
      <c r="A221" s="340"/>
      <c r="B221" s="340"/>
      <c r="C221" s="340"/>
      <c r="D221" s="340"/>
      <c r="E221" s="340"/>
      <c r="F221" s="340"/>
      <c r="G221" s="340"/>
      <c r="H221" s="340"/>
      <c r="I221" s="340"/>
      <c r="J221" s="340"/>
      <c r="K221" s="340"/>
      <c r="L221" s="340"/>
      <c r="M221" s="340"/>
      <c r="N221" s="340"/>
      <c r="O221" s="340"/>
      <c r="P221" s="340"/>
      <c r="Q221" s="340"/>
      <c r="R221" s="340"/>
      <c r="S221" s="340"/>
      <c r="T221" s="340"/>
      <c r="U221" s="340"/>
      <c r="V221" s="340"/>
      <c r="W221" s="340"/>
      <c r="X221" s="340"/>
      <c r="Y221" s="340"/>
      <c r="Z221" s="340"/>
    </row>
    <row r="222" spans="1:26" ht="14.25" customHeight="1">
      <c r="A222" s="340"/>
      <c r="B222" s="340"/>
      <c r="C222" s="340"/>
      <c r="D222" s="340"/>
      <c r="E222" s="340"/>
      <c r="F222" s="340"/>
      <c r="G222" s="340"/>
      <c r="H222" s="340"/>
      <c r="I222" s="340"/>
      <c r="J222" s="340"/>
      <c r="K222" s="340"/>
      <c r="L222" s="340"/>
      <c r="M222" s="340"/>
      <c r="N222" s="340"/>
      <c r="O222" s="340"/>
      <c r="P222" s="340"/>
      <c r="Q222" s="340"/>
      <c r="R222" s="340"/>
      <c r="S222" s="340"/>
      <c r="T222" s="340"/>
      <c r="U222" s="340"/>
      <c r="V222" s="340"/>
      <c r="W222" s="340"/>
      <c r="X222" s="340"/>
      <c r="Y222" s="340"/>
      <c r="Z222" s="340"/>
    </row>
    <row r="223" spans="1:26" ht="14.25" customHeight="1">
      <c r="A223" s="340"/>
      <c r="B223" s="340"/>
      <c r="C223" s="340"/>
      <c r="D223" s="340"/>
      <c r="E223" s="340"/>
      <c r="F223" s="340"/>
      <c r="G223" s="340"/>
      <c r="H223" s="340"/>
      <c r="I223" s="340"/>
      <c r="J223" s="340"/>
      <c r="K223" s="340"/>
      <c r="L223" s="340"/>
      <c r="M223" s="340"/>
      <c r="N223" s="340"/>
      <c r="O223" s="340"/>
      <c r="P223" s="340"/>
      <c r="Q223" s="340"/>
      <c r="R223" s="340"/>
      <c r="S223" s="340"/>
      <c r="T223" s="340"/>
      <c r="U223" s="340"/>
      <c r="V223" s="340"/>
      <c r="W223" s="340"/>
      <c r="X223" s="340"/>
      <c r="Y223" s="340"/>
      <c r="Z223" s="340"/>
    </row>
    <row r="224" spans="1:26" ht="14.25" customHeight="1">
      <c r="A224" s="340"/>
      <c r="B224" s="340"/>
      <c r="C224" s="340"/>
      <c r="D224" s="340"/>
      <c r="E224" s="340"/>
      <c r="F224" s="340"/>
      <c r="G224" s="340"/>
      <c r="H224" s="340"/>
      <c r="I224" s="340"/>
      <c r="J224" s="340"/>
      <c r="K224" s="340"/>
      <c r="L224" s="340"/>
      <c r="M224" s="340"/>
      <c r="N224" s="340"/>
      <c r="O224" s="340"/>
      <c r="P224" s="340"/>
      <c r="Q224" s="340"/>
      <c r="R224" s="340"/>
      <c r="S224" s="340"/>
      <c r="T224" s="340"/>
      <c r="U224" s="340"/>
      <c r="V224" s="340"/>
      <c r="W224" s="340"/>
      <c r="X224" s="340"/>
      <c r="Y224" s="340"/>
      <c r="Z224" s="340"/>
    </row>
    <row r="225" spans="1:26" ht="14.25" customHeight="1">
      <c r="A225" s="340"/>
      <c r="B225" s="340"/>
      <c r="C225" s="340"/>
      <c r="D225" s="340"/>
      <c r="E225" s="340"/>
      <c r="F225" s="340"/>
      <c r="G225" s="340"/>
      <c r="H225" s="340"/>
      <c r="I225" s="340"/>
      <c r="J225" s="340"/>
      <c r="K225" s="340"/>
      <c r="L225" s="340"/>
      <c r="M225" s="340"/>
      <c r="N225" s="340"/>
      <c r="O225" s="340"/>
      <c r="P225" s="340"/>
      <c r="Q225" s="340"/>
      <c r="R225" s="340"/>
      <c r="S225" s="340"/>
      <c r="T225" s="340"/>
      <c r="U225" s="340"/>
      <c r="V225" s="340"/>
      <c r="W225" s="340"/>
      <c r="X225" s="340"/>
      <c r="Y225" s="340"/>
      <c r="Z225" s="340"/>
    </row>
    <row r="226" spans="1:26" ht="14.25" customHeight="1">
      <c r="A226" s="340"/>
      <c r="B226" s="340"/>
      <c r="C226" s="340"/>
      <c r="D226" s="340"/>
      <c r="E226" s="340"/>
      <c r="F226" s="340"/>
      <c r="G226" s="340"/>
      <c r="H226" s="340"/>
      <c r="I226" s="340"/>
      <c r="J226" s="340"/>
      <c r="K226" s="340"/>
      <c r="L226" s="340"/>
      <c r="M226" s="340"/>
      <c r="N226" s="340"/>
      <c r="O226" s="340"/>
      <c r="P226" s="340"/>
      <c r="Q226" s="340"/>
      <c r="R226" s="340"/>
      <c r="S226" s="340"/>
      <c r="T226" s="340"/>
      <c r="U226" s="340"/>
      <c r="V226" s="340"/>
      <c r="W226" s="340"/>
      <c r="X226" s="340"/>
      <c r="Y226" s="340"/>
      <c r="Z226" s="340"/>
    </row>
    <row r="227" spans="1:26" ht="14.25" customHeight="1">
      <c r="A227" s="340"/>
      <c r="B227" s="340"/>
      <c r="C227" s="340"/>
      <c r="D227" s="340"/>
      <c r="E227" s="340"/>
      <c r="F227" s="340"/>
      <c r="G227" s="340"/>
      <c r="H227" s="340"/>
      <c r="I227" s="340"/>
      <c r="J227" s="340"/>
      <c r="K227" s="340"/>
      <c r="L227" s="340"/>
      <c r="M227" s="340"/>
      <c r="N227" s="340"/>
      <c r="O227" s="340"/>
      <c r="P227" s="340"/>
      <c r="Q227" s="340"/>
      <c r="R227" s="340"/>
      <c r="S227" s="340"/>
      <c r="T227" s="340"/>
      <c r="U227" s="340"/>
      <c r="V227" s="340"/>
      <c r="W227" s="340"/>
      <c r="X227" s="340"/>
      <c r="Y227" s="340"/>
      <c r="Z227" s="340"/>
    </row>
    <row r="228" spans="1:26" ht="14.25" customHeight="1">
      <c r="A228" s="340"/>
      <c r="B228" s="340"/>
      <c r="C228" s="340"/>
      <c r="D228" s="340"/>
      <c r="E228" s="340"/>
      <c r="F228" s="340"/>
      <c r="G228" s="340"/>
      <c r="H228" s="340"/>
      <c r="I228" s="340"/>
      <c r="J228" s="340"/>
      <c r="K228" s="340"/>
      <c r="L228" s="340"/>
      <c r="M228" s="340"/>
      <c r="N228" s="340"/>
      <c r="O228" s="340"/>
      <c r="P228" s="340"/>
      <c r="Q228" s="340"/>
      <c r="R228" s="340"/>
      <c r="S228" s="340"/>
      <c r="T228" s="340"/>
      <c r="U228" s="340"/>
      <c r="V228" s="340"/>
      <c r="W228" s="340"/>
      <c r="X228" s="340"/>
      <c r="Y228" s="340"/>
      <c r="Z228" s="340"/>
    </row>
    <row r="229" spans="1:26" ht="14.25" customHeight="1">
      <c r="A229" s="340"/>
      <c r="B229" s="340"/>
      <c r="C229" s="340"/>
      <c r="D229" s="340"/>
      <c r="E229" s="340"/>
      <c r="F229" s="340"/>
      <c r="G229" s="340"/>
      <c r="H229" s="340"/>
      <c r="I229" s="340"/>
      <c r="J229" s="340"/>
      <c r="K229" s="340"/>
      <c r="L229" s="340"/>
      <c r="M229" s="340"/>
      <c r="N229" s="340"/>
      <c r="O229" s="340"/>
      <c r="P229" s="340"/>
      <c r="Q229" s="340"/>
      <c r="R229" s="340"/>
      <c r="S229" s="340"/>
      <c r="T229" s="340"/>
      <c r="U229" s="340"/>
      <c r="V229" s="340"/>
      <c r="W229" s="340"/>
      <c r="X229" s="340"/>
      <c r="Y229" s="340"/>
      <c r="Z229" s="340"/>
    </row>
    <row r="230" spans="1:26" ht="14.25" customHeight="1">
      <c r="A230" s="340"/>
      <c r="B230" s="340"/>
      <c r="C230" s="340"/>
      <c r="D230" s="340"/>
      <c r="E230" s="340"/>
      <c r="F230" s="340"/>
      <c r="G230" s="340"/>
      <c r="H230" s="340"/>
      <c r="I230" s="340"/>
      <c r="J230" s="340"/>
      <c r="K230" s="340"/>
      <c r="L230" s="340"/>
      <c r="M230" s="340"/>
      <c r="N230" s="340"/>
      <c r="O230" s="340"/>
      <c r="P230" s="340"/>
      <c r="Q230" s="340"/>
      <c r="R230" s="340"/>
      <c r="S230" s="340"/>
      <c r="T230" s="340"/>
      <c r="U230" s="340"/>
      <c r="V230" s="340"/>
      <c r="W230" s="340"/>
      <c r="X230" s="340"/>
      <c r="Y230" s="340"/>
      <c r="Z230" s="340"/>
    </row>
    <row r="231" spans="1:26" ht="14.25" customHeight="1">
      <c r="A231" s="340"/>
      <c r="B231" s="340"/>
      <c r="C231" s="340"/>
      <c r="D231" s="340"/>
      <c r="E231" s="340"/>
      <c r="F231" s="340"/>
      <c r="G231" s="340"/>
      <c r="H231" s="340"/>
      <c r="I231" s="340"/>
      <c r="J231" s="340"/>
      <c r="K231" s="340"/>
      <c r="L231" s="340"/>
      <c r="M231" s="340"/>
      <c r="N231" s="340"/>
      <c r="O231" s="340"/>
      <c r="P231" s="340"/>
      <c r="Q231" s="340"/>
      <c r="R231" s="340"/>
      <c r="S231" s="340"/>
      <c r="T231" s="340"/>
      <c r="U231" s="340"/>
      <c r="V231" s="340"/>
      <c r="W231" s="340"/>
      <c r="X231" s="340"/>
      <c r="Y231" s="340"/>
      <c r="Z231" s="340"/>
    </row>
    <row r="232" spans="1:26" ht="14.25" customHeight="1">
      <c r="A232" s="340"/>
      <c r="B232" s="340"/>
      <c r="C232" s="340"/>
      <c r="D232" s="340"/>
      <c r="E232" s="340"/>
      <c r="F232" s="340"/>
      <c r="G232" s="340"/>
      <c r="H232" s="340"/>
      <c r="I232" s="340"/>
      <c r="J232" s="340"/>
      <c r="K232" s="340"/>
      <c r="L232" s="340"/>
      <c r="M232" s="340"/>
      <c r="N232" s="340"/>
      <c r="O232" s="340"/>
      <c r="P232" s="340"/>
      <c r="Q232" s="340"/>
      <c r="R232" s="340"/>
      <c r="S232" s="340"/>
      <c r="T232" s="340"/>
      <c r="U232" s="340"/>
      <c r="V232" s="340"/>
      <c r="W232" s="340"/>
      <c r="X232" s="340"/>
      <c r="Y232" s="340"/>
      <c r="Z232" s="340"/>
    </row>
    <row r="233" spans="1:26" ht="14.25" customHeight="1">
      <c r="A233" s="340"/>
      <c r="B233" s="340"/>
      <c r="C233" s="340"/>
      <c r="D233" s="340"/>
      <c r="E233" s="340"/>
      <c r="F233" s="340"/>
      <c r="G233" s="340"/>
      <c r="H233" s="340"/>
      <c r="I233" s="340"/>
      <c r="J233" s="340"/>
      <c r="K233" s="340"/>
      <c r="L233" s="340"/>
      <c r="M233" s="340"/>
      <c r="N233" s="340"/>
      <c r="O233" s="340"/>
      <c r="P233" s="340"/>
      <c r="Q233" s="340"/>
      <c r="R233" s="340"/>
      <c r="S233" s="340"/>
      <c r="T233" s="340"/>
      <c r="U233" s="340"/>
      <c r="V233" s="340"/>
      <c r="W233" s="340"/>
      <c r="X233" s="340"/>
      <c r="Y233" s="340"/>
      <c r="Z233" s="340"/>
    </row>
    <row r="234" spans="1:26" ht="14.25" customHeight="1">
      <c r="A234" s="340"/>
      <c r="B234" s="340"/>
      <c r="C234" s="340"/>
      <c r="D234" s="340"/>
      <c r="E234" s="340"/>
      <c r="F234" s="340"/>
      <c r="G234" s="340"/>
      <c r="H234" s="340"/>
      <c r="I234" s="340"/>
      <c r="J234" s="340"/>
      <c r="K234" s="340"/>
      <c r="L234" s="340"/>
      <c r="M234" s="340"/>
      <c r="N234" s="340"/>
      <c r="O234" s="340"/>
      <c r="P234" s="340"/>
      <c r="Q234" s="340"/>
      <c r="R234" s="340"/>
      <c r="S234" s="340"/>
      <c r="T234" s="340"/>
      <c r="U234" s="340"/>
      <c r="V234" s="340"/>
      <c r="W234" s="340"/>
      <c r="X234" s="340"/>
      <c r="Y234" s="340"/>
      <c r="Z234" s="340"/>
    </row>
    <row r="235" spans="1:26" ht="14.25" customHeight="1">
      <c r="A235" s="340"/>
      <c r="B235" s="340"/>
      <c r="C235" s="340"/>
      <c r="D235" s="340"/>
      <c r="E235" s="340"/>
      <c r="F235" s="340"/>
      <c r="G235" s="340"/>
      <c r="H235" s="340"/>
      <c r="I235" s="340"/>
      <c r="J235" s="340"/>
      <c r="K235" s="340"/>
      <c r="L235" s="340"/>
      <c r="M235" s="340"/>
      <c r="N235" s="340"/>
      <c r="O235" s="340"/>
      <c r="P235" s="340"/>
      <c r="Q235" s="340"/>
      <c r="R235" s="340"/>
      <c r="S235" s="340"/>
      <c r="T235" s="340"/>
      <c r="U235" s="340"/>
      <c r="V235" s="340"/>
      <c r="W235" s="340"/>
      <c r="X235" s="340"/>
      <c r="Y235" s="340"/>
      <c r="Z235" s="340"/>
    </row>
    <row r="236" spans="1:26" ht="14.25" customHeight="1">
      <c r="A236" s="340"/>
      <c r="B236" s="340"/>
      <c r="C236" s="340"/>
      <c r="D236" s="340"/>
      <c r="E236" s="340"/>
      <c r="F236" s="340"/>
      <c r="G236" s="340"/>
      <c r="H236" s="340"/>
      <c r="I236" s="340"/>
      <c r="J236" s="340"/>
      <c r="K236" s="340"/>
      <c r="L236" s="340"/>
      <c r="M236" s="340"/>
      <c r="N236" s="340"/>
      <c r="O236" s="340"/>
      <c r="P236" s="340"/>
      <c r="Q236" s="340"/>
      <c r="R236" s="340"/>
      <c r="S236" s="340"/>
      <c r="T236" s="340"/>
      <c r="U236" s="340"/>
      <c r="V236" s="340"/>
      <c r="W236" s="340"/>
      <c r="X236" s="340"/>
      <c r="Y236" s="340"/>
      <c r="Z236" s="340"/>
    </row>
    <row r="237" spans="1:26" ht="14.25" customHeight="1">
      <c r="A237" s="340"/>
      <c r="B237" s="340"/>
      <c r="C237" s="340"/>
      <c r="D237" s="340"/>
      <c r="E237" s="340"/>
      <c r="F237" s="340"/>
      <c r="G237" s="340"/>
      <c r="H237" s="340"/>
      <c r="I237" s="340"/>
      <c r="J237" s="340"/>
      <c r="K237" s="340"/>
      <c r="L237" s="340"/>
      <c r="M237" s="340"/>
      <c r="N237" s="340"/>
      <c r="O237" s="340"/>
      <c r="P237" s="340"/>
      <c r="Q237" s="340"/>
      <c r="R237" s="340"/>
      <c r="S237" s="340"/>
      <c r="T237" s="340"/>
      <c r="U237" s="340"/>
      <c r="V237" s="340"/>
      <c r="W237" s="340"/>
      <c r="X237" s="340"/>
      <c r="Y237" s="340"/>
      <c r="Z237" s="340"/>
    </row>
    <row r="238" spans="1:26" ht="14.25" customHeight="1">
      <c r="A238" s="340"/>
      <c r="B238" s="340"/>
      <c r="C238" s="340"/>
      <c r="D238" s="340"/>
      <c r="E238" s="340"/>
      <c r="F238" s="340"/>
      <c r="G238" s="340"/>
      <c r="H238" s="340"/>
      <c r="I238" s="340"/>
      <c r="J238" s="340"/>
      <c r="K238" s="340"/>
      <c r="L238" s="340"/>
      <c r="M238" s="340"/>
      <c r="N238" s="340"/>
      <c r="O238" s="340"/>
      <c r="P238" s="340"/>
      <c r="Q238" s="340"/>
      <c r="R238" s="340"/>
      <c r="S238" s="340"/>
      <c r="T238" s="340"/>
      <c r="U238" s="340"/>
      <c r="V238" s="340"/>
      <c r="W238" s="340"/>
      <c r="X238" s="340"/>
      <c r="Y238" s="340"/>
      <c r="Z238" s="340"/>
    </row>
    <row r="239" spans="1:26" ht="14.25" customHeight="1">
      <c r="A239" s="340"/>
      <c r="B239" s="340"/>
      <c r="C239" s="340"/>
      <c r="D239" s="340"/>
      <c r="E239" s="340"/>
      <c r="F239" s="340"/>
      <c r="G239" s="340"/>
      <c r="H239" s="340"/>
      <c r="I239" s="340"/>
      <c r="J239" s="340"/>
      <c r="K239" s="340"/>
      <c r="L239" s="340"/>
      <c r="M239" s="340"/>
      <c r="N239" s="340"/>
      <c r="O239" s="340"/>
      <c r="P239" s="340"/>
      <c r="Q239" s="340"/>
      <c r="R239" s="340"/>
      <c r="S239" s="340"/>
      <c r="T239" s="340"/>
      <c r="U239" s="340"/>
      <c r="V239" s="340"/>
      <c r="W239" s="340"/>
      <c r="X239" s="340"/>
      <c r="Y239" s="340"/>
      <c r="Z239" s="340"/>
    </row>
    <row r="240" spans="1:26" ht="14.25" customHeight="1">
      <c r="A240" s="340"/>
      <c r="B240" s="340"/>
      <c r="C240" s="340"/>
      <c r="D240" s="340"/>
      <c r="E240" s="340"/>
      <c r="F240" s="340"/>
      <c r="G240" s="340"/>
      <c r="H240" s="340"/>
      <c r="I240" s="340"/>
      <c r="J240" s="340"/>
      <c r="K240" s="340"/>
      <c r="L240" s="340"/>
      <c r="M240" s="340"/>
      <c r="N240" s="340"/>
      <c r="O240" s="340"/>
      <c r="P240" s="340"/>
      <c r="Q240" s="340"/>
      <c r="R240" s="340"/>
      <c r="S240" s="340"/>
      <c r="T240" s="340"/>
      <c r="U240" s="340"/>
      <c r="V240" s="340"/>
      <c r="W240" s="340"/>
      <c r="X240" s="340"/>
      <c r="Y240" s="340"/>
      <c r="Z240" s="340"/>
    </row>
    <row r="241" spans="1:26" ht="14.25" customHeight="1">
      <c r="A241" s="340"/>
      <c r="B241" s="340"/>
      <c r="C241" s="340"/>
      <c r="D241" s="340"/>
      <c r="E241" s="340"/>
      <c r="F241" s="340"/>
      <c r="G241" s="340"/>
      <c r="H241" s="340"/>
      <c r="I241" s="340"/>
      <c r="J241" s="340"/>
      <c r="K241" s="340"/>
      <c r="L241" s="340"/>
      <c r="M241" s="340"/>
      <c r="N241" s="340"/>
      <c r="O241" s="340"/>
      <c r="P241" s="340"/>
      <c r="Q241" s="340"/>
      <c r="R241" s="340"/>
      <c r="S241" s="340"/>
      <c r="T241" s="340"/>
      <c r="U241" s="340"/>
      <c r="V241" s="340"/>
      <c r="W241" s="340"/>
      <c r="X241" s="340"/>
      <c r="Y241" s="340"/>
      <c r="Z241" s="340"/>
    </row>
    <row r="242" spans="1:26" ht="14.25" customHeight="1">
      <c r="A242" s="340"/>
      <c r="B242" s="340"/>
      <c r="C242" s="340"/>
      <c r="D242" s="340"/>
      <c r="E242" s="340"/>
      <c r="F242" s="340"/>
      <c r="G242" s="340"/>
      <c r="H242" s="340"/>
      <c r="I242" s="340"/>
      <c r="J242" s="340"/>
      <c r="K242" s="340"/>
      <c r="L242" s="340"/>
      <c r="M242" s="340"/>
      <c r="N242" s="340"/>
      <c r="O242" s="340"/>
      <c r="P242" s="340"/>
      <c r="Q242" s="340"/>
      <c r="R242" s="340"/>
      <c r="S242" s="340"/>
      <c r="T242" s="340"/>
      <c r="U242" s="340"/>
      <c r="V242" s="340"/>
      <c r="W242" s="340"/>
      <c r="X242" s="340"/>
      <c r="Y242" s="340"/>
      <c r="Z242" s="340"/>
    </row>
    <row r="243" spans="1:26" ht="14.25" customHeight="1">
      <c r="A243" s="340"/>
      <c r="B243" s="340"/>
      <c r="C243" s="340"/>
      <c r="D243" s="340"/>
      <c r="E243" s="340"/>
      <c r="F243" s="340"/>
      <c r="G243" s="340"/>
      <c r="H243" s="340"/>
      <c r="I243" s="340"/>
      <c r="J243" s="340"/>
      <c r="K243" s="340"/>
      <c r="L243" s="340"/>
      <c r="M243" s="340"/>
      <c r="N243" s="340"/>
      <c r="O243" s="340"/>
      <c r="P243" s="340"/>
      <c r="Q243" s="340"/>
      <c r="R243" s="340"/>
      <c r="S243" s="340"/>
      <c r="T243" s="340"/>
      <c r="U243" s="340"/>
      <c r="V243" s="340"/>
      <c r="W243" s="340"/>
      <c r="X243" s="340"/>
      <c r="Y243" s="340"/>
      <c r="Z243" s="340"/>
    </row>
    <row r="244" spans="1:26" ht="14.25" customHeight="1">
      <c r="A244" s="340"/>
      <c r="B244" s="340"/>
      <c r="C244" s="340"/>
      <c r="D244" s="340"/>
      <c r="E244" s="340"/>
      <c r="F244" s="340"/>
      <c r="G244" s="340"/>
      <c r="H244" s="340"/>
      <c r="I244" s="340"/>
      <c r="J244" s="340"/>
      <c r="K244" s="340"/>
      <c r="L244" s="340"/>
      <c r="M244" s="340"/>
      <c r="N244" s="340"/>
      <c r="O244" s="340"/>
      <c r="P244" s="340"/>
      <c r="Q244" s="340"/>
      <c r="R244" s="340"/>
      <c r="S244" s="340"/>
      <c r="T244" s="340"/>
      <c r="U244" s="340"/>
      <c r="V244" s="340"/>
      <c r="W244" s="340"/>
      <c r="X244" s="340"/>
      <c r="Y244" s="340"/>
      <c r="Z244" s="340"/>
    </row>
    <row r="245" spans="1:26" ht="14.25" customHeight="1">
      <c r="A245" s="340"/>
      <c r="B245" s="340"/>
      <c r="C245" s="340"/>
      <c r="D245" s="340"/>
      <c r="E245" s="340"/>
      <c r="F245" s="340"/>
      <c r="G245" s="340"/>
      <c r="H245" s="340"/>
      <c r="I245" s="340"/>
      <c r="J245" s="340"/>
      <c r="K245" s="340"/>
      <c r="L245" s="340"/>
      <c r="M245" s="340"/>
      <c r="N245" s="340"/>
      <c r="O245" s="340"/>
      <c r="P245" s="340"/>
      <c r="Q245" s="340"/>
      <c r="R245" s="340"/>
      <c r="S245" s="340"/>
      <c r="T245" s="340"/>
      <c r="U245" s="340"/>
      <c r="V245" s="340"/>
      <c r="W245" s="340"/>
      <c r="X245" s="340"/>
      <c r="Y245" s="340"/>
      <c r="Z245" s="340"/>
    </row>
    <row r="246" spans="1:26" ht="14.25" customHeight="1">
      <c r="A246" s="340"/>
      <c r="B246" s="340"/>
      <c r="C246" s="340"/>
      <c r="D246" s="340"/>
      <c r="E246" s="340"/>
      <c r="F246" s="340"/>
      <c r="G246" s="340"/>
      <c r="H246" s="340"/>
      <c r="I246" s="340"/>
      <c r="J246" s="340"/>
      <c r="K246" s="340"/>
      <c r="L246" s="340"/>
      <c r="M246" s="340"/>
      <c r="N246" s="340"/>
      <c r="O246" s="340"/>
      <c r="P246" s="340"/>
      <c r="Q246" s="340"/>
      <c r="R246" s="340"/>
      <c r="S246" s="340"/>
      <c r="T246" s="340"/>
      <c r="U246" s="340"/>
      <c r="V246" s="340"/>
      <c r="W246" s="340"/>
      <c r="X246" s="340"/>
      <c r="Y246" s="340"/>
      <c r="Z246" s="340"/>
    </row>
    <row r="247" spans="1:26" ht="14.25" customHeight="1">
      <c r="A247" s="340"/>
      <c r="B247" s="340"/>
      <c r="C247" s="340"/>
      <c r="D247" s="340"/>
      <c r="E247" s="340"/>
      <c r="F247" s="340"/>
      <c r="G247" s="340"/>
      <c r="H247" s="340"/>
      <c r="I247" s="340"/>
      <c r="J247" s="340"/>
      <c r="K247" s="340"/>
      <c r="L247" s="340"/>
      <c r="M247" s="340"/>
      <c r="N247" s="340"/>
      <c r="O247" s="340"/>
      <c r="P247" s="340"/>
      <c r="Q247" s="340"/>
      <c r="R247" s="340"/>
      <c r="S247" s="340"/>
      <c r="T247" s="340"/>
      <c r="U247" s="340"/>
      <c r="V247" s="340"/>
      <c r="W247" s="340"/>
      <c r="X247" s="340"/>
      <c r="Y247" s="340"/>
      <c r="Z247" s="340"/>
    </row>
    <row r="248" spans="1:26" ht="14.25" customHeight="1">
      <c r="A248" s="340"/>
      <c r="B248" s="340"/>
      <c r="C248" s="340"/>
      <c r="D248" s="340"/>
      <c r="E248" s="340"/>
      <c r="F248" s="340"/>
      <c r="G248" s="340"/>
      <c r="H248" s="340"/>
      <c r="I248" s="340"/>
      <c r="J248" s="340"/>
      <c r="K248" s="340"/>
      <c r="L248" s="340"/>
      <c r="M248" s="340"/>
      <c r="N248" s="340"/>
      <c r="O248" s="340"/>
      <c r="P248" s="340"/>
      <c r="Q248" s="340"/>
      <c r="R248" s="340"/>
      <c r="S248" s="340"/>
      <c r="T248" s="340"/>
      <c r="U248" s="340"/>
      <c r="V248" s="340"/>
      <c r="W248" s="340"/>
      <c r="X248" s="340"/>
      <c r="Y248" s="340"/>
      <c r="Z248" s="340"/>
    </row>
    <row r="249" spans="1:26" ht="14.25" customHeight="1">
      <c r="A249" s="340"/>
      <c r="B249" s="340"/>
      <c r="C249" s="340"/>
      <c r="D249" s="340"/>
      <c r="E249" s="340"/>
      <c r="F249" s="340"/>
      <c r="G249" s="340"/>
      <c r="H249" s="340"/>
      <c r="I249" s="340"/>
      <c r="J249" s="340"/>
      <c r="K249" s="340"/>
      <c r="L249" s="340"/>
      <c r="M249" s="340"/>
      <c r="N249" s="340"/>
      <c r="O249" s="340"/>
      <c r="P249" s="340"/>
      <c r="Q249" s="340"/>
      <c r="R249" s="340"/>
      <c r="S249" s="340"/>
      <c r="T249" s="340"/>
      <c r="U249" s="340"/>
      <c r="V249" s="340"/>
      <c r="W249" s="340"/>
      <c r="X249" s="340"/>
      <c r="Y249" s="340"/>
      <c r="Z249" s="340"/>
    </row>
    <row r="250" spans="1:26" ht="14.25" customHeight="1">
      <c r="A250" s="340"/>
      <c r="B250" s="340"/>
      <c r="C250" s="340"/>
      <c r="D250" s="340"/>
      <c r="E250" s="340"/>
      <c r="F250" s="340"/>
      <c r="G250" s="340"/>
      <c r="H250" s="340"/>
      <c r="I250" s="340"/>
      <c r="J250" s="340"/>
      <c r="K250" s="340"/>
      <c r="L250" s="340"/>
      <c r="M250" s="340"/>
      <c r="N250" s="340"/>
      <c r="O250" s="340"/>
      <c r="P250" s="340"/>
      <c r="Q250" s="340"/>
      <c r="R250" s="340"/>
      <c r="S250" s="340"/>
      <c r="T250" s="340"/>
      <c r="U250" s="340"/>
      <c r="V250" s="340"/>
      <c r="W250" s="340"/>
      <c r="X250" s="340"/>
      <c r="Y250" s="340"/>
      <c r="Z250" s="340"/>
    </row>
    <row r="251" spans="1:26" ht="14.25" customHeight="1">
      <c r="A251" s="340"/>
      <c r="B251" s="340"/>
      <c r="C251" s="340"/>
      <c r="D251" s="340"/>
      <c r="E251" s="340"/>
      <c r="F251" s="340"/>
      <c r="G251" s="340"/>
      <c r="H251" s="340"/>
      <c r="I251" s="340"/>
      <c r="J251" s="340"/>
      <c r="K251" s="340"/>
      <c r="L251" s="340"/>
      <c r="M251" s="340"/>
      <c r="N251" s="340"/>
      <c r="O251" s="340"/>
      <c r="P251" s="340"/>
      <c r="Q251" s="340"/>
      <c r="R251" s="340"/>
      <c r="S251" s="340"/>
      <c r="T251" s="340"/>
      <c r="U251" s="340"/>
      <c r="V251" s="340"/>
      <c r="W251" s="340"/>
      <c r="X251" s="340"/>
      <c r="Y251" s="340"/>
      <c r="Z251" s="340"/>
    </row>
    <row r="252" spans="1:26" ht="14.25" customHeight="1">
      <c r="A252" s="340"/>
      <c r="B252" s="340"/>
      <c r="C252" s="340"/>
      <c r="D252" s="340"/>
      <c r="E252" s="340"/>
      <c r="F252" s="340"/>
      <c r="G252" s="340"/>
      <c r="H252" s="340"/>
      <c r="I252" s="340"/>
      <c r="J252" s="340"/>
      <c r="K252" s="340"/>
      <c r="L252" s="340"/>
      <c r="M252" s="340"/>
      <c r="N252" s="340"/>
      <c r="O252" s="340"/>
      <c r="P252" s="340"/>
      <c r="Q252" s="340"/>
      <c r="R252" s="340"/>
      <c r="S252" s="340"/>
      <c r="T252" s="340"/>
      <c r="U252" s="340"/>
      <c r="V252" s="340"/>
      <c r="W252" s="340"/>
      <c r="X252" s="340"/>
      <c r="Y252" s="340"/>
      <c r="Z252" s="340"/>
    </row>
    <row r="253" spans="1:26" ht="14.25" customHeight="1">
      <c r="A253" s="340"/>
      <c r="B253" s="340"/>
      <c r="C253" s="340"/>
      <c r="D253" s="340"/>
      <c r="E253" s="340"/>
      <c r="F253" s="340"/>
      <c r="G253" s="340"/>
      <c r="H253" s="340"/>
      <c r="I253" s="340"/>
      <c r="J253" s="340"/>
      <c r="K253" s="340"/>
      <c r="L253" s="340"/>
      <c r="M253" s="340"/>
      <c r="N253" s="340"/>
      <c r="O253" s="340"/>
      <c r="P253" s="340"/>
      <c r="Q253" s="340"/>
      <c r="R253" s="340"/>
      <c r="S253" s="340"/>
      <c r="T253" s="340"/>
      <c r="U253" s="340"/>
      <c r="V253" s="340"/>
      <c r="W253" s="340"/>
      <c r="X253" s="340"/>
      <c r="Y253" s="340"/>
      <c r="Z253" s="340"/>
    </row>
    <row r="254" spans="1:26" ht="14.25" customHeight="1">
      <c r="A254" s="340"/>
      <c r="B254" s="340"/>
      <c r="C254" s="340"/>
      <c r="D254" s="340"/>
      <c r="E254" s="340"/>
      <c r="F254" s="340"/>
      <c r="G254" s="340"/>
      <c r="H254" s="340"/>
      <c r="I254" s="340"/>
      <c r="J254" s="340"/>
      <c r="K254" s="340"/>
      <c r="L254" s="340"/>
      <c r="M254" s="340"/>
      <c r="N254" s="340"/>
      <c r="O254" s="340"/>
      <c r="P254" s="340"/>
      <c r="Q254" s="340"/>
      <c r="R254" s="340"/>
      <c r="S254" s="340"/>
      <c r="T254" s="340"/>
      <c r="U254" s="340"/>
      <c r="V254" s="340"/>
      <c r="W254" s="340"/>
      <c r="X254" s="340"/>
      <c r="Y254" s="340"/>
      <c r="Z254" s="340"/>
    </row>
    <row r="255" spans="1:26" ht="14.25" customHeight="1">
      <c r="A255" s="340"/>
      <c r="B255" s="340"/>
      <c r="C255" s="340"/>
      <c r="D255" s="340"/>
      <c r="E255" s="340"/>
      <c r="F255" s="340"/>
      <c r="G255" s="340"/>
      <c r="H255" s="340"/>
      <c r="I255" s="340"/>
      <c r="J255" s="340"/>
      <c r="K255" s="340"/>
      <c r="L255" s="340"/>
      <c r="M255" s="340"/>
      <c r="N255" s="340"/>
      <c r="O255" s="340"/>
      <c r="P255" s="340"/>
      <c r="Q255" s="340"/>
      <c r="R255" s="340"/>
      <c r="S255" s="340"/>
      <c r="T255" s="340"/>
      <c r="U255" s="340"/>
      <c r="V255" s="340"/>
      <c r="W255" s="340"/>
      <c r="X255" s="340"/>
      <c r="Y255" s="340"/>
      <c r="Z255" s="340"/>
    </row>
    <row r="256" spans="1:26" ht="14.25" customHeight="1">
      <c r="A256" s="340"/>
      <c r="B256" s="340"/>
      <c r="C256" s="340"/>
      <c r="D256" s="340"/>
      <c r="E256" s="340"/>
      <c r="F256" s="340"/>
      <c r="G256" s="340"/>
      <c r="H256" s="340"/>
      <c r="I256" s="340"/>
      <c r="J256" s="340"/>
      <c r="K256" s="340"/>
      <c r="L256" s="340"/>
      <c r="M256" s="340"/>
      <c r="N256" s="340"/>
      <c r="O256" s="340"/>
      <c r="P256" s="340"/>
      <c r="Q256" s="340"/>
      <c r="R256" s="340"/>
      <c r="S256" s="340"/>
      <c r="T256" s="340"/>
      <c r="U256" s="340"/>
      <c r="V256" s="340"/>
      <c r="W256" s="340"/>
      <c r="X256" s="340"/>
      <c r="Y256" s="340"/>
      <c r="Z256" s="340"/>
    </row>
    <row r="257" spans="1:26" ht="14.25" customHeight="1">
      <c r="A257" s="340"/>
      <c r="B257" s="340"/>
      <c r="C257" s="340"/>
      <c r="D257" s="340"/>
      <c r="E257" s="340"/>
      <c r="F257" s="340"/>
      <c r="G257" s="340"/>
      <c r="H257" s="340"/>
      <c r="I257" s="340"/>
      <c r="J257" s="340"/>
      <c r="K257" s="340"/>
      <c r="L257" s="340"/>
      <c r="M257" s="340"/>
      <c r="N257" s="340"/>
      <c r="O257" s="340"/>
      <c r="P257" s="340"/>
      <c r="Q257" s="340"/>
      <c r="R257" s="340"/>
      <c r="S257" s="340"/>
      <c r="T257" s="340"/>
      <c r="U257" s="340"/>
      <c r="V257" s="340"/>
      <c r="W257" s="340"/>
      <c r="X257" s="340"/>
      <c r="Y257" s="340"/>
      <c r="Z257" s="340"/>
    </row>
    <row r="258" spans="1:26" ht="14.25" customHeight="1">
      <c r="A258" s="340"/>
      <c r="B258" s="340"/>
      <c r="C258" s="340"/>
      <c r="D258" s="340"/>
      <c r="E258" s="340"/>
      <c r="F258" s="340"/>
      <c r="G258" s="340"/>
      <c r="H258" s="340"/>
      <c r="I258" s="340"/>
      <c r="J258" s="340"/>
      <c r="K258" s="340"/>
      <c r="L258" s="340"/>
      <c r="M258" s="340"/>
      <c r="N258" s="340"/>
      <c r="O258" s="340"/>
      <c r="P258" s="340"/>
      <c r="Q258" s="340"/>
      <c r="R258" s="340"/>
      <c r="S258" s="340"/>
      <c r="T258" s="340"/>
      <c r="U258" s="340"/>
      <c r="V258" s="340"/>
      <c r="W258" s="340"/>
      <c r="X258" s="340"/>
      <c r="Y258" s="340"/>
      <c r="Z258" s="340"/>
    </row>
    <row r="259" spans="1:26" ht="14.25" customHeight="1">
      <c r="A259" s="340"/>
      <c r="B259" s="340"/>
      <c r="C259" s="340"/>
      <c r="D259" s="340"/>
      <c r="E259" s="340"/>
      <c r="F259" s="340"/>
      <c r="G259" s="340"/>
      <c r="H259" s="340"/>
      <c r="I259" s="340"/>
      <c r="J259" s="340"/>
      <c r="K259" s="340"/>
      <c r="L259" s="340"/>
      <c r="M259" s="340"/>
      <c r="N259" s="340"/>
      <c r="O259" s="340"/>
      <c r="P259" s="340"/>
      <c r="Q259" s="340"/>
      <c r="R259" s="340"/>
      <c r="S259" s="340"/>
      <c r="T259" s="340"/>
      <c r="U259" s="340"/>
      <c r="V259" s="340"/>
      <c r="W259" s="340"/>
      <c r="X259" s="340"/>
      <c r="Y259" s="340"/>
      <c r="Z259" s="340"/>
    </row>
    <row r="260" spans="1:26" ht="14.25" customHeight="1">
      <c r="A260" s="340"/>
      <c r="B260" s="340"/>
      <c r="C260" s="340"/>
      <c r="D260" s="340"/>
      <c r="E260" s="340"/>
      <c r="F260" s="340"/>
      <c r="G260" s="340"/>
      <c r="H260" s="340"/>
      <c r="I260" s="340"/>
      <c r="J260" s="340"/>
      <c r="K260" s="340"/>
      <c r="L260" s="340"/>
      <c r="M260" s="340"/>
      <c r="N260" s="340"/>
      <c r="O260" s="340"/>
      <c r="P260" s="340"/>
      <c r="Q260" s="340"/>
      <c r="R260" s="340"/>
      <c r="S260" s="340"/>
      <c r="T260" s="340"/>
      <c r="U260" s="340"/>
      <c r="V260" s="340"/>
      <c r="W260" s="340"/>
      <c r="X260" s="340"/>
      <c r="Y260" s="340"/>
      <c r="Z260" s="340"/>
    </row>
    <row r="261" spans="1:26" ht="14.25" customHeight="1">
      <c r="A261" s="340"/>
      <c r="B261" s="340"/>
      <c r="C261" s="340"/>
      <c r="D261" s="340"/>
      <c r="E261" s="340"/>
      <c r="F261" s="340"/>
      <c r="G261" s="340"/>
      <c r="H261" s="340"/>
      <c r="I261" s="340"/>
      <c r="J261" s="340"/>
      <c r="K261" s="340"/>
      <c r="L261" s="340"/>
      <c r="M261" s="340"/>
      <c r="N261" s="340"/>
      <c r="O261" s="340"/>
      <c r="P261" s="340"/>
      <c r="Q261" s="340"/>
      <c r="R261" s="340"/>
      <c r="S261" s="340"/>
      <c r="T261" s="340"/>
      <c r="U261" s="340"/>
      <c r="V261" s="340"/>
      <c r="W261" s="340"/>
      <c r="X261" s="340"/>
      <c r="Y261" s="340"/>
      <c r="Z261" s="340"/>
    </row>
    <row r="262" spans="1:26" ht="14.25" customHeight="1">
      <c r="A262" s="340"/>
      <c r="B262" s="340"/>
      <c r="C262" s="340"/>
      <c r="D262" s="340"/>
      <c r="E262" s="340"/>
      <c r="F262" s="340"/>
      <c r="G262" s="340"/>
      <c r="H262" s="340"/>
      <c r="I262" s="340"/>
      <c r="J262" s="340"/>
      <c r="K262" s="340"/>
      <c r="L262" s="340"/>
      <c r="M262" s="340"/>
      <c r="N262" s="340"/>
      <c r="O262" s="340"/>
      <c r="P262" s="340"/>
      <c r="Q262" s="340"/>
      <c r="R262" s="340"/>
      <c r="S262" s="340"/>
      <c r="T262" s="340"/>
      <c r="U262" s="340"/>
      <c r="V262" s="340"/>
      <c r="W262" s="340"/>
      <c r="X262" s="340"/>
      <c r="Y262" s="340"/>
      <c r="Z262" s="340"/>
    </row>
    <row r="263" spans="1:26" ht="14.25" customHeight="1">
      <c r="A263" s="340"/>
      <c r="B263" s="340"/>
      <c r="C263" s="340"/>
      <c r="D263" s="340"/>
      <c r="E263" s="340"/>
      <c r="F263" s="340"/>
      <c r="G263" s="340"/>
      <c r="H263" s="340"/>
      <c r="I263" s="340"/>
      <c r="J263" s="340"/>
      <c r="K263" s="340"/>
      <c r="L263" s="340"/>
      <c r="M263" s="340"/>
      <c r="N263" s="340"/>
      <c r="O263" s="340"/>
      <c r="P263" s="340"/>
      <c r="Q263" s="340"/>
      <c r="R263" s="340"/>
      <c r="S263" s="340"/>
      <c r="T263" s="340"/>
      <c r="U263" s="340"/>
      <c r="V263" s="340"/>
      <c r="W263" s="340"/>
      <c r="X263" s="340"/>
      <c r="Y263" s="340"/>
      <c r="Z263" s="340"/>
    </row>
    <row r="264" spans="1:26" ht="14.25" customHeight="1">
      <c r="A264" s="340"/>
      <c r="B264" s="340"/>
      <c r="C264" s="340"/>
      <c r="D264" s="340"/>
      <c r="E264" s="340"/>
      <c r="F264" s="340"/>
      <c r="G264" s="340"/>
      <c r="H264" s="340"/>
      <c r="I264" s="340"/>
      <c r="J264" s="340"/>
      <c r="K264" s="340"/>
      <c r="L264" s="340"/>
      <c r="M264" s="340"/>
      <c r="N264" s="340"/>
      <c r="O264" s="340"/>
      <c r="P264" s="340"/>
      <c r="Q264" s="340"/>
      <c r="R264" s="340"/>
      <c r="S264" s="340"/>
      <c r="T264" s="340"/>
      <c r="U264" s="340"/>
      <c r="V264" s="340"/>
      <c r="W264" s="340"/>
      <c r="X264" s="340"/>
      <c r="Y264" s="340"/>
      <c r="Z264" s="340"/>
    </row>
    <row r="265" spans="1:26" ht="14.25" customHeight="1">
      <c r="A265" s="340"/>
      <c r="B265" s="340"/>
      <c r="C265" s="340"/>
      <c r="D265" s="340"/>
      <c r="E265" s="340"/>
      <c r="F265" s="340"/>
      <c r="G265" s="340"/>
      <c r="H265" s="340"/>
      <c r="I265" s="340"/>
      <c r="J265" s="340"/>
      <c r="K265" s="340"/>
      <c r="L265" s="340"/>
      <c r="M265" s="340"/>
      <c r="N265" s="340"/>
      <c r="O265" s="340"/>
      <c r="P265" s="340"/>
      <c r="Q265" s="340"/>
      <c r="R265" s="340"/>
      <c r="S265" s="340"/>
      <c r="T265" s="340"/>
      <c r="U265" s="340"/>
      <c r="V265" s="340"/>
      <c r="W265" s="340"/>
      <c r="X265" s="340"/>
      <c r="Y265" s="340"/>
      <c r="Z265" s="340"/>
    </row>
    <row r="266" spans="1:26" ht="14.25" customHeight="1">
      <c r="A266" s="340"/>
      <c r="B266" s="340"/>
      <c r="C266" s="340"/>
      <c r="D266" s="340"/>
      <c r="E266" s="340"/>
      <c r="F266" s="340"/>
      <c r="G266" s="340"/>
      <c r="H266" s="340"/>
      <c r="I266" s="340"/>
      <c r="J266" s="340"/>
      <c r="K266" s="340"/>
      <c r="L266" s="340"/>
      <c r="M266" s="340"/>
      <c r="N266" s="340"/>
      <c r="O266" s="340"/>
      <c r="P266" s="340"/>
      <c r="Q266" s="340"/>
      <c r="R266" s="340"/>
      <c r="S266" s="340"/>
      <c r="T266" s="340"/>
      <c r="U266" s="340"/>
      <c r="V266" s="340"/>
      <c r="W266" s="340"/>
      <c r="X266" s="340"/>
      <c r="Y266" s="340"/>
      <c r="Z266" s="340"/>
    </row>
    <row r="267" spans="1:26" ht="14.25" customHeight="1">
      <c r="A267" s="340"/>
      <c r="B267" s="340"/>
      <c r="C267" s="340"/>
      <c r="D267" s="340"/>
      <c r="E267" s="340"/>
      <c r="F267" s="340"/>
      <c r="G267" s="340"/>
      <c r="H267" s="340"/>
      <c r="I267" s="340"/>
      <c r="J267" s="340"/>
      <c r="K267" s="340"/>
      <c r="L267" s="340"/>
      <c r="M267" s="340"/>
      <c r="N267" s="340"/>
      <c r="O267" s="340"/>
      <c r="P267" s="340"/>
      <c r="Q267" s="340"/>
      <c r="R267" s="340"/>
      <c r="S267" s="340"/>
      <c r="T267" s="340"/>
      <c r="U267" s="340"/>
      <c r="V267" s="340"/>
      <c r="W267" s="340"/>
      <c r="X267" s="340"/>
      <c r="Y267" s="340"/>
      <c r="Z267" s="340"/>
    </row>
    <row r="268" spans="1:26" ht="14.25" customHeight="1">
      <c r="A268" s="340"/>
      <c r="B268" s="340"/>
      <c r="C268" s="340"/>
      <c r="D268" s="340"/>
      <c r="E268" s="340"/>
      <c r="F268" s="340"/>
      <c r="G268" s="340"/>
      <c r="H268" s="340"/>
      <c r="I268" s="340"/>
      <c r="J268" s="340"/>
      <c r="K268" s="340"/>
      <c r="L268" s="340"/>
      <c r="M268" s="340"/>
      <c r="N268" s="340"/>
      <c r="O268" s="340"/>
      <c r="P268" s="340"/>
      <c r="Q268" s="340"/>
      <c r="R268" s="340"/>
      <c r="S268" s="340"/>
      <c r="T268" s="340"/>
      <c r="U268" s="340"/>
      <c r="V268" s="340"/>
      <c r="W268" s="340"/>
      <c r="X268" s="340"/>
      <c r="Y268" s="340"/>
      <c r="Z268" s="340"/>
    </row>
    <row r="269" spans="1:26" ht="14.25" customHeight="1">
      <c r="A269" s="340"/>
      <c r="B269" s="340"/>
      <c r="C269" s="340"/>
      <c r="D269" s="340"/>
      <c r="E269" s="340"/>
      <c r="F269" s="340"/>
      <c r="G269" s="340"/>
      <c r="H269" s="340"/>
      <c r="I269" s="340"/>
      <c r="J269" s="340"/>
      <c r="K269" s="340"/>
      <c r="L269" s="340"/>
      <c r="M269" s="340"/>
      <c r="N269" s="340"/>
      <c r="O269" s="340"/>
      <c r="P269" s="340"/>
      <c r="Q269" s="340"/>
      <c r="R269" s="340"/>
      <c r="S269" s="340"/>
      <c r="T269" s="340"/>
      <c r="U269" s="340"/>
      <c r="V269" s="340"/>
      <c r="W269" s="340"/>
      <c r="X269" s="340"/>
      <c r="Y269" s="340"/>
      <c r="Z269" s="340"/>
    </row>
    <row r="270" spans="1:26" ht="14.25" customHeight="1">
      <c r="A270" s="340"/>
      <c r="B270" s="340"/>
      <c r="C270" s="340"/>
      <c r="D270" s="340"/>
      <c r="E270" s="340"/>
      <c r="F270" s="340"/>
      <c r="G270" s="340"/>
      <c r="H270" s="340"/>
      <c r="I270" s="340"/>
      <c r="J270" s="340"/>
      <c r="K270" s="340"/>
      <c r="L270" s="340"/>
      <c r="M270" s="340"/>
      <c r="N270" s="340"/>
      <c r="O270" s="340"/>
      <c r="P270" s="340"/>
      <c r="Q270" s="340"/>
      <c r="R270" s="340"/>
      <c r="S270" s="340"/>
      <c r="T270" s="340"/>
      <c r="U270" s="340"/>
      <c r="V270" s="340"/>
      <c r="W270" s="340"/>
      <c r="X270" s="340"/>
      <c r="Y270" s="340"/>
      <c r="Z270" s="340"/>
    </row>
    <row r="271" spans="1:26" ht="14.25" customHeight="1">
      <c r="A271" s="340"/>
      <c r="B271" s="340"/>
      <c r="C271" s="340"/>
      <c r="D271" s="340"/>
      <c r="E271" s="340"/>
      <c r="F271" s="340"/>
      <c r="G271" s="340"/>
      <c r="H271" s="340"/>
      <c r="I271" s="340"/>
      <c r="J271" s="340"/>
      <c r="K271" s="340"/>
      <c r="L271" s="340"/>
      <c r="M271" s="340"/>
      <c r="N271" s="340"/>
      <c r="O271" s="340"/>
      <c r="P271" s="340"/>
      <c r="Q271" s="340"/>
      <c r="R271" s="340"/>
      <c r="S271" s="340"/>
      <c r="T271" s="340"/>
      <c r="U271" s="340"/>
      <c r="V271" s="340"/>
      <c r="W271" s="340"/>
      <c r="X271" s="340"/>
      <c r="Y271" s="340"/>
      <c r="Z271" s="340"/>
    </row>
    <row r="272" spans="1:26" ht="14.25" customHeight="1">
      <c r="A272" s="340"/>
      <c r="B272" s="340"/>
      <c r="C272" s="340"/>
      <c r="D272" s="340"/>
      <c r="E272" s="340"/>
      <c r="F272" s="340"/>
      <c r="G272" s="340"/>
      <c r="H272" s="340"/>
      <c r="I272" s="340"/>
      <c r="J272" s="340"/>
      <c r="K272" s="340"/>
      <c r="L272" s="340"/>
      <c r="M272" s="340"/>
      <c r="N272" s="340"/>
      <c r="O272" s="340"/>
      <c r="P272" s="340"/>
      <c r="Q272" s="340"/>
      <c r="R272" s="340"/>
      <c r="S272" s="340"/>
      <c r="T272" s="340"/>
      <c r="U272" s="340"/>
      <c r="V272" s="340"/>
      <c r="W272" s="340"/>
      <c r="X272" s="340"/>
      <c r="Y272" s="340"/>
      <c r="Z272" s="340"/>
    </row>
    <row r="273" spans="1:26" ht="14.25" customHeight="1">
      <c r="A273" s="340"/>
      <c r="B273" s="340"/>
      <c r="C273" s="340"/>
      <c r="D273" s="340"/>
      <c r="E273" s="340"/>
      <c r="F273" s="340"/>
      <c r="G273" s="340"/>
      <c r="H273" s="340"/>
      <c r="I273" s="340"/>
      <c r="J273" s="340"/>
      <c r="K273" s="340"/>
      <c r="L273" s="340"/>
      <c r="M273" s="340"/>
      <c r="N273" s="340"/>
      <c r="O273" s="340"/>
      <c r="P273" s="340"/>
      <c r="Q273" s="340"/>
      <c r="R273" s="340"/>
      <c r="S273" s="340"/>
      <c r="T273" s="340"/>
      <c r="U273" s="340"/>
      <c r="V273" s="340"/>
      <c r="W273" s="340"/>
      <c r="X273" s="340"/>
      <c r="Y273" s="340"/>
      <c r="Z273" s="340"/>
    </row>
    <row r="274" spans="1:26" ht="14.25" customHeight="1">
      <c r="A274" s="340"/>
      <c r="B274" s="340"/>
      <c r="C274" s="340"/>
      <c r="D274" s="340"/>
      <c r="E274" s="340"/>
      <c r="F274" s="340"/>
      <c r="G274" s="340"/>
      <c r="H274" s="340"/>
      <c r="I274" s="340"/>
      <c r="J274" s="340"/>
      <c r="K274" s="340"/>
      <c r="L274" s="340"/>
      <c r="M274" s="340"/>
      <c r="N274" s="340"/>
      <c r="O274" s="340"/>
      <c r="P274" s="340"/>
      <c r="Q274" s="340"/>
      <c r="R274" s="340"/>
      <c r="S274" s="340"/>
      <c r="T274" s="340"/>
      <c r="U274" s="340"/>
      <c r="V274" s="340"/>
      <c r="W274" s="340"/>
      <c r="X274" s="340"/>
      <c r="Y274" s="340"/>
      <c r="Z274" s="340"/>
    </row>
    <row r="275" spans="1:26" ht="14.25" customHeight="1">
      <c r="A275" s="340"/>
      <c r="B275" s="340"/>
      <c r="C275" s="340"/>
      <c r="D275" s="340"/>
      <c r="E275" s="340"/>
      <c r="F275" s="340"/>
      <c r="G275" s="340"/>
      <c r="H275" s="340"/>
      <c r="I275" s="340"/>
      <c r="J275" s="340"/>
      <c r="K275" s="340"/>
      <c r="L275" s="340"/>
      <c r="M275" s="340"/>
      <c r="N275" s="340"/>
      <c r="O275" s="340"/>
      <c r="P275" s="340"/>
      <c r="Q275" s="340"/>
      <c r="R275" s="340"/>
      <c r="S275" s="340"/>
      <c r="T275" s="340"/>
      <c r="U275" s="340"/>
      <c r="V275" s="340"/>
      <c r="W275" s="340"/>
      <c r="X275" s="340"/>
      <c r="Y275" s="340"/>
      <c r="Z275" s="340"/>
    </row>
    <row r="276" spans="1:26" ht="14.25" customHeight="1">
      <c r="A276" s="340"/>
      <c r="B276" s="340"/>
      <c r="C276" s="340"/>
      <c r="D276" s="340"/>
      <c r="E276" s="340"/>
      <c r="F276" s="340"/>
      <c r="G276" s="340"/>
      <c r="H276" s="340"/>
      <c r="I276" s="340"/>
      <c r="J276" s="340"/>
      <c r="K276" s="340"/>
      <c r="L276" s="340"/>
      <c r="M276" s="340"/>
      <c r="N276" s="340"/>
      <c r="O276" s="340"/>
      <c r="P276" s="340"/>
      <c r="Q276" s="340"/>
      <c r="R276" s="340"/>
      <c r="S276" s="340"/>
      <c r="T276" s="340"/>
      <c r="U276" s="340"/>
      <c r="V276" s="340"/>
      <c r="W276" s="340"/>
      <c r="X276" s="340"/>
      <c r="Y276" s="340"/>
      <c r="Z276" s="340"/>
    </row>
    <row r="277" spans="1:26" ht="14.25" customHeight="1">
      <c r="A277" s="340"/>
      <c r="B277" s="340"/>
      <c r="C277" s="340"/>
      <c r="D277" s="340"/>
      <c r="E277" s="340"/>
      <c r="F277" s="340"/>
      <c r="G277" s="340"/>
      <c r="H277" s="340"/>
      <c r="I277" s="340"/>
      <c r="J277" s="340"/>
      <c r="K277" s="340"/>
      <c r="L277" s="340"/>
      <c r="M277" s="340"/>
      <c r="N277" s="340"/>
      <c r="O277" s="340"/>
      <c r="P277" s="340"/>
      <c r="Q277" s="340"/>
      <c r="R277" s="340"/>
      <c r="S277" s="340"/>
      <c r="T277" s="340"/>
      <c r="U277" s="340"/>
      <c r="V277" s="340"/>
      <c r="W277" s="340"/>
      <c r="X277" s="340"/>
      <c r="Y277" s="340"/>
      <c r="Z277" s="340"/>
    </row>
    <row r="278" spans="1:26" ht="14.25" customHeight="1">
      <c r="A278" s="340"/>
      <c r="B278" s="340"/>
      <c r="C278" s="340"/>
      <c r="D278" s="340"/>
      <c r="E278" s="340"/>
      <c r="F278" s="340"/>
      <c r="G278" s="340"/>
      <c r="H278" s="340"/>
      <c r="I278" s="340"/>
      <c r="J278" s="340"/>
      <c r="K278" s="340"/>
      <c r="L278" s="340"/>
      <c r="M278" s="340"/>
      <c r="N278" s="340"/>
      <c r="O278" s="340"/>
      <c r="P278" s="340"/>
      <c r="Q278" s="340"/>
      <c r="R278" s="340"/>
      <c r="S278" s="340"/>
      <c r="T278" s="340"/>
      <c r="U278" s="340"/>
      <c r="V278" s="340"/>
      <c r="W278" s="340"/>
      <c r="X278" s="340"/>
      <c r="Y278" s="340"/>
      <c r="Z278" s="340"/>
    </row>
    <row r="279" spans="1:26" ht="14.25" customHeight="1">
      <c r="A279" s="340"/>
      <c r="B279" s="340"/>
      <c r="C279" s="340"/>
      <c r="D279" s="340"/>
      <c r="E279" s="340"/>
      <c r="F279" s="340"/>
      <c r="G279" s="340"/>
      <c r="H279" s="340"/>
      <c r="I279" s="340"/>
      <c r="J279" s="340"/>
      <c r="K279" s="340"/>
      <c r="L279" s="340"/>
      <c r="M279" s="340"/>
      <c r="N279" s="340"/>
      <c r="O279" s="340"/>
      <c r="P279" s="340"/>
      <c r="Q279" s="340"/>
      <c r="R279" s="340"/>
      <c r="S279" s="340"/>
      <c r="T279" s="340"/>
      <c r="U279" s="340"/>
      <c r="V279" s="340"/>
      <c r="W279" s="340"/>
      <c r="X279" s="340"/>
      <c r="Y279" s="340"/>
      <c r="Z279" s="340"/>
    </row>
    <row r="280" spans="1:26" ht="14.25" customHeight="1">
      <c r="A280" s="340"/>
      <c r="B280" s="340"/>
      <c r="C280" s="340"/>
      <c r="D280" s="340"/>
      <c r="E280" s="340"/>
      <c r="F280" s="340"/>
      <c r="G280" s="340"/>
      <c r="H280" s="340"/>
      <c r="I280" s="340"/>
      <c r="J280" s="340"/>
      <c r="K280" s="340"/>
      <c r="L280" s="340"/>
      <c r="M280" s="340"/>
      <c r="N280" s="340"/>
      <c r="O280" s="340"/>
      <c r="P280" s="340"/>
      <c r="Q280" s="340"/>
      <c r="R280" s="340"/>
      <c r="S280" s="340"/>
      <c r="T280" s="340"/>
      <c r="U280" s="340"/>
      <c r="V280" s="340"/>
      <c r="W280" s="340"/>
      <c r="X280" s="340"/>
      <c r="Y280" s="340"/>
      <c r="Z280" s="340"/>
    </row>
    <row r="281" spans="1:26" ht="14.25" customHeight="1">
      <c r="A281" s="340"/>
      <c r="B281" s="340"/>
      <c r="C281" s="340"/>
      <c r="D281" s="340"/>
      <c r="E281" s="340"/>
      <c r="F281" s="340"/>
      <c r="G281" s="340"/>
      <c r="H281" s="340"/>
      <c r="I281" s="340"/>
      <c r="J281" s="340"/>
      <c r="K281" s="340"/>
      <c r="L281" s="340"/>
      <c r="M281" s="340"/>
      <c r="N281" s="340"/>
      <c r="O281" s="340"/>
      <c r="P281" s="340"/>
      <c r="Q281" s="340"/>
      <c r="R281" s="340"/>
      <c r="S281" s="340"/>
      <c r="T281" s="340"/>
      <c r="U281" s="340"/>
      <c r="V281" s="340"/>
      <c r="W281" s="340"/>
      <c r="X281" s="340"/>
      <c r="Y281" s="340"/>
      <c r="Z281" s="340"/>
    </row>
    <row r="282" spans="1:26" ht="14.25" customHeight="1">
      <c r="A282" s="340"/>
      <c r="B282" s="340"/>
      <c r="C282" s="340"/>
      <c r="D282" s="340"/>
      <c r="E282" s="340"/>
      <c r="F282" s="340"/>
      <c r="G282" s="340"/>
      <c r="H282" s="340"/>
      <c r="I282" s="340"/>
      <c r="J282" s="340"/>
      <c r="K282" s="340"/>
      <c r="L282" s="340"/>
      <c r="M282" s="340"/>
      <c r="N282" s="340"/>
      <c r="O282" s="340"/>
      <c r="P282" s="340"/>
      <c r="Q282" s="340"/>
      <c r="R282" s="340"/>
      <c r="S282" s="340"/>
      <c r="T282" s="340"/>
      <c r="U282" s="340"/>
      <c r="V282" s="340"/>
      <c r="W282" s="340"/>
      <c r="X282" s="340"/>
      <c r="Y282" s="340"/>
      <c r="Z282" s="340"/>
    </row>
    <row r="283" spans="1:26" ht="14.25" customHeight="1">
      <c r="A283" s="340"/>
      <c r="B283" s="340"/>
      <c r="C283" s="340"/>
      <c r="D283" s="340"/>
      <c r="E283" s="340"/>
      <c r="F283" s="340"/>
      <c r="G283" s="340"/>
      <c r="H283" s="340"/>
      <c r="I283" s="340"/>
      <c r="J283" s="340"/>
      <c r="K283" s="340"/>
      <c r="L283" s="340"/>
      <c r="M283" s="340"/>
      <c r="N283" s="340"/>
      <c r="O283" s="340"/>
      <c r="P283" s="340"/>
      <c r="Q283" s="340"/>
      <c r="R283" s="340"/>
      <c r="S283" s="340"/>
      <c r="T283" s="340"/>
      <c r="U283" s="340"/>
      <c r="V283" s="340"/>
      <c r="W283" s="340"/>
      <c r="X283" s="340"/>
      <c r="Y283" s="340"/>
      <c r="Z283" s="340"/>
    </row>
    <row r="284" spans="1:26" ht="14.25" customHeight="1">
      <c r="A284" s="340"/>
      <c r="B284" s="340"/>
      <c r="C284" s="340"/>
      <c r="D284" s="340"/>
      <c r="E284" s="340"/>
      <c r="F284" s="340"/>
      <c r="G284" s="340"/>
      <c r="H284" s="340"/>
      <c r="I284" s="340"/>
      <c r="J284" s="340"/>
      <c r="K284" s="340"/>
      <c r="L284" s="340"/>
      <c r="M284" s="340"/>
      <c r="N284" s="340"/>
      <c r="O284" s="340"/>
      <c r="P284" s="340"/>
      <c r="Q284" s="340"/>
      <c r="R284" s="340"/>
      <c r="S284" s="340"/>
      <c r="T284" s="340"/>
      <c r="U284" s="340"/>
      <c r="V284" s="340"/>
      <c r="W284" s="340"/>
      <c r="X284" s="340"/>
      <c r="Y284" s="340"/>
      <c r="Z284" s="340"/>
    </row>
    <row r="285" spans="1:26" ht="14.25" customHeight="1">
      <c r="A285" s="340"/>
      <c r="B285" s="340"/>
      <c r="C285" s="340"/>
      <c r="D285" s="340"/>
      <c r="E285" s="340"/>
      <c r="F285" s="340"/>
      <c r="G285" s="340"/>
      <c r="H285" s="340"/>
      <c r="I285" s="340"/>
      <c r="J285" s="340"/>
      <c r="K285" s="340"/>
      <c r="L285" s="340"/>
      <c r="M285" s="340"/>
      <c r="N285" s="340"/>
      <c r="O285" s="340"/>
      <c r="P285" s="340"/>
      <c r="Q285" s="340"/>
      <c r="R285" s="340"/>
      <c r="S285" s="340"/>
      <c r="T285" s="340"/>
      <c r="U285" s="340"/>
      <c r="V285" s="340"/>
      <c r="W285" s="340"/>
      <c r="X285" s="340"/>
      <c r="Y285" s="340"/>
      <c r="Z285" s="340"/>
    </row>
    <row r="286" spans="1:26" ht="14.25" customHeight="1">
      <c r="A286" s="340"/>
      <c r="B286" s="340"/>
      <c r="C286" s="340"/>
      <c r="D286" s="340"/>
      <c r="E286" s="340"/>
      <c r="F286" s="340"/>
      <c r="G286" s="340"/>
      <c r="H286" s="340"/>
      <c r="I286" s="340"/>
      <c r="J286" s="340"/>
      <c r="K286" s="340"/>
      <c r="L286" s="340"/>
      <c r="M286" s="340"/>
      <c r="N286" s="340"/>
      <c r="O286" s="340"/>
      <c r="P286" s="340"/>
      <c r="Q286" s="340"/>
      <c r="R286" s="340"/>
      <c r="S286" s="340"/>
      <c r="T286" s="340"/>
      <c r="U286" s="340"/>
      <c r="V286" s="340"/>
      <c r="W286" s="340"/>
      <c r="X286" s="340"/>
      <c r="Y286" s="340"/>
      <c r="Z286" s="340"/>
    </row>
    <row r="287" spans="1:26" ht="14.25" customHeight="1">
      <c r="A287" s="340"/>
      <c r="B287" s="340"/>
      <c r="C287" s="340"/>
      <c r="D287" s="340"/>
      <c r="E287" s="340"/>
      <c r="F287" s="340"/>
      <c r="G287" s="340"/>
      <c r="H287" s="340"/>
      <c r="I287" s="340"/>
      <c r="J287" s="340"/>
      <c r="K287" s="340"/>
      <c r="L287" s="340"/>
      <c r="M287" s="340"/>
      <c r="N287" s="340"/>
      <c r="O287" s="340"/>
      <c r="P287" s="340"/>
      <c r="Q287" s="340"/>
      <c r="R287" s="340"/>
      <c r="S287" s="340"/>
      <c r="T287" s="340"/>
      <c r="U287" s="340"/>
      <c r="V287" s="340"/>
      <c r="W287" s="340"/>
      <c r="X287" s="340"/>
      <c r="Y287" s="340"/>
      <c r="Z287" s="340"/>
    </row>
    <row r="288" spans="1:26" ht="14.25" customHeight="1">
      <c r="A288" s="340"/>
      <c r="B288" s="340"/>
      <c r="C288" s="340"/>
      <c r="D288" s="340"/>
      <c r="E288" s="340"/>
      <c r="F288" s="340"/>
      <c r="G288" s="340"/>
      <c r="H288" s="340"/>
      <c r="I288" s="340"/>
      <c r="J288" s="340"/>
      <c r="K288" s="340"/>
      <c r="L288" s="340"/>
      <c r="M288" s="340"/>
      <c r="N288" s="340"/>
      <c r="O288" s="340"/>
      <c r="P288" s="340"/>
      <c r="Q288" s="340"/>
      <c r="R288" s="340"/>
      <c r="S288" s="340"/>
      <c r="T288" s="340"/>
      <c r="U288" s="340"/>
      <c r="V288" s="340"/>
      <c r="W288" s="340"/>
      <c r="X288" s="340"/>
      <c r="Y288" s="340"/>
      <c r="Z288" s="340"/>
    </row>
    <row r="289" spans="1:26" ht="14.25" customHeight="1">
      <c r="A289" s="340"/>
      <c r="B289" s="340"/>
      <c r="C289" s="340"/>
      <c r="D289" s="340"/>
      <c r="E289" s="340"/>
      <c r="F289" s="340"/>
      <c r="G289" s="340"/>
      <c r="H289" s="340"/>
      <c r="I289" s="340"/>
      <c r="J289" s="340"/>
      <c r="K289" s="340"/>
      <c r="L289" s="340"/>
      <c r="M289" s="340"/>
      <c r="N289" s="340"/>
      <c r="O289" s="340"/>
      <c r="P289" s="340"/>
      <c r="Q289" s="340"/>
      <c r="R289" s="340"/>
      <c r="S289" s="340"/>
      <c r="T289" s="340"/>
      <c r="U289" s="340"/>
      <c r="V289" s="340"/>
      <c r="W289" s="340"/>
      <c r="X289" s="340"/>
      <c r="Y289" s="340"/>
      <c r="Z289" s="340"/>
    </row>
    <row r="290" spans="1:26" ht="14.25" customHeight="1">
      <c r="A290" s="340"/>
      <c r="B290" s="340"/>
      <c r="C290" s="340"/>
      <c r="D290" s="340"/>
      <c r="E290" s="340"/>
      <c r="F290" s="340"/>
      <c r="G290" s="340"/>
      <c r="H290" s="340"/>
      <c r="I290" s="340"/>
      <c r="J290" s="340"/>
      <c r="K290" s="340"/>
      <c r="L290" s="340"/>
      <c r="M290" s="340"/>
      <c r="N290" s="340"/>
      <c r="O290" s="340"/>
      <c r="P290" s="340"/>
      <c r="Q290" s="340"/>
      <c r="R290" s="340"/>
      <c r="S290" s="340"/>
      <c r="T290" s="340"/>
      <c r="U290" s="340"/>
      <c r="V290" s="340"/>
      <c r="W290" s="340"/>
      <c r="X290" s="340"/>
      <c r="Y290" s="340"/>
      <c r="Z290" s="340"/>
    </row>
    <row r="291" spans="1:26" ht="14.25" customHeight="1">
      <c r="A291" s="340"/>
      <c r="B291" s="340"/>
      <c r="C291" s="340"/>
      <c r="D291" s="340"/>
      <c r="E291" s="340"/>
      <c r="F291" s="340"/>
      <c r="G291" s="340"/>
      <c r="H291" s="340"/>
      <c r="I291" s="340"/>
      <c r="J291" s="340"/>
      <c r="K291" s="340"/>
      <c r="L291" s="340"/>
      <c r="M291" s="340"/>
      <c r="N291" s="340"/>
      <c r="O291" s="340"/>
      <c r="P291" s="340"/>
      <c r="Q291" s="340"/>
      <c r="R291" s="340"/>
      <c r="S291" s="340"/>
      <c r="T291" s="340"/>
      <c r="U291" s="340"/>
      <c r="V291" s="340"/>
      <c r="W291" s="340"/>
      <c r="X291" s="340"/>
      <c r="Y291" s="340"/>
      <c r="Z291" s="340"/>
    </row>
    <row r="292" spans="1:26" ht="14.25" customHeight="1">
      <c r="A292" s="340"/>
      <c r="B292" s="340"/>
      <c r="C292" s="340"/>
      <c r="D292" s="340"/>
      <c r="E292" s="340"/>
      <c r="F292" s="340"/>
      <c r="G292" s="340"/>
      <c r="H292" s="340"/>
      <c r="I292" s="340"/>
      <c r="J292" s="340"/>
      <c r="K292" s="340"/>
      <c r="L292" s="340"/>
      <c r="M292" s="340"/>
      <c r="N292" s="340"/>
      <c r="O292" s="340"/>
      <c r="P292" s="340"/>
      <c r="Q292" s="340"/>
      <c r="R292" s="340"/>
      <c r="S292" s="340"/>
      <c r="T292" s="340"/>
      <c r="U292" s="340"/>
      <c r="V292" s="340"/>
      <c r="W292" s="340"/>
      <c r="X292" s="340"/>
      <c r="Y292" s="340"/>
      <c r="Z292" s="340"/>
    </row>
    <row r="293" spans="1:26" ht="14.25" customHeight="1">
      <c r="A293" s="340"/>
      <c r="B293" s="340"/>
      <c r="C293" s="340"/>
      <c r="D293" s="340"/>
      <c r="E293" s="340"/>
      <c r="F293" s="340"/>
      <c r="G293" s="340"/>
      <c r="H293" s="340"/>
      <c r="I293" s="340"/>
      <c r="J293" s="340"/>
      <c r="K293" s="340"/>
      <c r="L293" s="340"/>
      <c r="M293" s="340"/>
      <c r="N293" s="340"/>
      <c r="O293" s="340"/>
      <c r="P293" s="340"/>
      <c r="Q293" s="340"/>
      <c r="R293" s="340"/>
      <c r="S293" s="340"/>
      <c r="T293" s="340"/>
      <c r="U293" s="340"/>
      <c r="V293" s="340"/>
      <c r="W293" s="340"/>
      <c r="X293" s="340"/>
      <c r="Y293" s="340"/>
      <c r="Z293" s="340"/>
    </row>
    <row r="294" spans="1:26" ht="14.25" customHeight="1">
      <c r="A294" s="340"/>
      <c r="B294" s="340"/>
      <c r="C294" s="340"/>
      <c r="D294" s="340"/>
      <c r="E294" s="340"/>
      <c r="F294" s="340"/>
      <c r="G294" s="340"/>
      <c r="H294" s="340"/>
      <c r="I294" s="340"/>
      <c r="J294" s="340"/>
      <c r="K294" s="340"/>
      <c r="L294" s="340"/>
      <c r="M294" s="340"/>
      <c r="N294" s="340"/>
      <c r="O294" s="340"/>
      <c r="P294" s="340"/>
      <c r="Q294" s="340"/>
      <c r="R294" s="340"/>
      <c r="S294" s="340"/>
      <c r="T294" s="340"/>
      <c r="U294" s="340"/>
      <c r="V294" s="340"/>
      <c r="W294" s="340"/>
      <c r="X294" s="340"/>
      <c r="Y294" s="340"/>
      <c r="Z294" s="340"/>
    </row>
    <row r="295" spans="1:26" ht="14.25" customHeight="1">
      <c r="A295" s="340"/>
      <c r="B295" s="340"/>
      <c r="C295" s="340"/>
      <c r="D295" s="340"/>
      <c r="E295" s="340"/>
      <c r="F295" s="340"/>
      <c r="G295" s="340"/>
      <c r="H295" s="340"/>
      <c r="I295" s="340"/>
      <c r="J295" s="340"/>
      <c r="K295" s="340"/>
      <c r="L295" s="340"/>
      <c r="M295" s="340"/>
      <c r="N295" s="340"/>
      <c r="O295" s="340"/>
      <c r="P295" s="340"/>
      <c r="Q295" s="340"/>
      <c r="R295" s="340"/>
      <c r="S295" s="340"/>
      <c r="T295" s="340"/>
      <c r="U295" s="340"/>
      <c r="V295" s="340"/>
      <c r="W295" s="340"/>
      <c r="X295" s="340"/>
      <c r="Y295" s="340"/>
      <c r="Z295" s="340"/>
    </row>
    <row r="296" spans="1:26" ht="14.25" customHeight="1">
      <c r="A296" s="340"/>
      <c r="B296" s="340"/>
      <c r="C296" s="340"/>
      <c r="D296" s="340"/>
      <c r="E296" s="340"/>
      <c r="F296" s="340"/>
      <c r="G296" s="340"/>
      <c r="H296" s="340"/>
      <c r="I296" s="340"/>
      <c r="J296" s="340"/>
      <c r="K296" s="340"/>
      <c r="L296" s="340"/>
      <c r="M296" s="340"/>
      <c r="N296" s="340"/>
      <c r="O296" s="340"/>
      <c r="P296" s="340"/>
      <c r="Q296" s="340"/>
      <c r="R296" s="340"/>
      <c r="S296" s="340"/>
      <c r="T296" s="340"/>
      <c r="U296" s="340"/>
      <c r="V296" s="340"/>
      <c r="W296" s="340"/>
      <c r="X296" s="340"/>
      <c r="Y296" s="340"/>
      <c r="Z296" s="340"/>
    </row>
    <row r="297" spans="1:26" ht="14.25" customHeight="1">
      <c r="A297" s="340"/>
      <c r="B297" s="340"/>
      <c r="C297" s="340"/>
      <c r="D297" s="340"/>
      <c r="E297" s="340"/>
      <c r="F297" s="340"/>
      <c r="G297" s="340"/>
      <c r="H297" s="340"/>
      <c r="I297" s="340"/>
      <c r="J297" s="340"/>
      <c r="K297" s="340"/>
      <c r="L297" s="340"/>
      <c r="M297" s="340"/>
      <c r="N297" s="340"/>
      <c r="O297" s="340"/>
      <c r="P297" s="340"/>
      <c r="Q297" s="340"/>
      <c r="R297" s="340"/>
      <c r="S297" s="340"/>
      <c r="T297" s="340"/>
      <c r="U297" s="340"/>
      <c r="V297" s="340"/>
      <c r="W297" s="340"/>
      <c r="X297" s="340"/>
      <c r="Y297" s="340"/>
      <c r="Z297" s="340"/>
    </row>
    <row r="298" spans="1:26" ht="14.25" customHeight="1">
      <c r="A298" s="340"/>
      <c r="B298" s="340"/>
      <c r="C298" s="340"/>
      <c r="D298" s="340"/>
      <c r="E298" s="340"/>
      <c r="F298" s="340"/>
      <c r="G298" s="340"/>
      <c r="H298" s="340"/>
      <c r="I298" s="340"/>
      <c r="J298" s="340"/>
      <c r="K298" s="340"/>
      <c r="L298" s="340"/>
      <c r="M298" s="340"/>
      <c r="N298" s="340"/>
      <c r="O298" s="340"/>
      <c r="P298" s="340"/>
      <c r="Q298" s="340"/>
      <c r="R298" s="340"/>
      <c r="S298" s="340"/>
      <c r="T298" s="340"/>
      <c r="U298" s="340"/>
      <c r="V298" s="340"/>
      <c r="W298" s="340"/>
      <c r="X298" s="340"/>
      <c r="Y298" s="340"/>
      <c r="Z298" s="340"/>
    </row>
    <row r="299" spans="1:26" ht="14.25" customHeight="1">
      <c r="A299" s="340"/>
      <c r="B299" s="340"/>
      <c r="C299" s="340"/>
      <c r="D299" s="340"/>
      <c r="E299" s="340"/>
      <c r="F299" s="340"/>
      <c r="G299" s="340"/>
      <c r="H299" s="340"/>
      <c r="I299" s="340"/>
      <c r="J299" s="340"/>
      <c r="K299" s="340"/>
      <c r="L299" s="340"/>
      <c r="M299" s="340"/>
      <c r="N299" s="340"/>
      <c r="O299" s="340"/>
      <c r="P299" s="340"/>
      <c r="Q299" s="340"/>
      <c r="R299" s="340"/>
      <c r="S299" s="340"/>
      <c r="T299" s="340"/>
      <c r="U299" s="340"/>
      <c r="V299" s="340"/>
      <c r="W299" s="340"/>
      <c r="X299" s="340"/>
      <c r="Y299" s="340"/>
      <c r="Z299" s="340"/>
    </row>
    <row r="300" spans="1:26" ht="14.25" customHeight="1">
      <c r="A300" s="340"/>
      <c r="B300" s="340"/>
      <c r="C300" s="340"/>
      <c r="D300" s="340"/>
      <c r="E300" s="340"/>
      <c r="F300" s="340"/>
      <c r="G300" s="340"/>
      <c r="H300" s="340"/>
      <c r="I300" s="340"/>
      <c r="J300" s="340"/>
      <c r="K300" s="340"/>
      <c r="L300" s="340"/>
      <c r="M300" s="340"/>
      <c r="N300" s="340"/>
      <c r="O300" s="340"/>
      <c r="P300" s="340"/>
      <c r="Q300" s="340"/>
      <c r="R300" s="340"/>
      <c r="S300" s="340"/>
      <c r="T300" s="340"/>
      <c r="U300" s="340"/>
      <c r="V300" s="340"/>
      <c r="W300" s="340"/>
      <c r="X300" s="340"/>
      <c r="Y300" s="340"/>
      <c r="Z300" s="340"/>
    </row>
    <row r="301" spans="1:26" ht="14.25" customHeight="1">
      <c r="A301" s="340"/>
      <c r="B301" s="340"/>
      <c r="C301" s="340"/>
      <c r="D301" s="340"/>
      <c r="E301" s="340"/>
      <c r="F301" s="340"/>
      <c r="G301" s="340"/>
      <c r="H301" s="340"/>
      <c r="I301" s="340"/>
      <c r="J301" s="340"/>
      <c r="K301" s="340"/>
      <c r="L301" s="340"/>
      <c r="M301" s="340"/>
      <c r="N301" s="340"/>
      <c r="O301" s="340"/>
      <c r="P301" s="340"/>
      <c r="Q301" s="340"/>
      <c r="R301" s="340"/>
      <c r="S301" s="340"/>
      <c r="T301" s="340"/>
      <c r="U301" s="340"/>
      <c r="V301" s="340"/>
      <c r="W301" s="340"/>
      <c r="X301" s="340"/>
      <c r="Y301" s="340"/>
      <c r="Z301" s="340"/>
    </row>
    <row r="302" spans="1:26" ht="14.25" customHeight="1">
      <c r="A302" s="340"/>
      <c r="B302" s="340"/>
      <c r="C302" s="340"/>
      <c r="D302" s="340"/>
      <c r="E302" s="340"/>
      <c r="F302" s="340"/>
      <c r="G302" s="340"/>
      <c r="H302" s="340"/>
      <c r="I302" s="340"/>
      <c r="J302" s="340"/>
      <c r="K302" s="340"/>
      <c r="L302" s="340"/>
      <c r="M302" s="340"/>
      <c r="N302" s="340"/>
      <c r="O302" s="340"/>
      <c r="P302" s="340"/>
      <c r="Q302" s="340"/>
      <c r="R302" s="340"/>
      <c r="S302" s="340"/>
      <c r="T302" s="340"/>
      <c r="U302" s="340"/>
      <c r="V302" s="340"/>
      <c r="W302" s="340"/>
      <c r="X302" s="340"/>
      <c r="Y302" s="340"/>
      <c r="Z302" s="340"/>
    </row>
    <row r="303" spans="1:26" ht="14.25" customHeight="1">
      <c r="A303" s="340"/>
      <c r="B303" s="340"/>
      <c r="C303" s="340"/>
      <c r="D303" s="340"/>
      <c r="E303" s="340"/>
      <c r="F303" s="340"/>
      <c r="G303" s="340"/>
      <c r="H303" s="340"/>
      <c r="I303" s="340"/>
      <c r="J303" s="340"/>
      <c r="K303" s="340"/>
      <c r="L303" s="340"/>
      <c r="M303" s="340"/>
      <c r="N303" s="340"/>
      <c r="O303" s="340"/>
      <c r="P303" s="340"/>
      <c r="Q303" s="340"/>
      <c r="R303" s="340"/>
      <c r="S303" s="340"/>
      <c r="T303" s="340"/>
      <c r="U303" s="340"/>
      <c r="V303" s="340"/>
      <c r="W303" s="340"/>
      <c r="X303" s="340"/>
      <c r="Y303" s="340"/>
      <c r="Z303" s="340"/>
    </row>
    <row r="304" spans="1:26" ht="14.25" customHeight="1">
      <c r="A304" s="340"/>
      <c r="B304" s="340"/>
      <c r="C304" s="340"/>
      <c r="D304" s="340"/>
      <c r="E304" s="340"/>
      <c r="F304" s="340"/>
      <c r="G304" s="340"/>
      <c r="H304" s="340"/>
      <c r="I304" s="340"/>
      <c r="J304" s="340"/>
      <c r="K304" s="340"/>
      <c r="L304" s="340"/>
      <c r="M304" s="340"/>
      <c r="N304" s="340"/>
      <c r="O304" s="340"/>
      <c r="P304" s="340"/>
      <c r="Q304" s="340"/>
      <c r="R304" s="340"/>
      <c r="S304" s="340"/>
      <c r="T304" s="340"/>
      <c r="U304" s="340"/>
      <c r="V304" s="340"/>
      <c r="W304" s="340"/>
      <c r="X304" s="340"/>
      <c r="Y304" s="340"/>
      <c r="Z304" s="340"/>
    </row>
    <row r="305" spans="1:26" ht="14.25" customHeight="1">
      <c r="A305" s="340"/>
      <c r="B305" s="340"/>
      <c r="C305" s="340"/>
      <c r="D305" s="340"/>
      <c r="E305" s="340"/>
      <c r="F305" s="340"/>
      <c r="G305" s="340"/>
      <c r="H305" s="340"/>
      <c r="I305" s="340"/>
      <c r="J305" s="340"/>
      <c r="K305" s="340"/>
      <c r="L305" s="340"/>
      <c r="M305" s="340"/>
      <c r="N305" s="340"/>
      <c r="O305" s="340"/>
      <c r="P305" s="340"/>
      <c r="Q305" s="340"/>
      <c r="R305" s="340"/>
      <c r="S305" s="340"/>
      <c r="T305" s="340"/>
      <c r="U305" s="340"/>
      <c r="V305" s="340"/>
      <c r="W305" s="340"/>
      <c r="X305" s="340"/>
      <c r="Y305" s="340"/>
      <c r="Z305" s="340"/>
    </row>
    <row r="306" spans="1:26" ht="14.25" customHeight="1">
      <c r="A306" s="340"/>
      <c r="B306" s="340"/>
      <c r="C306" s="340"/>
      <c r="D306" s="340"/>
      <c r="E306" s="340"/>
      <c r="F306" s="340"/>
      <c r="G306" s="340"/>
      <c r="H306" s="340"/>
      <c r="I306" s="340"/>
      <c r="J306" s="340"/>
      <c r="K306" s="340"/>
      <c r="L306" s="340"/>
      <c r="M306" s="340"/>
      <c r="N306" s="340"/>
      <c r="O306" s="340"/>
      <c r="P306" s="340"/>
      <c r="Q306" s="340"/>
      <c r="R306" s="340"/>
      <c r="S306" s="340"/>
      <c r="T306" s="340"/>
      <c r="U306" s="340"/>
      <c r="V306" s="340"/>
      <c r="W306" s="340"/>
      <c r="X306" s="340"/>
      <c r="Y306" s="340"/>
      <c r="Z306" s="340"/>
    </row>
    <row r="307" spans="1:26" ht="14.25" customHeight="1">
      <c r="A307" s="340"/>
      <c r="B307" s="340"/>
      <c r="C307" s="340"/>
      <c r="D307" s="340"/>
      <c r="E307" s="340"/>
      <c r="F307" s="340"/>
      <c r="G307" s="340"/>
      <c r="H307" s="340"/>
      <c r="I307" s="340"/>
      <c r="J307" s="340"/>
      <c r="K307" s="340"/>
      <c r="L307" s="340"/>
      <c r="M307" s="340"/>
      <c r="N307" s="340"/>
      <c r="O307" s="340"/>
      <c r="P307" s="340"/>
      <c r="Q307" s="340"/>
      <c r="R307" s="340"/>
      <c r="S307" s="340"/>
      <c r="T307" s="340"/>
      <c r="U307" s="340"/>
      <c r="V307" s="340"/>
      <c r="W307" s="340"/>
      <c r="X307" s="340"/>
      <c r="Y307" s="340"/>
      <c r="Z307" s="340"/>
    </row>
    <row r="308" spans="1:26" ht="14.25" customHeight="1">
      <c r="A308" s="340"/>
      <c r="B308" s="340"/>
      <c r="C308" s="340"/>
      <c r="D308" s="340"/>
      <c r="E308" s="340"/>
      <c r="F308" s="340"/>
      <c r="G308" s="340"/>
      <c r="H308" s="340"/>
      <c r="I308" s="340"/>
      <c r="J308" s="340"/>
      <c r="K308" s="340"/>
      <c r="L308" s="340"/>
      <c r="M308" s="340"/>
      <c r="N308" s="340"/>
      <c r="O308" s="340"/>
      <c r="P308" s="340"/>
      <c r="Q308" s="340"/>
      <c r="R308" s="340"/>
      <c r="S308" s="340"/>
      <c r="T308" s="340"/>
      <c r="U308" s="340"/>
      <c r="V308" s="340"/>
      <c r="W308" s="340"/>
      <c r="X308" s="340"/>
      <c r="Y308" s="340"/>
      <c r="Z308" s="340"/>
    </row>
    <row r="309" spans="1:26" ht="14.25" customHeight="1">
      <c r="A309" s="340"/>
      <c r="B309" s="340"/>
      <c r="C309" s="340"/>
      <c r="D309" s="340"/>
      <c r="E309" s="340"/>
      <c r="F309" s="340"/>
      <c r="G309" s="340"/>
      <c r="H309" s="340"/>
      <c r="I309" s="340"/>
      <c r="J309" s="340"/>
      <c r="K309" s="340"/>
      <c r="L309" s="340"/>
      <c r="M309" s="340"/>
      <c r="N309" s="340"/>
      <c r="O309" s="340"/>
      <c r="P309" s="340"/>
      <c r="Q309" s="340"/>
      <c r="R309" s="340"/>
      <c r="S309" s="340"/>
      <c r="T309" s="340"/>
      <c r="U309" s="340"/>
      <c r="V309" s="340"/>
      <c r="W309" s="340"/>
      <c r="X309" s="340"/>
      <c r="Y309" s="340"/>
      <c r="Z309" s="340"/>
    </row>
    <row r="310" spans="1:26" ht="14.25" customHeight="1">
      <c r="A310" s="340"/>
      <c r="B310" s="340"/>
      <c r="C310" s="340"/>
      <c r="D310" s="340"/>
      <c r="E310" s="340"/>
      <c r="F310" s="340"/>
      <c r="G310" s="340"/>
      <c r="H310" s="340"/>
      <c r="I310" s="340"/>
      <c r="J310" s="340"/>
      <c r="K310" s="340"/>
      <c r="L310" s="340"/>
      <c r="M310" s="340"/>
      <c r="N310" s="340"/>
      <c r="O310" s="340"/>
      <c r="P310" s="340"/>
      <c r="Q310" s="340"/>
      <c r="R310" s="340"/>
      <c r="S310" s="340"/>
      <c r="T310" s="340"/>
      <c r="U310" s="340"/>
      <c r="V310" s="340"/>
      <c r="W310" s="340"/>
      <c r="X310" s="340"/>
      <c r="Y310" s="340"/>
      <c r="Z310" s="340"/>
    </row>
    <row r="311" spans="1:26" ht="14.25" customHeight="1">
      <c r="A311" s="340"/>
      <c r="B311" s="340"/>
      <c r="C311" s="340"/>
      <c r="D311" s="340"/>
      <c r="E311" s="340"/>
      <c r="F311" s="340"/>
      <c r="G311" s="340"/>
      <c r="H311" s="340"/>
      <c r="I311" s="340"/>
      <c r="J311" s="340"/>
      <c r="K311" s="340"/>
      <c r="L311" s="340"/>
      <c r="M311" s="340"/>
      <c r="N311" s="340"/>
      <c r="O311" s="340"/>
      <c r="P311" s="340"/>
      <c r="Q311" s="340"/>
      <c r="R311" s="340"/>
      <c r="S311" s="340"/>
      <c r="T311" s="340"/>
      <c r="U311" s="340"/>
      <c r="V311" s="340"/>
      <c r="W311" s="340"/>
      <c r="X311" s="340"/>
      <c r="Y311" s="340"/>
      <c r="Z311" s="340"/>
    </row>
    <row r="312" spans="1:26" ht="14.25" customHeight="1">
      <c r="A312" s="340"/>
      <c r="B312" s="340"/>
      <c r="C312" s="340"/>
      <c r="D312" s="340"/>
      <c r="E312" s="340"/>
      <c r="F312" s="340"/>
      <c r="G312" s="340"/>
      <c r="H312" s="340"/>
      <c r="I312" s="340"/>
      <c r="J312" s="340"/>
      <c r="K312" s="340"/>
      <c r="L312" s="340"/>
      <c r="M312" s="340"/>
      <c r="N312" s="340"/>
      <c r="O312" s="340"/>
      <c r="P312" s="340"/>
      <c r="Q312" s="340"/>
      <c r="R312" s="340"/>
      <c r="S312" s="340"/>
      <c r="T312" s="340"/>
      <c r="U312" s="340"/>
      <c r="V312" s="340"/>
      <c r="W312" s="340"/>
      <c r="X312" s="340"/>
      <c r="Y312" s="340"/>
      <c r="Z312" s="340"/>
    </row>
    <row r="313" spans="1:26" ht="14.25" customHeight="1">
      <c r="A313" s="340"/>
      <c r="B313" s="340"/>
      <c r="C313" s="340"/>
      <c r="D313" s="340"/>
      <c r="E313" s="340"/>
      <c r="F313" s="340"/>
      <c r="G313" s="340"/>
      <c r="H313" s="340"/>
      <c r="I313" s="340"/>
      <c r="J313" s="340"/>
      <c r="K313" s="340"/>
      <c r="L313" s="340"/>
      <c r="M313" s="340"/>
      <c r="N313" s="340"/>
      <c r="O313" s="340"/>
      <c r="P313" s="340"/>
      <c r="Q313" s="340"/>
      <c r="R313" s="340"/>
      <c r="S313" s="340"/>
      <c r="T313" s="340"/>
      <c r="U313" s="340"/>
      <c r="V313" s="340"/>
      <c r="W313" s="340"/>
      <c r="X313" s="340"/>
      <c r="Y313" s="340"/>
      <c r="Z313" s="340"/>
    </row>
    <row r="314" spans="1:26" ht="14.25" customHeight="1">
      <c r="A314" s="340"/>
      <c r="B314" s="340"/>
      <c r="C314" s="340"/>
      <c r="D314" s="340"/>
      <c r="E314" s="340"/>
      <c r="F314" s="340"/>
      <c r="G314" s="340"/>
      <c r="H314" s="340"/>
      <c r="I314" s="340"/>
      <c r="J314" s="340"/>
      <c r="K314" s="340"/>
      <c r="L314" s="340"/>
      <c r="M314" s="340"/>
      <c r="N314" s="340"/>
      <c r="O314" s="340"/>
      <c r="P314" s="340"/>
      <c r="Q314" s="340"/>
      <c r="R314" s="340"/>
      <c r="S314" s="340"/>
      <c r="T314" s="340"/>
      <c r="U314" s="340"/>
      <c r="V314" s="340"/>
      <c r="W314" s="340"/>
      <c r="X314" s="340"/>
      <c r="Y314" s="340"/>
      <c r="Z314" s="340"/>
    </row>
    <row r="315" spans="1:26" ht="14.25" customHeight="1">
      <c r="A315" s="340"/>
      <c r="B315" s="340"/>
      <c r="C315" s="340"/>
      <c r="D315" s="340"/>
      <c r="E315" s="340"/>
      <c r="F315" s="340"/>
      <c r="G315" s="340"/>
      <c r="H315" s="340"/>
      <c r="I315" s="340"/>
      <c r="J315" s="340"/>
      <c r="K315" s="340"/>
      <c r="L315" s="340"/>
      <c r="M315" s="340"/>
      <c r="N315" s="340"/>
      <c r="O315" s="340"/>
      <c r="P315" s="340"/>
      <c r="Q315" s="340"/>
      <c r="R315" s="340"/>
      <c r="S315" s="340"/>
      <c r="T315" s="340"/>
      <c r="U315" s="340"/>
      <c r="V315" s="340"/>
      <c r="W315" s="340"/>
      <c r="X315" s="340"/>
      <c r="Y315" s="340"/>
      <c r="Z315" s="340"/>
    </row>
    <row r="316" spans="1:26" ht="14.25" customHeight="1">
      <c r="A316" s="340"/>
      <c r="B316" s="340"/>
      <c r="C316" s="340"/>
      <c r="D316" s="340"/>
      <c r="E316" s="340"/>
      <c r="F316" s="340"/>
      <c r="G316" s="340"/>
      <c r="H316" s="340"/>
      <c r="I316" s="340"/>
      <c r="J316" s="340"/>
      <c r="K316" s="340"/>
      <c r="L316" s="340"/>
      <c r="M316" s="340"/>
      <c r="N316" s="340"/>
      <c r="O316" s="340"/>
      <c r="P316" s="340"/>
      <c r="Q316" s="340"/>
      <c r="R316" s="340"/>
      <c r="S316" s="340"/>
      <c r="T316" s="340"/>
      <c r="U316" s="340"/>
      <c r="V316" s="340"/>
      <c r="W316" s="340"/>
      <c r="X316" s="340"/>
      <c r="Y316" s="340"/>
      <c r="Z316" s="340"/>
    </row>
    <row r="317" spans="1:26" ht="14.25" customHeight="1">
      <c r="A317" s="340"/>
      <c r="B317" s="340"/>
      <c r="C317" s="340"/>
      <c r="D317" s="340"/>
      <c r="E317" s="340"/>
      <c r="F317" s="340"/>
      <c r="G317" s="340"/>
      <c r="H317" s="340"/>
      <c r="I317" s="340"/>
      <c r="J317" s="340"/>
      <c r="K317" s="340"/>
      <c r="L317" s="340"/>
      <c r="M317" s="340"/>
      <c r="N317" s="340"/>
      <c r="O317" s="340"/>
      <c r="P317" s="340"/>
      <c r="Q317" s="340"/>
      <c r="R317" s="340"/>
      <c r="S317" s="340"/>
      <c r="T317" s="340"/>
      <c r="U317" s="340"/>
      <c r="V317" s="340"/>
      <c r="W317" s="340"/>
      <c r="X317" s="340"/>
      <c r="Y317" s="340"/>
      <c r="Z317" s="340"/>
    </row>
    <row r="318" spans="1:26" ht="14.25" customHeight="1">
      <c r="A318" s="340"/>
      <c r="B318" s="340"/>
      <c r="C318" s="340"/>
      <c r="D318" s="340"/>
      <c r="E318" s="340"/>
      <c r="F318" s="340"/>
      <c r="G318" s="340"/>
      <c r="H318" s="340"/>
      <c r="I318" s="340"/>
      <c r="J318" s="340"/>
      <c r="K318" s="340"/>
      <c r="L318" s="340"/>
      <c r="M318" s="340"/>
      <c r="N318" s="340"/>
      <c r="O318" s="340"/>
      <c r="P318" s="340"/>
      <c r="Q318" s="340"/>
      <c r="R318" s="340"/>
      <c r="S318" s="340"/>
      <c r="T318" s="340"/>
      <c r="U318" s="340"/>
      <c r="V318" s="340"/>
      <c r="W318" s="340"/>
      <c r="X318" s="340"/>
      <c r="Y318" s="340"/>
      <c r="Z318" s="340"/>
    </row>
    <row r="319" spans="1:26" ht="14.25" customHeight="1">
      <c r="A319" s="340"/>
      <c r="B319" s="340"/>
      <c r="C319" s="340"/>
      <c r="D319" s="340"/>
      <c r="E319" s="340"/>
      <c r="F319" s="340"/>
      <c r="G319" s="340"/>
      <c r="H319" s="340"/>
      <c r="I319" s="340"/>
      <c r="J319" s="340"/>
      <c r="K319" s="340"/>
      <c r="L319" s="340"/>
      <c r="M319" s="340"/>
      <c r="N319" s="340"/>
      <c r="O319" s="340"/>
      <c r="P319" s="340"/>
      <c r="Q319" s="340"/>
      <c r="R319" s="340"/>
      <c r="S319" s="340"/>
      <c r="T319" s="340"/>
      <c r="U319" s="340"/>
      <c r="V319" s="340"/>
      <c r="W319" s="340"/>
      <c r="X319" s="340"/>
      <c r="Y319" s="340"/>
      <c r="Z319" s="340"/>
    </row>
    <row r="320" spans="1:26" ht="14.25" customHeight="1">
      <c r="A320" s="340"/>
      <c r="B320" s="340"/>
      <c r="C320" s="340"/>
      <c r="D320" s="340"/>
      <c r="E320" s="340"/>
      <c r="F320" s="340"/>
      <c r="G320" s="340"/>
      <c r="H320" s="340"/>
      <c r="I320" s="340"/>
      <c r="J320" s="340"/>
      <c r="K320" s="340"/>
      <c r="L320" s="340"/>
      <c r="M320" s="340"/>
      <c r="N320" s="340"/>
      <c r="O320" s="340"/>
      <c r="P320" s="340"/>
      <c r="Q320" s="340"/>
      <c r="R320" s="340"/>
      <c r="S320" s="340"/>
      <c r="T320" s="340"/>
      <c r="U320" s="340"/>
      <c r="V320" s="340"/>
      <c r="W320" s="340"/>
      <c r="X320" s="340"/>
      <c r="Y320" s="340"/>
      <c r="Z320" s="340"/>
    </row>
    <row r="321" spans="1:26" ht="14.25" customHeight="1">
      <c r="A321" s="340"/>
      <c r="B321" s="340"/>
      <c r="C321" s="340"/>
      <c r="D321" s="340"/>
      <c r="E321" s="340"/>
      <c r="F321" s="340"/>
      <c r="G321" s="340"/>
      <c r="H321" s="340"/>
      <c r="I321" s="340"/>
      <c r="J321" s="340"/>
      <c r="K321" s="340"/>
      <c r="L321" s="340"/>
      <c r="M321" s="340"/>
      <c r="N321" s="340"/>
      <c r="O321" s="340"/>
      <c r="P321" s="340"/>
      <c r="Q321" s="340"/>
      <c r="R321" s="340"/>
      <c r="S321" s="340"/>
      <c r="T321" s="340"/>
      <c r="U321" s="340"/>
      <c r="V321" s="340"/>
      <c r="W321" s="340"/>
      <c r="X321" s="340"/>
      <c r="Y321" s="340"/>
      <c r="Z321" s="340"/>
    </row>
    <row r="322" spans="1:26" ht="14.25" customHeight="1">
      <c r="A322" s="340"/>
      <c r="B322" s="340"/>
      <c r="C322" s="340"/>
      <c r="D322" s="340"/>
      <c r="E322" s="340"/>
      <c r="F322" s="340"/>
      <c r="G322" s="340"/>
      <c r="H322" s="340"/>
      <c r="I322" s="340"/>
      <c r="J322" s="340"/>
      <c r="K322" s="340"/>
      <c r="L322" s="340"/>
      <c r="M322" s="340"/>
      <c r="N322" s="340"/>
      <c r="O322" s="340"/>
      <c r="P322" s="340"/>
      <c r="Q322" s="340"/>
      <c r="R322" s="340"/>
      <c r="S322" s="340"/>
      <c r="T322" s="340"/>
      <c r="U322" s="340"/>
      <c r="V322" s="340"/>
      <c r="W322" s="340"/>
      <c r="X322" s="340"/>
      <c r="Y322" s="340"/>
      <c r="Z322" s="340"/>
    </row>
    <row r="323" spans="1:26" ht="14.25" customHeight="1">
      <c r="A323" s="340"/>
      <c r="B323" s="340"/>
      <c r="C323" s="340"/>
      <c r="D323" s="340"/>
      <c r="E323" s="340"/>
      <c r="F323" s="340"/>
      <c r="G323" s="340"/>
      <c r="H323" s="340"/>
      <c r="I323" s="340"/>
      <c r="J323" s="340"/>
      <c r="K323" s="340"/>
      <c r="L323" s="340"/>
      <c r="M323" s="340"/>
      <c r="N323" s="340"/>
      <c r="O323" s="340"/>
      <c r="P323" s="340"/>
      <c r="Q323" s="340"/>
      <c r="R323" s="340"/>
      <c r="S323" s="340"/>
      <c r="T323" s="340"/>
      <c r="U323" s="340"/>
      <c r="V323" s="340"/>
      <c r="W323" s="340"/>
      <c r="X323" s="340"/>
      <c r="Y323" s="340"/>
      <c r="Z323" s="340"/>
    </row>
    <row r="324" spans="1:26" ht="14.25" customHeight="1">
      <c r="A324" s="340"/>
      <c r="B324" s="340"/>
      <c r="C324" s="340"/>
      <c r="D324" s="340"/>
      <c r="E324" s="340"/>
      <c r="F324" s="340"/>
      <c r="G324" s="340"/>
      <c r="H324" s="340"/>
      <c r="I324" s="340"/>
      <c r="J324" s="340"/>
      <c r="K324" s="340"/>
      <c r="L324" s="340"/>
      <c r="M324" s="340"/>
      <c r="N324" s="340"/>
      <c r="O324" s="340"/>
      <c r="P324" s="340"/>
      <c r="Q324" s="340"/>
      <c r="R324" s="340"/>
      <c r="S324" s="340"/>
      <c r="T324" s="340"/>
      <c r="U324" s="340"/>
      <c r="V324" s="340"/>
      <c r="W324" s="340"/>
      <c r="X324" s="340"/>
      <c r="Y324" s="340"/>
      <c r="Z324" s="340"/>
    </row>
    <row r="325" spans="1:26" ht="14.25" customHeight="1">
      <c r="A325" s="340"/>
      <c r="B325" s="340"/>
      <c r="C325" s="340"/>
      <c r="D325" s="340"/>
      <c r="E325" s="340"/>
      <c r="F325" s="340"/>
      <c r="G325" s="340"/>
      <c r="H325" s="340"/>
      <c r="I325" s="340"/>
      <c r="J325" s="340"/>
      <c r="K325" s="340"/>
      <c r="L325" s="340"/>
      <c r="M325" s="340"/>
      <c r="N325" s="340"/>
      <c r="O325" s="340"/>
      <c r="P325" s="340"/>
      <c r="Q325" s="340"/>
      <c r="R325" s="340"/>
      <c r="S325" s="340"/>
      <c r="T325" s="340"/>
      <c r="U325" s="340"/>
      <c r="V325" s="340"/>
      <c r="W325" s="340"/>
      <c r="X325" s="340"/>
      <c r="Y325" s="340"/>
      <c r="Z325" s="340"/>
    </row>
    <row r="326" spans="1:26" ht="14.25" customHeight="1">
      <c r="A326" s="340"/>
      <c r="B326" s="340"/>
      <c r="C326" s="340"/>
      <c r="D326" s="340"/>
      <c r="E326" s="340"/>
      <c r="F326" s="340"/>
      <c r="G326" s="340"/>
      <c r="H326" s="340"/>
      <c r="I326" s="340"/>
      <c r="J326" s="340"/>
      <c r="K326" s="340"/>
      <c r="L326" s="340"/>
      <c r="M326" s="340"/>
      <c r="N326" s="340"/>
      <c r="O326" s="340"/>
      <c r="P326" s="340"/>
      <c r="Q326" s="340"/>
      <c r="R326" s="340"/>
      <c r="S326" s="340"/>
      <c r="T326" s="340"/>
      <c r="U326" s="340"/>
      <c r="V326" s="340"/>
      <c r="W326" s="340"/>
      <c r="X326" s="340"/>
      <c r="Y326" s="340"/>
      <c r="Z326" s="340"/>
    </row>
    <row r="327" spans="1:26" ht="14.25" customHeight="1">
      <c r="A327" s="340"/>
      <c r="B327" s="340"/>
      <c r="C327" s="340"/>
      <c r="D327" s="340"/>
      <c r="E327" s="340"/>
      <c r="F327" s="340"/>
      <c r="G327" s="340"/>
      <c r="H327" s="340"/>
      <c r="I327" s="340"/>
      <c r="J327" s="340"/>
      <c r="K327" s="340"/>
      <c r="L327" s="340"/>
      <c r="M327" s="340"/>
      <c r="N327" s="340"/>
      <c r="O327" s="340"/>
      <c r="P327" s="340"/>
      <c r="Q327" s="340"/>
      <c r="R327" s="340"/>
      <c r="S327" s="340"/>
      <c r="T327" s="340"/>
      <c r="U327" s="340"/>
      <c r="V327" s="340"/>
      <c r="W327" s="340"/>
      <c r="X327" s="340"/>
      <c r="Y327" s="340"/>
      <c r="Z327" s="340"/>
    </row>
    <row r="328" spans="1:26" ht="14.25" customHeight="1">
      <c r="A328" s="340"/>
      <c r="B328" s="340"/>
      <c r="C328" s="340"/>
      <c r="D328" s="340"/>
      <c r="E328" s="340"/>
      <c r="F328" s="340"/>
      <c r="G328" s="340"/>
      <c r="H328" s="340"/>
      <c r="I328" s="340"/>
      <c r="J328" s="340"/>
      <c r="K328" s="340"/>
      <c r="L328" s="340"/>
      <c r="M328" s="340"/>
      <c r="N328" s="340"/>
      <c r="O328" s="340"/>
      <c r="P328" s="340"/>
      <c r="Q328" s="340"/>
      <c r="R328" s="340"/>
      <c r="S328" s="340"/>
      <c r="T328" s="340"/>
      <c r="U328" s="340"/>
      <c r="V328" s="340"/>
      <c r="W328" s="340"/>
      <c r="X328" s="340"/>
      <c r="Y328" s="340"/>
      <c r="Z328" s="340"/>
    </row>
    <row r="329" spans="1:26" ht="14.25" customHeight="1">
      <c r="A329" s="340"/>
      <c r="B329" s="340"/>
      <c r="C329" s="340"/>
      <c r="D329" s="340"/>
      <c r="E329" s="340"/>
      <c r="F329" s="340"/>
      <c r="G329" s="340"/>
      <c r="H329" s="340"/>
      <c r="I329" s="340"/>
      <c r="J329" s="340"/>
      <c r="K329" s="340"/>
      <c r="L329" s="340"/>
      <c r="M329" s="340"/>
      <c r="N329" s="340"/>
      <c r="O329" s="340"/>
      <c r="P329" s="340"/>
      <c r="Q329" s="340"/>
      <c r="R329" s="340"/>
      <c r="S329" s="340"/>
      <c r="T329" s="340"/>
      <c r="U329" s="340"/>
      <c r="V329" s="340"/>
      <c r="W329" s="340"/>
      <c r="X329" s="340"/>
      <c r="Y329" s="340"/>
      <c r="Z329" s="340"/>
    </row>
    <row r="330" spans="1:26" ht="14.25" customHeight="1">
      <c r="A330" s="340"/>
      <c r="B330" s="340"/>
      <c r="C330" s="340"/>
      <c r="D330" s="340"/>
      <c r="E330" s="340"/>
      <c r="F330" s="340"/>
      <c r="G330" s="340"/>
      <c r="H330" s="340"/>
      <c r="I330" s="340"/>
      <c r="J330" s="340"/>
      <c r="K330" s="340"/>
      <c r="L330" s="340"/>
      <c r="M330" s="340"/>
      <c r="N330" s="340"/>
      <c r="O330" s="340"/>
      <c r="P330" s="340"/>
      <c r="Q330" s="340"/>
      <c r="R330" s="340"/>
      <c r="S330" s="340"/>
      <c r="T330" s="340"/>
      <c r="U330" s="340"/>
      <c r="V330" s="340"/>
      <c r="W330" s="340"/>
      <c r="X330" s="340"/>
      <c r="Y330" s="340"/>
      <c r="Z330" s="340"/>
    </row>
    <row r="331" spans="1:26" ht="14.25" customHeight="1">
      <c r="A331" s="340"/>
      <c r="B331" s="340"/>
      <c r="C331" s="340"/>
      <c r="D331" s="340"/>
      <c r="E331" s="340"/>
      <c r="F331" s="340"/>
      <c r="G331" s="340"/>
      <c r="H331" s="340"/>
      <c r="I331" s="340"/>
      <c r="J331" s="340"/>
      <c r="K331" s="340"/>
      <c r="L331" s="340"/>
      <c r="M331" s="340"/>
      <c r="N331" s="340"/>
      <c r="O331" s="340"/>
      <c r="P331" s="340"/>
      <c r="Q331" s="340"/>
      <c r="R331" s="340"/>
      <c r="S331" s="340"/>
      <c r="T331" s="340"/>
      <c r="U331" s="340"/>
      <c r="V331" s="340"/>
      <c r="W331" s="340"/>
      <c r="X331" s="340"/>
      <c r="Y331" s="340"/>
      <c r="Z331" s="340"/>
    </row>
    <row r="332" spans="1:26" ht="14.25" customHeight="1">
      <c r="A332" s="340"/>
      <c r="B332" s="340"/>
      <c r="C332" s="340"/>
      <c r="D332" s="340"/>
      <c r="E332" s="340"/>
      <c r="F332" s="340"/>
      <c r="G332" s="340"/>
      <c r="H332" s="340"/>
      <c r="I332" s="340"/>
      <c r="J332" s="340"/>
      <c r="K332" s="340"/>
      <c r="L332" s="340"/>
      <c r="M332" s="340"/>
      <c r="N332" s="340"/>
      <c r="O332" s="340"/>
      <c r="P332" s="340"/>
      <c r="Q332" s="340"/>
      <c r="R332" s="340"/>
      <c r="S332" s="340"/>
      <c r="T332" s="340"/>
      <c r="U332" s="340"/>
      <c r="V332" s="340"/>
      <c r="W332" s="340"/>
      <c r="X332" s="340"/>
      <c r="Y332" s="340"/>
      <c r="Z332" s="340"/>
    </row>
    <row r="333" spans="1:26" ht="14.25" customHeight="1">
      <c r="A333" s="340"/>
      <c r="B333" s="340"/>
      <c r="C333" s="340"/>
      <c r="D333" s="340"/>
      <c r="E333" s="340"/>
      <c r="F333" s="340"/>
      <c r="G333" s="340"/>
      <c r="H333" s="340"/>
      <c r="I333" s="340"/>
      <c r="J333" s="340"/>
      <c r="K333" s="340"/>
      <c r="L333" s="340"/>
      <c r="M333" s="340"/>
      <c r="N333" s="340"/>
      <c r="O333" s="340"/>
      <c r="P333" s="340"/>
      <c r="Q333" s="340"/>
      <c r="R333" s="340"/>
      <c r="S333" s="340"/>
      <c r="T333" s="340"/>
      <c r="U333" s="340"/>
      <c r="V333" s="340"/>
      <c r="W333" s="340"/>
      <c r="X333" s="340"/>
      <c r="Y333" s="340"/>
      <c r="Z333" s="340"/>
    </row>
    <row r="334" spans="1:26" ht="14.25" customHeight="1">
      <c r="A334" s="340"/>
      <c r="B334" s="340"/>
      <c r="C334" s="340"/>
      <c r="D334" s="340"/>
      <c r="E334" s="340"/>
      <c r="F334" s="340"/>
      <c r="G334" s="340"/>
      <c r="H334" s="340"/>
      <c r="I334" s="340"/>
      <c r="J334" s="340"/>
      <c r="K334" s="340"/>
      <c r="L334" s="340"/>
      <c r="M334" s="340"/>
      <c r="N334" s="340"/>
      <c r="O334" s="340"/>
      <c r="P334" s="340"/>
      <c r="Q334" s="340"/>
      <c r="R334" s="340"/>
      <c r="S334" s="340"/>
      <c r="T334" s="340"/>
      <c r="U334" s="340"/>
      <c r="V334" s="340"/>
      <c r="W334" s="340"/>
      <c r="X334" s="340"/>
      <c r="Y334" s="340"/>
      <c r="Z334" s="340"/>
    </row>
    <row r="335" spans="1:26" ht="14.25" customHeight="1">
      <c r="A335" s="340"/>
      <c r="B335" s="340"/>
      <c r="C335" s="340"/>
      <c r="D335" s="340"/>
      <c r="E335" s="340"/>
      <c r="F335" s="340"/>
      <c r="G335" s="340"/>
      <c r="H335" s="340"/>
      <c r="I335" s="340"/>
      <c r="J335" s="340"/>
      <c r="K335" s="340"/>
      <c r="L335" s="340"/>
      <c r="M335" s="340"/>
      <c r="N335" s="340"/>
      <c r="O335" s="340"/>
      <c r="P335" s="340"/>
      <c r="Q335" s="340"/>
      <c r="R335" s="340"/>
      <c r="S335" s="340"/>
      <c r="T335" s="340"/>
      <c r="U335" s="340"/>
      <c r="V335" s="340"/>
      <c r="W335" s="340"/>
      <c r="X335" s="340"/>
      <c r="Y335" s="340"/>
      <c r="Z335" s="340"/>
    </row>
    <row r="336" spans="1:26" ht="14.25" customHeight="1">
      <c r="A336" s="340"/>
      <c r="B336" s="340"/>
      <c r="C336" s="340"/>
      <c r="D336" s="340"/>
      <c r="E336" s="340"/>
      <c r="F336" s="340"/>
      <c r="G336" s="340"/>
      <c r="H336" s="340"/>
      <c r="I336" s="340"/>
      <c r="J336" s="340"/>
      <c r="K336" s="340"/>
      <c r="L336" s="340"/>
      <c r="M336" s="340"/>
      <c r="N336" s="340"/>
      <c r="O336" s="340"/>
      <c r="P336" s="340"/>
      <c r="Q336" s="340"/>
      <c r="R336" s="340"/>
      <c r="S336" s="340"/>
      <c r="T336" s="340"/>
      <c r="U336" s="340"/>
      <c r="V336" s="340"/>
      <c r="W336" s="340"/>
      <c r="X336" s="340"/>
      <c r="Y336" s="340"/>
      <c r="Z336" s="340"/>
    </row>
    <row r="337" spans="1:26" ht="14.25" customHeight="1">
      <c r="A337" s="340"/>
      <c r="B337" s="340"/>
      <c r="C337" s="340"/>
      <c r="D337" s="340"/>
      <c r="E337" s="340"/>
      <c r="F337" s="340"/>
      <c r="G337" s="340"/>
      <c r="H337" s="340"/>
      <c r="I337" s="340"/>
      <c r="J337" s="340"/>
      <c r="K337" s="340"/>
      <c r="L337" s="340"/>
      <c r="M337" s="340"/>
      <c r="N337" s="340"/>
      <c r="O337" s="340"/>
      <c r="P337" s="340"/>
      <c r="Q337" s="340"/>
      <c r="R337" s="340"/>
      <c r="S337" s="340"/>
      <c r="T337" s="340"/>
      <c r="U337" s="340"/>
      <c r="V337" s="340"/>
      <c r="W337" s="340"/>
      <c r="X337" s="340"/>
      <c r="Y337" s="340"/>
      <c r="Z337" s="340"/>
    </row>
    <row r="338" spans="1:26" ht="14.25" customHeight="1">
      <c r="A338" s="340"/>
      <c r="B338" s="340"/>
      <c r="C338" s="340"/>
      <c r="D338" s="340"/>
      <c r="E338" s="340"/>
      <c r="F338" s="340"/>
      <c r="G338" s="340"/>
      <c r="H338" s="340"/>
      <c r="I338" s="340"/>
      <c r="J338" s="340"/>
      <c r="K338" s="340"/>
      <c r="L338" s="340"/>
      <c r="M338" s="340"/>
      <c r="N338" s="340"/>
      <c r="O338" s="340"/>
      <c r="P338" s="340"/>
      <c r="Q338" s="340"/>
      <c r="R338" s="340"/>
      <c r="S338" s="340"/>
      <c r="T338" s="340"/>
      <c r="U338" s="340"/>
      <c r="V338" s="340"/>
      <c r="W338" s="340"/>
      <c r="X338" s="340"/>
      <c r="Y338" s="340"/>
      <c r="Z338" s="340"/>
    </row>
    <row r="339" spans="1:26" ht="14.25" customHeight="1">
      <c r="A339" s="340"/>
      <c r="B339" s="340"/>
      <c r="C339" s="340"/>
      <c r="D339" s="340"/>
      <c r="E339" s="340"/>
      <c r="F339" s="340"/>
      <c r="G339" s="340"/>
      <c r="H339" s="340"/>
      <c r="I339" s="340"/>
      <c r="J339" s="340"/>
      <c r="K339" s="340"/>
      <c r="L339" s="340"/>
      <c r="M339" s="340"/>
      <c r="N339" s="340"/>
      <c r="O339" s="340"/>
      <c r="P339" s="340"/>
      <c r="Q339" s="340"/>
      <c r="R339" s="340"/>
      <c r="S339" s="340"/>
      <c r="T339" s="340"/>
      <c r="U339" s="340"/>
      <c r="V339" s="340"/>
      <c r="W339" s="340"/>
      <c r="X339" s="340"/>
      <c r="Y339" s="340"/>
      <c r="Z339" s="340"/>
    </row>
    <row r="340" spans="1:26" ht="14.25" customHeight="1">
      <c r="A340" s="340"/>
      <c r="B340" s="340"/>
      <c r="C340" s="340"/>
      <c r="D340" s="340"/>
      <c r="E340" s="340"/>
      <c r="F340" s="340"/>
      <c r="G340" s="340"/>
      <c r="H340" s="340"/>
      <c r="I340" s="340"/>
      <c r="J340" s="340"/>
      <c r="K340" s="340"/>
      <c r="L340" s="340"/>
      <c r="M340" s="340"/>
      <c r="N340" s="340"/>
      <c r="O340" s="340"/>
      <c r="P340" s="340"/>
      <c r="Q340" s="340"/>
      <c r="R340" s="340"/>
      <c r="S340" s="340"/>
      <c r="T340" s="340"/>
      <c r="U340" s="340"/>
      <c r="V340" s="340"/>
      <c r="W340" s="340"/>
      <c r="X340" s="340"/>
      <c r="Y340" s="340"/>
      <c r="Z340" s="340"/>
    </row>
    <row r="341" spans="1:26" ht="14.25" customHeight="1">
      <c r="A341" s="340"/>
      <c r="B341" s="340"/>
      <c r="C341" s="340"/>
      <c r="D341" s="340"/>
      <c r="E341" s="340"/>
      <c r="F341" s="340"/>
      <c r="G341" s="340"/>
      <c r="H341" s="340"/>
      <c r="I341" s="340"/>
      <c r="J341" s="340"/>
      <c r="K341" s="340"/>
      <c r="L341" s="340"/>
      <c r="M341" s="340"/>
      <c r="N341" s="340"/>
      <c r="O341" s="340"/>
      <c r="P341" s="340"/>
      <c r="Q341" s="340"/>
      <c r="R341" s="340"/>
      <c r="S341" s="340"/>
      <c r="T341" s="340"/>
      <c r="U341" s="340"/>
      <c r="V341" s="340"/>
      <c r="W341" s="340"/>
      <c r="X341" s="340"/>
      <c r="Y341" s="340"/>
      <c r="Z341" s="340"/>
    </row>
    <row r="342" spans="1:26" ht="14.25" customHeight="1">
      <c r="A342" s="340"/>
      <c r="B342" s="340"/>
      <c r="C342" s="340"/>
      <c r="D342" s="340"/>
      <c r="E342" s="340"/>
      <c r="F342" s="340"/>
      <c r="G342" s="340"/>
      <c r="H342" s="340"/>
      <c r="I342" s="340"/>
      <c r="J342" s="340"/>
      <c r="K342" s="340"/>
      <c r="L342" s="340"/>
      <c r="M342" s="340"/>
      <c r="N342" s="340"/>
      <c r="O342" s="340"/>
      <c r="P342" s="340"/>
      <c r="Q342" s="340"/>
      <c r="R342" s="340"/>
      <c r="S342" s="340"/>
      <c r="T342" s="340"/>
      <c r="U342" s="340"/>
      <c r="V342" s="340"/>
      <c r="W342" s="340"/>
      <c r="X342" s="340"/>
      <c r="Y342" s="340"/>
      <c r="Z342" s="340"/>
    </row>
    <row r="343" spans="1:26" ht="14.25" customHeight="1">
      <c r="A343" s="340"/>
      <c r="B343" s="340"/>
      <c r="C343" s="340"/>
      <c r="D343" s="340"/>
      <c r="E343" s="340"/>
      <c r="F343" s="340"/>
      <c r="G343" s="340"/>
      <c r="H343" s="340"/>
      <c r="I343" s="340"/>
      <c r="J343" s="340"/>
      <c r="K343" s="340"/>
      <c r="L343" s="340"/>
      <c r="M343" s="340"/>
      <c r="N343" s="340"/>
      <c r="O343" s="340"/>
      <c r="P343" s="340"/>
      <c r="Q343" s="340"/>
      <c r="R343" s="340"/>
      <c r="S343" s="340"/>
      <c r="T343" s="340"/>
      <c r="U343" s="340"/>
      <c r="V343" s="340"/>
      <c r="W343" s="340"/>
      <c r="X343" s="340"/>
      <c r="Y343" s="340"/>
      <c r="Z343" s="340"/>
    </row>
    <row r="344" spans="1:26" ht="14.25" customHeight="1">
      <c r="A344" s="340"/>
      <c r="B344" s="340"/>
      <c r="C344" s="340"/>
      <c r="D344" s="340"/>
      <c r="E344" s="340"/>
      <c r="F344" s="340"/>
      <c r="G344" s="340"/>
      <c r="H344" s="340"/>
      <c r="I344" s="340"/>
      <c r="J344" s="340"/>
      <c r="K344" s="340"/>
      <c r="L344" s="340"/>
      <c r="M344" s="340"/>
      <c r="N344" s="340"/>
      <c r="O344" s="340"/>
      <c r="P344" s="340"/>
      <c r="Q344" s="340"/>
      <c r="R344" s="340"/>
      <c r="S344" s="340"/>
      <c r="T344" s="340"/>
      <c r="U344" s="340"/>
      <c r="V344" s="340"/>
      <c r="W344" s="340"/>
      <c r="X344" s="340"/>
      <c r="Y344" s="340"/>
      <c r="Z344" s="340"/>
    </row>
    <row r="345" spans="1:26" ht="14.25" customHeight="1">
      <c r="A345" s="340"/>
      <c r="B345" s="340"/>
      <c r="C345" s="340"/>
      <c r="D345" s="340"/>
      <c r="E345" s="340"/>
      <c r="F345" s="340"/>
      <c r="G345" s="340"/>
      <c r="H345" s="340"/>
      <c r="I345" s="340"/>
      <c r="J345" s="340"/>
      <c r="K345" s="340"/>
      <c r="L345" s="340"/>
      <c r="M345" s="340"/>
      <c r="N345" s="340"/>
      <c r="O345" s="340"/>
      <c r="P345" s="340"/>
      <c r="Q345" s="340"/>
      <c r="R345" s="340"/>
      <c r="S345" s="340"/>
      <c r="T345" s="340"/>
      <c r="U345" s="340"/>
      <c r="V345" s="340"/>
      <c r="W345" s="340"/>
      <c r="X345" s="340"/>
      <c r="Y345" s="340"/>
      <c r="Z345" s="340"/>
    </row>
    <row r="346" spans="1:26" ht="14.25" customHeight="1">
      <c r="A346" s="340"/>
      <c r="B346" s="340"/>
      <c r="C346" s="340"/>
      <c r="D346" s="340"/>
      <c r="E346" s="340"/>
      <c r="F346" s="340"/>
      <c r="G346" s="340"/>
      <c r="H346" s="340"/>
      <c r="I346" s="340"/>
      <c r="J346" s="340"/>
      <c r="K346" s="340"/>
      <c r="L346" s="340"/>
      <c r="M346" s="340"/>
      <c r="N346" s="340"/>
      <c r="O346" s="340"/>
      <c r="P346" s="340"/>
      <c r="Q346" s="340"/>
      <c r="R346" s="340"/>
      <c r="S346" s="340"/>
      <c r="T346" s="340"/>
      <c r="U346" s="340"/>
      <c r="V346" s="340"/>
      <c r="W346" s="340"/>
      <c r="X346" s="340"/>
      <c r="Y346" s="340"/>
      <c r="Z346" s="340"/>
    </row>
    <row r="347" spans="1:26" ht="14.25" customHeight="1">
      <c r="A347" s="340"/>
      <c r="B347" s="340"/>
      <c r="C347" s="340"/>
      <c r="D347" s="340"/>
      <c r="E347" s="340"/>
      <c r="F347" s="340"/>
      <c r="G347" s="340"/>
      <c r="H347" s="340"/>
      <c r="I347" s="340"/>
      <c r="J347" s="340"/>
      <c r="K347" s="340"/>
      <c r="L347" s="340"/>
      <c r="M347" s="340"/>
      <c r="N347" s="340"/>
      <c r="O347" s="340"/>
      <c r="P347" s="340"/>
      <c r="Q347" s="340"/>
      <c r="R347" s="340"/>
      <c r="S347" s="340"/>
      <c r="T347" s="340"/>
      <c r="U347" s="340"/>
      <c r="V347" s="340"/>
      <c r="W347" s="340"/>
      <c r="X347" s="340"/>
      <c r="Y347" s="340"/>
      <c r="Z347" s="340"/>
    </row>
    <row r="348" spans="1:26" ht="14.25" customHeight="1">
      <c r="A348" s="340"/>
      <c r="B348" s="340"/>
      <c r="C348" s="340"/>
      <c r="D348" s="340"/>
      <c r="E348" s="340"/>
      <c r="F348" s="340"/>
      <c r="G348" s="340"/>
      <c r="H348" s="340"/>
      <c r="I348" s="340"/>
      <c r="J348" s="340"/>
      <c r="K348" s="340"/>
      <c r="L348" s="340"/>
      <c r="M348" s="340"/>
      <c r="N348" s="340"/>
      <c r="O348" s="340"/>
      <c r="P348" s="340"/>
      <c r="Q348" s="340"/>
      <c r="R348" s="340"/>
      <c r="S348" s="340"/>
      <c r="T348" s="340"/>
      <c r="U348" s="340"/>
      <c r="V348" s="340"/>
      <c r="W348" s="340"/>
      <c r="X348" s="340"/>
      <c r="Y348" s="340"/>
      <c r="Z348" s="340"/>
    </row>
    <row r="349" spans="1:26" ht="14.25" customHeight="1">
      <c r="A349" s="340"/>
      <c r="B349" s="340"/>
      <c r="C349" s="340"/>
      <c r="D349" s="340"/>
      <c r="E349" s="340"/>
      <c r="F349" s="340"/>
      <c r="G349" s="340"/>
      <c r="H349" s="340"/>
      <c r="I349" s="340"/>
      <c r="J349" s="340"/>
      <c r="K349" s="340"/>
      <c r="L349" s="340"/>
      <c r="M349" s="340"/>
      <c r="N349" s="340"/>
      <c r="O349" s="340"/>
      <c r="P349" s="340"/>
      <c r="Q349" s="340"/>
      <c r="R349" s="340"/>
      <c r="S349" s="340"/>
      <c r="T349" s="340"/>
      <c r="U349" s="340"/>
      <c r="V349" s="340"/>
      <c r="W349" s="340"/>
      <c r="X349" s="340"/>
      <c r="Y349" s="340"/>
      <c r="Z349" s="340"/>
    </row>
    <row r="350" spans="1:26" ht="14.25" customHeight="1">
      <c r="A350" s="340"/>
      <c r="B350" s="340"/>
      <c r="C350" s="340"/>
      <c r="D350" s="340"/>
      <c r="E350" s="340"/>
      <c r="F350" s="340"/>
      <c r="G350" s="340"/>
      <c r="H350" s="340"/>
      <c r="I350" s="340"/>
      <c r="J350" s="340"/>
      <c r="K350" s="340"/>
      <c r="L350" s="340"/>
      <c r="M350" s="340"/>
      <c r="N350" s="340"/>
      <c r="O350" s="340"/>
      <c r="P350" s="340"/>
      <c r="Q350" s="340"/>
      <c r="R350" s="340"/>
      <c r="S350" s="340"/>
      <c r="T350" s="340"/>
      <c r="U350" s="340"/>
      <c r="V350" s="340"/>
      <c r="W350" s="340"/>
      <c r="X350" s="340"/>
      <c r="Y350" s="340"/>
      <c r="Z350" s="340"/>
    </row>
    <row r="351" spans="1:26" ht="14.25" customHeight="1">
      <c r="A351" s="340"/>
      <c r="B351" s="340"/>
      <c r="C351" s="340"/>
      <c r="D351" s="340"/>
      <c r="E351" s="340"/>
      <c r="F351" s="340"/>
      <c r="G351" s="340"/>
      <c r="H351" s="340"/>
      <c r="I351" s="340"/>
      <c r="J351" s="340"/>
      <c r="K351" s="340"/>
      <c r="L351" s="340"/>
      <c r="M351" s="340"/>
      <c r="N351" s="340"/>
      <c r="O351" s="340"/>
      <c r="P351" s="340"/>
      <c r="Q351" s="340"/>
      <c r="R351" s="340"/>
      <c r="S351" s="340"/>
      <c r="T351" s="340"/>
      <c r="U351" s="340"/>
      <c r="V351" s="340"/>
      <c r="W351" s="340"/>
      <c r="X351" s="340"/>
      <c r="Y351" s="340"/>
      <c r="Z351" s="340"/>
    </row>
    <row r="352" spans="1:26" ht="14.25" customHeight="1">
      <c r="A352" s="340"/>
      <c r="B352" s="340"/>
      <c r="C352" s="340"/>
      <c r="D352" s="340"/>
      <c r="E352" s="340"/>
      <c r="F352" s="340"/>
      <c r="G352" s="340"/>
      <c r="H352" s="340"/>
      <c r="I352" s="340"/>
      <c r="J352" s="340"/>
      <c r="K352" s="340"/>
      <c r="L352" s="340"/>
      <c r="M352" s="340"/>
      <c r="N352" s="340"/>
      <c r="O352" s="340"/>
      <c r="P352" s="340"/>
      <c r="Q352" s="340"/>
      <c r="R352" s="340"/>
      <c r="S352" s="340"/>
      <c r="T352" s="340"/>
      <c r="U352" s="340"/>
      <c r="V352" s="340"/>
      <c r="W352" s="340"/>
      <c r="X352" s="340"/>
      <c r="Y352" s="340"/>
      <c r="Z352" s="340"/>
    </row>
    <row r="353" spans="1:26" ht="14.25" customHeight="1">
      <c r="A353" s="340"/>
      <c r="B353" s="340"/>
      <c r="C353" s="340"/>
      <c r="D353" s="340"/>
      <c r="E353" s="340"/>
      <c r="F353" s="340"/>
      <c r="G353" s="340"/>
      <c r="H353" s="340"/>
      <c r="I353" s="340"/>
      <c r="J353" s="340"/>
      <c r="K353" s="340"/>
      <c r="L353" s="340"/>
      <c r="M353" s="340"/>
      <c r="N353" s="340"/>
      <c r="O353" s="340"/>
      <c r="P353" s="340"/>
      <c r="Q353" s="340"/>
      <c r="R353" s="340"/>
      <c r="S353" s="340"/>
      <c r="T353" s="340"/>
      <c r="U353" s="340"/>
      <c r="V353" s="340"/>
      <c r="W353" s="340"/>
      <c r="X353" s="340"/>
      <c r="Y353" s="340"/>
      <c r="Z353" s="340"/>
    </row>
    <row r="354" spans="1:26" ht="14.25" customHeight="1">
      <c r="A354" s="340"/>
      <c r="B354" s="340"/>
      <c r="C354" s="340"/>
      <c r="D354" s="340"/>
      <c r="E354" s="340"/>
      <c r="F354" s="340"/>
      <c r="G354" s="340"/>
      <c r="H354" s="340"/>
      <c r="I354" s="340"/>
      <c r="J354" s="340"/>
      <c r="K354" s="340"/>
      <c r="L354" s="340"/>
      <c r="M354" s="340"/>
      <c r="N354" s="340"/>
      <c r="O354" s="340"/>
      <c r="P354" s="340"/>
      <c r="Q354" s="340"/>
      <c r="R354" s="340"/>
      <c r="S354" s="340"/>
      <c r="T354" s="340"/>
      <c r="U354" s="340"/>
      <c r="V354" s="340"/>
      <c r="W354" s="340"/>
      <c r="X354" s="340"/>
      <c r="Y354" s="340"/>
      <c r="Z354" s="340"/>
    </row>
    <row r="355" spans="1:26" ht="14.25" customHeight="1">
      <c r="A355" s="340"/>
      <c r="B355" s="340"/>
      <c r="C355" s="340"/>
      <c r="D355" s="340"/>
      <c r="E355" s="340"/>
      <c r="F355" s="340"/>
      <c r="G355" s="340"/>
      <c r="H355" s="340"/>
      <c r="I355" s="340"/>
      <c r="J355" s="340"/>
      <c r="K355" s="340"/>
      <c r="L355" s="340"/>
      <c r="M355" s="340"/>
      <c r="N355" s="340"/>
      <c r="O355" s="340"/>
      <c r="P355" s="340"/>
      <c r="Q355" s="340"/>
      <c r="R355" s="340"/>
      <c r="S355" s="340"/>
      <c r="T355" s="340"/>
      <c r="U355" s="340"/>
      <c r="V355" s="340"/>
      <c r="W355" s="340"/>
      <c r="X355" s="340"/>
      <c r="Y355" s="340"/>
      <c r="Z355" s="340"/>
    </row>
    <row r="356" spans="1:26" ht="14.25" customHeight="1">
      <c r="A356" s="340"/>
      <c r="B356" s="340"/>
      <c r="C356" s="340"/>
      <c r="D356" s="340"/>
      <c r="E356" s="340"/>
      <c r="F356" s="340"/>
      <c r="G356" s="340"/>
      <c r="H356" s="340"/>
      <c r="I356" s="340"/>
      <c r="J356" s="340"/>
      <c r="K356" s="340"/>
      <c r="L356" s="340"/>
      <c r="M356" s="340"/>
      <c r="N356" s="340"/>
      <c r="O356" s="340"/>
      <c r="P356" s="340"/>
      <c r="Q356" s="340"/>
      <c r="R356" s="340"/>
      <c r="S356" s="340"/>
      <c r="T356" s="340"/>
      <c r="U356" s="340"/>
      <c r="V356" s="340"/>
      <c r="W356" s="340"/>
      <c r="X356" s="340"/>
      <c r="Y356" s="340"/>
      <c r="Z356" s="340"/>
    </row>
    <row r="357" spans="1:26" ht="14.25" customHeight="1">
      <c r="A357" s="340"/>
      <c r="B357" s="340"/>
      <c r="C357" s="340"/>
      <c r="D357" s="340"/>
      <c r="E357" s="340"/>
      <c r="F357" s="340"/>
      <c r="G357" s="340"/>
      <c r="H357" s="340"/>
      <c r="I357" s="340"/>
      <c r="J357" s="340"/>
      <c r="K357" s="340"/>
      <c r="L357" s="340"/>
      <c r="M357" s="340"/>
      <c r="N357" s="340"/>
      <c r="O357" s="340"/>
      <c r="P357" s="340"/>
      <c r="Q357" s="340"/>
      <c r="R357" s="340"/>
      <c r="S357" s="340"/>
      <c r="T357" s="340"/>
      <c r="U357" s="340"/>
      <c r="V357" s="340"/>
      <c r="W357" s="340"/>
      <c r="X357" s="340"/>
      <c r="Y357" s="340"/>
      <c r="Z357" s="340"/>
    </row>
    <row r="358" spans="1:26" ht="14.25" customHeight="1">
      <c r="A358" s="340"/>
      <c r="B358" s="340"/>
      <c r="C358" s="340"/>
      <c r="D358" s="340"/>
      <c r="E358" s="340"/>
      <c r="F358" s="340"/>
      <c r="G358" s="340"/>
      <c r="H358" s="340"/>
      <c r="I358" s="340"/>
      <c r="J358" s="340"/>
      <c r="K358" s="340"/>
      <c r="L358" s="340"/>
      <c r="M358" s="340"/>
      <c r="N358" s="340"/>
      <c r="O358" s="340"/>
      <c r="P358" s="340"/>
      <c r="Q358" s="340"/>
      <c r="R358" s="340"/>
      <c r="S358" s="340"/>
      <c r="T358" s="340"/>
      <c r="U358" s="340"/>
      <c r="V358" s="340"/>
      <c r="W358" s="340"/>
      <c r="X358" s="340"/>
      <c r="Y358" s="340"/>
      <c r="Z358" s="340"/>
    </row>
    <row r="359" spans="1:26" ht="14.25" customHeight="1">
      <c r="A359" s="340"/>
      <c r="B359" s="340"/>
      <c r="C359" s="340"/>
      <c r="D359" s="340"/>
      <c r="E359" s="340"/>
      <c r="F359" s="340"/>
      <c r="G359" s="340"/>
      <c r="H359" s="340"/>
      <c r="I359" s="340"/>
      <c r="J359" s="340"/>
      <c r="K359" s="340"/>
      <c r="L359" s="340"/>
      <c r="M359" s="340"/>
      <c r="N359" s="340"/>
      <c r="O359" s="340"/>
      <c r="P359" s="340"/>
      <c r="Q359" s="340"/>
      <c r="R359" s="340"/>
      <c r="S359" s="340"/>
      <c r="T359" s="340"/>
      <c r="U359" s="340"/>
      <c r="V359" s="340"/>
      <c r="W359" s="340"/>
      <c r="X359" s="340"/>
      <c r="Y359" s="340"/>
      <c r="Z359" s="340"/>
    </row>
    <row r="360" spans="1:26" ht="14.25" customHeight="1">
      <c r="A360" s="340"/>
      <c r="B360" s="340"/>
      <c r="C360" s="340"/>
      <c r="D360" s="340"/>
      <c r="E360" s="340"/>
      <c r="F360" s="340"/>
      <c r="G360" s="340"/>
      <c r="H360" s="340"/>
      <c r="I360" s="340"/>
      <c r="J360" s="340"/>
      <c r="K360" s="340"/>
      <c r="L360" s="340"/>
      <c r="M360" s="340"/>
      <c r="N360" s="340"/>
      <c r="O360" s="340"/>
      <c r="P360" s="340"/>
      <c r="Q360" s="340"/>
      <c r="R360" s="340"/>
      <c r="S360" s="340"/>
      <c r="T360" s="340"/>
      <c r="U360" s="340"/>
      <c r="V360" s="340"/>
      <c r="W360" s="340"/>
      <c r="X360" s="340"/>
      <c r="Y360" s="340"/>
      <c r="Z360" s="340"/>
    </row>
    <row r="361" spans="1:26" ht="14.25" customHeight="1">
      <c r="A361" s="340"/>
      <c r="B361" s="340"/>
      <c r="C361" s="340"/>
      <c r="D361" s="340"/>
      <c r="E361" s="340"/>
      <c r="F361" s="340"/>
      <c r="G361" s="340"/>
      <c r="H361" s="340"/>
      <c r="I361" s="340"/>
      <c r="J361" s="340"/>
      <c r="K361" s="340"/>
      <c r="L361" s="340"/>
      <c r="M361" s="340"/>
      <c r="N361" s="340"/>
      <c r="O361" s="340"/>
      <c r="P361" s="340"/>
      <c r="Q361" s="340"/>
      <c r="R361" s="340"/>
      <c r="S361" s="340"/>
      <c r="T361" s="340"/>
      <c r="U361" s="340"/>
      <c r="V361" s="340"/>
      <c r="W361" s="340"/>
      <c r="X361" s="340"/>
      <c r="Y361" s="340"/>
      <c r="Z361" s="340"/>
    </row>
    <row r="362" spans="1:26" ht="14.25" customHeight="1">
      <c r="A362" s="340"/>
      <c r="B362" s="340"/>
      <c r="C362" s="340"/>
      <c r="D362" s="340"/>
      <c r="E362" s="340"/>
      <c r="F362" s="340"/>
      <c r="G362" s="340"/>
      <c r="H362" s="340"/>
      <c r="I362" s="340"/>
      <c r="J362" s="340"/>
      <c r="K362" s="340"/>
      <c r="L362" s="340"/>
      <c r="M362" s="340"/>
      <c r="N362" s="340"/>
      <c r="O362" s="340"/>
      <c r="P362" s="340"/>
      <c r="Q362" s="340"/>
      <c r="R362" s="340"/>
      <c r="S362" s="340"/>
      <c r="T362" s="340"/>
      <c r="U362" s="340"/>
      <c r="V362" s="340"/>
      <c r="W362" s="340"/>
      <c r="X362" s="340"/>
      <c r="Y362" s="340"/>
      <c r="Z362" s="340"/>
    </row>
    <row r="363" spans="1:26" ht="14.25" customHeight="1">
      <c r="A363" s="340"/>
      <c r="B363" s="340"/>
      <c r="C363" s="340"/>
      <c r="D363" s="340"/>
      <c r="E363" s="340"/>
      <c r="F363" s="340"/>
      <c r="G363" s="340"/>
      <c r="H363" s="340"/>
      <c r="I363" s="340"/>
      <c r="J363" s="340"/>
      <c r="K363" s="340"/>
      <c r="L363" s="340"/>
      <c r="M363" s="340"/>
      <c r="N363" s="340"/>
      <c r="O363" s="340"/>
      <c r="P363" s="340"/>
      <c r="Q363" s="340"/>
      <c r="R363" s="340"/>
      <c r="S363" s="340"/>
      <c r="T363" s="340"/>
      <c r="U363" s="340"/>
      <c r="V363" s="340"/>
      <c r="W363" s="340"/>
      <c r="X363" s="340"/>
      <c r="Y363" s="340"/>
      <c r="Z363" s="340"/>
    </row>
    <row r="364" spans="1:26" ht="14.25" customHeight="1">
      <c r="A364" s="340"/>
      <c r="B364" s="340"/>
      <c r="C364" s="340"/>
      <c r="D364" s="340"/>
      <c r="E364" s="340"/>
      <c r="F364" s="340"/>
      <c r="G364" s="340"/>
      <c r="H364" s="340"/>
      <c r="I364" s="340"/>
      <c r="J364" s="340"/>
      <c r="K364" s="340"/>
      <c r="L364" s="340"/>
      <c r="M364" s="340"/>
      <c r="N364" s="340"/>
      <c r="O364" s="340"/>
      <c r="P364" s="340"/>
      <c r="Q364" s="340"/>
      <c r="R364" s="340"/>
      <c r="S364" s="340"/>
      <c r="T364" s="340"/>
      <c r="U364" s="340"/>
      <c r="V364" s="340"/>
      <c r="W364" s="340"/>
      <c r="X364" s="340"/>
      <c r="Y364" s="340"/>
      <c r="Z364" s="340"/>
    </row>
    <row r="365" spans="1:26" ht="14.25" customHeight="1">
      <c r="A365" s="340"/>
      <c r="B365" s="340"/>
      <c r="C365" s="340"/>
      <c r="D365" s="340"/>
      <c r="E365" s="340"/>
      <c r="F365" s="340"/>
      <c r="G365" s="340"/>
      <c r="H365" s="340"/>
      <c r="I365" s="340"/>
      <c r="J365" s="340"/>
      <c r="K365" s="340"/>
      <c r="L365" s="340"/>
      <c r="M365" s="340"/>
      <c r="N365" s="340"/>
      <c r="O365" s="340"/>
      <c r="P365" s="340"/>
      <c r="Q365" s="340"/>
      <c r="R365" s="340"/>
      <c r="S365" s="340"/>
      <c r="T365" s="340"/>
      <c r="U365" s="340"/>
      <c r="V365" s="340"/>
      <c r="W365" s="340"/>
      <c r="X365" s="340"/>
      <c r="Y365" s="340"/>
      <c r="Z365" s="340"/>
    </row>
    <row r="366" spans="1:26" ht="14.25" customHeight="1">
      <c r="A366" s="340"/>
      <c r="B366" s="340"/>
      <c r="C366" s="340"/>
      <c r="D366" s="340"/>
      <c r="E366" s="340"/>
      <c r="F366" s="340"/>
      <c r="G366" s="340"/>
      <c r="H366" s="340"/>
      <c r="I366" s="340"/>
      <c r="J366" s="340"/>
      <c r="K366" s="340"/>
      <c r="L366" s="340"/>
      <c r="M366" s="340"/>
      <c r="N366" s="340"/>
      <c r="O366" s="340"/>
      <c r="P366" s="340"/>
      <c r="Q366" s="340"/>
      <c r="R366" s="340"/>
      <c r="S366" s="340"/>
      <c r="T366" s="340"/>
      <c r="U366" s="340"/>
      <c r="V366" s="340"/>
      <c r="W366" s="340"/>
      <c r="X366" s="340"/>
      <c r="Y366" s="340"/>
      <c r="Z366" s="340"/>
    </row>
    <row r="367" spans="1:26" ht="14.25" customHeight="1">
      <c r="A367" s="340"/>
      <c r="B367" s="340"/>
      <c r="C367" s="340"/>
      <c r="D367" s="340"/>
      <c r="E367" s="340"/>
      <c r="F367" s="340"/>
      <c r="G367" s="340"/>
      <c r="H367" s="340"/>
      <c r="I367" s="340"/>
      <c r="J367" s="340"/>
      <c r="K367" s="340"/>
      <c r="L367" s="340"/>
      <c r="M367" s="340"/>
      <c r="N367" s="340"/>
      <c r="O367" s="340"/>
      <c r="P367" s="340"/>
      <c r="Q367" s="340"/>
      <c r="R367" s="340"/>
      <c r="S367" s="340"/>
      <c r="T367" s="340"/>
      <c r="U367" s="340"/>
      <c r="V367" s="340"/>
      <c r="W367" s="340"/>
      <c r="X367" s="340"/>
      <c r="Y367" s="340"/>
      <c r="Z367" s="340"/>
    </row>
    <row r="368" spans="1:26" ht="14.25" customHeight="1">
      <c r="A368" s="340"/>
      <c r="B368" s="340"/>
      <c r="C368" s="340"/>
      <c r="D368" s="340"/>
      <c r="E368" s="340"/>
      <c r="F368" s="340"/>
      <c r="G368" s="340"/>
      <c r="H368" s="340"/>
      <c r="I368" s="340"/>
      <c r="J368" s="340"/>
      <c r="K368" s="340"/>
      <c r="L368" s="340"/>
      <c r="M368" s="340"/>
      <c r="N368" s="340"/>
      <c r="O368" s="340"/>
      <c r="P368" s="340"/>
      <c r="Q368" s="340"/>
      <c r="R368" s="340"/>
      <c r="S368" s="340"/>
      <c r="T368" s="340"/>
      <c r="U368" s="340"/>
      <c r="V368" s="340"/>
      <c r="W368" s="340"/>
      <c r="X368" s="340"/>
      <c r="Y368" s="340"/>
      <c r="Z368" s="340"/>
    </row>
    <row r="369" spans="1:26" ht="14.25" customHeight="1">
      <c r="A369" s="340"/>
      <c r="B369" s="340"/>
      <c r="C369" s="340"/>
      <c r="D369" s="340"/>
      <c r="E369" s="340"/>
      <c r="F369" s="340"/>
      <c r="G369" s="340"/>
      <c r="H369" s="340"/>
      <c r="I369" s="340"/>
      <c r="J369" s="340"/>
      <c r="K369" s="340"/>
      <c r="L369" s="340"/>
      <c r="M369" s="340"/>
      <c r="N369" s="340"/>
      <c r="O369" s="340"/>
      <c r="P369" s="340"/>
      <c r="Q369" s="340"/>
      <c r="R369" s="340"/>
      <c r="S369" s="340"/>
      <c r="T369" s="340"/>
      <c r="U369" s="340"/>
      <c r="V369" s="340"/>
      <c r="W369" s="340"/>
      <c r="X369" s="340"/>
      <c r="Y369" s="340"/>
      <c r="Z369" s="340"/>
    </row>
    <row r="370" spans="1:26" ht="14.25" customHeight="1">
      <c r="A370" s="340"/>
      <c r="B370" s="340"/>
      <c r="C370" s="340"/>
      <c r="D370" s="340"/>
      <c r="E370" s="340"/>
      <c r="F370" s="340"/>
      <c r="G370" s="340"/>
      <c r="H370" s="340"/>
      <c r="I370" s="340"/>
      <c r="J370" s="340"/>
      <c r="K370" s="340"/>
      <c r="L370" s="340"/>
      <c r="M370" s="340"/>
      <c r="N370" s="340"/>
      <c r="O370" s="340"/>
      <c r="P370" s="340"/>
      <c r="Q370" s="340"/>
      <c r="R370" s="340"/>
      <c r="S370" s="340"/>
      <c r="T370" s="340"/>
      <c r="U370" s="340"/>
      <c r="V370" s="340"/>
      <c r="W370" s="340"/>
      <c r="X370" s="340"/>
      <c r="Y370" s="340"/>
      <c r="Z370" s="340"/>
    </row>
    <row r="371" spans="1:26" ht="14.25" customHeight="1">
      <c r="A371" s="340"/>
      <c r="B371" s="340"/>
      <c r="C371" s="340"/>
      <c r="D371" s="340"/>
      <c r="E371" s="340"/>
      <c r="F371" s="340"/>
      <c r="G371" s="340"/>
      <c r="H371" s="340"/>
      <c r="I371" s="340"/>
      <c r="J371" s="340"/>
      <c r="K371" s="340"/>
      <c r="L371" s="340"/>
      <c r="M371" s="340"/>
      <c r="N371" s="340"/>
      <c r="O371" s="340"/>
      <c r="P371" s="340"/>
      <c r="Q371" s="340"/>
      <c r="R371" s="340"/>
      <c r="S371" s="340"/>
      <c r="T371" s="340"/>
      <c r="U371" s="340"/>
      <c r="V371" s="340"/>
      <c r="W371" s="340"/>
      <c r="X371" s="340"/>
      <c r="Y371" s="340"/>
      <c r="Z371" s="340"/>
    </row>
    <row r="372" spans="1:26" ht="14.25" customHeight="1">
      <c r="A372" s="340"/>
      <c r="B372" s="340"/>
      <c r="C372" s="340"/>
      <c r="D372" s="340"/>
      <c r="E372" s="340"/>
      <c r="F372" s="340"/>
      <c r="G372" s="340"/>
      <c r="H372" s="340"/>
      <c r="I372" s="340"/>
      <c r="J372" s="340"/>
      <c r="K372" s="340"/>
      <c r="L372" s="340"/>
      <c r="M372" s="340"/>
      <c r="N372" s="340"/>
      <c r="O372" s="340"/>
      <c r="P372" s="340"/>
      <c r="Q372" s="340"/>
      <c r="R372" s="340"/>
      <c r="S372" s="340"/>
      <c r="T372" s="340"/>
      <c r="U372" s="340"/>
      <c r="V372" s="340"/>
      <c r="W372" s="340"/>
      <c r="X372" s="340"/>
      <c r="Y372" s="340"/>
      <c r="Z372" s="340"/>
    </row>
    <row r="373" spans="1:26" ht="14.25" customHeight="1">
      <c r="A373" s="340"/>
      <c r="B373" s="340"/>
      <c r="C373" s="340"/>
      <c r="D373" s="340"/>
      <c r="E373" s="340"/>
      <c r="F373" s="340"/>
      <c r="G373" s="340"/>
      <c r="H373" s="340"/>
      <c r="I373" s="340"/>
      <c r="J373" s="340"/>
      <c r="K373" s="340"/>
      <c r="L373" s="340"/>
      <c r="M373" s="340"/>
      <c r="N373" s="340"/>
      <c r="O373" s="340"/>
      <c r="P373" s="340"/>
      <c r="Q373" s="340"/>
      <c r="R373" s="340"/>
      <c r="S373" s="340"/>
      <c r="T373" s="340"/>
      <c r="U373" s="340"/>
      <c r="V373" s="340"/>
      <c r="W373" s="340"/>
      <c r="X373" s="340"/>
      <c r="Y373" s="340"/>
      <c r="Z373" s="340"/>
    </row>
    <row r="374" spans="1:26" ht="14.25" customHeight="1">
      <c r="A374" s="340"/>
      <c r="B374" s="340"/>
      <c r="C374" s="340"/>
      <c r="D374" s="340"/>
      <c r="E374" s="340"/>
      <c r="F374" s="340"/>
      <c r="G374" s="340"/>
      <c r="H374" s="340"/>
      <c r="I374" s="340"/>
      <c r="J374" s="340"/>
      <c r="K374" s="340"/>
      <c r="L374" s="340"/>
      <c r="M374" s="340"/>
      <c r="N374" s="340"/>
      <c r="O374" s="340"/>
      <c r="P374" s="340"/>
      <c r="Q374" s="340"/>
      <c r="R374" s="340"/>
      <c r="S374" s="340"/>
      <c r="T374" s="340"/>
      <c r="U374" s="340"/>
      <c r="V374" s="340"/>
      <c r="W374" s="340"/>
      <c r="X374" s="340"/>
      <c r="Y374" s="340"/>
      <c r="Z374" s="340"/>
    </row>
    <row r="375" spans="1:26" ht="14.25" customHeight="1">
      <c r="A375" s="340"/>
      <c r="B375" s="340"/>
      <c r="C375" s="340"/>
      <c r="D375" s="340"/>
      <c r="E375" s="340"/>
      <c r="F375" s="340"/>
      <c r="G375" s="340"/>
      <c r="H375" s="340"/>
      <c r="I375" s="340"/>
      <c r="J375" s="340"/>
      <c r="K375" s="340"/>
      <c r="L375" s="340"/>
      <c r="M375" s="340"/>
      <c r="N375" s="340"/>
      <c r="O375" s="340"/>
      <c r="P375" s="340"/>
      <c r="Q375" s="340"/>
      <c r="R375" s="340"/>
      <c r="S375" s="340"/>
      <c r="T375" s="340"/>
      <c r="U375" s="340"/>
      <c r="V375" s="340"/>
      <c r="W375" s="340"/>
      <c r="X375" s="340"/>
      <c r="Y375" s="340"/>
      <c r="Z375" s="340"/>
    </row>
    <row r="376" spans="1:26" ht="14.25" customHeight="1">
      <c r="A376" s="340"/>
      <c r="B376" s="340"/>
      <c r="C376" s="340"/>
      <c r="D376" s="340"/>
      <c r="E376" s="340"/>
      <c r="F376" s="340"/>
      <c r="G376" s="340"/>
      <c r="H376" s="340"/>
      <c r="I376" s="340"/>
      <c r="J376" s="340"/>
      <c r="K376" s="340"/>
      <c r="L376" s="340"/>
      <c r="M376" s="340"/>
      <c r="N376" s="340"/>
      <c r="O376" s="340"/>
      <c r="P376" s="340"/>
      <c r="Q376" s="340"/>
      <c r="R376" s="340"/>
      <c r="S376" s="340"/>
      <c r="T376" s="340"/>
      <c r="U376" s="340"/>
      <c r="V376" s="340"/>
      <c r="W376" s="340"/>
      <c r="X376" s="340"/>
      <c r="Y376" s="340"/>
      <c r="Z376" s="340"/>
    </row>
    <row r="377" spans="1:26" ht="14.25" customHeight="1">
      <c r="A377" s="340"/>
      <c r="B377" s="340"/>
      <c r="C377" s="340"/>
      <c r="D377" s="340"/>
      <c r="E377" s="340"/>
      <c r="F377" s="340"/>
      <c r="G377" s="340"/>
      <c r="H377" s="340"/>
      <c r="I377" s="340"/>
      <c r="J377" s="340"/>
      <c r="K377" s="340"/>
      <c r="L377" s="340"/>
      <c r="M377" s="340"/>
      <c r="N377" s="340"/>
      <c r="O377" s="340"/>
      <c r="P377" s="340"/>
      <c r="Q377" s="340"/>
      <c r="R377" s="340"/>
      <c r="S377" s="340"/>
      <c r="T377" s="340"/>
      <c r="U377" s="340"/>
      <c r="V377" s="340"/>
      <c r="W377" s="340"/>
      <c r="X377" s="340"/>
      <c r="Y377" s="340"/>
      <c r="Z377" s="340"/>
    </row>
    <row r="378" spans="1:26" ht="14.25" customHeight="1">
      <c r="A378" s="340"/>
      <c r="B378" s="340"/>
      <c r="C378" s="340"/>
      <c r="D378" s="340"/>
      <c r="E378" s="340"/>
      <c r="F378" s="340"/>
      <c r="G378" s="340"/>
      <c r="H378" s="340"/>
      <c r="I378" s="340"/>
      <c r="J378" s="340"/>
      <c r="K378" s="340"/>
      <c r="L378" s="340"/>
      <c r="M378" s="340"/>
      <c r="N378" s="340"/>
      <c r="O378" s="340"/>
      <c r="P378" s="340"/>
      <c r="Q378" s="340"/>
      <c r="R378" s="340"/>
      <c r="S378" s="340"/>
      <c r="T378" s="340"/>
      <c r="U378" s="340"/>
      <c r="V378" s="340"/>
      <c r="W378" s="340"/>
      <c r="X378" s="340"/>
      <c r="Y378" s="340"/>
      <c r="Z378" s="340"/>
    </row>
    <row r="379" spans="1:26" ht="14.25" customHeight="1">
      <c r="A379" s="340"/>
      <c r="B379" s="340"/>
      <c r="C379" s="340"/>
      <c r="D379" s="340"/>
      <c r="E379" s="340"/>
      <c r="F379" s="340"/>
      <c r="G379" s="340"/>
      <c r="H379" s="340"/>
      <c r="I379" s="340"/>
      <c r="J379" s="340"/>
      <c r="K379" s="340"/>
      <c r="L379" s="340"/>
      <c r="M379" s="340"/>
      <c r="N379" s="340"/>
      <c r="O379" s="340"/>
      <c r="P379" s="340"/>
      <c r="Q379" s="340"/>
      <c r="R379" s="340"/>
      <c r="S379" s="340"/>
      <c r="T379" s="340"/>
      <c r="U379" s="340"/>
      <c r="V379" s="340"/>
      <c r="W379" s="340"/>
      <c r="X379" s="340"/>
      <c r="Y379" s="340"/>
      <c r="Z379" s="340"/>
    </row>
    <row r="380" spans="1:26" ht="14.25" customHeight="1">
      <c r="A380" s="340"/>
      <c r="B380" s="340"/>
      <c r="C380" s="340"/>
      <c r="D380" s="340"/>
      <c r="E380" s="340"/>
      <c r="F380" s="340"/>
      <c r="G380" s="340"/>
      <c r="H380" s="340"/>
      <c r="I380" s="340"/>
      <c r="J380" s="340"/>
      <c r="K380" s="340"/>
      <c r="L380" s="340"/>
      <c r="M380" s="340"/>
      <c r="N380" s="340"/>
      <c r="O380" s="340"/>
      <c r="P380" s="340"/>
      <c r="Q380" s="340"/>
      <c r="R380" s="340"/>
      <c r="S380" s="340"/>
      <c r="T380" s="340"/>
      <c r="U380" s="340"/>
      <c r="V380" s="340"/>
      <c r="W380" s="340"/>
      <c r="X380" s="340"/>
      <c r="Y380" s="340"/>
      <c r="Z380" s="340"/>
    </row>
    <row r="381" spans="1:26" ht="14.25" customHeight="1">
      <c r="A381" s="340"/>
      <c r="B381" s="340"/>
      <c r="C381" s="340"/>
      <c r="D381" s="340"/>
      <c r="E381" s="340"/>
      <c r="F381" s="340"/>
      <c r="G381" s="340"/>
      <c r="H381" s="340"/>
      <c r="I381" s="340"/>
      <c r="J381" s="340"/>
      <c r="K381" s="340"/>
      <c r="L381" s="340"/>
      <c r="M381" s="340"/>
      <c r="N381" s="340"/>
      <c r="O381" s="340"/>
      <c r="P381" s="340"/>
      <c r="Q381" s="340"/>
      <c r="R381" s="340"/>
      <c r="S381" s="340"/>
      <c r="T381" s="340"/>
      <c r="U381" s="340"/>
      <c r="V381" s="340"/>
      <c r="W381" s="340"/>
      <c r="X381" s="340"/>
      <c r="Y381" s="340"/>
      <c r="Z381" s="340"/>
    </row>
    <row r="382" spans="1:26" ht="14.25" customHeight="1">
      <c r="A382" s="340"/>
      <c r="B382" s="340"/>
      <c r="C382" s="340"/>
      <c r="D382" s="340"/>
      <c r="E382" s="340"/>
      <c r="F382" s="340"/>
      <c r="G382" s="340"/>
      <c r="H382" s="340"/>
      <c r="I382" s="340"/>
      <c r="J382" s="340"/>
      <c r="K382" s="340"/>
      <c r="L382" s="340"/>
      <c r="M382" s="340"/>
      <c r="N382" s="340"/>
      <c r="O382" s="340"/>
      <c r="P382" s="340"/>
      <c r="Q382" s="340"/>
      <c r="R382" s="340"/>
      <c r="S382" s="340"/>
      <c r="T382" s="340"/>
      <c r="U382" s="340"/>
      <c r="V382" s="340"/>
      <c r="W382" s="340"/>
      <c r="X382" s="340"/>
      <c r="Y382" s="340"/>
      <c r="Z382" s="340"/>
    </row>
    <row r="383" spans="1:26" ht="14.25" customHeight="1">
      <c r="A383" s="340"/>
      <c r="B383" s="340"/>
      <c r="C383" s="340"/>
      <c r="D383" s="340"/>
      <c r="E383" s="340"/>
      <c r="F383" s="340"/>
      <c r="G383" s="340"/>
      <c r="H383" s="340"/>
      <c r="I383" s="340"/>
      <c r="J383" s="340"/>
      <c r="K383" s="340"/>
      <c r="L383" s="340"/>
      <c r="M383" s="340"/>
      <c r="N383" s="340"/>
      <c r="O383" s="340"/>
      <c r="P383" s="340"/>
      <c r="Q383" s="340"/>
      <c r="R383" s="340"/>
      <c r="S383" s="340"/>
      <c r="T383" s="340"/>
      <c r="U383" s="340"/>
      <c r="V383" s="340"/>
      <c r="W383" s="340"/>
      <c r="X383" s="340"/>
      <c r="Y383" s="340"/>
      <c r="Z383" s="340"/>
    </row>
    <row r="384" spans="1:26" ht="14.25" customHeight="1">
      <c r="A384" s="340"/>
      <c r="B384" s="340"/>
      <c r="C384" s="340"/>
      <c r="D384" s="340"/>
      <c r="E384" s="340"/>
      <c r="F384" s="340"/>
      <c r="G384" s="340"/>
      <c r="H384" s="340"/>
      <c r="I384" s="340"/>
      <c r="J384" s="340"/>
      <c r="K384" s="340"/>
      <c r="L384" s="340"/>
      <c r="M384" s="340"/>
      <c r="N384" s="340"/>
      <c r="O384" s="340"/>
      <c r="P384" s="340"/>
      <c r="Q384" s="340"/>
      <c r="R384" s="340"/>
      <c r="S384" s="340"/>
      <c r="T384" s="340"/>
      <c r="U384" s="340"/>
      <c r="V384" s="340"/>
      <c r="W384" s="340"/>
      <c r="X384" s="340"/>
      <c r="Y384" s="340"/>
      <c r="Z384" s="340"/>
    </row>
    <row r="385" spans="1:26" ht="14.25" customHeight="1">
      <c r="A385" s="340"/>
      <c r="B385" s="340"/>
      <c r="C385" s="340"/>
      <c r="D385" s="340"/>
      <c r="E385" s="340"/>
      <c r="F385" s="340"/>
      <c r="G385" s="340"/>
      <c r="H385" s="340"/>
      <c r="I385" s="340"/>
      <c r="J385" s="340"/>
      <c r="K385" s="340"/>
      <c r="L385" s="340"/>
      <c r="M385" s="340"/>
      <c r="N385" s="340"/>
      <c r="O385" s="340"/>
      <c r="P385" s="340"/>
      <c r="Q385" s="340"/>
      <c r="R385" s="340"/>
      <c r="S385" s="340"/>
      <c r="T385" s="340"/>
      <c r="U385" s="340"/>
      <c r="V385" s="340"/>
      <c r="W385" s="340"/>
      <c r="X385" s="340"/>
      <c r="Y385" s="340"/>
      <c r="Z385" s="340"/>
    </row>
    <row r="386" spans="1:26" ht="14.25" customHeight="1">
      <c r="A386" s="340"/>
      <c r="B386" s="340"/>
      <c r="C386" s="340"/>
      <c r="D386" s="340"/>
      <c r="E386" s="340"/>
      <c r="F386" s="340"/>
      <c r="G386" s="340"/>
      <c r="H386" s="340"/>
      <c r="I386" s="340"/>
      <c r="J386" s="340"/>
      <c r="K386" s="340"/>
      <c r="L386" s="340"/>
      <c r="M386" s="340"/>
      <c r="N386" s="340"/>
      <c r="O386" s="340"/>
      <c r="P386" s="340"/>
      <c r="Q386" s="340"/>
      <c r="R386" s="340"/>
      <c r="S386" s="340"/>
      <c r="T386" s="340"/>
      <c r="U386" s="340"/>
      <c r="V386" s="340"/>
      <c r="W386" s="340"/>
      <c r="X386" s="340"/>
      <c r="Y386" s="340"/>
      <c r="Z386" s="340"/>
    </row>
    <row r="387" spans="1:26" ht="14.25" customHeight="1">
      <c r="A387" s="340"/>
      <c r="B387" s="340"/>
      <c r="C387" s="340"/>
      <c r="D387" s="340"/>
      <c r="E387" s="340"/>
      <c r="F387" s="340"/>
      <c r="G387" s="340"/>
      <c r="H387" s="340"/>
      <c r="I387" s="340"/>
      <c r="J387" s="340"/>
      <c r="K387" s="340"/>
      <c r="L387" s="340"/>
      <c r="M387" s="340"/>
      <c r="N387" s="340"/>
      <c r="O387" s="340"/>
      <c r="P387" s="340"/>
      <c r="Q387" s="340"/>
      <c r="R387" s="340"/>
      <c r="S387" s="340"/>
      <c r="T387" s="340"/>
      <c r="U387" s="340"/>
      <c r="V387" s="340"/>
      <c r="W387" s="340"/>
      <c r="X387" s="340"/>
      <c r="Y387" s="340"/>
      <c r="Z387" s="340"/>
    </row>
    <row r="388" spans="1:26" ht="14.25" customHeight="1">
      <c r="A388" s="340"/>
      <c r="B388" s="340"/>
      <c r="C388" s="340"/>
      <c r="D388" s="340"/>
      <c r="E388" s="340"/>
      <c r="F388" s="340"/>
      <c r="G388" s="340"/>
      <c r="H388" s="340"/>
      <c r="I388" s="340"/>
      <c r="J388" s="340"/>
      <c r="K388" s="340"/>
      <c r="L388" s="340"/>
      <c r="M388" s="340"/>
      <c r="N388" s="340"/>
      <c r="O388" s="340"/>
      <c r="P388" s="340"/>
      <c r="Q388" s="340"/>
      <c r="R388" s="340"/>
      <c r="S388" s="340"/>
      <c r="T388" s="340"/>
      <c r="U388" s="340"/>
      <c r="V388" s="340"/>
      <c r="W388" s="340"/>
      <c r="X388" s="340"/>
      <c r="Y388" s="340"/>
      <c r="Z388" s="340"/>
    </row>
    <row r="389" spans="1:26" ht="14.25" customHeight="1">
      <c r="A389" s="340"/>
      <c r="B389" s="340"/>
      <c r="C389" s="340"/>
      <c r="D389" s="340"/>
      <c r="E389" s="340"/>
      <c r="F389" s="340"/>
      <c r="G389" s="340"/>
      <c r="H389" s="340"/>
      <c r="I389" s="340"/>
      <c r="J389" s="340"/>
      <c r="K389" s="340"/>
      <c r="L389" s="340"/>
      <c r="M389" s="340"/>
      <c r="N389" s="340"/>
      <c r="O389" s="340"/>
      <c r="P389" s="340"/>
      <c r="Q389" s="340"/>
      <c r="R389" s="340"/>
      <c r="S389" s="340"/>
      <c r="T389" s="340"/>
      <c r="U389" s="340"/>
      <c r="V389" s="340"/>
      <c r="W389" s="340"/>
      <c r="X389" s="340"/>
      <c r="Y389" s="340"/>
      <c r="Z389" s="340"/>
    </row>
    <row r="390" spans="1:26" ht="14.25" customHeight="1">
      <c r="A390" s="340"/>
      <c r="B390" s="340"/>
      <c r="C390" s="340"/>
      <c r="D390" s="340"/>
      <c r="E390" s="340"/>
      <c r="F390" s="340"/>
      <c r="G390" s="340"/>
      <c r="H390" s="340"/>
      <c r="I390" s="340"/>
      <c r="J390" s="340"/>
      <c r="K390" s="340"/>
      <c r="L390" s="340"/>
      <c r="M390" s="340"/>
      <c r="N390" s="340"/>
      <c r="O390" s="340"/>
      <c r="P390" s="340"/>
      <c r="Q390" s="340"/>
      <c r="R390" s="340"/>
      <c r="S390" s="340"/>
      <c r="T390" s="340"/>
      <c r="U390" s="340"/>
      <c r="V390" s="340"/>
      <c r="W390" s="340"/>
      <c r="X390" s="340"/>
      <c r="Y390" s="340"/>
      <c r="Z390" s="340"/>
    </row>
    <row r="391" spans="1:26" ht="14.25" customHeight="1">
      <c r="A391" s="340"/>
      <c r="B391" s="340"/>
      <c r="C391" s="340"/>
      <c r="D391" s="340"/>
      <c r="E391" s="340"/>
      <c r="F391" s="340"/>
      <c r="G391" s="340"/>
      <c r="H391" s="340"/>
      <c r="I391" s="340"/>
      <c r="J391" s="340"/>
      <c r="K391" s="340"/>
      <c r="L391" s="340"/>
      <c r="M391" s="340"/>
      <c r="N391" s="340"/>
      <c r="O391" s="340"/>
      <c r="P391" s="340"/>
      <c r="Q391" s="340"/>
      <c r="R391" s="340"/>
      <c r="S391" s="340"/>
      <c r="T391" s="340"/>
      <c r="U391" s="340"/>
      <c r="V391" s="340"/>
      <c r="W391" s="340"/>
      <c r="X391" s="340"/>
      <c r="Y391" s="340"/>
      <c r="Z391" s="340"/>
    </row>
    <row r="392" spans="1:26" ht="14.25" customHeight="1">
      <c r="A392" s="340"/>
      <c r="B392" s="340"/>
      <c r="C392" s="340"/>
      <c r="D392" s="340"/>
      <c r="E392" s="340"/>
      <c r="F392" s="340"/>
      <c r="G392" s="340"/>
      <c r="H392" s="340"/>
      <c r="I392" s="340"/>
      <c r="J392" s="340"/>
      <c r="K392" s="340"/>
      <c r="L392" s="340"/>
      <c r="M392" s="340"/>
      <c r="N392" s="340"/>
      <c r="O392" s="340"/>
      <c r="P392" s="340"/>
      <c r="Q392" s="340"/>
      <c r="R392" s="340"/>
      <c r="S392" s="340"/>
      <c r="T392" s="340"/>
      <c r="U392" s="340"/>
      <c r="V392" s="340"/>
      <c r="W392" s="340"/>
      <c r="X392" s="340"/>
      <c r="Y392" s="340"/>
      <c r="Z392" s="340"/>
    </row>
    <row r="393" spans="1:26" ht="14.25" customHeight="1">
      <c r="A393" s="340"/>
      <c r="B393" s="340"/>
      <c r="C393" s="340"/>
      <c r="D393" s="340"/>
      <c r="E393" s="340"/>
      <c r="F393" s="340"/>
      <c r="G393" s="340"/>
      <c r="H393" s="340"/>
      <c r="I393" s="340"/>
      <c r="J393" s="340"/>
      <c r="K393" s="340"/>
      <c r="L393" s="340"/>
      <c r="M393" s="340"/>
      <c r="N393" s="340"/>
      <c r="O393" s="340"/>
      <c r="P393" s="340"/>
      <c r="Q393" s="340"/>
      <c r="R393" s="340"/>
      <c r="S393" s="340"/>
      <c r="T393" s="340"/>
      <c r="U393" s="340"/>
      <c r="V393" s="340"/>
      <c r="W393" s="340"/>
      <c r="X393" s="340"/>
      <c r="Y393" s="340"/>
      <c r="Z393" s="340"/>
    </row>
    <row r="394" spans="1:26" ht="14.25" customHeight="1">
      <c r="A394" s="340"/>
      <c r="B394" s="340"/>
      <c r="C394" s="340"/>
      <c r="D394" s="340"/>
      <c r="E394" s="340"/>
      <c r="F394" s="340"/>
      <c r="G394" s="340"/>
      <c r="H394" s="340"/>
      <c r="I394" s="340"/>
      <c r="J394" s="340"/>
      <c r="K394" s="340"/>
      <c r="L394" s="340"/>
      <c r="M394" s="340"/>
      <c r="N394" s="340"/>
      <c r="O394" s="340"/>
      <c r="P394" s="340"/>
      <c r="Q394" s="340"/>
      <c r="R394" s="340"/>
      <c r="S394" s="340"/>
      <c r="T394" s="340"/>
      <c r="U394" s="340"/>
      <c r="V394" s="340"/>
      <c r="W394" s="340"/>
      <c r="X394" s="340"/>
      <c r="Y394" s="340"/>
      <c r="Z394" s="340"/>
    </row>
    <row r="395" spans="1:26" ht="14.25" customHeight="1">
      <c r="A395" s="340"/>
      <c r="B395" s="340"/>
      <c r="C395" s="340"/>
      <c r="D395" s="340"/>
      <c r="E395" s="340"/>
      <c r="F395" s="340"/>
      <c r="G395" s="340"/>
      <c r="H395" s="340"/>
      <c r="I395" s="340"/>
      <c r="J395" s="340"/>
      <c r="K395" s="340"/>
      <c r="L395" s="340"/>
      <c r="M395" s="340"/>
      <c r="N395" s="340"/>
      <c r="O395" s="340"/>
      <c r="P395" s="340"/>
      <c r="Q395" s="340"/>
      <c r="R395" s="340"/>
      <c r="S395" s="340"/>
      <c r="T395" s="340"/>
      <c r="U395" s="340"/>
      <c r="V395" s="340"/>
      <c r="W395" s="340"/>
      <c r="X395" s="340"/>
      <c r="Y395" s="340"/>
      <c r="Z395" s="340"/>
    </row>
    <row r="396" spans="1:26" ht="14.25" customHeight="1">
      <c r="A396" s="340"/>
      <c r="B396" s="340"/>
      <c r="C396" s="340"/>
      <c r="D396" s="340"/>
      <c r="E396" s="340"/>
      <c r="F396" s="340"/>
      <c r="G396" s="340"/>
      <c r="H396" s="340"/>
      <c r="I396" s="340"/>
      <c r="J396" s="340"/>
      <c r="K396" s="340"/>
      <c r="L396" s="340"/>
      <c r="M396" s="340"/>
      <c r="N396" s="340"/>
      <c r="O396" s="340"/>
      <c r="P396" s="340"/>
      <c r="Q396" s="340"/>
      <c r="R396" s="340"/>
      <c r="S396" s="340"/>
      <c r="T396" s="340"/>
      <c r="U396" s="340"/>
      <c r="V396" s="340"/>
      <c r="W396" s="340"/>
      <c r="X396" s="340"/>
      <c r="Y396" s="340"/>
      <c r="Z396" s="340"/>
    </row>
    <row r="397" spans="1:26" ht="14.25" customHeight="1">
      <c r="A397" s="340"/>
      <c r="B397" s="340"/>
      <c r="C397" s="340"/>
      <c r="D397" s="340"/>
      <c r="E397" s="340"/>
      <c r="F397" s="340"/>
      <c r="G397" s="340"/>
      <c r="H397" s="340"/>
      <c r="I397" s="340"/>
      <c r="J397" s="340"/>
      <c r="K397" s="340"/>
      <c r="L397" s="340"/>
      <c r="M397" s="340"/>
      <c r="N397" s="340"/>
      <c r="O397" s="340"/>
      <c r="P397" s="340"/>
      <c r="Q397" s="340"/>
      <c r="R397" s="340"/>
      <c r="S397" s="340"/>
      <c r="T397" s="340"/>
      <c r="U397" s="340"/>
      <c r="V397" s="340"/>
      <c r="W397" s="340"/>
      <c r="X397" s="340"/>
      <c r="Y397" s="340"/>
      <c r="Z397" s="340"/>
    </row>
    <row r="398" spans="1:26" ht="14.25" customHeight="1">
      <c r="A398" s="340"/>
      <c r="B398" s="340"/>
      <c r="C398" s="340"/>
      <c r="D398" s="340"/>
      <c r="E398" s="340"/>
      <c r="F398" s="340"/>
      <c r="G398" s="340"/>
      <c r="H398" s="340"/>
      <c r="I398" s="340"/>
      <c r="J398" s="340"/>
      <c r="K398" s="340"/>
      <c r="L398" s="340"/>
      <c r="M398" s="340"/>
      <c r="N398" s="340"/>
      <c r="O398" s="340"/>
      <c r="P398" s="340"/>
      <c r="Q398" s="340"/>
      <c r="R398" s="340"/>
      <c r="S398" s="340"/>
      <c r="T398" s="340"/>
      <c r="U398" s="340"/>
      <c r="V398" s="340"/>
      <c r="W398" s="340"/>
      <c r="X398" s="340"/>
      <c r="Y398" s="340"/>
      <c r="Z398" s="340"/>
    </row>
    <row r="399" spans="1:26" ht="14.25" customHeight="1">
      <c r="A399" s="340"/>
      <c r="B399" s="340"/>
      <c r="C399" s="340"/>
      <c r="D399" s="340"/>
      <c r="E399" s="340"/>
      <c r="F399" s="340"/>
      <c r="G399" s="340"/>
      <c r="H399" s="340"/>
      <c r="I399" s="340"/>
      <c r="J399" s="340"/>
      <c r="K399" s="340"/>
      <c r="L399" s="340"/>
      <c r="M399" s="340"/>
      <c r="N399" s="340"/>
      <c r="O399" s="340"/>
      <c r="P399" s="340"/>
      <c r="Q399" s="340"/>
      <c r="R399" s="340"/>
      <c r="S399" s="340"/>
      <c r="T399" s="340"/>
      <c r="U399" s="340"/>
      <c r="V399" s="340"/>
      <c r="W399" s="340"/>
      <c r="X399" s="340"/>
      <c r="Y399" s="340"/>
      <c r="Z399" s="340"/>
    </row>
    <row r="400" spans="1:26" ht="14.25" customHeight="1">
      <c r="A400" s="340"/>
      <c r="B400" s="340"/>
      <c r="C400" s="340"/>
      <c r="D400" s="340"/>
      <c r="E400" s="340"/>
      <c r="F400" s="340"/>
      <c r="G400" s="340"/>
      <c r="H400" s="340"/>
      <c r="I400" s="340"/>
      <c r="J400" s="340"/>
      <c r="K400" s="340"/>
      <c r="L400" s="340"/>
      <c r="M400" s="340"/>
      <c r="N400" s="340"/>
      <c r="O400" s="340"/>
      <c r="P400" s="340"/>
      <c r="Q400" s="340"/>
      <c r="R400" s="340"/>
      <c r="S400" s="340"/>
      <c r="T400" s="340"/>
      <c r="U400" s="340"/>
      <c r="V400" s="340"/>
      <c r="W400" s="340"/>
      <c r="X400" s="340"/>
      <c r="Y400" s="340"/>
      <c r="Z400" s="340"/>
    </row>
    <row r="401" spans="1:26" ht="14.25" customHeight="1">
      <c r="A401" s="340"/>
      <c r="B401" s="340"/>
      <c r="C401" s="340"/>
      <c r="D401" s="340"/>
      <c r="E401" s="340"/>
      <c r="F401" s="340"/>
      <c r="G401" s="340"/>
      <c r="H401" s="340"/>
      <c r="I401" s="340"/>
      <c r="J401" s="340"/>
      <c r="K401" s="340"/>
      <c r="L401" s="340"/>
      <c r="M401" s="340"/>
      <c r="N401" s="340"/>
      <c r="O401" s="340"/>
      <c r="P401" s="340"/>
      <c r="Q401" s="340"/>
      <c r="R401" s="340"/>
      <c r="S401" s="340"/>
      <c r="T401" s="340"/>
      <c r="U401" s="340"/>
      <c r="V401" s="340"/>
      <c r="W401" s="340"/>
      <c r="X401" s="340"/>
      <c r="Y401" s="340"/>
      <c r="Z401" s="340"/>
    </row>
    <row r="402" spans="1:26" ht="14.25" customHeight="1">
      <c r="A402" s="340"/>
      <c r="B402" s="340"/>
      <c r="C402" s="340"/>
      <c r="D402" s="340"/>
      <c r="E402" s="340"/>
      <c r="F402" s="340"/>
      <c r="G402" s="340"/>
      <c r="H402" s="340"/>
      <c r="I402" s="340"/>
      <c r="J402" s="340"/>
      <c r="K402" s="340"/>
      <c r="L402" s="340"/>
      <c r="M402" s="340"/>
      <c r="N402" s="340"/>
      <c r="O402" s="340"/>
      <c r="P402" s="340"/>
      <c r="Q402" s="340"/>
      <c r="R402" s="340"/>
      <c r="S402" s="340"/>
      <c r="T402" s="340"/>
      <c r="U402" s="340"/>
      <c r="V402" s="340"/>
      <c r="W402" s="340"/>
      <c r="X402" s="340"/>
      <c r="Y402" s="340"/>
      <c r="Z402" s="340"/>
    </row>
    <row r="403" spans="1:26" ht="14.25" customHeight="1">
      <c r="A403" s="340"/>
      <c r="B403" s="340"/>
      <c r="C403" s="340"/>
      <c r="D403" s="340"/>
      <c r="E403" s="340"/>
      <c r="F403" s="340"/>
      <c r="G403" s="340"/>
      <c r="H403" s="340"/>
      <c r="I403" s="340"/>
      <c r="J403" s="340"/>
      <c r="K403" s="340"/>
      <c r="L403" s="340"/>
      <c r="M403" s="340"/>
      <c r="N403" s="340"/>
      <c r="O403" s="340"/>
      <c r="P403" s="340"/>
      <c r="Q403" s="340"/>
      <c r="R403" s="340"/>
      <c r="S403" s="340"/>
      <c r="T403" s="340"/>
      <c r="U403" s="340"/>
      <c r="V403" s="340"/>
      <c r="W403" s="340"/>
      <c r="X403" s="340"/>
      <c r="Y403" s="340"/>
      <c r="Z403" s="340"/>
    </row>
    <row r="404" spans="1:26" ht="14.25" customHeight="1">
      <c r="A404" s="340"/>
      <c r="B404" s="340"/>
      <c r="C404" s="340"/>
      <c r="D404" s="340"/>
      <c r="E404" s="340"/>
      <c r="F404" s="340"/>
      <c r="G404" s="340"/>
      <c r="H404" s="340"/>
      <c r="I404" s="340"/>
      <c r="J404" s="340"/>
      <c r="K404" s="340"/>
      <c r="L404" s="340"/>
      <c r="M404" s="340"/>
      <c r="N404" s="340"/>
      <c r="O404" s="340"/>
      <c r="P404" s="340"/>
      <c r="Q404" s="340"/>
      <c r="R404" s="340"/>
      <c r="S404" s="340"/>
      <c r="T404" s="340"/>
      <c r="U404" s="340"/>
      <c r="V404" s="340"/>
      <c r="W404" s="340"/>
      <c r="X404" s="340"/>
      <c r="Y404" s="340"/>
      <c r="Z404" s="340"/>
    </row>
    <row r="405" spans="1:26" ht="14.25" customHeight="1">
      <c r="A405" s="340"/>
      <c r="B405" s="340"/>
      <c r="C405" s="340"/>
      <c r="D405" s="340"/>
      <c r="E405" s="340"/>
      <c r="F405" s="340"/>
      <c r="G405" s="340"/>
      <c r="H405" s="340"/>
      <c r="I405" s="340"/>
      <c r="J405" s="340"/>
      <c r="K405" s="340"/>
      <c r="L405" s="340"/>
      <c r="M405" s="340"/>
      <c r="N405" s="340"/>
      <c r="O405" s="340"/>
      <c r="P405" s="340"/>
      <c r="Q405" s="340"/>
      <c r="R405" s="340"/>
      <c r="S405" s="340"/>
      <c r="T405" s="340"/>
      <c r="U405" s="340"/>
      <c r="V405" s="340"/>
      <c r="W405" s="340"/>
      <c r="X405" s="340"/>
      <c r="Y405" s="340"/>
      <c r="Z405" s="340"/>
    </row>
    <row r="406" spans="1:26" ht="14.25" customHeight="1">
      <c r="A406" s="340"/>
      <c r="B406" s="340"/>
      <c r="C406" s="340"/>
      <c r="D406" s="340"/>
      <c r="E406" s="340"/>
      <c r="F406" s="340"/>
      <c r="G406" s="340"/>
      <c r="H406" s="340"/>
      <c r="I406" s="340"/>
      <c r="J406" s="340"/>
      <c r="K406" s="340"/>
      <c r="L406" s="340"/>
      <c r="M406" s="340"/>
      <c r="N406" s="340"/>
      <c r="O406" s="340"/>
      <c r="P406" s="340"/>
      <c r="Q406" s="340"/>
      <c r="R406" s="340"/>
      <c r="S406" s="340"/>
      <c r="T406" s="340"/>
      <c r="U406" s="340"/>
      <c r="V406" s="340"/>
      <c r="W406" s="340"/>
      <c r="X406" s="340"/>
      <c r="Y406" s="340"/>
      <c r="Z406" s="340"/>
    </row>
    <row r="407" spans="1:26" ht="14.25" customHeight="1">
      <c r="A407" s="340"/>
      <c r="B407" s="340"/>
      <c r="C407" s="340"/>
      <c r="D407" s="340"/>
      <c r="E407" s="340"/>
      <c r="F407" s="340"/>
      <c r="G407" s="340"/>
      <c r="H407" s="340"/>
      <c r="I407" s="340"/>
      <c r="J407" s="340"/>
      <c r="K407" s="340"/>
      <c r="L407" s="340"/>
      <c r="M407" s="340"/>
      <c r="N407" s="340"/>
      <c r="O407" s="340"/>
      <c r="P407" s="340"/>
      <c r="Q407" s="340"/>
      <c r="R407" s="340"/>
      <c r="S407" s="340"/>
      <c r="T407" s="340"/>
      <c r="U407" s="340"/>
      <c r="V407" s="340"/>
      <c r="W407" s="340"/>
      <c r="X407" s="340"/>
      <c r="Y407" s="340"/>
      <c r="Z407" s="340"/>
    </row>
    <row r="408" spans="1:26" ht="14.25" customHeight="1">
      <c r="A408" s="340"/>
      <c r="B408" s="340"/>
      <c r="C408" s="340"/>
      <c r="D408" s="340"/>
      <c r="E408" s="340"/>
      <c r="F408" s="340"/>
      <c r="G408" s="340"/>
      <c r="H408" s="340"/>
      <c r="I408" s="340"/>
      <c r="J408" s="340"/>
      <c r="K408" s="340"/>
      <c r="L408" s="340"/>
      <c r="M408" s="340"/>
      <c r="N408" s="340"/>
      <c r="O408" s="340"/>
      <c r="P408" s="340"/>
      <c r="Q408" s="340"/>
      <c r="R408" s="340"/>
      <c r="S408" s="340"/>
      <c r="T408" s="340"/>
      <c r="U408" s="340"/>
      <c r="V408" s="340"/>
      <c r="W408" s="340"/>
      <c r="X408" s="340"/>
      <c r="Y408" s="340"/>
      <c r="Z408" s="340"/>
    </row>
    <row r="409" spans="1:26" ht="14.25" customHeight="1">
      <c r="A409" s="340"/>
      <c r="B409" s="340"/>
      <c r="C409" s="340"/>
      <c r="D409" s="340"/>
      <c r="E409" s="340"/>
      <c r="F409" s="340"/>
      <c r="G409" s="340"/>
      <c r="H409" s="340"/>
      <c r="I409" s="340"/>
      <c r="J409" s="340"/>
      <c r="K409" s="340"/>
      <c r="L409" s="340"/>
      <c r="M409" s="340"/>
      <c r="N409" s="340"/>
      <c r="O409" s="340"/>
      <c r="P409" s="340"/>
      <c r="Q409" s="340"/>
      <c r="R409" s="340"/>
      <c r="S409" s="340"/>
      <c r="T409" s="340"/>
      <c r="U409" s="340"/>
      <c r="V409" s="340"/>
      <c r="W409" s="340"/>
      <c r="X409" s="340"/>
      <c r="Y409" s="340"/>
      <c r="Z409" s="340"/>
    </row>
    <row r="410" spans="1:26" ht="14.25" customHeight="1">
      <c r="A410" s="340"/>
      <c r="B410" s="340"/>
      <c r="C410" s="340"/>
      <c r="D410" s="340"/>
      <c r="E410" s="340"/>
      <c r="F410" s="340"/>
      <c r="G410" s="340"/>
      <c r="H410" s="340"/>
      <c r="I410" s="340"/>
      <c r="J410" s="340"/>
      <c r="K410" s="340"/>
      <c r="L410" s="340"/>
      <c r="M410" s="340"/>
      <c r="N410" s="340"/>
      <c r="O410" s="340"/>
      <c r="P410" s="340"/>
      <c r="Q410" s="340"/>
      <c r="R410" s="340"/>
      <c r="S410" s="340"/>
      <c r="T410" s="340"/>
      <c r="U410" s="340"/>
      <c r="V410" s="340"/>
      <c r="W410" s="340"/>
      <c r="X410" s="340"/>
      <c r="Y410" s="340"/>
      <c r="Z410" s="340"/>
    </row>
    <row r="411" spans="1:26" ht="14.25" customHeight="1">
      <c r="A411" s="340"/>
      <c r="B411" s="340"/>
      <c r="C411" s="340"/>
      <c r="D411" s="340"/>
      <c r="E411" s="340"/>
      <c r="F411" s="340"/>
      <c r="G411" s="340"/>
      <c r="H411" s="340"/>
      <c r="I411" s="340"/>
      <c r="J411" s="340"/>
      <c r="K411" s="340"/>
      <c r="L411" s="340"/>
      <c r="M411" s="340"/>
      <c r="N411" s="340"/>
      <c r="O411" s="340"/>
      <c r="P411" s="340"/>
      <c r="Q411" s="340"/>
      <c r="R411" s="340"/>
      <c r="S411" s="340"/>
      <c r="T411" s="340"/>
      <c r="U411" s="340"/>
      <c r="V411" s="340"/>
      <c r="W411" s="340"/>
      <c r="X411" s="340"/>
      <c r="Y411" s="340"/>
      <c r="Z411" s="340"/>
    </row>
    <row r="412" spans="1:26" ht="14.25" customHeight="1">
      <c r="A412" s="340"/>
      <c r="B412" s="340"/>
      <c r="C412" s="340"/>
      <c r="D412" s="340"/>
      <c r="E412" s="340"/>
      <c r="F412" s="340"/>
      <c r="G412" s="340"/>
      <c r="H412" s="340"/>
      <c r="I412" s="340"/>
      <c r="J412" s="340"/>
      <c r="K412" s="340"/>
      <c r="L412" s="340"/>
      <c r="M412" s="340"/>
      <c r="N412" s="340"/>
      <c r="O412" s="340"/>
      <c r="P412" s="340"/>
      <c r="Q412" s="340"/>
      <c r="R412" s="340"/>
      <c r="S412" s="340"/>
      <c r="T412" s="340"/>
      <c r="U412" s="340"/>
      <c r="V412" s="340"/>
      <c r="W412" s="340"/>
      <c r="X412" s="340"/>
      <c r="Y412" s="340"/>
      <c r="Z412" s="340"/>
    </row>
    <row r="413" spans="1:26" ht="14.25" customHeight="1">
      <c r="A413" s="340"/>
      <c r="B413" s="340"/>
      <c r="C413" s="340"/>
      <c r="D413" s="340"/>
      <c r="E413" s="340"/>
      <c r="F413" s="340"/>
      <c r="G413" s="340"/>
      <c r="H413" s="340"/>
      <c r="I413" s="340"/>
      <c r="J413" s="340"/>
      <c r="K413" s="340"/>
      <c r="L413" s="340"/>
      <c r="M413" s="340"/>
      <c r="N413" s="340"/>
      <c r="O413" s="340"/>
      <c r="P413" s="340"/>
      <c r="Q413" s="340"/>
      <c r="R413" s="340"/>
      <c r="S413" s="340"/>
      <c r="T413" s="340"/>
      <c r="U413" s="340"/>
      <c r="V413" s="340"/>
      <c r="W413" s="340"/>
      <c r="X413" s="340"/>
      <c r="Y413" s="340"/>
      <c r="Z413" s="340"/>
    </row>
    <row r="414" spans="1:26" ht="14.25" customHeight="1">
      <c r="A414" s="340"/>
      <c r="B414" s="340"/>
      <c r="C414" s="340"/>
      <c r="D414" s="340"/>
      <c r="E414" s="340"/>
      <c r="F414" s="340"/>
      <c r="G414" s="340"/>
      <c r="H414" s="340"/>
      <c r="I414" s="340"/>
      <c r="J414" s="340"/>
      <c r="K414" s="340"/>
      <c r="L414" s="340"/>
      <c r="M414" s="340"/>
      <c r="N414" s="340"/>
      <c r="O414" s="340"/>
      <c r="P414" s="340"/>
      <c r="Q414" s="340"/>
      <c r="R414" s="340"/>
      <c r="S414" s="340"/>
      <c r="T414" s="340"/>
      <c r="U414" s="340"/>
      <c r="V414" s="340"/>
      <c r="W414" s="340"/>
      <c r="X414" s="340"/>
      <c r="Y414" s="340"/>
      <c r="Z414" s="340"/>
    </row>
    <row r="415" spans="1:26" ht="14.25" customHeight="1">
      <c r="A415" s="340"/>
      <c r="B415" s="340"/>
      <c r="C415" s="340"/>
      <c r="D415" s="340"/>
      <c r="E415" s="340"/>
      <c r="F415" s="340"/>
      <c r="G415" s="340"/>
      <c r="H415" s="340"/>
      <c r="I415" s="340"/>
      <c r="J415" s="340"/>
      <c r="K415" s="340"/>
      <c r="L415" s="340"/>
      <c r="M415" s="340"/>
      <c r="N415" s="340"/>
      <c r="O415" s="340"/>
      <c r="P415" s="340"/>
      <c r="Q415" s="340"/>
      <c r="R415" s="340"/>
      <c r="S415" s="340"/>
      <c r="T415" s="340"/>
      <c r="U415" s="340"/>
      <c r="V415" s="340"/>
      <c r="W415" s="340"/>
      <c r="X415" s="340"/>
      <c r="Y415" s="340"/>
      <c r="Z415" s="340"/>
    </row>
    <row r="416" spans="1:26" ht="14.25" customHeight="1">
      <c r="A416" s="340"/>
      <c r="B416" s="340"/>
      <c r="C416" s="340"/>
      <c r="D416" s="340"/>
      <c r="E416" s="340"/>
      <c r="F416" s="340"/>
      <c r="G416" s="340"/>
      <c r="H416" s="340"/>
      <c r="I416" s="340"/>
      <c r="J416" s="340"/>
      <c r="K416" s="340"/>
      <c r="L416" s="340"/>
      <c r="M416" s="340"/>
      <c r="N416" s="340"/>
      <c r="O416" s="340"/>
      <c r="P416" s="340"/>
      <c r="Q416" s="340"/>
      <c r="R416" s="340"/>
      <c r="S416" s="340"/>
      <c r="T416" s="340"/>
      <c r="U416" s="340"/>
      <c r="V416" s="340"/>
      <c r="W416" s="340"/>
      <c r="X416" s="340"/>
      <c r="Y416" s="340"/>
      <c r="Z416" s="340"/>
    </row>
    <row r="417" spans="1:26" ht="14.25" customHeight="1">
      <c r="A417" s="340"/>
      <c r="B417" s="340"/>
      <c r="C417" s="340"/>
      <c r="D417" s="340"/>
      <c r="E417" s="340"/>
      <c r="F417" s="340"/>
      <c r="G417" s="340"/>
      <c r="H417" s="340"/>
      <c r="I417" s="340"/>
      <c r="J417" s="340"/>
      <c r="K417" s="340"/>
      <c r="L417" s="340"/>
      <c r="M417" s="340"/>
      <c r="N417" s="340"/>
      <c r="O417" s="340"/>
      <c r="P417" s="340"/>
      <c r="Q417" s="340"/>
      <c r="R417" s="340"/>
      <c r="S417" s="340"/>
      <c r="T417" s="340"/>
      <c r="U417" s="340"/>
      <c r="V417" s="340"/>
      <c r="W417" s="340"/>
      <c r="X417" s="340"/>
      <c r="Y417" s="340"/>
      <c r="Z417" s="340"/>
    </row>
    <row r="418" spans="1:26" ht="14.25" customHeight="1">
      <c r="A418" s="340"/>
      <c r="B418" s="340"/>
      <c r="C418" s="340"/>
      <c r="D418" s="340"/>
      <c r="E418" s="340"/>
      <c r="F418" s="340"/>
      <c r="G418" s="340"/>
      <c r="H418" s="340"/>
      <c r="I418" s="340"/>
      <c r="J418" s="340"/>
      <c r="K418" s="340"/>
      <c r="L418" s="340"/>
      <c r="M418" s="340"/>
      <c r="N418" s="340"/>
      <c r="O418" s="340"/>
      <c r="P418" s="340"/>
      <c r="Q418" s="340"/>
      <c r="R418" s="340"/>
      <c r="S418" s="340"/>
      <c r="T418" s="340"/>
      <c r="U418" s="340"/>
      <c r="V418" s="340"/>
      <c r="W418" s="340"/>
      <c r="X418" s="340"/>
      <c r="Y418" s="340"/>
      <c r="Z418" s="340"/>
    </row>
    <row r="419" spans="1:26" ht="14.25" customHeight="1">
      <c r="A419" s="340"/>
      <c r="B419" s="340"/>
      <c r="C419" s="340"/>
      <c r="D419" s="340"/>
      <c r="E419" s="340"/>
      <c r="F419" s="340"/>
      <c r="G419" s="340"/>
      <c r="H419" s="340"/>
      <c r="I419" s="340"/>
      <c r="J419" s="340"/>
      <c r="K419" s="340"/>
      <c r="L419" s="340"/>
      <c r="M419" s="340"/>
      <c r="N419" s="340"/>
      <c r="O419" s="340"/>
      <c r="P419" s="340"/>
      <c r="Q419" s="340"/>
      <c r="R419" s="340"/>
      <c r="S419" s="340"/>
      <c r="T419" s="340"/>
      <c r="U419" s="340"/>
      <c r="V419" s="340"/>
      <c r="W419" s="340"/>
      <c r="X419" s="340"/>
      <c r="Y419" s="340"/>
      <c r="Z419" s="340"/>
    </row>
    <row r="420" spans="1:26" ht="14.25" customHeight="1">
      <c r="A420" s="340"/>
      <c r="B420" s="340"/>
      <c r="C420" s="340"/>
      <c r="D420" s="340"/>
      <c r="E420" s="340"/>
      <c r="F420" s="340"/>
      <c r="G420" s="340"/>
      <c r="H420" s="340"/>
      <c r="I420" s="340"/>
      <c r="J420" s="340"/>
      <c r="K420" s="340"/>
      <c r="L420" s="340"/>
      <c r="M420" s="340"/>
      <c r="N420" s="340"/>
      <c r="O420" s="340"/>
      <c r="P420" s="340"/>
      <c r="Q420" s="340"/>
      <c r="R420" s="340"/>
      <c r="S420" s="340"/>
      <c r="T420" s="340"/>
      <c r="U420" s="340"/>
      <c r="V420" s="340"/>
      <c r="W420" s="340"/>
      <c r="X420" s="340"/>
      <c r="Y420" s="340"/>
      <c r="Z420" s="340"/>
    </row>
    <row r="421" spans="1:26" ht="14.25" customHeight="1">
      <c r="A421" s="340"/>
      <c r="B421" s="340"/>
      <c r="C421" s="340"/>
      <c r="D421" s="340"/>
      <c r="E421" s="340"/>
      <c r="F421" s="340"/>
      <c r="G421" s="340"/>
      <c r="H421" s="340"/>
      <c r="I421" s="340"/>
      <c r="J421" s="340"/>
      <c r="K421" s="340"/>
      <c r="L421" s="340"/>
      <c r="M421" s="340"/>
      <c r="N421" s="340"/>
      <c r="O421" s="340"/>
      <c r="P421" s="340"/>
      <c r="Q421" s="340"/>
      <c r="R421" s="340"/>
      <c r="S421" s="340"/>
      <c r="T421" s="340"/>
      <c r="U421" s="340"/>
      <c r="V421" s="340"/>
      <c r="W421" s="340"/>
      <c r="X421" s="340"/>
      <c r="Y421" s="340"/>
      <c r="Z421" s="340"/>
    </row>
    <row r="422" spans="1:26" ht="14.25" customHeight="1">
      <c r="A422" s="340"/>
      <c r="B422" s="340"/>
      <c r="C422" s="340"/>
      <c r="D422" s="340"/>
      <c r="E422" s="340"/>
      <c r="F422" s="340"/>
      <c r="G422" s="340"/>
      <c r="H422" s="340"/>
      <c r="I422" s="340"/>
      <c r="J422" s="340"/>
      <c r="K422" s="340"/>
      <c r="L422" s="340"/>
      <c r="M422" s="340"/>
      <c r="N422" s="340"/>
      <c r="O422" s="340"/>
      <c r="P422" s="340"/>
      <c r="Q422" s="340"/>
      <c r="R422" s="340"/>
      <c r="S422" s="340"/>
      <c r="T422" s="340"/>
      <c r="U422" s="340"/>
      <c r="V422" s="340"/>
      <c r="W422" s="340"/>
      <c r="X422" s="340"/>
      <c r="Y422" s="340"/>
      <c r="Z422" s="340"/>
    </row>
    <row r="423" spans="1:26" ht="14.25" customHeight="1">
      <c r="A423" s="340"/>
      <c r="B423" s="340"/>
      <c r="C423" s="340"/>
      <c r="D423" s="340"/>
      <c r="E423" s="340"/>
      <c r="F423" s="340"/>
      <c r="G423" s="340"/>
      <c r="H423" s="340"/>
      <c r="I423" s="340"/>
      <c r="J423" s="340"/>
      <c r="K423" s="340"/>
      <c r="L423" s="340"/>
      <c r="M423" s="340"/>
      <c r="N423" s="340"/>
      <c r="O423" s="340"/>
      <c r="P423" s="340"/>
      <c r="Q423" s="340"/>
      <c r="R423" s="340"/>
      <c r="S423" s="340"/>
      <c r="T423" s="340"/>
      <c r="U423" s="340"/>
      <c r="V423" s="340"/>
      <c r="W423" s="340"/>
      <c r="X423" s="340"/>
      <c r="Y423" s="340"/>
      <c r="Z423" s="340"/>
    </row>
    <row r="424" spans="1:26" ht="14.25" customHeight="1">
      <c r="A424" s="340"/>
      <c r="B424" s="340"/>
      <c r="C424" s="340"/>
      <c r="D424" s="340"/>
      <c r="E424" s="340"/>
      <c r="F424" s="340"/>
      <c r="G424" s="340"/>
      <c r="H424" s="340"/>
      <c r="I424" s="340"/>
      <c r="J424" s="340"/>
      <c r="K424" s="340"/>
      <c r="L424" s="340"/>
      <c r="M424" s="340"/>
      <c r="N424" s="340"/>
      <c r="O424" s="340"/>
      <c r="P424" s="340"/>
      <c r="Q424" s="340"/>
      <c r="R424" s="340"/>
      <c r="S424" s="340"/>
      <c r="T424" s="340"/>
      <c r="U424" s="340"/>
      <c r="V424" s="340"/>
      <c r="W424" s="340"/>
      <c r="X424" s="340"/>
      <c r="Y424" s="340"/>
      <c r="Z424" s="340"/>
    </row>
    <row r="425" spans="1:26" ht="14.25" customHeight="1">
      <c r="A425" s="340"/>
      <c r="B425" s="340"/>
      <c r="C425" s="340"/>
      <c r="D425" s="340"/>
      <c r="E425" s="340"/>
      <c r="F425" s="340"/>
      <c r="G425" s="340"/>
      <c r="H425" s="340"/>
      <c r="I425" s="340"/>
      <c r="J425" s="340"/>
      <c r="K425" s="340"/>
      <c r="L425" s="340"/>
      <c r="M425" s="340"/>
      <c r="N425" s="340"/>
      <c r="O425" s="340"/>
      <c r="P425" s="340"/>
      <c r="Q425" s="340"/>
      <c r="R425" s="340"/>
      <c r="S425" s="340"/>
      <c r="T425" s="340"/>
      <c r="U425" s="340"/>
      <c r="V425" s="340"/>
      <c r="W425" s="340"/>
      <c r="X425" s="340"/>
      <c r="Y425" s="340"/>
      <c r="Z425" s="340"/>
    </row>
    <row r="426" spans="1:26" ht="14.25" customHeight="1">
      <c r="A426" s="340"/>
      <c r="B426" s="340"/>
      <c r="C426" s="340"/>
      <c r="D426" s="340"/>
      <c r="E426" s="340"/>
      <c r="F426" s="340"/>
      <c r="G426" s="340"/>
      <c r="H426" s="340"/>
      <c r="I426" s="340"/>
      <c r="J426" s="340"/>
      <c r="K426" s="340"/>
      <c r="L426" s="340"/>
      <c r="M426" s="340"/>
      <c r="N426" s="340"/>
      <c r="O426" s="340"/>
      <c r="P426" s="340"/>
      <c r="Q426" s="340"/>
      <c r="R426" s="340"/>
      <c r="S426" s="340"/>
      <c r="T426" s="340"/>
      <c r="U426" s="340"/>
      <c r="V426" s="340"/>
      <c r="W426" s="340"/>
      <c r="X426" s="340"/>
      <c r="Y426" s="340"/>
      <c r="Z426" s="340"/>
    </row>
    <row r="427" spans="1:26" ht="14.25" customHeight="1">
      <c r="A427" s="340"/>
      <c r="B427" s="340"/>
      <c r="C427" s="340"/>
      <c r="D427" s="340"/>
      <c r="E427" s="340"/>
      <c r="F427" s="340"/>
      <c r="G427" s="340"/>
      <c r="H427" s="340"/>
      <c r="I427" s="340"/>
      <c r="J427" s="340"/>
      <c r="K427" s="340"/>
      <c r="L427" s="340"/>
      <c r="M427" s="340"/>
      <c r="N427" s="340"/>
      <c r="O427" s="340"/>
      <c r="P427" s="340"/>
      <c r="Q427" s="340"/>
      <c r="R427" s="340"/>
      <c r="S427" s="340"/>
      <c r="T427" s="340"/>
      <c r="U427" s="340"/>
      <c r="V427" s="340"/>
      <c r="W427" s="340"/>
      <c r="X427" s="340"/>
      <c r="Y427" s="340"/>
      <c r="Z427" s="340"/>
    </row>
    <row r="428" spans="1:26" ht="14.25" customHeight="1">
      <c r="A428" s="340"/>
      <c r="B428" s="340"/>
      <c r="C428" s="340"/>
      <c r="D428" s="340"/>
      <c r="E428" s="340"/>
      <c r="F428" s="340"/>
      <c r="G428" s="340"/>
      <c r="H428" s="340"/>
      <c r="I428" s="340"/>
      <c r="J428" s="340"/>
      <c r="K428" s="340"/>
      <c r="L428" s="340"/>
      <c r="M428" s="340"/>
      <c r="N428" s="340"/>
      <c r="O428" s="340"/>
      <c r="P428" s="340"/>
      <c r="Q428" s="340"/>
      <c r="R428" s="340"/>
      <c r="S428" s="340"/>
      <c r="T428" s="340"/>
      <c r="U428" s="340"/>
      <c r="V428" s="340"/>
      <c r="W428" s="340"/>
      <c r="X428" s="340"/>
      <c r="Y428" s="340"/>
      <c r="Z428" s="340"/>
    </row>
    <row r="429" spans="1:26" ht="14.25" customHeight="1">
      <c r="A429" s="340"/>
      <c r="B429" s="340"/>
      <c r="C429" s="340"/>
      <c r="D429" s="340"/>
      <c r="E429" s="340"/>
      <c r="F429" s="340"/>
      <c r="G429" s="340"/>
      <c r="H429" s="340"/>
      <c r="I429" s="340"/>
      <c r="J429" s="340"/>
      <c r="K429" s="340"/>
      <c r="L429" s="340"/>
      <c r="M429" s="340"/>
      <c r="N429" s="340"/>
      <c r="O429" s="340"/>
      <c r="P429" s="340"/>
      <c r="Q429" s="340"/>
      <c r="R429" s="340"/>
      <c r="S429" s="340"/>
      <c r="T429" s="340"/>
      <c r="U429" s="340"/>
      <c r="V429" s="340"/>
      <c r="W429" s="340"/>
      <c r="X429" s="340"/>
      <c r="Y429" s="340"/>
      <c r="Z429" s="340"/>
    </row>
    <row r="430" spans="1:26" ht="14.25" customHeight="1">
      <c r="A430" s="340"/>
      <c r="B430" s="340"/>
      <c r="C430" s="340"/>
      <c r="D430" s="340"/>
      <c r="E430" s="340"/>
      <c r="F430" s="340"/>
      <c r="G430" s="340"/>
      <c r="H430" s="340"/>
      <c r="I430" s="340"/>
      <c r="J430" s="340"/>
      <c r="K430" s="340"/>
      <c r="L430" s="340"/>
      <c r="M430" s="340"/>
      <c r="N430" s="340"/>
      <c r="O430" s="340"/>
      <c r="P430" s="340"/>
      <c r="Q430" s="340"/>
      <c r="R430" s="340"/>
      <c r="S430" s="340"/>
      <c r="T430" s="340"/>
      <c r="U430" s="340"/>
      <c r="V430" s="340"/>
      <c r="W430" s="340"/>
      <c r="X430" s="340"/>
      <c r="Y430" s="340"/>
      <c r="Z430" s="340"/>
    </row>
    <row r="431" spans="1:26" ht="14.25" customHeight="1">
      <c r="A431" s="340"/>
      <c r="B431" s="340"/>
      <c r="C431" s="340"/>
      <c r="D431" s="340"/>
      <c r="E431" s="340"/>
      <c r="F431" s="340"/>
      <c r="G431" s="340"/>
      <c r="H431" s="340"/>
      <c r="I431" s="340"/>
      <c r="J431" s="340"/>
      <c r="K431" s="340"/>
      <c r="L431" s="340"/>
      <c r="M431" s="340"/>
      <c r="N431" s="340"/>
      <c r="O431" s="340"/>
      <c r="P431" s="340"/>
      <c r="Q431" s="340"/>
      <c r="R431" s="340"/>
      <c r="S431" s="340"/>
      <c r="T431" s="340"/>
      <c r="U431" s="340"/>
      <c r="V431" s="340"/>
      <c r="W431" s="340"/>
      <c r="X431" s="340"/>
      <c r="Y431" s="340"/>
      <c r="Z431" s="340"/>
    </row>
    <row r="432" spans="1:26" ht="14.25" customHeight="1">
      <c r="A432" s="340"/>
      <c r="B432" s="340"/>
      <c r="C432" s="340"/>
      <c r="D432" s="340"/>
      <c r="E432" s="340"/>
      <c r="F432" s="340"/>
      <c r="G432" s="340"/>
      <c r="H432" s="340"/>
      <c r="I432" s="340"/>
      <c r="J432" s="340"/>
      <c r="K432" s="340"/>
      <c r="L432" s="340"/>
      <c r="M432" s="340"/>
      <c r="N432" s="340"/>
      <c r="O432" s="340"/>
      <c r="P432" s="340"/>
      <c r="Q432" s="340"/>
      <c r="R432" s="340"/>
      <c r="S432" s="340"/>
      <c r="T432" s="340"/>
      <c r="U432" s="340"/>
      <c r="V432" s="340"/>
      <c r="W432" s="340"/>
      <c r="X432" s="340"/>
      <c r="Y432" s="340"/>
      <c r="Z432" s="340"/>
    </row>
    <row r="433" spans="1:26" ht="14.25" customHeight="1">
      <c r="A433" s="340"/>
      <c r="B433" s="340"/>
      <c r="C433" s="340"/>
      <c r="D433" s="340"/>
      <c r="E433" s="340"/>
      <c r="F433" s="340"/>
      <c r="G433" s="340"/>
      <c r="H433" s="340"/>
      <c r="I433" s="340"/>
      <c r="J433" s="340"/>
      <c r="K433" s="340"/>
      <c r="L433" s="340"/>
      <c r="M433" s="340"/>
      <c r="N433" s="340"/>
      <c r="O433" s="340"/>
      <c r="P433" s="340"/>
      <c r="Q433" s="340"/>
      <c r="R433" s="340"/>
      <c r="S433" s="340"/>
      <c r="T433" s="340"/>
      <c r="U433" s="340"/>
      <c r="V433" s="340"/>
      <c r="W433" s="340"/>
      <c r="X433" s="340"/>
      <c r="Y433" s="340"/>
      <c r="Z433" s="340"/>
    </row>
    <row r="434" spans="1:26" ht="14.25" customHeight="1">
      <c r="A434" s="340"/>
      <c r="B434" s="340"/>
      <c r="C434" s="340"/>
      <c r="D434" s="340"/>
      <c r="E434" s="340"/>
      <c r="F434" s="340"/>
      <c r="G434" s="340"/>
      <c r="H434" s="340"/>
      <c r="I434" s="340"/>
      <c r="J434" s="340"/>
      <c r="K434" s="340"/>
      <c r="L434" s="340"/>
      <c r="M434" s="340"/>
      <c r="N434" s="340"/>
      <c r="O434" s="340"/>
      <c r="P434" s="340"/>
      <c r="Q434" s="340"/>
      <c r="R434" s="340"/>
      <c r="S434" s="340"/>
      <c r="T434" s="340"/>
      <c r="U434" s="340"/>
      <c r="V434" s="340"/>
      <c r="W434" s="340"/>
      <c r="X434" s="340"/>
      <c r="Y434" s="340"/>
      <c r="Z434" s="340"/>
    </row>
    <row r="435" spans="1:26" ht="14.25" customHeight="1">
      <c r="A435" s="340"/>
      <c r="B435" s="340"/>
      <c r="C435" s="340"/>
      <c r="D435" s="340"/>
      <c r="E435" s="340"/>
      <c r="F435" s="340"/>
      <c r="G435" s="340"/>
      <c r="H435" s="340"/>
      <c r="I435" s="340"/>
      <c r="J435" s="340"/>
      <c r="K435" s="340"/>
      <c r="L435" s="340"/>
      <c r="M435" s="340"/>
      <c r="N435" s="340"/>
      <c r="O435" s="340"/>
      <c r="P435" s="340"/>
      <c r="Q435" s="340"/>
      <c r="R435" s="340"/>
      <c r="S435" s="340"/>
      <c r="T435" s="340"/>
      <c r="U435" s="340"/>
      <c r="V435" s="340"/>
      <c r="W435" s="340"/>
      <c r="X435" s="340"/>
      <c r="Y435" s="340"/>
      <c r="Z435" s="340"/>
    </row>
    <row r="436" spans="1:26" ht="14.25" customHeight="1">
      <c r="A436" s="340"/>
      <c r="B436" s="340"/>
      <c r="C436" s="340"/>
      <c r="D436" s="340"/>
      <c r="E436" s="340"/>
      <c r="F436" s="340"/>
      <c r="G436" s="340"/>
      <c r="H436" s="340"/>
      <c r="I436" s="340"/>
      <c r="J436" s="340"/>
      <c r="K436" s="340"/>
      <c r="L436" s="340"/>
      <c r="M436" s="340"/>
      <c r="N436" s="340"/>
      <c r="O436" s="340"/>
      <c r="P436" s="340"/>
      <c r="Q436" s="340"/>
      <c r="R436" s="340"/>
      <c r="S436" s="340"/>
      <c r="T436" s="340"/>
      <c r="U436" s="340"/>
      <c r="V436" s="340"/>
      <c r="W436" s="340"/>
      <c r="X436" s="340"/>
      <c r="Y436" s="340"/>
      <c r="Z436" s="340"/>
    </row>
    <row r="437" spans="1:26" ht="14.25" customHeight="1">
      <c r="A437" s="340"/>
      <c r="B437" s="340"/>
      <c r="C437" s="340"/>
      <c r="D437" s="340"/>
      <c r="E437" s="340"/>
      <c r="F437" s="340"/>
      <c r="G437" s="340"/>
      <c r="H437" s="340"/>
      <c r="I437" s="340"/>
      <c r="J437" s="340"/>
      <c r="K437" s="340"/>
      <c r="L437" s="340"/>
      <c r="M437" s="340"/>
      <c r="N437" s="340"/>
      <c r="O437" s="340"/>
      <c r="P437" s="340"/>
      <c r="Q437" s="340"/>
      <c r="R437" s="340"/>
      <c r="S437" s="340"/>
      <c r="T437" s="340"/>
      <c r="U437" s="340"/>
      <c r="V437" s="340"/>
      <c r="W437" s="340"/>
      <c r="X437" s="340"/>
      <c r="Y437" s="340"/>
      <c r="Z437" s="340"/>
    </row>
    <row r="438" spans="1:26" ht="14.25" customHeight="1">
      <c r="A438" s="340"/>
      <c r="B438" s="340"/>
      <c r="C438" s="340"/>
      <c r="D438" s="340"/>
      <c r="E438" s="340"/>
      <c r="F438" s="340"/>
      <c r="G438" s="340"/>
      <c r="H438" s="340"/>
      <c r="I438" s="340"/>
      <c r="J438" s="340"/>
      <c r="K438" s="340"/>
      <c r="L438" s="340"/>
      <c r="M438" s="340"/>
      <c r="N438" s="340"/>
      <c r="O438" s="340"/>
      <c r="P438" s="340"/>
      <c r="Q438" s="340"/>
      <c r="R438" s="340"/>
      <c r="S438" s="340"/>
      <c r="T438" s="340"/>
      <c r="U438" s="340"/>
      <c r="V438" s="340"/>
      <c r="W438" s="340"/>
      <c r="X438" s="340"/>
      <c r="Y438" s="340"/>
      <c r="Z438" s="340"/>
    </row>
    <row r="439" spans="1:26" ht="14.25" customHeight="1">
      <c r="A439" s="340"/>
      <c r="B439" s="340"/>
      <c r="C439" s="340"/>
      <c r="D439" s="340"/>
      <c r="E439" s="340"/>
      <c r="F439" s="340"/>
      <c r="G439" s="340"/>
      <c r="H439" s="340"/>
      <c r="I439" s="340"/>
      <c r="J439" s="340"/>
      <c r="K439" s="340"/>
      <c r="L439" s="340"/>
      <c r="M439" s="340"/>
      <c r="N439" s="340"/>
      <c r="O439" s="340"/>
      <c r="P439" s="340"/>
      <c r="Q439" s="340"/>
      <c r="R439" s="340"/>
      <c r="S439" s="340"/>
      <c r="T439" s="340"/>
      <c r="U439" s="340"/>
      <c r="V439" s="340"/>
      <c r="W439" s="340"/>
      <c r="X439" s="340"/>
      <c r="Y439" s="340"/>
      <c r="Z439" s="340"/>
    </row>
    <row r="440" spans="1:26" ht="14.25" customHeight="1">
      <c r="A440" s="340"/>
      <c r="B440" s="340"/>
      <c r="C440" s="340"/>
      <c r="D440" s="340"/>
      <c r="E440" s="340"/>
      <c r="F440" s="340"/>
      <c r="G440" s="340"/>
      <c r="H440" s="340"/>
      <c r="I440" s="340"/>
      <c r="J440" s="340"/>
      <c r="K440" s="340"/>
      <c r="L440" s="340"/>
      <c r="M440" s="340"/>
      <c r="N440" s="340"/>
      <c r="O440" s="340"/>
      <c r="P440" s="340"/>
      <c r="Q440" s="340"/>
      <c r="R440" s="340"/>
      <c r="S440" s="340"/>
      <c r="T440" s="340"/>
      <c r="U440" s="340"/>
      <c r="V440" s="340"/>
      <c r="W440" s="340"/>
      <c r="X440" s="340"/>
      <c r="Y440" s="340"/>
      <c r="Z440" s="340"/>
    </row>
    <row r="441" spans="1:26" ht="14.25" customHeight="1">
      <c r="A441" s="340"/>
      <c r="B441" s="340"/>
      <c r="C441" s="340"/>
      <c r="D441" s="340"/>
      <c r="E441" s="340"/>
      <c r="F441" s="340"/>
      <c r="G441" s="340"/>
      <c r="H441" s="340"/>
      <c r="I441" s="340"/>
      <c r="J441" s="340"/>
      <c r="K441" s="340"/>
      <c r="L441" s="340"/>
      <c r="M441" s="340"/>
      <c r="N441" s="340"/>
      <c r="O441" s="340"/>
      <c r="P441" s="340"/>
      <c r="Q441" s="340"/>
      <c r="R441" s="340"/>
      <c r="S441" s="340"/>
      <c r="T441" s="340"/>
      <c r="U441" s="340"/>
      <c r="V441" s="340"/>
      <c r="W441" s="340"/>
      <c r="X441" s="340"/>
      <c r="Y441" s="340"/>
      <c r="Z441" s="340"/>
    </row>
    <row r="442" spans="1:26" ht="14.25" customHeight="1">
      <c r="A442" s="340"/>
      <c r="B442" s="340"/>
      <c r="C442" s="340"/>
      <c r="D442" s="340"/>
      <c r="E442" s="340"/>
      <c r="F442" s="340"/>
      <c r="G442" s="340"/>
      <c r="H442" s="340"/>
      <c r="I442" s="340"/>
      <c r="J442" s="340"/>
      <c r="K442" s="340"/>
      <c r="L442" s="340"/>
      <c r="M442" s="340"/>
      <c r="N442" s="340"/>
      <c r="O442" s="340"/>
      <c r="P442" s="340"/>
      <c r="Q442" s="340"/>
      <c r="R442" s="340"/>
      <c r="S442" s="340"/>
      <c r="T442" s="340"/>
      <c r="U442" s="340"/>
      <c r="V442" s="340"/>
      <c r="W442" s="340"/>
      <c r="X442" s="340"/>
      <c r="Y442" s="340"/>
      <c r="Z442" s="340"/>
    </row>
    <row r="443" spans="1:26" ht="14.25" customHeight="1">
      <c r="A443" s="340"/>
      <c r="B443" s="340"/>
      <c r="C443" s="340"/>
      <c r="D443" s="340"/>
      <c r="E443" s="340"/>
      <c r="F443" s="340"/>
      <c r="G443" s="340"/>
      <c r="H443" s="340"/>
      <c r="I443" s="340"/>
      <c r="J443" s="340"/>
      <c r="K443" s="340"/>
      <c r="L443" s="340"/>
      <c r="M443" s="340"/>
      <c r="N443" s="340"/>
      <c r="O443" s="340"/>
      <c r="P443" s="340"/>
      <c r="Q443" s="340"/>
      <c r="R443" s="340"/>
      <c r="S443" s="340"/>
      <c r="T443" s="340"/>
      <c r="U443" s="340"/>
      <c r="V443" s="340"/>
      <c r="W443" s="340"/>
      <c r="X443" s="340"/>
      <c r="Y443" s="340"/>
      <c r="Z443" s="340"/>
    </row>
    <row r="444" spans="1:26" ht="14.25" customHeight="1">
      <c r="A444" s="340"/>
      <c r="B444" s="340"/>
      <c r="C444" s="340"/>
      <c r="D444" s="340"/>
      <c r="E444" s="340"/>
      <c r="F444" s="340"/>
      <c r="G444" s="340"/>
      <c r="H444" s="340"/>
      <c r="I444" s="340"/>
      <c r="J444" s="340"/>
      <c r="K444" s="340"/>
      <c r="L444" s="340"/>
      <c r="M444" s="340"/>
      <c r="N444" s="340"/>
      <c r="O444" s="340"/>
      <c r="P444" s="340"/>
      <c r="Q444" s="340"/>
      <c r="R444" s="340"/>
      <c r="S444" s="340"/>
      <c r="T444" s="340"/>
      <c r="U444" s="340"/>
      <c r="V444" s="340"/>
      <c r="W444" s="340"/>
      <c r="X444" s="340"/>
      <c r="Y444" s="340"/>
      <c r="Z444" s="340"/>
    </row>
    <row r="445" spans="1:26" ht="14.25" customHeight="1">
      <c r="A445" s="340"/>
      <c r="B445" s="340"/>
      <c r="C445" s="340"/>
      <c r="D445" s="340"/>
      <c r="E445" s="340"/>
      <c r="F445" s="340"/>
      <c r="G445" s="340"/>
      <c r="H445" s="340"/>
      <c r="I445" s="340"/>
      <c r="J445" s="340"/>
      <c r="K445" s="340"/>
      <c r="L445" s="340"/>
      <c r="M445" s="340"/>
      <c r="N445" s="340"/>
      <c r="O445" s="340"/>
      <c r="P445" s="340"/>
      <c r="Q445" s="340"/>
      <c r="R445" s="340"/>
      <c r="S445" s="340"/>
      <c r="T445" s="340"/>
      <c r="U445" s="340"/>
      <c r="V445" s="340"/>
      <c r="W445" s="340"/>
      <c r="X445" s="340"/>
      <c r="Y445" s="340"/>
      <c r="Z445" s="340"/>
    </row>
    <row r="446" spans="1:26" ht="14.25" customHeight="1">
      <c r="A446" s="340"/>
      <c r="B446" s="340"/>
      <c r="C446" s="340"/>
      <c r="D446" s="340"/>
      <c r="E446" s="340"/>
      <c r="F446" s="340"/>
      <c r="G446" s="340"/>
      <c r="H446" s="340"/>
      <c r="I446" s="340"/>
      <c r="J446" s="340"/>
      <c r="K446" s="340"/>
      <c r="L446" s="340"/>
      <c r="M446" s="340"/>
      <c r="N446" s="340"/>
      <c r="O446" s="340"/>
      <c r="P446" s="340"/>
      <c r="Q446" s="340"/>
      <c r="R446" s="340"/>
      <c r="S446" s="340"/>
      <c r="T446" s="340"/>
      <c r="U446" s="340"/>
      <c r="V446" s="340"/>
      <c r="W446" s="340"/>
      <c r="X446" s="340"/>
      <c r="Y446" s="340"/>
      <c r="Z446" s="340"/>
    </row>
    <row r="447" spans="1:26" ht="14.25" customHeight="1">
      <c r="A447" s="340"/>
      <c r="B447" s="340"/>
      <c r="C447" s="340"/>
      <c r="D447" s="340"/>
      <c r="E447" s="340"/>
      <c r="F447" s="340"/>
      <c r="G447" s="340"/>
      <c r="H447" s="340"/>
      <c r="I447" s="340"/>
      <c r="J447" s="340"/>
      <c r="K447" s="340"/>
      <c r="L447" s="340"/>
      <c r="M447" s="340"/>
      <c r="N447" s="340"/>
      <c r="O447" s="340"/>
      <c r="P447" s="340"/>
      <c r="Q447" s="340"/>
      <c r="R447" s="340"/>
      <c r="S447" s="340"/>
      <c r="T447" s="340"/>
      <c r="U447" s="340"/>
      <c r="V447" s="340"/>
      <c r="W447" s="340"/>
      <c r="X447" s="340"/>
      <c r="Y447" s="340"/>
      <c r="Z447" s="340"/>
    </row>
    <row r="448" spans="1:26" ht="14.25" customHeight="1">
      <c r="A448" s="340"/>
      <c r="B448" s="340"/>
      <c r="C448" s="340"/>
      <c r="D448" s="340"/>
      <c r="E448" s="340"/>
      <c r="F448" s="340"/>
      <c r="G448" s="340"/>
      <c r="H448" s="340"/>
      <c r="I448" s="340"/>
      <c r="J448" s="340"/>
      <c r="K448" s="340"/>
      <c r="L448" s="340"/>
      <c r="M448" s="340"/>
      <c r="N448" s="340"/>
      <c r="O448" s="340"/>
      <c r="P448" s="340"/>
      <c r="Q448" s="340"/>
      <c r="R448" s="340"/>
      <c r="S448" s="340"/>
      <c r="T448" s="340"/>
      <c r="U448" s="340"/>
      <c r="V448" s="340"/>
      <c r="W448" s="340"/>
      <c r="X448" s="340"/>
      <c r="Y448" s="340"/>
      <c r="Z448" s="340"/>
    </row>
    <row r="449" spans="1:26" ht="14.25" customHeight="1">
      <c r="A449" s="340"/>
      <c r="B449" s="340"/>
      <c r="C449" s="340"/>
      <c r="D449" s="340"/>
      <c r="E449" s="340"/>
      <c r="F449" s="340"/>
      <c r="G449" s="340"/>
      <c r="H449" s="340"/>
      <c r="I449" s="340"/>
      <c r="J449" s="340"/>
      <c r="K449" s="340"/>
      <c r="L449" s="340"/>
      <c r="M449" s="340"/>
      <c r="N449" s="340"/>
      <c r="O449" s="340"/>
      <c r="P449" s="340"/>
      <c r="Q449" s="340"/>
      <c r="R449" s="340"/>
      <c r="S449" s="340"/>
      <c r="T449" s="340"/>
      <c r="U449" s="340"/>
      <c r="V449" s="340"/>
      <c r="W449" s="340"/>
      <c r="X449" s="340"/>
      <c r="Y449" s="340"/>
      <c r="Z449" s="340"/>
    </row>
    <row r="450" spans="1:26" ht="14.25" customHeight="1">
      <c r="A450" s="340"/>
      <c r="B450" s="340"/>
      <c r="C450" s="340"/>
      <c r="D450" s="340"/>
      <c r="E450" s="340"/>
      <c r="F450" s="340"/>
      <c r="G450" s="340"/>
      <c r="H450" s="340"/>
      <c r="I450" s="340"/>
      <c r="J450" s="340"/>
      <c r="K450" s="340"/>
      <c r="L450" s="340"/>
      <c r="M450" s="340"/>
      <c r="N450" s="340"/>
      <c r="O450" s="340"/>
      <c r="P450" s="340"/>
      <c r="Q450" s="340"/>
      <c r="R450" s="340"/>
      <c r="S450" s="340"/>
      <c r="T450" s="340"/>
      <c r="U450" s="340"/>
      <c r="V450" s="340"/>
      <c r="W450" s="340"/>
      <c r="X450" s="340"/>
      <c r="Y450" s="340"/>
      <c r="Z450" s="340"/>
    </row>
    <row r="451" spans="1:26" ht="14.25" customHeight="1">
      <c r="A451" s="340"/>
      <c r="B451" s="340"/>
      <c r="C451" s="340"/>
      <c r="D451" s="340"/>
      <c r="E451" s="340"/>
      <c r="F451" s="340"/>
      <c r="G451" s="340"/>
      <c r="H451" s="340"/>
      <c r="I451" s="340"/>
      <c r="J451" s="340"/>
      <c r="K451" s="340"/>
      <c r="L451" s="340"/>
      <c r="M451" s="340"/>
      <c r="N451" s="340"/>
      <c r="O451" s="340"/>
      <c r="P451" s="340"/>
      <c r="Q451" s="340"/>
      <c r="R451" s="340"/>
      <c r="S451" s="340"/>
      <c r="T451" s="340"/>
      <c r="U451" s="340"/>
      <c r="V451" s="340"/>
      <c r="W451" s="340"/>
      <c r="X451" s="340"/>
      <c r="Y451" s="340"/>
      <c r="Z451" s="340"/>
    </row>
    <row r="452" spans="1:26" ht="14.25" customHeight="1">
      <c r="A452" s="340"/>
      <c r="B452" s="340"/>
      <c r="C452" s="340"/>
      <c r="D452" s="340"/>
      <c r="E452" s="340"/>
      <c r="F452" s="340"/>
      <c r="G452" s="340"/>
      <c r="H452" s="340"/>
      <c r="I452" s="340"/>
      <c r="J452" s="340"/>
      <c r="K452" s="340"/>
      <c r="L452" s="340"/>
      <c r="M452" s="340"/>
      <c r="N452" s="340"/>
      <c r="O452" s="340"/>
      <c r="P452" s="340"/>
      <c r="Q452" s="340"/>
      <c r="R452" s="340"/>
      <c r="S452" s="340"/>
      <c r="T452" s="340"/>
      <c r="U452" s="340"/>
      <c r="V452" s="340"/>
      <c r="W452" s="340"/>
      <c r="X452" s="340"/>
      <c r="Y452" s="340"/>
      <c r="Z452" s="340"/>
    </row>
    <row r="453" spans="1:26" ht="14.25" customHeight="1">
      <c r="A453" s="340"/>
      <c r="B453" s="340"/>
      <c r="C453" s="340"/>
      <c r="D453" s="340"/>
      <c r="E453" s="340"/>
      <c r="F453" s="340"/>
      <c r="G453" s="340"/>
      <c r="H453" s="340"/>
      <c r="I453" s="340"/>
      <c r="J453" s="340"/>
      <c r="K453" s="340"/>
      <c r="L453" s="340"/>
      <c r="M453" s="340"/>
      <c r="N453" s="340"/>
      <c r="O453" s="340"/>
      <c r="P453" s="340"/>
      <c r="Q453" s="340"/>
      <c r="R453" s="340"/>
      <c r="S453" s="340"/>
      <c r="T453" s="340"/>
      <c r="U453" s="340"/>
      <c r="V453" s="340"/>
      <c r="W453" s="340"/>
      <c r="X453" s="340"/>
      <c r="Y453" s="340"/>
      <c r="Z453" s="340"/>
    </row>
    <row r="454" spans="1:26" ht="14.25" customHeight="1">
      <c r="A454" s="340"/>
      <c r="B454" s="340"/>
      <c r="C454" s="340"/>
      <c r="D454" s="340"/>
      <c r="E454" s="340"/>
      <c r="F454" s="340"/>
      <c r="G454" s="340"/>
      <c r="H454" s="340"/>
      <c r="I454" s="340"/>
      <c r="J454" s="340"/>
      <c r="K454" s="340"/>
      <c r="L454" s="340"/>
      <c r="M454" s="340"/>
      <c r="N454" s="340"/>
      <c r="O454" s="340"/>
      <c r="P454" s="340"/>
      <c r="Q454" s="340"/>
      <c r="R454" s="340"/>
      <c r="S454" s="340"/>
      <c r="T454" s="340"/>
      <c r="U454" s="340"/>
      <c r="V454" s="340"/>
      <c r="W454" s="340"/>
      <c r="X454" s="340"/>
      <c r="Y454" s="340"/>
      <c r="Z454" s="340"/>
    </row>
    <row r="455" spans="1:26" ht="14.25" customHeight="1">
      <c r="A455" s="340"/>
      <c r="B455" s="340"/>
      <c r="C455" s="340"/>
      <c r="D455" s="340"/>
      <c r="E455" s="340"/>
      <c r="F455" s="340"/>
      <c r="G455" s="340"/>
      <c r="H455" s="340"/>
      <c r="I455" s="340"/>
      <c r="J455" s="340"/>
      <c r="K455" s="340"/>
      <c r="L455" s="340"/>
      <c r="M455" s="340"/>
      <c r="N455" s="340"/>
      <c r="O455" s="340"/>
      <c r="P455" s="340"/>
      <c r="Q455" s="340"/>
      <c r="R455" s="340"/>
      <c r="S455" s="340"/>
      <c r="T455" s="340"/>
      <c r="U455" s="340"/>
      <c r="V455" s="340"/>
      <c r="W455" s="340"/>
      <c r="X455" s="340"/>
      <c r="Y455" s="340"/>
      <c r="Z455" s="340"/>
    </row>
    <row r="456" spans="1:26" ht="14.25" customHeight="1">
      <c r="A456" s="340"/>
      <c r="B456" s="340"/>
      <c r="C456" s="340"/>
      <c r="D456" s="340"/>
      <c r="E456" s="340"/>
      <c r="F456" s="340"/>
      <c r="G456" s="340"/>
      <c r="H456" s="340"/>
      <c r="I456" s="340"/>
      <c r="J456" s="340"/>
      <c r="K456" s="340"/>
      <c r="L456" s="340"/>
      <c r="M456" s="340"/>
      <c r="N456" s="340"/>
      <c r="O456" s="340"/>
      <c r="P456" s="340"/>
      <c r="Q456" s="340"/>
      <c r="R456" s="340"/>
      <c r="S456" s="340"/>
      <c r="T456" s="340"/>
      <c r="U456" s="340"/>
      <c r="V456" s="340"/>
      <c r="W456" s="340"/>
      <c r="X456" s="340"/>
      <c r="Y456" s="340"/>
      <c r="Z456" s="340"/>
    </row>
    <row r="457" spans="1:26" ht="14.25" customHeight="1">
      <c r="A457" s="340"/>
      <c r="B457" s="340"/>
      <c r="C457" s="340"/>
      <c r="D457" s="340"/>
      <c r="E457" s="340"/>
      <c r="F457" s="340"/>
      <c r="G457" s="340"/>
      <c r="H457" s="340"/>
      <c r="I457" s="340"/>
      <c r="J457" s="340"/>
      <c r="K457" s="340"/>
      <c r="L457" s="340"/>
      <c r="M457" s="340"/>
      <c r="N457" s="340"/>
      <c r="O457" s="340"/>
      <c r="P457" s="340"/>
      <c r="Q457" s="340"/>
      <c r="R457" s="340"/>
      <c r="S457" s="340"/>
      <c r="T457" s="340"/>
      <c r="U457" s="340"/>
      <c r="V457" s="340"/>
      <c r="W457" s="340"/>
      <c r="X457" s="340"/>
      <c r="Y457" s="340"/>
      <c r="Z457" s="340"/>
    </row>
    <row r="458" spans="1:26" ht="14.25" customHeight="1">
      <c r="A458" s="340"/>
      <c r="B458" s="340"/>
      <c r="C458" s="340"/>
      <c r="D458" s="340"/>
      <c r="E458" s="340"/>
      <c r="F458" s="340"/>
      <c r="G458" s="340"/>
      <c r="H458" s="340"/>
      <c r="I458" s="340"/>
      <c r="J458" s="340"/>
      <c r="K458" s="340"/>
      <c r="L458" s="340"/>
      <c r="M458" s="340"/>
      <c r="N458" s="340"/>
      <c r="O458" s="340"/>
      <c r="P458" s="340"/>
      <c r="Q458" s="340"/>
      <c r="R458" s="340"/>
      <c r="S458" s="340"/>
      <c r="T458" s="340"/>
      <c r="U458" s="340"/>
      <c r="V458" s="340"/>
      <c r="W458" s="340"/>
      <c r="X458" s="340"/>
      <c r="Y458" s="340"/>
      <c r="Z458" s="340"/>
    </row>
    <row r="459" spans="1:26" ht="14.25" customHeight="1">
      <c r="A459" s="340"/>
      <c r="B459" s="340"/>
      <c r="C459" s="340"/>
      <c r="D459" s="340"/>
      <c r="E459" s="340"/>
      <c r="F459" s="340"/>
      <c r="G459" s="340"/>
      <c r="H459" s="340"/>
      <c r="I459" s="340"/>
      <c r="J459" s="340"/>
      <c r="K459" s="340"/>
      <c r="L459" s="340"/>
      <c r="M459" s="340"/>
      <c r="N459" s="340"/>
      <c r="O459" s="340"/>
      <c r="P459" s="340"/>
      <c r="Q459" s="340"/>
      <c r="R459" s="340"/>
      <c r="S459" s="340"/>
      <c r="T459" s="340"/>
      <c r="U459" s="340"/>
      <c r="V459" s="340"/>
      <c r="W459" s="340"/>
      <c r="X459" s="340"/>
      <c r="Y459" s="340"/>
      <c r="Z459" s="340"/>
    </row>
    <row r="460" spans="1:26" ht="14.25" customHeight="1">
      <c r="A460" s="340"/>
      <c r="B460" s="340"/>
      <c r="C460" s="340"/>
      <c r="D460" s="340"/>
      <c r="E460" s="340"/>
      <c r="F460" s="340"/>
      <c r="G460" s="340"/>
      <c r="H460" s="340"/>
      <c r="I460" s="340"/>
      <c r="J460" s="340"/>
      <c r="K460" s="340"/>
      <c r="L460" s="340"/>
      <c r="M460" s="340"/>
      <c r="N460" s="340"/>
      <c r="O460" s="340"/>
      <c r="P460" s="340"/>
      <c r="Q460" s="340"/>
      <c r="R460" s="340"/>
      <c r="S460" s="340"/>
      <c r="T460" s="340"/>
      <c r="U460" s="340"/>
      <c r="V460" s="340"/>
      <c r="W460" s="340"/>
      <c r="X460" s="340"/>
      <c r="Y460" s="340"/>
      <c r="Z460" s="340"/>
    </row>
    <row r="461" spans="1:26" ht="14.25" customHeight="1">
      <c r="A461" s="340"/>
      <c r="B461" s="340"/>
      <c r="C461" s="340"/>
      <c r="D461" s="340"/>
      <c r="E461" s="340"/>
      <c r="F461" s="340"/>
      <c r="G461" s="340"/>
      <c r="H461" s="340"/>
      <c r="I461" s="340"/>
      <c r="J461" s="340"/>
      <c r="K461" s="340"/>
      <c r="L461" s="340"/>
      <c r="M461" s="340"/>
      <c r="N461" s="340"/>
      <c r="O461" s="340"/>
      <c r="P461" s="340"/>
      <c r="Q461" s="340"/>
      <c r="R461" s="340"/>
      <c r="S461" s="340"/>
      <c r="T461" s="340"/>
      <c r="U461" s="340"/>
      <c r="V461" s="340"/>
      <c r="W461" s="340"/>
      <c r="X461" s="340"/>
      <c r="Y461" s="340"/>
      <c r="Z461" s="340"/>
    </row>
    <row r="462" spans="1:26" ht="14.25" customHeight="1">
      <c r="A462" s="340"/>
      <c r="B462" s="340"/>
      <c r="C462" s="340"/>
      <c r="D462" s="340"/>
      <c r="E462" s="340"/>
      <c r="F462" s="340"/>
      <c r="G462" s="340"/>
      <c r="H462" s="340"/>
      <c r="I462" s="340"/>
      <c r="J462" s="340"/>
      <c r="K462" s="340"/>
      <c r="L462" s="340"/>
      <c r="M462" s="340"/>
      <c r="N462" s="340"/>
      <c r="O462" s="340"/>
      <c r="P462" s="340"/>
      <c r="Q462" s="340"/>
      <c r="R462" s="340"/>
      <c r="S462" s="340"/>
      <c r="T462" s="340"/>
      <c r="U462" s="340"/>
      <c r="V462" s="340"/>
      <c r="W462" s="340"/>
      <c r="X462" s="340"/>
      <c r="Y462" s="340"/>
      <c r="Z462" s="340"/>
    </row>
    <row r="463" spans="1:26" ht="14.25" customHeight="1">
      <c r="A463" s="340"/>
      <c r="B463" s="340"/>
      <c r="C463" s="340"/>
      <c r="D463" s="340"/>
      <c r="E463" s="340"/>
      <c r="F463" s="340"/>
      <c r="G463" s="340"/>
      <c r="H463" s="340"/>
      <c r="I463" s="340"/>
      <c r="J463" s="340"/>
      <c r="K463" s="340"/>
      <c r="L463" s="340"/>
      <c r="M463" s="340"/>
      <c r="N463" s="340"/>
      <c r="O463" s="340"/>
      <c r="P463" s="340"/>
      <c r="Q463" s="340"/>
      <c r="R463" s="340"/>
      <c r="S463" s="340"/>
      <c r="T463" s="340"/>
      <c r="U463" s="340"/>
      <c r="V463" s="340"/>
      <c r="W463" s="340"/>
      <c r="X463" s="340"/>
      <c r="Y463" s="340"/>
      <c r="Z463" s="340"/>
    </row>
    <row r="464" spans="1:26" ht="14.25" customHeight="1">
      <c r="A464" s="340"/>
      <c r="B464" s="340"/>
      <c r="C464" s="340"/>
      <c r="D464" s="340"/>
      <c r="E464" s="340"/>
      <c r="F464" s="340"/>
      <c r="G464" s="340"/>
      <c r="H464" s="340"/>
      <c r="I464" s="340"/>
      <c r="J464" s="340"/>
      <c r="K464" s="340"/>
      <c r="L464" s="340"/>
      <c r="M464" s="340"/>
      <c r="N464" s="340"/>
      <c r="O464" s="340"/>
      <c r="P464" s="340"/>
      <c r="Q464" s="340"/>
      <c r="R464" s="340"/>
      <c r="S464" s="340"/>
      <c r="T464" s="340"/>
      <c r="U464" s="340"/>
      <c r="V464" s="340"/>
      <c r="W464" s="340"/>
      <c r="X464" s="340"/>
      <c r="Y464" s="340"/>
      <c r="Z464" s="340"/>
    </row>
    <row r="465" spans="1:26" ht="14.25" customHeight="1">
      <c r="A465" s="340"/>
      <c r="B465" s="340"/>
      <c r="C465" s="340"/>
      <c r="D465" s="340"/>
      <c r="E465" s="340"/>
      <c r="F465" s="340"/>
      <c r="G465" s="340"/>
      <c r="H465" s="340"/>
      <c r="I465" s="340"/>
      <c r="J465" s="340"/>
      <c r="K465" s="340"/>
      <c r="L465" s="340"/>
      <c r="M465" s="340"/>
      <c r="N465" s="340"/>
      <c r="O465" s="340"/>
      <c r="P465" s="340"/>
      <c r="Q465" s="340"/>
      <c r="R465" s="340"/>
      <c r="S465" s="340"/>
      <c r="T465" s="340"/>
      <c r="U465" s="340"/>
      <c r="V465" s="340"/>
      <c r="W465" s="340"/>
      <c r="X465" s="340"/>
      <c r="Y465" s="340"/>
      <c r="Z465" s="340"/>
    </row>
    <row r="466" spans="1:26" ht="14.25" customHeight="1">
      <c r="A466" s="340"/>
      <c r="B466" s="340"/>
      <c r="C466" s="340"/>
      <c r="D466" s="340"/>
      <c r="E466" s="340"/>
      <c r="F466" s="340"/>
      <c r="G466" s="340"/>
      <c r="H466" s="340"/>
      <c r="I466" s="340"/>
      <c r="J466" s="340"/>
      <c r="K466" s="340"/>
      <c r="L466" s="340"/>
      <c r="M466" s="340"/>
      <c r="N466" s="340"/>
      <c r="O466" s="340"/>
      <c r="P466" s="340"/>
      <c r="Q466" s="340"/>
      <c r="R466" s="340"/>
      <c r="S466" s="340"/>
      <c r="T466" s="340"/>
      <c r="U466" s="340"/>
      <c r="V466" s="340"/>
      <c r="W466" s="340"/>
      <c r="X466" s="340"/>
      <c r="Y466" s="340"/>
      <c r="Z466" s="340"/>
    </row>
    <row r="467" spans="1:26" ht="14.25" customHeight="1">
      <c r="A467" s="340"/>
      <c r="B467" s="340"/>
      <c r="C467" s="340"/>
      <c r="D467" s="340"/>
      <c r="E467" s="340"/>
      <c r="F467" s="340"/>
      <c r="G467" s="340"/>
      <c r="H467" s="340"/>
      <c r="I467" s="340"/>
      <c r="J467" s="340"/>
      <c r="K467" s="340"/>
      <c r="L467" s="340"/>
      <c r="M467" s="340"/>
      <c r="N467" s="340"/>
      <c r="O467" s="340"/>
      <c r="P467" s="340"/>
      <c r="Q467" s="340"/>
      <c r="R467" s="340"/>
      <c r="S467" s="340"/>
      <c r="T467" s="340"/>
      <c r="U467" s="340"/>
      <c r="V467" s="340"/>
      <c r="W467" s="340"/>
      <c r="X467" s="340"/>
      <c r="Y467" s="340"/>
      <c r="Z467" s="340"/>
    </row>
    <row r="468" spans="1:26" ht="14.25" customHeight="1">
      <c r="A468" s="340"/>
      <c r="B468" s="340"/>
      <c r="C468" s="340"/>
      <c r="D468" s="340"/>
      <c r="E468" s="340"/>
      <c r="F468" s="340"/>
      <c r="G468" s="340"/>
      <c r="H468" s="340"/>
      <c r="I468" s="340"/>
      <c r="J468" s="340"/>
      <c r="K468" s="340"/>
      <c r="L468" s="340"/>
      <c r="M468" s="340"/>
      <c r="N468" s="340"/>
      <c r="O468" s="340"/>
      <c r="P468" s="340"/>
      <c r="Q468" s="340"/>
      <c r="R468" s="340"/>
      <c r="S468" s="340"/>
      <c r="T468" s="340"/>
      <c r="U468" s="340"/>
      <c r="V468" s="340"/>
      <c r="W468" s="340"/>
      <c r="X468" s="340"/>
      <c r="Y468" s="340"/>
      <c r="Z468" s="340"/>
    </row>
    <row r="469" spans="1:26" ht="14.25" customHeight="1">
      <c r="A469" s="340"/>
      <c r="B469" s="340"/>
      <c r="C469" s="340"/>
      <c r="D469" s="340"/>
      <c r="E469" s="340"/>
      <c r="F469" s="340"/>
      <c r="G469" s="340"/>
      <c r="H469" s="340"/>
      <c r="I469" s="340"/>
      <c r="J469" s="340"/>
      <c r="K469" s="340"/>
      <c r="L469" s="340"/>
      <c r="M469" s="340"/>
      <c r="N469" s="340"/>
      <c r="O469" s="340"/>
      <c r="P469" s="340"/>
      <c r="Q469" s="340"/>
      <c r="R469" s="340"/>
      <c r="S469" s="340"/>
      <c r="T469" s="340"/>
      <c r="U469" s="340"/>
      <c r="V469" s="340"/>
      <c r="W469" s="340"/>
      <c r="X469" s="340"/>
      <c r="Y469" s="340"/>
      <c r="Z469" s="340"/>
    </row>
    <row r="470" spans="1:26" ht="14.25" customHeight="1">
      <c r="A470" s="340"/>
      <c r="B470" s="340"/>
      <c r="C470" s="340"/>
      <c r="D470" s="340"/>
      <c r="E470" s="340"/>
      <c r="F470" s="340"/>
      <c r="G470" s="340"/>
      <c r="H470" s="340"/>
      <c r="I470" s="340"/>
      <c r="J470" s="340"/>
      <c r="K470" s="340"/>
      <c r="L470" s="340"/>
      <c r="M470" s="340"/>
      <c r="N470" s="340"/>
      <c r="O470" s="340"/>
      <c r="P470" s="340"/>
      <c r="Q470" s="340"/>
      <c r="R470" s="340"/>
      <c r="S470" s="340"/>
      <c r="T470" s="340"/>
      <c r="U470" s="340"/>
      <c r="V470" s="340"/>
      <c r="W470" s="340"/>
      <c r="X470" s="340"/>
      <c r="Y470" s="340"/>
      <c r="Z470" s="340"/>
    </row>
    <row r="471" spans="1:26" ht="14.25" customHeight="1">
      <c r="A471" s="340"/>
      <c r="B471" s="340"/>
      <c r="C471" s="340"/>
      <c r="D471" s="340"/>
      <c r="E471" s="340"/>
      <c r="F471" s="340"/>
      <c r="G471" s="340"/>
      <c r="H471" s="340"/>
      <c r="I471" s="340"/>
      <c r="J471" s="340"/>
      <c r="K471" s="340"/>
      <c r="L471" s="340"/>
      <c r="M471" s="340"/>
      <c r="N471" s="340"/>
      <c r="O471" s="340"/>
      <c r="P471" s="340"/>
      <c r="Q471" s="340"/>
      <c r="R471" s="340"/>
      <c r="S471" s="340"/>
      <c r="T471" s="340"/>
      <c r="U471" s="340"/>
      <c r="V471" s="340"/>
      <c r="W471" s="340"/>
      <c r="X471" s="340"/>
      <c r="Y471" s="340"/>
      <c r="Z471" s="340"/>
    </row>
    <row r="472" spans="1:26" ht="14.25" customHeight="1">
      <c r="A472" s="340"/>
      <c r="B472" s="340"/>
      <c r="C472" s="340"/>
      <c r="D472" s="340"/>
      <c r="E472" s="340"/>
      <c r="F472" s="340"/>
      <c r="G472" s="340"/>
      <c r="H472" s="340"/>
      <c r="I472" s="340"/>
      <c r="J472" s="340"/>
      <c r="K472" s="340"/>
      <c r="L472" s="340"/>
      <c r="M472" s="340"/>
      <c r="N472" s="340"/>
      <c r="O472" s="340"/>
      <c r="P472" s="340"/>
      <c r="Q472" s="340"/>
      <c r="R472" s="340"/>
      <c r="S472" s="340"/>
      <c r="T472" s="340"/>
      <c r="U472" s="340"/>
      <c r="V472" s="340"/>
      <c r="W472" s="340"/>
      <c r="X472" s="340"/>
      <c r="Y472" s="340"/>
      <c r="Z472" s="340"/>
    </row>
    <row r="473" spans="1:26" ht="14.25" customHeight="1">
      <c r="A473" s="340"/>
      <c r="B473" s="340"/>
      <c r="C473" s="340"/>
      <c r="D473" s="340"/>
      <c r="E473" s="340"/>
      <c r="F473" s="340"/>
      <c r="G473" s="340"/>
      <c r="H473" s="340"/>
      <c r="I473" s="340"/>
      <c r="J473" s="340"/>
      <c r="K473" s="340"/>
      <c r="L473" s="340"/>
      <c r="M473" s="340"/>
      <c r="N473" s="340"/>
      <c r="O473" s="340"/>
      <c r="P473" s="340"/>
      <c r="Q473" s="340"/>
      <c r="R473" s="340"/>
      <c r="S473" s="340"/>
      <c r="T473" s="340"/>
      <c r="U473" s="340"/>
      <c r="V473" s="340"/>
      <c r="W473" s="340"/>
      <c r="X473" s="340"/>
      <c r="Y473" s="340"/>
      <c r="Z473" s="340"/>
    </row>
    <row r="474" spans="1:26" ht="14.25" customHeight="1">
      <c r="A474" s="340"/>
      <c r="B474" s="340"/>
      <c r="C474" s="340"/>
      <c r="D474" s="340"/>
      <c r="E474" s="340"/>
      <c r="F474" s="340"/>
      <c r="G474" s="340"/>
      <c r="H474" s="340"/>
      <c r="I474" s="340"/>
      <c r="J474" s="340"/>
      <c r="K474" s="340"/>
      <c r="L474" s="340"/>
      <c r="M474" s="340"/>
      <c r="N474" s="340"/>
      <c r="O474" s="340"/>
      <c r="P474" s="340"/>
      <c r="Q474" s="340"/>
      <c r="R474" s="340"/>
      <c r="S474" s="340"/>
      <c r="T474" s="340"/>
      <c r="U474" s="340"/>
      <c r="V474" s="340"/>
      <c r="W474" s="340"/>
      <c r="X474" s="340"/>
      <c r="Y474" s="340"/>
      <c r="Z474" s="340"/>
    </row>
    <row r="475" spans="1:26" ht="14.25" customHeight="1">
      <c r="A475" s="340"/>
      <c r="B475" s="340"/>
      <c r="C475" s="340"/>
      <c r="D475" s="340"/>
      <c r="E475" s="340"/>
      <c r="F475" s="340"/>
      <c r="G475" s="340"/>
      <c r="H475" s="340"/>
      <c r="I475" s="340"/>
      <c r="J475" s="340"/>
      <c r="K475" s="340"/>
      <c r="L475" s="340"/>
      <c r="M475" s="340"/>
      <c r="N475" s="340"/>
      <c r="O475" s="340"/>
      <c r="P475" s="340"/>
      <c r="Q475" s="340"/>
      <c r="R475" s="340"/>
      <c r="S475" s="340"/>
      <c r="T475" s="340"/>
      <c r="U475" s="340"/>
      <c r="V475" s="340"/>
      <c r="W475" s="340"/>
      <c r="X475" s="340"/>
      <c r="Y475" s="340"/>
      <c r="Z475" s="340"/>
    </row>
    <row r="476" spans="1:26" ht="14.25" customHeight="1">
      <c r="A476" s="340"/>
      <c r="B476" s="340"/>
      <c r="C476" s="340"/>
      <c r="D476" s="340"/>
      <c r="E476" s="340"/>
      <c r="F476" s="340"/>
      <c r="G476" s="340"/>
      <c r="H476" s="340"/>
      <c r="I476" s="340"/>
      <c r="J476" s="340"/>
      <c r="K476" s="340"/>
      <c r="L476" s="340"/>
      <c r="M476" s="340"/>
      <c r="N476" s="340"/>
      <c r="O476" s="340"/>
      <c r="P476" s="340"/>
      <c r="Q476" s="340"/>
      <c r="R476" s="340"/>
      <c r="S476" s="340"/>
      <c r="T476" s="340"/>
      <c r="U476" s="340"/>
      <c r="V476" s="340"/>
      <c r="W476" s="340"/>
      <c r="X476" s="340"/>
      <c r="Y476" s="340"/>
      <c r="Z476" s="340"/>
    </row>
    <row r="477" spans="1:26" ht="14.25" customHeight="1">
      <c r="A477" s="340"/>
      <c r="B477" s="340"/>
      <c r="C477" s="340"/>
      <c r="D477" s="340"/>
      <c r="E477" s="340"/>
      <c r="F477" s="340"/>
      <c r="G477" s="340"/>
      <c r="H477" s="340"/>
      <c r="I477" s="340"/>
      <c r="J477" s="340"/>
      <c r="K477" s="340"/>
      <c r="L477" s="340"/>
      <c r="M477" s="340"/>
      <c r="N477" s="340"/>
      <c r="O477" s="340"/>
      <c r="P477" s="340"/>
      <c r="Q477" s="340"/>
      <c r="R477" s="340"/>
      <c r="S477" s="340"/>
      <c r="T477" s="340"/>
      <c r="U477" s="340"/>
      <c r="V477" s="340"/>
      <c r="W477" s="340"/>
      <c r="X477" s="340"/>
      <c r="Y477" s="340"/>
      <c r="Z477" s="340"/>
    </row>
    <row r="478" spans="1:26" ht="14.25" customHeight="1">
      <c r="A478" s="340"/>
      <c r="B478" s="340"/>
      <c r="C478" s="340"/>
      <c r="D478" s="340"/>
      <c r="E478" s="340"/>
      <c r="F478" s="340"/>
      <c r="G478" s="340"/>
      <c r="H478" s="340"/>
      <c r="I478" s="340"/>
      <c r="J478" s="340"/>
      <c r="K478" s="340"/>
      <c r="L478" s="340"/>
      <c r="M478" s="340"/>
      <c r="N478" s="340"/>
      <c r="O478" s="340"/>
      <c r="P478" s="340"/>
      <c r="Q478" s="340"/>
      <c r="R478" s="340"/>
      <c r="S478" s="340"/>
      <c r="T478" s="340"/>
      <c r="U478" s="340"/>
      <c r="V478" s="340"/>
      <c r="W478" s="340"/>
      <c r="X478" s="340"/>
      <c r="Y478" s="340"/>
      <c r="Z478" s="340"/>
    </row>
    <row r="479" spans="1:26" ht="14.25" customHeight="1">
      <c r="A479" s="340"/>
      <c r="B479" s="340"/>
      <c r="C479" s="340"/>
      <c r="D479" s="340"/>
      <c r="E479" s="340"/>
      <c r="F479" s="340"/>
      <c r="G479" s="340"/>
      <c r="H479" s="340"/>
      <c r="I479" s="340"/>
      <c r="J479" s="340"/>
      <c r="K479" s="340"/>
      <c r="L479" s="340"/>
      <c r="M479" s="340"/>
      <c r="N479" s="340"/>
      <c r="O479" s="340"/>
      <c r="P479" s="340"/>
      <c r="Q479" s="340"/>
      <c r="R479" s="340"/>
      <c r="S479" s="340"/>
      <c r="T479" s="340"/>
      <c r="U479" s="340"/>
      <c r="V479" s="340"/>
      <c r="W479" s="340"/>
      <c r="X479" s="340"/>
      <c r="Y479" s="340"/>
      <c r="Z479" s="340"/>
    </row>
    <row r="480" spans="1:26" ht="14.25" customHeight="1">
      <c r="A480" s="340"/>
      <c r="B480" s="340"/>
      <c r="C480" s="340"/>
      <c r="D480" s="340"/>
      <c r="E480" s="340"/>
      <c r="F480" s="340"/>
      <c r="G480" s="340"/>
      <c r="H480" s="340"/>
      <c r="I480" s="340"/>
      <c r="J480" s="340"/>
      <c r="K480" s="340"/>
      <c r="L480" s="340"/>
      <c r="M480" s="340"/>
      <c r="N480" s="340"/>
      <c r="O480" s="340"/>
      <c r="P480" s="340"/>
      <c r="Q480" s="340"/>
      <c r="R480" s="340"/>
      <c r="S480" s="340"/>
      <c r="T480" s="340"/>
      <c r="U480" s="340"/>
      <c r="V480" s="340"/>
      <c r="W480" s="340"/>
      <c r="X480" s="340"/>
      <c r="Y480" s="340"/>
      <c r="Z480" s="340"/>
    </row>
    <row r="481" spans="1:26" ht="14.25" customHeight="1">
      <c r="A481" s="340"/>
      <c r="B481" s="340"/>
      <c r="C481" s="340"/>
      <c r="D481" s="340"/>
      <c r="E481" s="340"/>
      <c r="F481" s="340"/>
      <c r="G481" s="340"/>
      <c r="H481" s="340"/>
      <c r="I481" s="340"/>
      <c r="J481" s="340"/>
      <c r="K481" s="340"/>
      <c r="L481" s="340"/>
      <c r="M481" s="340"/>
      <c r="N481" s="340"/>
      <c r="O481" s="340"/>
      <c r="P481" s="340"/>
      <c r="Q481" s="340"/>
      <c r="R481" s="340"/>
      <c r="S481" s="340"/>
      <c r="T481" s="340"/>
      <c r="U481" s="340"/>
      <c r="V481" s="340"/>
      <c r="W481" s="340"/>
      <c r="X481" s="340"/>
      <c r="Y481" s="340"/>
      <c r="Z481" s="340"/>
    </row>
    <row r="482" spans="1:26" ht="14.25" customHeight="1">
      <c r="A482" s="340"/>
      <c r="B482" s="340"/>
      <c r="C482" s="340"/>
      <c r="D482" s="340"/>
      <c r="E482" s="340"/>
      <c r="F482" s="340"/>
      <c r="G482" s="340"/>
      <c r="H482" s="340"/>
      <c r="I482" s="340"/>
      <c r="J482" s="340"/>
      <c r="K482" s="340"/>
      <c r="L482" s="340"/>
      <c r="M482" s="340"/>
      <c r="N482" s="340"/>
      <c r="O482" s="340"/>
      <c r="P482" s="340"/>
      <c r="Q482" s="340"/>
      <c r="R482" s="340"/>
      <c r="S482" s="340"/>
      <c r="T482" s="340"/>
      <c r="U482" s="340"/>
      <c r="V482" s="340"/>
      <c r="W482" s="340"/>
      <c r="X482" s="340"/>
      <c r="Y482" s="340"/>
      <c r="Z482" s="340"/>
    </row>
    <row r="483" spans="1:26" ht="14.25" customHeight="1">
      <c r="A483" s="340"/>
      <c r="B483" s="340"/>
      <c r="C483" s="340"/>
      <c r="D483" s="340"/>
      <c r="E483" s="340"/>
      <c r="F483" s="340"/>
      <c r="G483" s="340"/>
      <c r="H483" s="340"/>
      <c r="I483" s="340"/>
      <c r="J483" s="340"/>
      <c r="K483" s="340"/>
      <c r="L483" s="340"/>
      <c r="M483" s="340"/>
      <c r="N483" s="340"/>
      <c r="O483" s="340"/>
      <c r="P483" s="340"/>
      <c r="Q483" s="340"/>
      <c r="R483" s="340"/>
      <c r="S483" s="340"/>
      <c r="T483" s="340"/>
      <c r="U483" s="340"/>
      <c r="V483" s="340"/>
      <c r="W483" s="340"/>
      <c r="X483" s="340"/>
      <c r="Y483" s="340"/>
      <c r="Z483" s="340"/>
    </row>
    <row r="484" spans="1:26" ht="14.25" customHeight="1">
      <c r="A484" s="340"/>
      <c r="B484" s="340"/>
      <c r="C484" s="340"/>
      <c r="D484" s="340"/>
      <c r="E484" s="340"/>
      <c r="F484" s="340"/>
      <c r="G484" s="340"/>
      <c r="H484" s="340"/>
      <c r="I484" s="340"/>
      <c r="J484" s="340"/>
      <c r="K484" s="340"/>
      <c r="L484" s="340"/>
      <c r="M484" s="340"/>
      <c r="N484" s="340"/>
      <c r="O484" s="340"/>
      <c r="P484" s="340"/>
      <c r="Q484" s="340"/>
      <c r="R484" s="340"/>
      <c r="S484" s="340"/>
      <c r="T484" s="340"/>
      <c r="U484" s="340"/>
      <c r="V484" s="340"/>
      <c r="W484" s="340"/>
      <c r="X484" s="340"/>
      <c r="Y484" s="340"/>
      <c r="Z484" s="340"/>
    </row>
    <row r="485" spans="1:26" ht="14.25" customHeight="1">
      <c r="A485" s="340"/>
      <c r="B485" s="340"/>
      <c r="C485" s="340"/>
      <c r="D485" s="340"/>
      <c r="E485" s="340"/>
      <c r="F485" s="340"/>
      <c r="G485" s="340"/>
      <c r="H485" s="340"/>
      <c r="I485" s="340"/>
      <c r="J485" s="340"/>
      <c r="K485" s="340"/>
      <c r="L485" s="340"/>
      <c r="M485" s="340"/>
      <c r="N485" s="340"/>
      <c r="O485" s="340"/>
      <c r="P485" s="340"/>
      <c r="Q485" s="340"/>
      <c r="R485" s="340"/>
      <c r="S485" s="340"/>
      <c r="T485" s="340"/>
      <c r="U485" s="340"/>
      <c r="V485" s="340"/>
      <c r="W485" s="340"/>
      <c r="X485" s="340"/>
      <c r="Y485" s="340"/>
      <c r="Z485" s="340"/>
    </row>
    <row r="486" spans="1:26" ht="14.25" customHeight="1">
      <c r="A486" s="340"/>
      <c r="B486" s="340"/>
      <c r="C486" s="340"/>
      <c r="D486" s="340"/>
      <c r="E486" s="340"/>
      <c r="F486" s="340"/>
      <c r="G486" s="340"/>
      <c r="H486" s="340"/>
      <c r="I486" s="340"/>
      <c r="J486" s="340"/>
      <c r="K486" s="340"/>
      <c r="L486" s="340"/>
      <c r="M486" s="340"/>
      <c r="N486" s="340"/>
      <c r="O486" s="340"/>
      <c r="P486" s="340"/>
      <c r="Q486" s="340"/>
      <c r="R486" s="340"/>
      <c r="S486" s="340"/>
      <c r="T486" s="340"/>
      <c r="U486" s="340"/>
      <c r="V486" s="340"/>
      <c r="W486" s="340"/>
      <c r="X486" s="340"/>
      <c r="Y486" s="340"/>
      <c r="Z486" s="340"/>
    </row>
    <row r="487" spans="1:26" ht="14.25" customHeight="1">
      <c r="A487" s="340"/>
      <c r="B487" s="340"/>
      <c r="C487" s="340"/>
      <c r="D487" s="340"/>
      <c r="E487" s="340"/>
      <c r="F487" s="340"/>
      <c r="G487" s="340"/>
      <c r="H487" s="340"/>
      <c r="I487" s="340"/>
      <c r="J487" s="340"/>
      <c r="K487" s="340"/>
      <c r="L487" s="340"/>
      <c r="M487" s="340"/>
      <c r="N487" s="340"/>
      <c r="O487" s="340"/>
      <c r="P487" s="340"/>
      <c r="Q487" s="340"/>
      <c r="R487" s="340"/>
      <c r="S487" s="340"/>
      <c r="T487" s="340"/>
      <c r="U487" s="340"/>
      <c r="V487" s="340"/>
      <c r="W487" s="340"/>
      <c r="X487" s="340"/>
      <c r="Y487" s="340"/>
      <c r="Z487" s="340"/>
    </row>
    <row r="488" spans="1:26" ht="14.25" customHeight="1">
      <c r="A488" s="340"/>
      <c r="B488" s="340"/>
      <c r="C488" s="340"/>
      <c r="D488" s="340"/>
      <c r="E488" s="340"/>
      <c r="F488" s="340"/>
      <c r="G488" s="340"/>
      <c r="H488" s="340"/>
      <c r="I488" s="340"/>
      <c r="J488" s="340"/>
      <c r="K488" s="340"/>
      <c r="L488" s="340"/>
      <c r="M488" s="340"/>
      <c r="N488" s="340"/>
      <c r="O488" s="340"/>
      <c r="P488" s="340"/>
      <c r="Q488" s="340"/>
      <c r="R488" s="340"/>
      <c r="S488" s="340"/>
      <c r="T488" s="340"/>
      <c r="U488" s="340"/>
      <c r="V488" s="340"/>
      <c r="W488" s="340"/>
      <c r="X488" s="340"/>
      <c r="Y488" s="340"/>
      <c r="Z488" s="340"/>
    </row>
    <row r="489" spans="1:26" ht="14.25" customHeight="1">
      <c r="A489" s="340"/>
      <c r="B489" s="340"/>
      <c r="C489" s="340"/>
      <c r="D489" s="340"/>
      <c r="E489" s="340"/>
      <c r="F489" s="340"/>
      <c r="G489" s="340"/>
      <c r="H489" s="340"/>
      <c r="I489" s="340"/>
      <c r="J489" s="340"/>
      <c r="K489" s="340"/>
      <c r="L489" s="340"/>
      <c r="M489" s="340"/>
      <c r="N489" s="340"/>
      <c r="O489" s="340"/>
      <c r="P489" s="340"/>
      <c r="Q489" s="340"/>
      <c r="R489" s="340"/>
      <c r="S489" s="340"/>
      <c r="T489" s="340"/>
      <c r="U489" s="340"/>
      <c r="V489" s="340"/>
      <c r="W489" s="340"/>
      <c r="X489" s="340"/>
      <c r="Y489" s="340"/>
      <c r="Z489" s="340"/>
    </row>
    <row r="490" spans="1:26" ht="14.25" customHeight="1">
      <c r="A490" s="340"/>
      <c r="B490" s="340"/>
      <c r="C490" s="340"/>
      <c r="D490" s="340"/>
      <c r="E490" s="340"/>
      <c r="F490" s="340"/>
      <c r="G490" s="340"/>
      <c r="H490" s="340"/>
      <c r="I490" s="340"/>
      <c r="J490" s="340"/>
      <c r="K490" s="340"/>
      <c r="L490" s="340"/>
      <c r="M490" s="340"/>
      <c r="N490" s="340"/>
      <c r="O490" s="340"/>
      <c r="P490" s="340"/>
      <c r="Q490" s="340"/>
      <c r="R490" s="340"/>
      <c r="S490" s="340"/>
      <c r="T490" s="340"/>
      <c r="U490" s="340"/>
      <c r="V490" s="340"/>
      <c r="W490" s="340"/>
      <c r="X490" s="340"/>
      <c r="Y490" s="340"/>
      <c r="Z490" s="340"/>
    </row>
    <row r="491" spans="1:26" ht="14.25" customHeight="1">
      <c r="A491" s="340"/>
      <c r="B491" s="340"/>
      <c r="C491" s="340"/>
      <c r="D491" s="340"/>
      <c r="E491" s="340"/>
      <c r="F491" s="340"/>
      <c r="G491" s="340"/>
      <c r="H491" s="340"/>
      <c r="I491" s="340"/>
      <c r="J491" s="340"/>
      <c r="K491" s="340"/>
      <c r="L491" s="340"/>
      <c r="M491" s="340"/>
      <c r="N491" s="340"/>
      <c r="O491" s="340"/>
      <c r="P491" s="340"/>
      <c r="Q491" s="340"/>
      <c r="R491" s="340"/>
      <c r="S491" s="340"/>
      <c r="T491" s="340"/>
      <c r="U491" s="340"/>
      <c r="V491" s="340"/>
      <c r="W491" s="340"/>
      <c r="X491" s="340"/>
      <c r="Y491" s="340"/>
      <c r="Z491" s="340"/>
    </row>
    <row r="492" spans="1:26" ht="14.25" customHeight="1">
      <c r="A492" s="340"/>
      <c r="B492" s="340"/>
      <c r="C492" s="340"/>
      <c r="D492" s="340"/>
      <c r="E492" s="340"/>
      <c r="F492" s="340"/>
      <c r="G492" s="340"/>
      <c r="H492" s="340"/>
      <c r="I492" s="340"/>
      <c r="J492" s="340"/>
      <c r="K492" s="340"/>
      <c r="L492" s="340"/>
      <c r="M492" s="340"/>
      <c r="N492" s="340"/>
      <c r="O492" s="340"/>
      <c r="P492" s="340"/>
      <c r="Q492" s="340"/>
      <c r="R492" s="340"/>
      <c r="S492" s="340"/>
      <c r="T492" s="340"/>
      <c r="U492" s="340"/>
      <c r="V492" s="340"/>
      <c r="W492" s="340"/>
      <c r="X492" s="340"/>
      <c r="Y492" s="340"/>
      <c r="Z492" s="340"/>
    </row>
    <row r="493" spans="1:26" ht="14.25" customHeight="1">
      <c r="A493" s="340"/>
      <c r="B493" s="340"/>
      <c r="C493" s="340"/>
      <c r="D493" s="340"/>
      <c r="E493" s="340"/>
      <c r="F493" s="340"/>
      <c r="G493" s="340"/>
      <c r="H493" s="340"/>
      <c r="I493" s="340"/>
      <c r="J493" s="340"/>
      <c r="K493" s="340"/>
      <c r="L493" s="340"/>
      <c r="M493" s="340"/>
      <c r="N493" s="340"/>
      <c r="O493" s="340"/>
      <c r="P493" s="340"/>
      <c r="Q493" s="340"/>
      <c r="R493" s="340"/>
      <c r="S493" s="340"/>
      <c r="T493" s="340"/>
      <c r="U493" s="340"/>
      <c r="V493" s="340"/>
      <c r="W493" s="340"/>
      <c r="X493" s="340"/>
      <c r="Y493" s="340"/>
      <c r="Z493" s="340"/>
    </row>
    <row r="494" spans="1:26" ht="14.25" customHeight="1">
      <c r="A494" s="340"/>
      <c r="B494" s="340"/>
      <c r="C494" s="340"/>
      <c r="D494" s="340"/>
      <c r="E494" s="340"/>
      <c r="F494" s="340"/>
      <c r="G494" s="340"/>
      <c r="H494" s="340"/>
      <c r="I494" s="340"/>
      <c r="J494" s="340"/>
      <c r="K494" s="340"/>
      <c r="L494" s="340"/>
      <c r="M494" s="340"/>
      <c r="N494" s="340"/>
      <c r="O494" s="340"/>
      <c r="P494" s="340"/>
      <c r="Q494" s="340"/>
      <c r="R494" s="340"/>
      <c r="S494" s="340"/>
      <c r="T494" s="340"/>
      <c r="U494" s="340"/>
      <c r="V494" s="340"/>
      <c r="W494" s="340"/>
      <c r="X494" s="340"/>
      <c r="Y494" s="340"/>
      <c r="Z494" s="340"/>
    </row>
    <row r="495" spans="1:26" ht="14.25" customHeight="1">
      <c r="A495" s="340"/>
      <c r="B495" s="340"/>
      <c r="C495" s="340"/>
      <c r="D495" s="340"/>
      <c r="E495" s="340"/>
      <c r="F495" s="340"/>
      <c r="G495" s="340"/>
      <c r="H495" s="340"/>
      <c r="I495" s="340"/>
      <c r="J495" s="340"/>
      <c r="K495" s="340"/>
      <c r="L495" s="340"/>
      <c r="M495" s="340"/>
      <c r="N495" s="340"/>
      <c r="O495" s="340"/>
      <c r="P495" s="340"/>
      <c r="Q495" s="340"/>
      <c r="R495" s="340"/>
      <c r="S495" s="340"/>
      <c r="T495" s="340"/>
      <c r="U495" s="340"/>
      <c r="V495" s="340"/>
      <c r="W495" s="340"/>
      <c r="X495" s="340"/>
      <c r="Y495" s="340"/>
      <c r="Z495" s="340"/>
    </row>
    <row r="496" spans="1:26" ht="14.25" customHeight="1">
      <c r="A496" s="340"/>
      <c r="B496" s="340"/>
      <c r="C496" s="340"/>
      <c r="D496" s="340"/>
      <c r="E496" s="340"/>
      <c r="F496" s="340"/>
      <c r="G496" s="340"/>
      <c r="H496" s="340"/>
      <c r="I496" s="340"/>
      <c r="J496" s="340"/>
      <c r="K496" s="340"/>
      <c r="L496" s="340"/>
      <c r="M496" s="340"/>
      <c r="N496" s="340"/>
      <c r="O496" s="340"/>
      <c r="P496" s="340"/>
      <c r="Q496" s="340"/>
      <c r="R496" s="340"/>
      <c r="S496" s="340"/>
      <c r="T496" s="340"/>
      <c r="U496" s="340"/>
      <c r="V496" s="340"/>
      <c r="W496" s="340"/>
      <c r="X496" s="340"/>
      <c r="Y496" s="340"/>
      <c r="Z496" s="340"/>
    </row>
    <row r="497" spans="1:26" ht="14.25" customHeight="1">
      <c r="A497" s="340"/>
      <c r="B497" s="340"/>
      <c r="C497" s="340"/>
      <c r="D497" s="340"/>
      <c r="E497" s="340"/>
      <c r="F497" s="340"/>
      <c r="G497" s="340"/>
      <c r="H497" s="340"/>
      <c r="I497" s="340"/>
      <c r="J497" s="340"/>
      <c r="K497" s="340"/>
      <c r="L497" s="340"/>
      <c r="M497" s="340"/>
      <c r="N497" s="340"/>
      <c r="O497" s="340"/>
      <c r="P497" s="340"/>
      <c r="Q497" s="340"/>
      <c r="R497" s="340"/>
      <c r="S497" s="340"/>
      <c r="T497" s="340"/>
      <c r="U497" s="340"/>
      <c r="V497" s="340"/>
      <c r="W497" s="340"/>
      <c r="X497" s="340"/>
      <c r="Y497" s="340"/>
      <c r="Z497" s="340"/>
    </row>
    <row r="498" spans="1:26" ht="14.25" customHeight="1">
      <c r="A498" s="340"/>
      <c r="B498" s="340"/>
      <c r="C498" s="340"/>
      <c r="D498" s="340"/>
      <c r="E498" s="340"/>
      <c r="F498" s="340"/>
      <c r="G498" s="340"/>
      <c r="H498" s="340"/>
      <c r="I498" s="340"/>
      <c r="J498" s="340"/>
      <c r="K498" s="340"/>
      <c r="L498" s="340"/>
      <c r="M498" s="340"/>
      <c r="N498" s="340"/>
      <c r="O498" s="340"/>
      <c r="P498" s="340"/>
      <c r="Q498" s="340"/>
      <c r="R498" s="340"/>
      <c r="S498" s="340"/>
      <c r="T498" s="340"/>
      <c r="U498" s="340"/>
      <c r="V498" s="340"/>
      <c r="W498" s="340"/>
      <c r="X498" s="340"/>
      <c r="Y498" s="340"/>
      <c r="Z498" s="340"/>
    </row>
    <row r="499" spans="1:26" ht="14.25" customHeight="1">
      <c r="A499" s="340"/>
      <c r="B499" s="340"/>
      <c r="C499" s="340"/>
      <c r="D499" s="340"/>
      <c r="E499" s="340"/>
      <c r="F499" s="340"/>
      <c r="G499" s="340"/>
      <c r="H499" s="340"/>
      <c r="I499" s="340"/>
      <c r="J499" s="340"/>
      <c r="K499" s="340"/>
      <c r="L499" s="340"/>
      <c r="M499" s="340"/>
      <c r="N499" s="340"/>
      <c r="O499" s="340"/>
      <c r="P499" s="340"/>
      <c r="Q499" s="340"/>
      <c r="R499" s="340"/>
      <c r="S499" s="340"/>
      <c r="T499" s="340"/>
      <c r="U499" s="340"/>
      <c r="V499" s="340"/>
      <c r="W499" s="340"/>
      <c r="X499" s="340"/>
      <c r="Y499" s="340"/>
      <c r="Z499" s="340"/>
    </row>
    <row r="500" spans="1:26" ht="14.25" customHeight="1">
      <c r="A500" s="340"/>
      <c r="B500" s="340"/>
      <c r="C500" s="340"/>
      <c r="D500" s="340"/>
      <c r="E500" s="340"/>
      <c r="F500" s="340"/>
      <c r="G500" s="340"/>
      <c r="H500" s="340"/>
      <c r="I500" s="340"/>
      <c r="J500" s="340"/>
      <c r="K500" s="340"/>
      <c r="L500" s="340"/>
      <c r="M500" s="340"/>
      <c r="N500" s="340"/>
      <c r="O500" s="340"/>
      <c r="P500" s="340"/>
      <c r="Q500" s="340"/>
      <c r="R500" s="340"/>
      <c r="S500" s="340"/>
      <c r="T500" s="340"/>
      <c r="U500" s="340"/>
      <c r="V500" s="340"/>
      <c r="W500" s="340"/>
      <c r="X500" s="340"/>
      <c r="Y500" s="340"/>
      <c r="Z500" s="340"/>
    </row>
    <row r="501" spans="1:26" ht="14.25" customHeight="1">
      <c r="A501" s="340"/>
      <c r="B501" s="340"/>
      <c r="C501" s="340"/>
      <c r="D501" s="340"/>
      <c r="E501" s="340"/>
      <c r="F501" s="340"/>
      <c r="G501" s="340"/>
      <c r="H501" s="340"/>
      <c r="I501" s="340"/>
      <c r="J501" s="340"/>
      <c r="K501" s="340"/>
      <c r="L501" s="340"/>
      <c r="M501" s="340"/>
      <c r="N501" s="340"/>
      <c r="O501" s="340"/>
      <c r="P501" s="340"/>
      <c r="Q501" s="340"/>
      <c r="R501" s="340"/>
      <c r="S501" s="340"/>
      <c r="T501" s="340"/>
      <c r="U501" s="340"/>
      <c r="V501" s="340"/>
      <c r="W501" s="340"/>
      <c r="X501" s="340"/>
      <c r="Y501" s="340"/>
      <c r="Z501" s="340"/>
    </row>
    <row r="502" spans="1:26" ht="14.25" customHeight="1">
      <c r="A502" s="340"/>
      <c r="B502" s="340"/>
      <c r="C502" s="340"/>
      <c r="D502" s="340"/>
      <c r="E502" s="340"/>
      <c r="F502" s="340"/>
      <c r="G502" s="340"/>
      <c r="H502" s="340"/>
      <c r="I502" s="340"/>
      <c r="J502" s="340"/>
      <c r="K502" s="340"/>
      <c r="L502" s="340"/>
      <c r="M502" s="340"/>
      <c r="N502" s="340"/>
      <c r="O502" s="340"/>
      <c r="P502" s="340"/>
      <c r="Q502" s="340"/>
      <c r="R502" s="340"/>
      <c r="S502" s="340"/>
      <c r="T502" s="340"/>
      <c r="U502" s="340"/>
      <c r="V502" s="340"/>
      <c r="W502" s="340"/>
      <c r="X502" s="340"/>
      <c r="Y502" s="340"/>
      <c r="Z502" s="340"/>
    </row>
    <row r="503" spans="1:26" ht="14.25" customHeight="1">
      <c r="A503" s="340"/>
      <c r="B503" s="340"/>
      <c r="C503" s="340"/>
      <c r="D503" s="340"/>
      <c r="E503" s="340"/>
      <c r="F503" s="340"/>
      <c r="G503" s="340"/>
      <c r="H503" s="340"/>
      <c r="I503" s="340"/>
      <c r="J503" s="340"/>
      <c r="K503" s="340"/>
      <c r="L503" s="340"/>
      <c r="M503" s="340"/>
      <c r="N503" s="340"/>
      <c r="O503" s="340"/>
      <c r="P503" s="340"/>
      <c r="Q503" s="340"/>
      <c r="R503" s="340"/>
      <c r="S503" s="340"/>
      <c r="T503" s="340"/>
      <c r="U503" s="340"/>
      <c r="V503" s="340"/>
      <c r="W503" s="340"/>
      <c r="X503" s="340"/>
      <c r="Y503" s="340"/>
      <c r="Z503" s="340"/>
    </row>
    <row r="504" spans="1:26" ht="14.25" customHeight="1">
      <c r="A504" s="340"/>
      <c r="B504" s="340"/>
      <c r="C504" s="340"/>
      <c r="D504" s="340"/>
      <c r="E504" s="340"/>
      <c r="F504" s="340"/>
      <c r="G504" s="340"/>
      <c r="H504" s="340"/>
      <c r="I504" s="340"/>
      <c r="J504" s="340"/>
      <c r="K504" s="340"/>
      <c r="L504" s="340"/>
      <c r="M504" s="340"/>
      <c r="N504" s="340"/>
      <c r="O504" s="340"/>
      <c r="P504" s="340"/>
      <c r="Q504" s="340"/>
      <c r="R504" s="340"/>
      <c r="S504" s="340"/>
      <c r="T504" s="340"/>
      <c r="U504" s="340"/>
      <c r="V504" s="340"/>
      <c r="W504" s="340"/>
      <c r="X504" s="340"/>
      <c r="Y504" s="340"/>
      <c r="Z504" s="340"/>
    </row>
    <row r="505" spans="1:26" ht="14.25" customHeight="1">
      <c r="A505" s="340"/>
      <c r="B505" s="340"/>
      <c r="C505" s="340"/>
      <c r="D505" s="340"/>
      <c r="E505" s="340"/>
      <c r="F505" s="340"/>
      <c r="G505" s="340"/>
      <c r="H505" s="340"/>
      <c r="I505" s="340"/>
      <c r="J505" s="340"/>
      <c r="K505" s="340"/>
      <c r="L505" s="340"/>
      <c r="M505" s="340"/>
      <c r="N505" s="340"/>
      <c r="O505" s="340"/>
      <c r="P505" s="340"/>
      <c r="Q505" s="340"/>
      <c r="R505" s="340"/>
      <c r="S505" s="340"/>
      <c r="T505" s="340"/>
      <c r="U505" s="340"/>
      <c r="V505" s="340"/>
      <c r="W505" s="340"/>
      <c r="X505" s="340"/>
      <c r="Y505" s="340"/>
      <c r="Z505" s="340"/>
    </row>
    <row r="506" spans="1:26" ht="14.25" customHeight="1">
      <c r="A506" s="340"/>
      <c r="B506" s="340"/>
      <c r="C506" s="340"/>
      <c r="D506" s="340"/>
      <c r="E506" s="340"/>
      <c r="F506" s="340"/>
      <c r="G506" s="340"/>
      <c r="H506" s="340"/>
      <c r="I506" s="340"/>
      <c r="J506" s="340"/>
      <c r="K506" s="340"/>
      <c r="L506" s="340"/>
      <c r="M506" s="340"/>
      <c r="N506" s="340"/>
      <c r="O506" s="340"/>
      <c r="P506" s="340"/>
      <c r="Q506" s="340"/>
      <c r="R506" s="340"/>
      <c r="S506" s="340"/>
      <c r="T506" s="340"/>
      <c r="U506" s="340"/>
      <c r="V506" s="340"/>
      <c r="W506" s="340"/>
      <c r="X506" s="340"/>
      <c r="Y506" s="340"/>
      <c r="Z506" s="340"/>
    </row>
    <row r="507" spans="1:26" ht="14.25" customHeight="1">
      <c r="A507" s="340"/>
      <c r="B507" s="340"/>
      <c r="C507" s="340"/>
      <c r="D507" s="340"/>
      <c r="E507" s="340"/>
      <c r="F507" s="340"/>
      <c r="G507" s="340"/>
      <c r="H507" s="340"/>
      <c r="I507" s="340"/>
      <c r="J507" s="340"/>
      <c r="K507" s="340"/>
      <c r="L507" s="340"/>
      <c r="M507" s="340"/>
      <c r="N507" s="340"/>
      <c r="O507" s="340"/>
      <c r="P507" s="340"/>
      <c r="Q507" s="340"/>
      <c r="R507" s="340"/>
      <c r="S507" s="340"/>
      <c r="T507" s="340"/>
      <c r="U507" s="340"/>
      <c r="V507" s="340"/>
      <c r="W507" s="340"/>
      <c r="X507" s="340"/>
      <c r="Y507" s="340"/>
      <c r="Z507" s="340"/>
    </row>
    <row r="508" spans="1:26" ht="14.25" customHeight="1">
      <c r="A508" s="340"/>
      <c r="B508" s="340"/>
      <c r="C508" s="340"/>
      <c r="D508" s="340"/>
      <c r="E508" s="340"/>
      <c r="F508" s="340"/>
      <c r="G508" s="340"/>
      <c r="H508" s="340"/>
      <c r="I508" s="340"/>
      <c r="J508" s="340"/>
      <c r="K508" s="340"/>
      <c r="L508" s="340"/>
      <c r="M508" s="340"/>
      <c r="N508" s="340"/>
      <c r="O508" s="340"/>
      <c r="P508" s="340"/>
      <c r="Q508" s="340"/>
      <c r="R508" s="340"/>
      <c r="S508" s="340"/>
      <c r="T508" s="340"/>
      <c r="U508" s="340"/>
      <c r="V508" s="340"/>
      <c r="W508" s="340"/>
      <c r="X508" s="340"/>
      <c r="Y508" s="340"/>
      <c r="Z508" s="340"/>
    </row>
    <row r="509" spans="1:26" ht="14.25" customHeight="1">
      <c r="A509" s="340"/>
      <c r="B509" s="340"/>
      <c r="C509" s="340"/>
      <c r="D509" s="340"/>
      <c r="E509" s="340"/>
      <c r="F509" s="340"/>
      <c r="G509" s="340"/>
      <c r="H509" s="340"/>
      <c r="I509" s="340"/>
      <c r="J509" s="340"/>
      <c r="K509" s="340"/>
      <c r="L509" s="340"/>
      <c r="M509" s="340"/>
      <c r="N509" s="340"/>
      <c r="O509" s="340"/>
      <c r="P509" s="340"/>
      <c r="Q509" s="340"/>
      <c r="R509" s="340"/>
      <c r="S509" s="340"/>
      <c r="T509" s="340"/>
      <c r="U509" s="340"/>
      <c r="V509" s="340"/>
      <c r="W509" s="340"/>
      <c r="X509" s="340"/>
      <c r="Y509" s="340"/>
      <c r="Z509" s="340"/>
    </row>
    <row r="510" spans="1:26" ht="14.25" customHeight="1">
      <c r="A510" s="340"/>
      <c r="B510" s="340"/>
      <c r="C510" s="340"/>
      <c r="D510" s="340"/>
      <c r="E510" s="340"/>
      <c r="F510" s="340"/>
      <c r="G510" s="340"/>
      <c r="H510" s="340"/>
      <c r="I510" s="340"/>
      <c r="J510" s="340"/>
      <c r="K510" s="340"/>
      <c r="L510" s="340"/>
      <c r="M510" s="340"/>
      <c r="N510" s="340"/>
      <c r="O510" s="340"/>
      <c r="P510" s="340"/>
      <c r="Q510" s="340"/>
      <c r="R510" s="340"/>
      <c r="S510" s="340"/>
      <c r="T510" s="340"/>
      <c r="U510" s="340"/>
      <c r="V510" s="340"/>
      <c r="W510" s="340"/>
      <c r="X510" s="340"/>
      <c r="Y510" s="340"/>
      <c r="Z510" s="340"/>
    </row>
    <row r="511" spans="1:26" ht="14.25" customHeight="1">
      <c r="A511" s="340"/>
      <c r="B511" s="340"/>
      <c r="C511" s="340"/>
      <c r="D511" s="340"/>
      <c r="E511" s="340"/>
      <c r="F511" s="340"/>
      <c r="G511" s="340"/>
      <c r="H511" s="340"/>
      <c r="I511" s="340"/>
      <c r="J511" s="340"/>
      <c r="K511" s="340"/>
      <c r="L511" s="340"/>
      <c r="M511" s="340"/>
      <c r="N511" s="340"/>
      <c r="O511" s="340"/>
      <c r="P511" s="340"/>
      <c r="Q511" s="340"/>
      <c r="R511" s="340"/>
      <c r="S511" s="340"/>
      <c r="T511" s="340"/>
      <c r="U511" s="340"/>
      <c r="V511" s="340"/>
      <c r="W511" s="340"/>
      <c r="X511" s="340"/>
      <c r="Y511" s="340"/>
      <c r="Z511" s="340"/>
    </row>
    <row r="512" spans="1:26" ht="14.25" customHeight="1">
      <c r="A512" s="340"/>
      <c r="B512" s="340"/>
      <c r="C512" s="340"/>
      <c r="D512" s="340"/>
      <c r="E512" s="340"/>
      <c r="F512" s="340"/>
      <c r="G512" s="340"/>
      <c r="H512" s="340"/>
      <c r="I512" s="340"/>
      <c r="J512" s="340"/>
      <c r="K512" s="340"/>
      <c r="L512" s="340"/>
      <c r="M512" s="340"/>
      <c r="N512" s="340"/>
      <c r="O512" s="340"/>
      <c r="P512" s="340"/>
      <c r="Q512" s="340"/>
      <c r="R512" s="340"/>
      <c r="S512" s="340"/>
      <c r="T512" s="340"/>
      <c r="U512" s="340"/>
      <c r="V512" s="340"/>
      <c r="W512" s="340"/>
      <c r="X512" s="340"/>
      <c r="Y512" s="340"/>
      <c r="Z512" s="340"/>
    </row>
    <row r="513" spans="1:26" ht="14.25" customHeight="1">
      <c r="A513" s="340"/>
      <c r="B513" s="340"/>
      <c r="C513" s="340"/>
      <c r="D513" s="340"/>
      <c r="E513" s="340"/>
      <c r="F513" s="340"/>
      <c r="G513" s="340"/>
      <c r="H513" s="340"/>
      <c r="I513" s="340"/>
      <c r="J513" s="340"/>
      <c r="K513" s="340"/>
      <c r="L513" s="340"/>
      <c r="M513" s="340"/>
      <c r="N513" s="340"/>
      <c r="O513" s="340"/>
      <c r="P513" s="340"/>
      <c r="Q513" s="340"/>
      <c r="R513" s="340"/>
      <c r="S513" s="340"/>
      <c r="T513" s="340"/>
      <c r="U513" s="340"/>
      <c r="V513" s="340"/>
      <c r="W513" s="340"/>
      <c r="X513" s="340"/>
      <c r="Y513" s="340"/>
      <c r="Z513" s="340"/>
    </row>
    <row r="514" spans="1:26" ht="14.25" customHeight="1">
      <c r="A514" s="340"/>
      <c r="B514" s="340"/>
      <c r="C514" s="340"/>
      <c r="D514" s="340"/>
      <c r="E514" s="340"/>
      <c r="F514" s="340"/>
      <c r="G514" s="340"/>
      <c r="H514" s="340"/>
      <c r="I514" s="340"/>
      <c r="J514" s="340"/>
      <c r="K514" s="340"/>
      <c r="L514" s="340"/>
      <c r="M514" s="340"/>
      <c r="N514" s="340"/>
      <c r="O514" s="340"/>
      <c r="P514" s="340"/>
      <c r="Q514" s="340"/>
      <c r="R514" s="340"/>
      <c r="S514" s="340"/>
      <c r="T514" s="340"/>
      <c r="U514" s="340"/>
      <c r="V514" s="340"/>
      <c r="W514" s="340"/>
      <c r="X514" s="340"/>
      <c r="Y514" s="340"/>
      <c r="Z514" s="340"/>
    </row>
    <row r="515" spans="1:26" ht="14.25" customHeight="1">
      <c r="A515" s="340"/>
      <c r="B515" s="340"/>
      <c r="C515" s="340"/>
      <c r="D515" s="340"/>
      <c r="E515" s="340"/>
      <c r="F515" s="340"/>
      <c r="G515" s="340"/>
      <c r="H515" s="340"/>
      <c r="I515" s="340"/>
      <c r="J515" s="340"/>
      <c r="K515" s="340"/>
      <c r="L515" s="340"/>
      <c r="M515" s="340"/>
      <c r="N515" s="340"/>
      <c r="O515" s="340"/>
      <c r="P515" s="340"/>
      <c r="Q515" s="340"/>
      <c r="R515" s="340"/>
      <c r="S515" s="340"/>
      <c r="T515" s="340"/>
      <c r="U515" s="340"/>
      <c r="V515" s="340"/>
      <c r="W515" s="340"/>
      <c r="X515" s="340"/>
      <c r="Y515" s="340"/>
      <c r="Z515" s="340"/>
    </row>
    <row r="516" spans="1:26" ht="14.25" customHeight="1">
      <c r="A516" s="340"/>
      <c r="B516" s="340"/>
      <c r="C516" s="340"/>
      <c r="D516" s="340"/>
      <c r="E516" s="340"/>
      <c r="F516" s="340"/>
      <c r="G516" s="340"/>
      <c r="H516" s="340"/>
      <c r="I516" s="340"/>
      <c r="J516" s="340"/>
      <c r="K516" s="340"/>
      <c r="L516" s="340"/>
      <c r="M516" s="340"/>
      <c r="N516" s="340"/>
      <c r="O516" s="340"/>
      <c r="P516" s="340"/>
      <c r="Q516" s="340"/>
      <c r="R516" s="340"/>
      <c r="S516" s="340"/>
      <c r="T516" s="340"/>
      <c r="U516" s="340"/>
      <c r="V516" s="340"/>
      <c r="W516" s="340"/>
      <c r="X516" s="340"/>
      <c r="Y516" s="340"/>
      <c r="Z516" s="340"/>
    </row>
    <row r="517" spans="1:26" ht="14.25" customHeight="1">
      <c r="A517" s="340"/>
      <c r="B517" s="340"/>
      <c r="C517" s="340"/>
      <c r="D517" s="340"/>
      <c r="E517" s="340"/>
      <c r="F517" s="340"/>
      <c r="G517" s="340"/>
      <c r="H517" s="340"/>
      <c r="I517" s="340"/>
      <c r="J517" s="340"/>
      <c r="K517" s="340"/>
      <c r="L517" s="340"/>
      <c r="M517" s="340"/>
      <c r="N517" s="340"/>
      <c r="O517" s="340"/>
      <c r="P517" s="340"/>
      <c r="Q517" s="340"/>
      <c r="R517" s="340"/>
      <c r="S517" s="340"/>
      <c r="T517" s="340"/>
      <c r="U517" s="340"/>
      <c r="V517" s="340"/>
      <c r="W517" s="340"/>
      <c r="X517" s="340"/>
      <c r="Y517" s="340"/>
      <c r="Z517" s="340"/>
    </row>
    <row r="518" spans="1:26" ht="14.25" customHeight="1">
      <c r="A518" s="340"/>
      <c r="B518" s="340"/>
      <c r="C518" s="340"/>
      <c r="D518" s="340"/>
      <c r="E518" s="340"/>
      <c r="F518" s="340"/>
      <c r="G518" s="340"/>
      <c r="H518" s="340"/>
      <c r="I518" s="340"/>
      <c r="J518" s="340"/>
      <c r="K518" s="340"/>
      <c r="L518" s="340"/>
      <c r="M518" s="340"/>
      <c r="N518" s="340"/>
      <c r="O518" s="340"/>
      <c r="P518" s="340"/>
      <c r="Q518" s="340"/>
      <c r="R518" s="340"/>
      <c r="S518" s="340"/>
      <c r="T518" s="340"/>
      <c r="U518" s="340"/>
      <c r="V518" s="340"/>
      <c r="W518" s="340"/>
      <c r="X518" s="340"/>
      <c r="Y518" s="340"/>
      <c r="Z518" s="340"/>
    </row>
    <row r="519" spans="1:26" ht="14.25" customHeight="1">
      <c r="A519" s="340"/>
      <c r="B519" s="340"/>
      <c r="C519" s="340"/>
      <c r="D519" s="340"/>
      <c r="E519" s="340"/>
      <c r="F519" s="340"/>
      <c r="G519" s="340"/>
      <c r="H519" s="340"/>
      <c r="I519" s="340"/>
      <c r="J519" s="340"/>
      <c r="K519" s="340"/>
      <c r="L519" s="340"/>
      <c r="M519" s="340"/>
      <c r="N519" s="340"/>
      <c r="O519" s="340"/>
      <c r="P519" s="340"/>
      <c r="Q519" s="340"/>
      <c r="R519" s="340"/>
      <c r="S519" s="340"/>
      <c r="T519" s="340"/>
      <c r="U519" s="340"/>
      <c r="V519" s="340"/>
      <c r="W519" s="340"/>
      <c r="X519" s="340"/>
      <c r="Y519" s="340"/>
      <c r="Z519" s="340"/>
    </row>
    <row r="520" spans="1:26" ht="14.25" customHeight="1">
      <c r="A520" s="340"/>
      <c r="B520" s="340"/>
      <c r="C520" s="340"/>
      <c r="D520" s="340"/>
      <c r="E520" s="340"/>
      <c r="F520" s="340"/>
      <c r="G520" s="340"/>
      <c r="H520" s="340"/>
      <c r="I520" s="340"/>
      <c r="J520" s="340"/>
      <c r="K520" s="340"/>
      <c r="L520" s="340"/>
      <c r="M520" s="340"/>
      <c r="N520" s="340"/>
      <c r="O520" s="340"/>
      <c r="P520" s="340"/>
      <c r="Q520" s="340"/>
      <c r="R520" s="340"/>
      <c r="S520" s="340"/>
      <c r="T520" s="340"/>
      <c r="U520" s="340"/>
      <c r="V520" s="340"/>
      <c r="W520" s="340"/>
      <c r="X520" s="340"/>
      <c r="Y520" s="340"/>
      <c r="Z520" s="340"/>
    </row>
    <row r="521" spans="1:26" ht="14.25" customHeight="1">
      <c r="A521" s="340"/>
      <c r="B521" s="340"/>
      <c r="C521" s="340"/>
      <c r="D521" s="340"/>
      <c r="E521" s="340"/>
      <c r="F521" s="340"/>
      <c r="G521" s="340"/>
      <c r="H521" s="340"/>
      <c r="I521" s="340"/>
      <c r="J521" s="340"/>
      <c r="K521" s="340"/>
      <c r="L521" s="340"/>
      <c r="M521" s="340"/>
      <c r="N521" s="340"/>
      <c r="O521" s="340"/>
      <c r="P521" s="340"/>
      <c r="Q521" s="340"/>
      <c r="R521" s="340"/>
      <c r="S521" s="340"/>
      <c r="T521" s="340"/>
      <c r="U521" s="340"/>
      <c r="V521" s="340"/>
      <c r="W521" s="340"/>
      <c r="X521" s="340"/>
      <c r="Y521" s="340"/>
      <c r="Z521" s="340"/>
    </row>
    <row r="522" spans="1:26" ht="14.25" customHeight="1">
      <c r="A522" s="340"/>
      <c r="B522" s="340"/>
      <c r="C522" s="340"/>
      <c r="D522" s="340"/>
      <c r="E522" s="340"/>
      <c r="F522" s="340"/>
      <c r="G522" s="340"/>
      <c r="H522" s="340"/>
      <c r="I522" s="340"/>
      <c r="J522" s="340"/>
      <c r="K522" s="340"/>
      <c r="L522" s="340"/>
      <c r="M522" s="340"/>
      <c r="N522" s="340"/>
      <c r="O522" s="340"/>
      <c r="P522" s="340"/>
      <c r="Q522" s="340"/>
      <c r="R522" s="340"/>
      <c r="S522" s="340"/>
      <c r="T522" s="340"/>
      <c r="U522" s="340"/>
      <c r="V522" s="340"/>
      <c r="W522" s="340"/>
      <c r="X522" s="340"/>
      <c r="Y522" s="340"/>
      <c r="Z522" s="340"/>
    </row>
    <row r="523" spans="1:26" ht="14.25" customHeight="1">
      <c r="A523" s="340"/>
      <c r="B523" s="340"/>
      <c r="C523" s="340"/>
      <c r="D523" s="340"/>
      <c r="E523" s="340"/>
      <c r="F523" s="340"/>
      <c r="G523" s="340"/>
      <c r="H523" s="340"/>
      <c r="I523" s="340"/>
      <c r="J523" s="340"/>
      <c r="K523" s="340"/>
      <c r="L523" s="340"/>
      <c r="M523" s="340"/>
      <c r="N523" s="340"/>
      <c r="O523" s="340"/>
      <c r="P523" s="340"/>
      <c r="Q523" s="340"/>
      <c r="R523" s="340"/>
      <c r="S523" s="340"/>
      <c r="T523" s="340"/>
      <c r="U523" s="340"/>
      <c r="V523" s="340"/>
      <c r="W523" s="340"/>
      <c r="X523" s="340"/>
      <c r="Y523" s="340"/>
      <c r="Z523" s="340"/>
    </row>
    <row r="524" spans="1:26" ht="14.25" customHeight="1">
      <c r="A524" s="340"/>
      <c r="B524" s="340"/>
      <c r="C524" s="340"/>
      <c r="D524" s="340"/>
      <c r="E524" s="340"/>
      <c r="F524" s="340"/>
      <c r="G524" s="340"/>
      <c r="H524" s="340"/>
      <c r="I524" s="340"/>
      <c r="J524" s="340"/>
      <c r="K524" s="340"/>
      <c r="L524" s="340"/>
      <c r="M524" s="340"/>
      <c r="N524" s="340"/>
      <c r="O524" s="340"/>
      <c r="P524" s="340"/>
      <c r="Q524" s="340"/>
      <c r="R524" s="340"/>
      <c r="S524" s="340"/>
      <c r="T524" s="340"/>
      <c r="U524" s="340"/>
      <c r="V524" s="340"/>
      <c r="W524" s="340"/>
      <c r="X524" s="340"/>
      <c r="Y524" s="340"/>
      <c r="Z524" s="340"/>
    </row>
    <row r="525" spans="1:26" ht="14.25" customHeight="1">
      <c r="A525" s="340"/>
      <c r="B525" s="340"/>
      <c r="C525" s="340"/>
      <c r="D525" s="340"/>
      <c r="E525" s="340"/>
      <c r="F525" s="340"/>
      <c r="G525" s="340"/>
      <c r="H525" s="340"/>
      <c r="I525" s="340"/>
      <c r="J525" s="340"/>
      <c r="K525" s="340"/>
      <c r="L525" s="340"/>
      <c r="M525" s="340"/>
      <c r="N525" s="340"/>
      <c r="O525" s="340"/>
      <c r="P525" s="340"/>
      <c r="Q525" s="340"/>
      <c r="R525" s="340"/>
      <c r="S525" s="340"/>
      <c r="T525" s="340"/>
      <c r="U525" s="340"/>
      <c r="V525" s="340"/>
      <c r="W525" s="340"/>
      <c r="X525" s="340"/>
      <c r="Y525" s="340"/>
      <c r="Z525" s="340"/>
    </row>
    <row r="526" spans="1:26" ht="14.25" customHeight="1">
      <c r="A526" s="340"/>
      <c r="B526" s="340"/>
      <c r="C526" s="340"/>
      <c r="D526" s="340"/>
      <c r="E526" s="340"/>
      <c r="F526" s="340"/>
      <c r="G526" s="340"/>
      <c r="H526" s="340"/>
      <c r="I526" s="340"/>
      <c r="J526" s="340"/>
      <c r="K526" s="340"/>
      <c r="L526" s="340"/>
      <c r="M526" s="340"/>
      <c r="N526" s="340"/>
      <c r="O526" s="340"/>
      <c r="P526" s="340"/>
      <c r="Q526" s="340"/>
      <c r="R526" s="340"/>
      <c r="S526" s="340"/>
      <c r="T526" s="340"/>
      <c r="U526" s="340"/>
      <c r="V526" s="340"/>
      <c r="W526" s="340"/>
      <c r="X526" s="340"/>
      <c r="Y526" s="340"/>
      <c r="Z526" s="340"/>
    </row>
    <row r="527" spans="1:26" ht="14.25" customHeight="1">
      <c r="A527" s="340"/>
      <c r="B527" s="340"/>
      <c r="C527" s="340"/>
      <c r="D527" s="340"/>
      <c r="E527" s="340"/>
      <c r="F527" s="340"/>
      <c r="G527" s="340"/>
      <c r="H527" s="340"/>
      <c r="I527" s="340"/>
      <c r="J527" s="340"/>
      <c r="K527" s="340"/>
      <c r="L527" s="340"/>
      <c r="M527" s="340"/>
      <c r="N527" s="340"/>
      <c r="O527" s="340"/>
      <c r="P527" s="340"/>
      <c r="Q527" s="340"/>
      <c r="R527" s="340"/>
      <c r="S527" s="340"/>
      <c r="T527" s="340"/>
      <c r="U527" s="340"/>
      <c r="V527" s="340"/>
      <c r="W527" s="340"/>
      <c r="X527" s="340"/>
      <c r="Y527" s="340"/>
      <c r="Z527" s="340"/>
    </row>
    <row r="528" spans="1:26" ht="14.25" customHeight="1">
      <c r="A528" s="340"/>
      <c r="B528" s="340"/>
      <c r="C528" s="340"/>
      <c r="D528" s="340"/>
      <c r="E528" s="340"/>
      <c r="F528" s="340"/>
      <c r="G528" s="340"/>
      <c r="H528" s="340"/>
      <c r="I528" s="340"/>
      <c r="J528" s="340"/>
      <c r="K528" s="340"/>
      <c r="L528" s="340"/>
      <c r="M528" s="340"/>
      <c r="N528" s="340"/>
      <c r="O528" s="340"/>
      <c r="P528" s="340"/>
      <c r="Q528" s="340"/>
      <c r="R528" s="340"/>
      <c r="S528" s="340"/>
      <c r="T528" s="340"/>
      <c r="U528" s="340"/>
      <c r="V528" s="340"/>
      <c r="W528" s="340"/>
      <c r="X528" s="340"/>
      <c r="Y528" s="340"/>
      <c r="Z528" s="340"/>
    </row>
    <row r="529" spans="1:26" ht="14.25" customHeight="1">
      <c r="A529" s="340"/>
      <c r="B529" s="340"/>
      <c r="C529" s="340"/>
      <c r="D529" s="340"/>
      <c r="E529" s="340"/>
      <c r="F529" s="340"/>
      <c r="G529" s="340"/>
      <c r="H529" s="340"/>
      <c r="I529" s="340"/>
      <c r="J529" s="340"/>
      <c r="K529" s="340"/>
      <c r="L529" s="340"/>
      <c r="M529" s="340"/>
      <c r="N529" s="340"/>
      <c r="O529" s="340"/>
      <c r="P529" s="340"/>
      <c r="Q529" s="340"/>
      <c r="R529" s="340"/>
      <c r="S529" s="340"/>
      <c r="T529" s="340"/>
      <c r="U529" s="340"/>
      <c r="V529" s="340"/>
      <c r="W529" s="340"/>
      <c r="X529" s="340"/>
      <c r="Y529" s="340"/>
      <c r="Z529" s="340"/>
    </row>
    <row r="530" spans="1:26" ht="14.25" customHeight="1">
      <c r="A530" s="340"/>
      <c r="B530" s="340"/>
      <c r="C530" s="340"/>
      <c r="D530" s="340"/>
      <c r="E530" s="340"/>
      <c r="F530" s="340"/>
      <c r="G530" s="340"/>
      <c r="H530" s="340"/>
      <c r="I530" s="340"/>
      <c r="J530" s="340"/>
      <c r="K530" s="340"/>
      <c r="L530" s="340"/>
      <c r="M530" s="340"/>
      <c r="N530" s="340"/>
      <c r="O530" s="340"/>
      <c r="P530" s="340"/>
      <c r="Q530" s="340"/>
      <c r="R530" s="340"/>
      <c r="S530" s="340"/>
      <c r="T530" s="340"/>
      <c r="U530" s="340"/>
      <c r="V530" s="340"/>
      <c r="W530" s="340"/>
      <c r="X530" s="340"/>
      <c r="Y530" s="340"/>
      <c r="Z530" s="340"/>
    </row>
    <row r="531" spans="1:26" ht="14.25" customHeight="1">
      <c r="A531" s="340"/>
      <c r="B531" s="340"/>
      <c r="C531" s="340"/>
      <c r="D531" s="340"/>
      <c r="E531" s="340"/>
      <c r="F531" s="340"/>
      <c r="G531" s="340"/>
      <c r="H531" s="340"/>
      <c r="I531" s="340"/>
      <c r="J531" s="340"/>
      <c r="K531" s="340"/>
      <c r="L531" s="340"/>
      <c r="M531" s="340"/>
      <c r="N531" s="340"/>
      <c r="O531" s="340"/>
      <c r="P531" s="340"/>
      <c r="Q531" s="340"/>
      <c r="R531" s="340"/>
      <c r="S531" s="340"/>
      <c r="T531" s="340"/>
      <c r="U531" s="340"/>
      <c r="V531" s="340"/>
      <c r="W531" s="340"/>
      <c r="X531" s="340"/>
      <c r="Y531" s="340"/>
      <c r="Z531" s="340"/>
    </row>
    <row r="532" spans="1:26" ht="14.25" customHeight="1">
      <c r="A532" s="340"/>
      <c r="B532" s="340"/>
      <c r="C532" s="340"/>
      <c r="D532" s="340"/>
      <c r="E532" s="340"/>
      <c r="F532" s="340"/>
      <c r="G532" s="340"/>
      <c r="H532" s="340"/>
      <c r="I532" s="340"/>
      <c r="J532" s="340"/>
      <c r="K532" s="340"/>
      <c r="L532" s="340"/>
      <c r="M532" s="340"/>
      <c r="N532" s="340"/>
      <c r="O532" s="340"/>
      <c r="P532" s="340"/>
      <c r="Q532" s="340"/>
      <c r="R532" s="340"/>
      <c r="S532" s="340"/>
      <c r="T532" s="340"/>
      <c r="U532" s="340"/>
      <c r="V532" s="340"/>
      <c r="W532" s="340"/>
      <c r="X532" s="340"/>
      <c r="Y532" s="340"/>
      <c r="Z532" s="340"/>
    </row>
    <row r="533" spans="1:26" ht="14.25" customHeight="1">
      <c r="A533" s="340"/>
      <c r="B533" s="340"/>
      <c r="C533" s="340"/>
      <c r="D533" s="340"/>
      <c r="E533" s="340"/>
      <c r="F533" s="340"/>
      <c r="G533" s="340"/>
      <c r="H533" s="340"/>
      <c r="I533" s="340"/>
      <c r="J533" s="340"/>
      <c r="K533" s="340"/>
      <c r="L533" s="340"/>
      <c r="M533" s="340"/>
      <c r="N533" s="340"/>
      <c r="O533" s="340"/>
      <c r="P533" s="340"/>
      <c r="Q533" s="340"/>
      <c r="R533" s="340"/>
      <c r="S533" s="340"/>
      <c r="T533" s="340"/>
      <c r="U533" s="340"/>
      <c r="V533" s="340"/>
      <c r="W533" s="340"/>
      <c r="X533" s="340"/>
      <c r="Y533" s="340"/>
      <c r="Z533" s="340"/>
    </row>
    <row r="534" spans="1:26" ht="14.25" customHeight="1">
      <c r="A534" s="340"/>
      <c r="B534" s="340"/>
      <c r="C534" s="340"/>
      <c r="D534" s="340"/>
      <c r="E534" s="340"/>
      <c r="F534" s="340"/>
      <c r="G534" s="340"/>
      <c r="H534" s="340"/>
      <c r="I534" s="340"/>
      <c r="J534" s="340"/>
      <c r="K534" s="340"/>
      <c r="L534" s="340"/>
      <c r="M534" s="340"/>
      <c r="N534" s="340"/>
      <c r="O534" s="340"/>
      <c r="P534" s="340"/>
      <c r="Q534" s="340"/>
      <c r="R534" s="340"/>
      <c r="S534" s="340"/>
      <c r="T534" s="340"/>
      <c r="U534" s="340"/>
      <c r="V534" s="340"/>
      <c r="W534" s="340"/>
      <c r="X534" s="340"/>
      <c r="Y534" s="340"/>
      <c r="Z534" s="340"/>
    </row>
    <row r="535" spans="1:26" ht="14.25" customHeight="1">
      <c r="A535" s="340"/>
      <c r="B535" s="340"/>
      <c r="C535" s="340"/>
      <c r="D535" s="340"/>
      <c r="E535" s="340"/>
      <c r="F535" s="340"/>
      <c r="G535" s="340"/>
      <c r="H535" s="340"/>
      <c r="I535" s="340"/>
      <c r="J535" s="340"/>
      <c r="K535" s="340"/>
      <c r="L535" s="340"/>
      <c r="M535" s="340"/>
      <c r="N535" s="340"/>
      <c r="O535" s="340"/>
      <c r="P535" s="340"/>
      <c r="Q535" s="340"/>
      <c r="R535" s="340"/>
      <c r="S535" s="340"/>
      <c r="T535" s="340"/>
      <c r="U535" s="340"/>
      <c r="V535" s="340"/>
      <c r="W535" s="340"/>
      <c r="X535" s="340"/>
      <c r="Y535" s="340"/>
      <c r="Z535" s="340"/>
    </row>
    <row r="536" spans="1:26" ht="14.25" customHeight="1">
      <c r="A536" s="340"/>
      <c r="B536" s="340"/>
      <c r="C536" s="340"/>
      <c r="D536" s="340"/>
      <c r="E536" s="340"/>
      <c r="F536" s="340"/>
      <c r="G536" s="340"/>
      <c r="H536" s="340"/>
      <c r="I536" s="340"/>
      <c r="J536" s="340"/>
      <c r="K536" s="340"/>
      <c r="L536" s="340"/>
      <c r="M536" s="340"/>
      <c r="N536" s="340"/>
      <c r="O536" s="340"/>
      <c r="P536" s="340"/>
      <c r="Q536" s="340"/>
      <c r="R536" s="340"/>
      <c r="S536" s="340"/>
      <c r="T536" s="340"/>
      <c r="U536" s="340"/>
      <c r="V536" s="340"/>
      <c r="W536" s="340"/>
      <c r="X536" s="340"/>
      <c r="Y536" s="340"/>
      <c r="Z536" s="340"/>
    </row>
    <row r="537" spans="1:26" ht="14.25" customHeight="1">
      <c r="A537" s="340"/>
      <c r="B537" s="340"/>
      <c r="C537" s="340"/>
      <c r="D537" s="340"/>
      <c r="E537" s="340"/>
      <c r="F537" s="340"/>
      <c r="G537" s="340"/>
      <c r="H537" s="340"/>
      <c r="I537" s="340"/>
      <c r="J537" s="340"/>
      <c r="K537" s="340"/>
      <c r="L537" s="340"/>
      <c r="M537" s="340"/>
      <c r="N537" s="340"/>
      <c r="O537" s="340"/>
      <c r="P537" s="340"/>
      <c r="Q537" s="340"/>
      <c r="R537" s="340"/>
      <c r="S537" s="340"/>
      <c r="T537" s="340"/>
      <c r="U537" s="340"/>
      <c r="V537" s="340"/>
      <c r="W537" s="340"/>
      <c r="X537" s="340"/>
      <c r="Y537" s="340"/>
      <c r="Z537" s="340"/>
    </row>
    <row r="538" spans="1:26" ht="14.25" customHeight="1">
      <c r="A538" s="340"/>
      <c r="B538" s="340"/>
      <c r="C538" s="340"/>
      <c r="D538" s="340"/>
      <c r="E538" s="340"/>
      <c r="F538" s="340"/>
      <c r="G538" s="340"/>
      <c r="H538" s="340"/>
      <c r="I538" s="340"/>
      <c r="J538" s="340"/>
      <c r="K538" s="340"/>
      <c r="L538" s="340"/>
      <c r="M538" s="340"/>
      <c r="N538" s="340"/>
      <c r="O538" s="340"/>
      <c r="P538" s="340"/>
      <c r="Q538" s="340"/>
      <c r="R538" s="340"/>
      <c r="S538" s="340"/>
      <c r="T538" s="340"/>
      <c r="U538" s="340"/>
      <c r="V538" s="340"/>
      <c r="W538" s="340"/>
      <c r="X538" s="340"/>
      <c r="Y538" s="340"/>
      <c r="Z538" s="340"/>
    </row>
    <row r="539" spans="1:26" ht="14.25" customHeight="1">
      <c r="A539" s="340"/>
      <c r="B539" s="340"/>
      <c r="C539" s="340"/>
      <c r="D539" s="340"/>
      <c r="E539" s="340"/>
      <c r="F539" s="340"/>
      <c r="G539" s="340"/>
      <c r="H539" s="340"/>
      <c r="I539" s="340"/>
      <c r="J539" s="340"/>
      <c r="K539" s="340"/>
      <c r="L539" s="340"/>
      <c r="M539" s="340"/>
      <c r="N539" s="340"/>
      <c r="O539" s="340"/>
      <c r="P539" s="340"/>
      <c r="Q539" s="340"/>
      <c r="R539" s="340"/>
      <c r="S539" s="340"/>
      <c r="T539" s="340"/>
      <c r="U539" s="340"/>
      <c r="V539" s="340"/>
      <c r="W539" s="340"/>
      <c r="X539" s="340"/>
      <c r="Y539" s="340"/>
      <c r="Z539" s="340"/>
    </row>
    <row r="540" spans="1:26" ht="14.25" customHeight="1">
      <c r="A540" s="340"/>
      <c r="B540" s="340"/>
      <c r="C540" s="340"/>
      <c r="D540" s="340"/>
      <c r="E540" s="340"/>
      <c r="F540" s="340"/>
      <c r="G540" s="340"/>
      <c r="H540" s="340"/>
      <c r="I540" s="340"/>
      <c r="J540" s="340"/>
      <c r="K540" s="340"/>
      <c r="L540" s="340"/>
      <c r="M540" s="340"/>
      <c r="N540" s="340"/>
      <c r="O540" s="340"/>
      <c r="P540" s="340"/>
      <c r="Q540" s="340"/>
      <c r="R540" s="340"/>
      <c r="S540" s="340"/>
      <c r="T540" s="340"/>
      <c r="U540" s="340"/>
      <c r="V540" s="340"/>
      <c r="W540" s="340"/>
      <c r="X540" s="340"/>
      <c r="Y540" s="340"/>
      <c r="Z540" s="340"/>
    </row>
    <row r="541" spans="1:26" ht="14.25" customHeight="1">
      <c r="A541" s="340"/>
      <c r="B541" s="340"/>
      <c r="C541" s="340"/>
      <c r="D541" s="340"/>
      <c r="E541" s="340"/>
      <c r="F541" s="340"/>
      <c r="G541" s="340"/>
      <c r="H541" s="340"/>
      <c r="I541" s="340"/>
      <c r="J541" s="340"/>
      <c r="K541" s="340"/>
      <c r="L541" s="340"/>
      <c r="M541" s="340"/>
      <c r="N541" s="340"/>
      <c r="O541" s="340"/>
      <c r="P541" s="340"/>
      <c r="Q541" s="340"/>
      <c r="R541" s="340"/>
      <c r="S541" s="340"/>
      <c r="T541" s="340"/>
      <c r="U541" s="340"/>
      <c r="V541" s="340"/>
      <c r="W541" s="340"/>
      <c r="X541" s="340"/>
      <c r="Y541" s="340"/>
      <c r="Z541" s="340"/>
    </row>
    <row r="542" spans="1:26" ht="14.25" customHeight="1">
      <c r="A542" s="340"/>
      <c r="B542" s="340"/>
      <c r="C542" s="340"/>
      <c r="D542" s="340"/>
      <c r="E542" s="340"/>
      <c r="F542" s="340"/>
      <c r="G542" s="340"/>
      <c r="H542" s="340"/>
      <c r="I542" s="340"/>
      <c r="J542" s="340"/>
      <c r="K542" s="340"/>
      <c r="L542" s="340"/>
      <c r="M542" s="340"/>
      <c r="N542" s="340"/>
      <c r="O542" s="340"/>
      <c r="P542" s="340"/>
      <c r="Q542" s="340"/>
      <c r="R542" s="340"/>
      <c r="S542" s="340"/>
      <c r="T542" s="340"/>
      <c r="U542" s="340"/>
      <c r="V542" s="340"/>
      <c r="W542" s="340"/>
      <c r="X542" s="340"/>
      <c r="Y542" s="340"/>
      <c r="Z542" s="340"/>
    </row>
    <row r="543" spans="1:26" ht="14.25" customHeight="1">
      <c r="A543" s="340"/>
      <c r="B543" s="340"/>
      <c r="C543" s="340"/>
      <c r="D543" s="340"/>
      <c r="E543" s="340"/>
      <c r="F543" s="340"/>
      <c r="G543" s="340"/>
      <c r="H543" s="340"/>
      <c r="I543" s="340"/>
      <c r="J543" s="340"/>
      <c r="K543" s="340"/>
      <c r="L543" s="340"/>
      <c r="M543" s="340"/>
      <c r="N543" s="340"/>
      <c r="O543" s="340"/>
      <c r="P543" s="340"/>
      <c r="Q543" s="340"/>
      <c r="R543" s="340"/>
      <c r="S543" s="340"/>
      <c r="T543" s="340"/>
      <c r="U543" s="340"/>
      <c r="V543" s="340"/>
      <c r="W543" s="340"/>
      <c r="X543" s="340"/>
      <c r="Y543" s="340"/>
      <c r="Z543" s="340"/>
    </row>
    <row r="544" spans="1:26" ht="14.25" customHeight="1">
      <c r="A544" s="340"/>
      <c r="B544" s="340"/>
      <c r="C544" s="340"/>
      <c r="D544" s="340"/>
      <c r="E544" s="340"/>
      <c r="F544" s="340"/>
      <c r="G544" s="340"/>
      <c r="H544" s="340"/>
      <c r="I544" s="340"/>
      <c r="J544" s="340"/>
      <c r="K544" s="340"/>
      <c r="L544" s="340"/>
      <c r="M544" s="340"/>
      <c r="N544" s="340"/>
      <c r="O544" s="340"/>
      <c r="P544" s="340"/>
      <c r="Q544" s="340"/>
      <c r="R544" s="340"/>
      <c r="S544" s="340"/>
      <c r="T544" s="340"/>
      <c r="U544" s="340"/>
      <c r="V544" s="340"/>
      <c r="W544" s="340"/>
      <c r="X544" s="340"/>
      <c r="Y544" s="340"/>
      <c r="Z544" s="340"/>
    </row>
    <row r="545" spans="1:26" ht="14.25" customHeight="1">
      <c r="A545" s="340"/>
      <c r="B545" s="340"/>
      <c r="C545" s="340"/>
      <c r="D545" s="340"/>
      <c r="E545" s="340"/>
      <c r="F545" s="340"/>
      <c r="G545" s="340"/>
      <c r="H545" s="340"/>
      <c r="I545" s="340"/>
      <c r="J545" s="340"/>
      <c r="K545" s="340"/>
      <c r="L545" s="340"/>
      <c r="M545" s="340"/>
      <c r="N545" s="340"/>
      <c r="O545" s="340"/>
      <c r="P545" s="340"/>
      <c r="Q545" s="340"/>
      <c r="R545" s="340"/>
      <c r="S545" s="340"/>
      <c r="T545" s="340"/>
      <c r="U545" s="340"/>
      <c r="V545" s="340"/>
      <c r="W545" s="340"/>
      <c r="X545" s="340"/>
      <c r="Y545" s="340"/>
      <c r="Z545" s="340"/>
    </row>
    <row r="546" spans="1:26" ht="14.25" customHeight="1">
      <c r="A546" s="340"/>
      <c r="B546" s="340"/>
      <c r="C546" s="340"/>
      <c r="D546" s="340"/>
      <c r="E546" s="340"/>
      <c r="F546" s="340"/>
      <c r="G546" s="340"/>
      <c r="H546" s="340"/>
      <c r="I546" s="340"/>
      <c r="J546" s="340"/>
      <c r="K546" s="340"/>
      <c r="L546" s="340"/>
      <c r="M546" s="340"/>
      <c r="N546" s="340"/>
      <c r="O546" s="340"/>
      <c r="P546" s="340"/>
      <c r="Q546" s="340"/>
      <c r="R546" s="340"/>
      <c r="S546" s="340"/>
      <c r="T546" s="340"/>
      <c r="U546" s="340"/>
      <c r="V546" s="340"/>
      <c r="W546" s="340"/>
      <c r="X546" s="340"/>
      <c r="Y546" s="340"/>
      <c r="Z546" s="340"/>
    </row>
    <row r="547" spans="1:26" ht="14.25" customHeight="1">
      <c r="A547" s="340"/>
      <c r="B547" s="340"/>
      <c r="C547" s="340"/>
      <c r="D547" s="340"/>
      <c r="E547" s="340"/>
      <c r="F547" s="340"/>
      <c r="G547" s="340"/>
      <c r="H547" s="340"/>
      <c r="I547" s="340"/>
      <c r="J547" s="340"/>
      <c r="K547" s="340"/>
      <c r="L547" s="340"/>
      <c r="M547" s="340"/>
      <c r="N547" s="340"/>
      <c r="O547" s="340"/>
      <c r="P547" s="340"/>
      <c r="Q547" s="340"/>
      <c r="R547" s="340"/>
      <c r="S547" s="340"/>
      <c r="T547" s="340"/>
      <c r="U547" s="340"/>
      <c r="V547" s="340"/>
      <c r="W547" s="340"/>
      <c r="X547" s="340"/>
      <c r="Y547" s="340"/>
      <c r="Z547" s="340"/>
    </row>
    <row r="548" spans="1:26" ht="14.25" customHeight="1">
      <c r="A548" s="340"/>
      <c r="B548" s="340"/>
      <c r="C548" s="340"/>
      <c r="D548" s="340"/>
      <c r="E548" s="340"/>
      <c r="F548" s="340"/>
      <c r="G548" s="340"/>
      <c r="H548" s="340"/>
      <c r="I548" s="340"/>
      <c r="J548" s="340"/>
      <c r="K548" s="340"/>
      <c r="L548" s="340"/>
      <c r="M548" s="340"/>
      <c r="N548" s="340"/>
      <c r="O548" s="340"/>
      <c r="P548" s="340"/>
      <c r="Q548" s="340"/>
      <c r="R548" s="340"/>
      <c r="S548" s="340"/>
      <c r="T548" s="340"/>
      <c r="U548" s="340"/>
      <c r="V548" s="340"/>
      <c r="W548" s="340"/>
      <c r="X548" s="340"/>
      <c r="Y548" s="340"/>
      <c r="Z548" s="340"/>
    </row>
    <row r="549" spans="1:26" ht="14.25" customHeight="1">
      <c r="A549" s="340"/>
      <c r="B549" s="340"/>
      <c r="C549" s="340"/>
      <c r="D549" s="340"/>
      <c r="E549" s="340"/>
      <c r="F549" s="340"/>
      <c r="G549" s="340"/>
      <c r="H549" s="340"/>
      <c r="I549" s="340"/>
      <c r="J549" s="340"/>
      <c r="K549" s="340"/>
      <c r="L549" s="340"/>
      <c r="M549" s="340"/>
      <c r="N549" s="340"/>
      <c r="O549" s="340"/>
      <c r="P549" s="340"/>
      <c r="Q549" s="340"/>
      <c r="R549" s="340"/>
      <c r="S549" s="340"/>
      <c r="T549" s="340"/>
      <c r="U549" s="340"/>
      <c r="V549" s="340"/>
      <c r="W549" s="340"/>
      <c r="X549" s="340"/>
      <c r="Y549" s="340"/>
      <c r="Z549" s="340"/>
    </row>
    <row r="550" spans="1:26" ht="14.25" customHeight="1">
      <c r="A550" s="340"/>
      <c r="B550" s="340"/>
      <c r="C550" s="340"/>
      <c r="D550" s="340"/>
      <c r="E550" s="340"/>
      <c r="F550" s="340"/>
      <c r="G550" s="340"/>
      <c r="H550" s="340"/>
      <c r="I550" s="340"/>
      <c r="J550" s="340"/>
      <c r="K550" s="340"/>
      <c r="L550" s="340"/>
      <c r="M550" s="340"/>
      <c r="N550" s="340"/>
      <c r="O550" s="340"/>
      <c r="P550" s="340"/>
      <c r="Q550" s="340"/>
      <c r="R550" s="340"/>
      <c r="S550" s="340"/>
      <c r="T550" s="340"/>
      <c r="U550" s="340"/>
      <c r="V550" s="340"/>
      <c r="W550" s="340"/>
      <c r="X550" s="340"/>
      <c r="Y550" s="340"/>
      <c r="Z550" s="340"/>
    </row>
    <row r="551" spans="1:26" ht="14.25" customHeight="1">
      <c r="A551" s="340"/>
      <c r="B551" s="340"/>
      <c r="C551" s="340"/>
      <c r="D551" s="340"/>
      <c r="E551" s="340"/>
      <c r="F551" s="340"/>
      <c r="G551" s="340"/>
      <c r="H551" s="340"/>
      <c r="I551" s="340"/>
      <c r="J551" s="340"/>
      <c r="K551" s="340"/>
      <c r="L551" s="340"/>
      <c r="M551" s="340"/>
      <c r="N551" s="340"/>
      <c r="O551" s="340"/>
      <c r="P551" s="340"/>
      <c r="Q551" s="340"/>
      <c r="R551" s="340"/>
      <c r="S551" s="340"/>
      <c r="T551" s="340"/>
      <c r="U551" s="340"/>
      <c r="V551" s="340"/>
      <c r="W551" s="340"/>
      <c r="X551" s="340"/>
      <c r="Y551" s="340"/>
      <c r="Z551" s="340"/>
    </row>
    <row r="552" spans="1:26" ht="14.25" customHeight="1">
      <c r="A552" s="340"/>
      <c r="B552" s="340"/>
      <c r="C552" s="340"/>
      <c r="D552" s="340"/>
      <c r="E552" s="340"/>
      <c r="F552" s="340"/>
      <c r="G552" s="340"/>
      <c r="H552" s="340"/>
      <c r="I552" s="340"/>
      <c r="J552" s="340"/>
      <c r="K552" s="340"/>
      <c r="L552" s="340"/>
      <c r="M552" s="340"/>
      <c r="N552" s="340"/>
      <c r="O552" s="340"/>
      <c r="P552" s="340"/>
      <c r="Q552" s="340"/>
      <c r="R552" s="340"/>
      <c r="S552" s="340"/>
      <c r="T552" s="340"/>
      <c r="U552" s="340"/>
      <c r="V552" s="340"/>
      <c r="W552" s="340"/>
      <c r="X552" s="340"/>
      <c r="Y552" s="340"/>
      <c r="Z552" s="340"/>
    </row>
    <row r="553" spans="1:26" ht="14.25" customHeight="1">
      <c r="A553" s="340"/>
      <c r="B553" s="340"/>
      <c r="C553" s="340"/>
      <c r="D553" s="340"/>
      <c r="E553" s="340"/>
      <c r="F553" s="340"/>
      <c r="G553" s="340"/>
      <c r="H553" s="340"/>
      <c r="I553" s="340"/>
      <c r="J553" s="340"/>
      <c r="K553" s="340"/>
      <c r="L553" s="340"/>
      <c r="M553" s="340"/>
      <c r="N553" s="340"/>
      <c r="O553" s="340"/>
      <c r="P553" s="340"/>
      <c r="Q553" s="340"/>
      <c r="R553" s="340"/>
      <c r="S553" s="340"/>
      <c r="T553" s="340"/>
      <c r="U553" s="340"/>
      <c r="V553" s="340"/>
      <c r="W553" s="340"/>
      <c r="X553" s="340"/>
      <c r="Y553" s="340"/>
      <c r="Z553" s="340"/>
    </row>
    <row r="554" spans="1:26" ht="14.25" customHeight="1">
      <c r="A554" s="340"/>
      <c r="B554" s="340"/>
      <c r="C554" s="340"/>
      <c r="D554" s="340"/>
      <c r="E554" s="340"/>
      <c r="F554" s="340"/>
      <c r="G554" s="340"/>
      <c r="H554" s="340"/>
      <c r="I554" s="340"/>
      <c r="J554" s="340"/>
      <c r="K554" s="340"/>
      <c r="L554" s="340"/>
      <c r="M554" s="340"/>
      <c r="N554" s="340"/>
      <c r="O554" s="340"/>
      <c r="P554" s="340"/>
      <c r="Q554" s="340"/>
      <c r="R554" s="340"/>
      <c r="S554" s="340"/>
      <c r="T554" s="340"/>
      <c r="U554" s="340"/>
      <c r="V554" s="340"/>
      <c r="W554" s="340"/>
      <c r="X554" s="340"/>
      <c r="Y554" s="340"/>
      <c r="Z554" s="340"/>
    </row>
    <row r="555" spans="1:26" ht="14.25" customHeight="1">
      <c r="A555" s="340"/>
      <c r="B555" s="340"/>
      <c r="C555" s="340"/>
      <c r="D555" s="340"/>
      <c r="E555" s="340"/>
      <c r="F555" s="340"/>
      <c r="G555" s="340"/>
      <c r="H555" s="340"/>
      <c r="I555" s="340"/>
      <c r="J555" s="340"/>
      <c r="K555" s="340"/>
      <c r="L555" s="340"/>
      <c r="M555" s="340"/>
      <c r="N555" s="340"/>
      <c r="O555" s="340"/>
      <c r="P555" s="340"/>
      <c r="Q555" s="340"/>
      <c r="R555" s="340"/>
      <c r="S555" s="340"/>
      <c r="T555" s="340"/>
      <c r="U555" s="340"/>
      <c r="V555" s="340"/>
      <c r="W555" s="340"/>
      <c r="X555" s="340"/>
      <c r="Y555" s="340"/>
      <c r="Z555" s="340"/>
    </row>
    <row r="556" spans="1:26" ht="14.25" customHeight="1">
      <c r="A556" s="340"/>
      <c r="B556" s="340"/>
      <c r="C556" s="340"/>
      <c r="D556" s="340"/>
      <c r="E556" s="340"/>
      <c r="F556" s="340"/>
      <c r="G556" s="340"/>
      <c r="H556" s="340"/>
      <c r="I556" s="340"/>
      <c r="J556" s="340"/>
      <c r="K556" s="340"/>
      <c r="L556" s="340"/>
      <c r="M556" s="340"/>
      <c r="N556" s="340"/>
      <c r="O556" s="340"/>
      <c r="P556" s="340"/>
      <c r="Q556" s="340"/>
      <c r="R556" s="340"/>
      <c r="S556" s="340"/>
      <c r="T556" s="340"/>
      <c r="U556" s="340"/>
      <c r="V556" s="340"/>
      <c r="W556" s="340"/>
      <c r="X556" s="340"/>
      <c r="Y556" s="340"/>
      <c r="Z556" s="340"/>
    </row>
    <row r="557" spans="1:26" ht="14.25" customHeight="1">
      <c r="A557" s="340"/>
      <c r="B557" s="340"/>
      <c r="C557" s="340"/>
      <c r="D557" s="340"/>
      <c r="E557" s="340"/>
      <c r="F557" s="340"/>
      <c r="G557" s="340"/>
      <c r="H557" s="340"/>
      <c r="I557" s="340"/>
      <c r="J557" s="340"/>
      <c r="K557" s="340"/>
      <c r="L557" s="340"/>
      <c r="M557" s="340"/>
      <c r="N557" s="340"/>
      <c r="O557" s="340"/>
      <c r="P557" s="340"/>
      <c r="Q557" s="340"/>
      <c r="R557" s="340"/>
      <c r="S557" s="340"/>
      <c r="T557" s="340"/>
      <c r="U557" s="340"/>
      <c r="V557" s="340"/>
      <c r="W557" s="340"/>
      <c r="X557" s="340"/>
      <c r="Y557" s="340"/>
      <c r="Z557" s="340"/>
    </row>
    <row r="558" spans="1:26" ht="14.25" customHeight="1">
      <c r="A558" s="340"/>
      <c r="B558" s="340"/>
      <c r="C558" s="340"/>
      <c r="D558" s="340"/>
      <c r="E558" s="340"/>
      <c r="F558" s="340"/>
      <c r="G558" s="340"/>
      <c r="H558" s="340"/>
      <c r="I558" s="340"/>
      <c r="J558" s="340"/>
      <c r="K558" s="340"/>
      <c r="L558" s="340"/>
      <c r="M558" s="340"/>
      <c r="N558" s="340"/>
      <c r="O558" s="340"/>
      <c r="P558" s="340"/>
      <c r="Q558" s="340"/>
      <c r="R558" s="340"/>
      <c r="S558" s="340"/>
      <c r="T558" s="340"/>
      <c r="U558" s="340"/>
      <c r="V558" s="340"/>
      <c r="W558" s="340"/>
      <c r="X558" s="340"/>
      <c r="Y558" s="340"/>
      <c r="Z558" s="340"/>
    </row>
    <row r="559" spans="1:26" ht="14.25" customHeight="1">
      <c r="A559" s="340"/>
      <c r="B559" s="340"/>
      <c r="C559" s="340"/>
      <c r="D559" s="340"/>
      <c r="E559" s="340"/>
      <c r="F559" s="340"/>
      <c r="G559" s="340"/>
      <c r="H559" s="340"/>
      <c r="I559" s="340"/>
      <c r="J559" s="340"/>
      <c r="K559" s="340"/>
      <c r="L559" s="340"/>
      <c r="M559" s="340"/>
      <c r="N559" s="340"/>
      <c r="O559" s="340"/>
      <c r="P559" s="340"/>
      <c r="Q559" s="340"/>
      <c r="R559" s="340"/>
      <c r="S559" s="340"/>
      <c r="T559" s="340"/>
      <c r="U559" s="340"/>
      <c r="V559" s="340"/>
      <c r="W559" s="340"/>
      <c r="X559" s="340"/>
      <c r="Y559" s="340"/>
      <c r="Z559" s="340"/>
    </row>
    <row r="560" spans="1:26" ht="14.25" customHeight="1">
      <c r="A560" s="340"/>
      <c r="B560" s="340"/>
      <c r="C560" s="340"/>
      <c r="D560" s="340"/>
      <c r="E560" s="340"/>
      <c r="F560" s="340"/>
      <c r="G560" s="340"/>
      <c r="H560" s="340"/>
      <c r="I560" s="340"/>
      <c r="J560" s="340"/>
      <c r="K560" s="340"/>
      <c r="L560" s="340"/>
      <c r="M560" s="340"/>
      <c r="N560" s="340"/>
      <c r="O560" s="340"/>
      <c r="P560" s="340"/>
      <c r="Q560" s="340"/>
      <c r="R560" s="340"/>
      <c r="S560" s="340"/>
      <c r="T560" s="340"/>
      <c r="U560" s="340"/>
      <c r="V560" s="340"/>
      <c r="W560" s="340"/>
      <c r="X560" s="340"/>
      <c r="Y560" s="340"/>
      <c r="Z560" s="340"/>
    </row>
    <row r="561" spans="1:26" ht="14.25" customHeight="1">
      <c r="A561" s="340"/>
      <c r="B561" s="340"/>
      <c r="C561" s="340"/>
      <c r="D561" s="340"/>
      <c r="E561" s="340"/>
      <c r="F561" s="340"/>
      <c r="G561" s="340"/>
      <c r="H561" s="340"/>
      <c r="I561" s="340"/>
      <c r="J561" s="340"/>
      <c r="K561" s="340"/>
      <c r="L561" s="340"/>
      <c r="M561" s="340"/>
      <c r="N561" s="340"/>
      <c r="O561" s="340"/>
      <c r="P561" s="340"/>
      <c r="Q561" s="340"/>
      <c r="R561" s="340"/>
      <c r="S561" s="340"/>
      <c r="T561" s="340"/>
      <c r="U561" s="340"/>
      <c r="V561" s="340"/>
      <c r="W561" s="340"/>
      <c r="X561" s="340"/>
      <c r="Y561" s="340"/>
      <c r="Z561" s="340"/>
    </row>
    <row r="562" spans="1:26" ht="14.25" customHeight="1">
      <c r="A562" s="340"/>
      <c r="B562" s="340"/>
      <c r="C562" s="340"/>
      <c r="D562" s="340"/>
      <c r="E562" s="340"/>
      <c r="F562" s="340"/>
      <c r="G562" s="340"/>
      <c r="H562" s="340"/>
      <c r="I562" s="340"/>
      <c r="J562" s="340"/>
      <c r="K562" s="340"/>
      <c r="L562" s="340"/>
      <c r="M562" s="340"/>
      <c r="N562" s="340"/>
      <c r="O562" s="340"/>
      <c r="P562" s="340"/>
      <c r="Q562" s="340"/>
      <c r="R562" s="340"/>
      <c r="S562" s="340"/>
      <c r="T562" s="340"/>
      <c r="U562" s="340"/>
      <c r="V562" s="340"/>
      <c r="W562" s="340"/>
      <c r="X562" s="340"/>
      <c r="Y562" s="340"/>
      <c r="Z562" s="340"/>
    </row>
    <row r="563" spans="1:26" ht="14.25" customHeight="1">
      <c r="A563" s="340"/>
      <c r="B563" s="340"/>
      <c r="C563" s="340"/>
      <c r="D563" s="340"/>
      <c r="E563" s="340"/>
      <c r="F563" s="340"/>
      <c r="G563" s="340"/>
      <c r="H563" s="340"/>
      <c r="I563" s="340"/>
      <c r="J563" s="340"/>
      <c r="K563" s="340"/>
      <c r="L563" s="340"/>
      <c r="M563" s="340"/>
      <c r="N563" s="340"/>
      <c r="O563" s="340"/>
      <c r="P563" s="340"/>
      <c r="Q563" s="340"/>
      <c r="R563" s="340"/>
      <c r="S563" s="340"/>
      <c r="T563" s="340"/>
      <c r="U563" s="340"/>
      <c r="V563" s="340"/>
      <c r="W563" s="340"/>
      <c r="X563" s="340"/>
      <c r="Y563" s="340"/>
      <c r="Z563" s="340"/>
    </row>
    <row r="564" spans="1:26" ht="14.25" customHeight="1">
      <c r="A564" s="340"/>
      <c r="B564" s="340"/>
      <c r="C564" s="340"/>
      <c r="D564" s="340"/>
      <c r="E564" s="340"/>
      <c r="F564" s="340"/>
      <c r="G564" s="340"/>
      <c r="H564" s="340"/>
      <c r="I564" s="340"/>
      <c r="J564" s="340"/>
      <c r="K564" s="340"/>
      <c r="L564" s="340"/>
      <c r="M564" s="340"/>
      <c r="N564" s="340"/>
      <c r="O564" s="340"/>
      <c r="P564" s="340"/>
      <c r="Q564" s="340"/>
      <c r="R564" s="340"/>
      <c r="S564" s="340"/>
      <c r="T564" s="340"/>
      <c r="U564" s="340"/>
      <c r="V564" s="340"/>
      <c r="W564" s="340"/>
      <c r="X564" s="340"/>
      <c r="Y564" s="340"/>
      <c r="Z564" s="340"/>
    </row>
    <row r="565" spans="1:26" ht="14.25" customHeight="1">
      <c r="A565" s="340"/>
      <c r="B565" s="340"/>
      <c r="C565" s="340"/>
      <c r="D565" s="340"/>
      <c r="E565" s="340"/>
      <c r="F565" s="340"/>
      <c r="G565" s="340"/>
      <c r="H565" s="340"/>
      <c r="I565" s="340"/>
      <c r="J565" s="340"/>
      <c r="K565" s="340"/>
      <c r="L565" s="340"/>
      <c r="M565" s="340"/>
      <c r="N565" s="340"/>
      <c r="O565" s="340"/>
      <c r="P565" s="340"/>
      <c r="Q565" s="340"/>
      <c r="R565" s="340"/>
      <c r="S565" s="340"/>
      <c r="T565" s="340"/>
      <c r="U565" s="340"/>
      <c r="V565" s="340"/>
      <c r="W565" s="340"/>
      <c r="X565" s="340"/>
      <c r="Y565" s="340"/>
      <c r="Z565" s="340"/>
    </row>
    <row r="566" spans="1:26" ht="14.25" customHeight="1">
      <c r="A566" s="340"/>
      <c r="B566" s="340"/>
      <c r="C566" s="340"/>
      <c r="D566" s="340"/>
      <c r="E566" s="340"/>
      <c r="F566" s="340"/>
      <c r="G566" s="340"/>
      <c r="H566" s="340"/>
      <c r="I566" s="340"/>
      <c r="J566" s="340"/>
      <c r="K566" s="340"/>
      <c r="L566" s="340"/>
      <c r="M566" s="340"/>
      <c r="N566" s="340"/>
      <c r="O566" s="340"/>
      <c r="P566" s="340"/>
      <c r="Q566" s="340"/>
      <c r="R566" s="340"/>
      <c r="S566" s="340"/>
      <c r="T566" s="340"/>
      <c r="U566" s="340"/>
      <c r="V566" s="340"/>
      <c r="W566" s="340"/>
      <c r="X566" s="340"/>
      <c r="Y566" s="340"/>
      <c r="Z566" s="340"/>
    </row>
    <row r="567" spans="1:26" ht="14.25" customHeight="1">
      <c r="A567" s="340"/>
      <c r="B567" s="340"/>
      <c r="C567" s="340"/>
      <c r="D567" s="340"/>
      <c r="E567" s="340"/>
      <c r="F567" s="340"/>
      <c r="G567" s="340"/>
      <c r="H567" s="340"/>
      <c r="I567" s="340"/>
      <c r="J567" s="340"/>
      <c r="K567" s="340"/>
      <c r="L567" s="340"/>
      <c r="M567" s="340"/>
      <c r="N567" s="340"/>
      <c r="O567" s="340"/>
      <c r="P567" s="340"/>
      <c r="Q567" s="340"/>
      <c r="R567" s="340"/>
      <c r="S567" s="340"/>
      <c r="T567" s="340"/>
      <c r="U567" s="340"/>
      <c r="V567" s="340"/>
      <c r="W567" s="340"/>
      <c r="X567" s="340"/>
      <c r="Y567" s="340"/>
      <c r="Z567" s="340"/>
    </row>
    <row r="568" spans="1:26" ht="14.25" customHeight="1">
      <c r="A568" s="340"/>
      <c r="B568" s="340"/>
      <c r="C568" s="340"/>
      <c r="D568" s="340"/>
      <c r="E568" s="340"/>
      <c r="F568" s="340"/>
      <c r="G568" s="340"/>
      <c r="H568" s="340"/>
      <c r="I568" s="340"/>
      <c r="J568" s="340"/>
      <c r="K568" s="340"/>
      <c r="L568" s="340"/>
      <c r="M568" s="340"/>
      <c r="N568" s="340"/>
      <c r="O568" s="340"/>
      <c r="P568" s="340"/>
      <c r="Q568" s="340"/>
      <c r="R568" s="340"/>
      <c r="S568" s="340"/>
      <c r="T568" s="340"/>
      <c r="U568" s="340"/>
      <c r="V568" s="340"/>
      <c r="W568" s="340"/>
      <c r="X568" s="340"/>
      <c r="Y568" s="340"/>
      <c r="Z568" s="340"/>
    </row>
    <row r="569" spans="1:26" ht="14.25" customHeight="1">
      <c r="A569" s="340"/>
      <c r="B569" s="340"/>
      <c r="C569" s="340"/>
      <c r="D569" s="340"/>
      <c r="E569" s="340"/>
      <c r="F569" s="340"/>
      <c r="G569" s="340"/>
      <c r="H569" s="340"/>
      <c r="I569" s="340"/>
      <c r="J569" s="340"/>
      <c r="K569" s="340"/>
      <c r="L569" s="340"/>
      <c r="M569" s="340"/>
      <c r="N569" s="340"/>
      <c r="O569" s="340"/>
      <c r="P569" s="340"/>
      <c r="Q569" s="340"/>
      <c r="R569" s="340"/>
      <c r="S569" s="340"/>
      <c r="T569" s="340"/>
      <c r="U569" s="340"/>
      <c r="V569" s="340"/>
      <c r="W569" s="340"/>
      <c r="X569" s="340"/>
      <c r="Y569" s="340"/>
      <c r="Z569" s="340"/>
    </row>
    <row r="570" spans="1:26" ht="14.25" customHeight="1">
      <c r="A570" s="340"/>
      <c r="B570" s="340"/>
      <c r="C570" s="340"/>
      <c r="D570" s="340"/>
      <c r="E570" s="340"/>
      <c r="F570" s="340"/>
      <c r="G570" s="340"/>
      <c r="H570" s="340"/>
      <c r="I570" s="340"/>
      <c r="J570" s="340"/>
      <c r="K570" s="340"/>
      <c r="L570" s="340"/>
      <c r="M570" s="340"/>
      <c r="N570" s="340"/>
      <c r="O570" s="340"/>
      <c r="P570" s="340"/>
      <c r="Q570" s="340"/>
      <c r="R570" s="340"/>
      <c r="S570" s="340"/>
      <c r="T570" s="340"/>
      <c r="U570" s="340"/>
      <c r="V570" s="340"/>
      <c r="W570" s="340"/>
      <c r="X570" s="340"/>
      <c r="Y570" s="340"/>
      <c r="Z570" s="340"/>
    </row>
    <row r="571" spans="1:26" ht="14.25" customHeight="1">
      <c r="A571" s="340"/>
      <c r="B571" s="340"/>
      <c r="C571" s="340"/>
      <c r="D571" s="340"/>
      <c r="E571" s="340"/>
      <c r="F571" s="340"/>
      <c r="G571" s="340"/>
      <c r="H571" s="340"/>
      <c r="I571" s="340"/>
      <c r="J571" s="340"/>
      <c r="K571" s="340"/>
      <c r="L571" s="340"/>
      <c r="M571" s="340"/>
      <c r="N571" s="340"/>
      <c r="O571" s="340"/>
      <c r="P571" s="340"/>
      <c r="Q571" s="340"/>
      <c r="R571" s="340"/>
      <c r="S571" s="340"/>
      <c r="T571" s="340"/>
      <c r="U571" s="340"/>
      <c r="V571" s="340"/>
      <c r="W571" s="340"/>
      <c r="X571" s="340"/>
      <c r="Y571" s="340"/>
      <c r="Z571" s="340"/>
    </row>
    <row r="572" spans="1:26" ht="14.25" customHeight="1">
      <c r="A572" s="340"/>
      <c r="B572" s="340"/>
      <c r="C572" s="340"/>
      <c r="D572" s="340"/>
      <c r="E572" s="340"/>
      <c r="F572" s="340"/>
      <c r="G572" s="340"/>
      <c r="H572" s="340"/>
      <c r="I572" s="340"/>
      <c r="J572" s="340"/>
      <c r="K572" s="340"/>
      <c r="L572" s="340"/>
      <c r="M572" s="340"/>
      <c r="N572" s="340"/>
      <c r="O572" s="340"/>
      <c r="P572" s="340"/>
      <c r="Q572" s="340"/>
      <c r="R572" s="340"/>
      <c r="S572" s="340"/>
      <c r="T572" s="340"/>
      <c r="U572" s="340"/>
      <c r="V572" s="340"/>
      <c r="W572" s="340"/>
      <c r="X572" s="340"/>
      <c r="Y572" s="340"/>
      <c r="Z572" s="340"/>
    </row>
    <row r="573" spans="1:26" ht="14.25" customHeight="1">
      <c r="A573" s="340"/>
      <c r="B573" s="340"/>
      <c r="C573" s="340"/>
      <c r="D573" s="340"/>
      <c r="E573" s="340"/>
      <c r="F573" s="340"/>
      <c r="G573" s="340"/>
      <c r="H573" s="340"/>
      <c r="I573" s="340"/>
      <c r="J573" s="340"/>
      <c r="K573" s="340"/>
      <c r="L573" s="340"/>
      <c r="M573" s="340"/>
      <c r="N573" s="340"/>
      <c r="O573" s="340"/>
      <c r="P573" s="340"/>
      <c r="Q573" s="340"/>
      <c r="R573" s="340"/>
      <c r="S573" s="340"/>
      <c r="T573" s="340"/>
      <c r="U573" s="340"/>
      <c r="V573" s="340"/>
      <c r="W573" s="340"/>
      <c r="X573" s="340"/>
      <c r="Y573" s="340"/>
      <c r="Z573" s="340"/>
    </row>
    <row r="574" spans="1:26" ht="14.25" customHeight="1">
      <c r="A574" s="340"/>
      <c r="B574" s="340"/>
      <c r="C574" s="340"/>
      <c r="D574" s="340"/>
      <c r="E574" s="340"/>
      <c r="F574" s="340"/>
      <c r="G574" s="340"/>
      <c r="H574" s="340"/>
      <c r="I574" s="340"/>
      <c r="J574" s="340"/>
      <c r="K574" s="340"/>
      <c r="L574" s="340"/>
      <c r="M574" s="340"/>
      <c r="N574" s="340"/>
      <c r="O574" s="340"/>
      <c r="P574" s="340"/>
      <c r="Q574" s="340"/>
      <c r="R574" s="340"/>
      <c r="S574" s="340"/>
      <c r="T574" s="340"/>
      <c r="U574" s="340"/>
      <c r="V574" s="340"/>
      <c r="W574" s="340"/>
      <c r="X574" s="340"/>
      <c r="Y574" s="340"/>
      <c r="Z574" s="340"/>
    </row>
    <row r="575" spans="1:26" ht="14.25" customHeight="1">
      <c r="A575" s="340"/>
      <c r="B575" s="340"/>
      <c r="C575" s="340"/>
      <c r="D575" s="340"/>
      <c r="E575" s="340"/>
      <c r="F575" s="340"/>
      <c r="G575" s="340"/>
      <c r="H575" s="340"/>
      <c r="I575" s="340"/>
      <c r="J575" s="340"/>
      <c r="K575" s="340"/>
      <c r="L575" s="340"/>
      <c r="M575" s="340"/>
      <c r="N575" s="340"/>
      <c r="O575" s="340"/>
      <c r="P575" s="340"/>
      <c r="Q575" s="340"/>
      <c r="R575" s="340"/>
      <c r="S575" s="340"/>
      <c r="T575" s="340"/>
      <c r="U575" s="340"/>
      <c r="V575" s="340"/>
      <c r="W575" s="340"/>
      <c r="X575" s="340"/>
      <c r="Y575" s="340"/>
      <c r="Z575" s="340"/>
    </row>
    <row r="576" spans="1:26" ht="14.25" customHeight="1">
      <c r="A576" s="340"/>
      <c r="B576" s="340"/>
      <c r="C576" s="340"/>
      <c r="D576" s="340"/>
      <c r="E576" s="340"/>
      <c r="F576" s="340"/>
      <c r="G576" s="340"/>
      <c r="H576" s="340"/>
      <c r="I576" s="340"/>
      <c r="J576" s="340"/>
      <c r="K576" s="340"/>
      <c r="L576" s="340"/>
      <c r="M576" s="340"/>
      <c r="N576" s="340"/>
      <c r="O576" s="340"/>
      <c r="P576" s="340"/>
      <c r="Q576" s="340"/>
      <c r="R576" s="340"/>
      <c r="S576" s="340"/>
      <c r="T576" s="340"/>
      <c r="U576" s="340"/>
      <c r="V576" s="340"/>
      <c r="W576" s="340"/>
      <c r="X576" s="340"/>
      <c r="Y576" s="340"/>
      <c r="Z576" s="340"/>
    </row>
    <row r="577" spans="1:26" ht="14.25" customHeight="1">
      <c r="A577" s="340"/>
      <c r="B577" s="340"/>
      <c r="C577" s="340"/>
      <c r="D577" s="340"/>
      <c r="E577" s="340"/>
      <c r="F577" s="340"/>
      <c r="G577" s="340"/>
      <c r="H577" s="340"/>
      <c r="I577" s="340"/>
      <c r="J577" s="340"/>
      <c r="K577" s="340"/>
      <c r="L577" s="340"/>
      <c r="M577" s="340"/>
      <c r="N577" s="340"/>
      <c r="O577" s="340"/>
      <c r="P577" s="340"/>
      <c r="Q577" s="340"/>
      <c r="R577" s="340"/>
      <c r="S577" s="340"/>
      <c r="T577" s="340"/>
      <c r="U577" s="340"/>
      <c r="V577" s="340"/>
      <c r="W577" s="340"/>
      <c r="X577" s="340"/>
      <c r="Y577" s="340"/>
      <c r="Z577" s="340"/>
    </row>
    <row r="578" spans="1:26" ht="14.25" customHeight="1">
      <c r="A578" s="340"/>
      <c r="B578" s="340"/>
      <c r="C578" s="340"/>
      <c r="D578" s="340"/>
      <c r="E578" s="340"/>
      <c r="F578" s="340"/>
      <c r="G578" s="340"/>
      <c r="H578" s="340"/>
      <c r="I578" s="340"/>
      <c r="J578" s="340"/>
      <c r="K578" s="340"/>
      <c r="L578" s="340"/>
      <c r="M578" s="340"/>
      <c r="N578" s="340"/>
      <c r="O578" s="340"/>
      <c r="P578" s="340"/>
      <c r="Q578" s="340"/>
      <c r="R578" s="340"/>
      <c r="S578" s="340"/>
      <c r="T578" s="340"/>
      <c r="U578" s="340"/>
      <c r="V578" s="340"/>
      <c r="W578" s="340"/>
      <c r="X578" s="340"/>
      <c r="Y578" s="340"/>
      <c r="Z578" s="340"/>
    </row>
    <row r="579" spans="1:26" ht="14.25" customHeight="1">
      <c r="A579" s="340"/>
      <c r="B579" s="340"/>
      <c r="C579" s="340"/>
      <c r="D579" s="340"/>
      <c r="E579" s="340"/>
      <c r="F579" s="340"/>
      <c r="G579" s="340"/>
      <c r="H579" s="340"/>
      <c r="I579" s="340"/>
      <c r="J579" s="340"/>
      <c r="K579" s="340"/>
      <c r="L579" s="340"/>
      <c r="M579" s="340"/>
      <c r="N579" s="340"/>
      <c r="O579" s="340"/>
      <c r="P579" s="340"/>
      <c r="Q579" s="340"/>
      <c r="R579" s="340"/>
      <c r="S579" s="340"/>
      <c r="T579" s="340"/>
      <c r="U579" s="340"/>
      <c r="V579" s="340"/>
      <c r="W579" s="340"/>
      <c r="X579" s="340"/>
      <c r="Y579" s="340"/>
      <c r="Z579" s="340"/>
    </row>
    <row r="580" spans="1:26" ht="14.25" customHeight="1">
      <c r="A580" s="340"/>
      <c r="B580" s="340"/>
      <c r="C580" s="340"/>
      <c r="D580" s="340"/>
      <c r="E580" s="340"/>
      <c r="F580" s="340"/>
      <c r="G580" s="340"/>
      <c r="H580" s="340"/>
      <c r="I580" s="340"/>
      <c r="J580" s="340"/>
      <c r="K580" s="340"/>
      <c r="L580" s="340"/>
      <c r="M580" s="340"/>
      <c r="N580" s="340"/>
      <c r="O580" s="340"/>
      <c r="P580" s="340"/>
      <c r="Q580" s="340"/>
      <c r="R580" s="340"/>
      <c r="S580" s="340"/>
      <c r="T580" s="340"/>
      <c r="U580" s="340"/>
      <c r="V580" s="340"/>
      <c r="W580" s="340"/>
      <c r="X580" s="340"/>
      <c r="Y580" s="340"/>
      <c r="Z580" s="340"/>
    </row>
    <row r="581" spans="1:26" ht="14.25" customHeight="1">
      <c r="A581" s="340"/>
      <c r="B581" s="340"/>
      <c r="C581" s="340"/>
      <c r="D581" s="340"/>
      <c r="E581" s="340"/>
      <c r="F581" s="340"/>
      <c r="G581" s="340"/>
      <c r="H581" s="340"/>
      <c r="I581" s="340"/>
      <c r="J581" s="340"/>
      <c r="K581" s="340"/>
      <c r="L581" s="340"/>
      <c r="M581" s="340"/>
      <c r="N581" s="340"/>
      <c r="O581" s="340"/>
      <c r="P581" s="340"/>
      <c r="Q581" s="340"/>
      <c r="R581" s="340"/>
      <c r="S581" s="340"/>
      <c r="T581" s="340"/>
      <c r="U581" s="340"/>
      <c r="V581" s="340"/>
      <c r="W581" s="340"/>
      <c r="X581" s="340"/>
      <c r="Y581" s="340"/>
      <c r="Z581" s="340"/>
    </row>
    <row r="582" spans="1:26" ht="14.25" customHeight="1">
      <c r="A582" s="340"/>
      <c r="B582" s="340"/>
      <c r="C582" s="340"/>
      <c r="D582" s="340"/>
      <c r="E582" s="340"/>
      <c r="F582" s="340"/>
      <c r="G582" s="340"/>
      <c r="H582" s="340"/>
      <c r="I582" s="340"/>
      <c r="J582" s="340"/>
      <c r="K582" s="340"/>
      <c r="L582" s="340"/>
      <c r="M582" s="340"/>
      <c r="N582" s="340"/>
      <c r="O582" s="340"/>
      <c r="P582" s="340"/>
      <c r="Q582" s="340"/>
      <c r="R582" s="340"/>
      <c r="S582" s="340"/>
      <c r="T582" s="340"/>
      <c r="U582" s="340"/>
      <c r="V582" s="340"/>
      <c r="W582" s="340"/>
      <c r="X582" s="340"/>
      <c r="Y582" s="340"/>
      <c r="Z582" s="340"/>
    </row>
    <row r="583" spans="1:26" ht="14.25" customHeight="1">
      <c r="A583" s="340"/>
      <c r="B583" s="340"/>
      <c r="C583" s="340"/>
      <c r="D583" s="340"/>
      <c r="E583" s="340"/>
      <c r="F583" s="340"/>
      <c r="G583" s="340"/>
      <c r="H583" s="340"/>
      <c r="I583" s="340"/>
      <c r="J583" s="340"/>
      <c r="K583" s="340"/>
      <c r="L583" s="340"/>
      <c r="M583" s="340"/>
      <c r="N583" s="340"/>
      <c r="O583" s="340"/>
      <c r="P583" s="340"/>
      <c r="Q583" s="340"/>
      <c r="R583" s="340"/>
      <c r="S583" s="340"/>
      <c r="T583" s="340"/>
      <c r="U583" s="340"/>
      <c r="V583" s="340"/>
      <c r="W583" s="340"/>
      <c r="X583" s="340"/>
      <c r="Y583" s="340"/>
      <c r="Z583" s="340"/>
    </row>
    <row r="584" spans="1:26" ht="14.25" customHeight="1">
      <c r="A584" s="340"/>
      <c r="B584" s="340"/>
      <c r="C584" s="340"/>
      <c r="D584" s="340"/>
      <c r="E584" s="340"/>
      <c r="F584" s="340"/>
      <c r="G584" s="340"/>
      <c r="H584" s="340"/>
      <c r="I584" s="340"/>
      <c r="J584" s="340"/>
      <c r="K584" s="340"/>
      <c r="L584" s="340"/>
      <c r="M584" s="340"/>
      <c r="N584" s="340"/>
      <c r="O584" s="340"/>
      <c r="P584" s="340"/>
      <c r="Q584" s="340"/>
      <c r="R584" s="340"/>
      <c r="S584" s="340"/>
      <c r="T584" s="340"/>
      <c r="U584" s="340"/>
      <c r="V584" s="340"/>
      <c r="W584" s="340"/>
      <c r="X584" s="340"/>
      <c r="Y584" s="340"/>
      <c r="Z584" s="340"/>
    </row>
    <row r="585" spans="1:26" ht="14.25" customHeight="1">
      <c r="A585" s="340"/>
      <c r="B585" s="340"/>
      <c r="C585" s="340"/>
      <c r="D585" s="340"/>
      <c r="E585" s="340"/>
      <c r="F585" s="340"/>
      <c r="G585" s="340"/>
      <c r="H585" s="340"/>
      <c r="I585" s="340"/>
      <c r="J585" s="340"/>
      <c r="K585" s="340"/>
      <c r="L585" s="340"/>
      <c r="M585" s="340"/>
      <c r="N585" s="340"/>
      <c r="O585" s="340"/>
      <c r="P585" s="340"/>
      <c r="Q585" s="340"/>
      <c r="R585" s="340"/>
      <c r="S585" s="340"/>
      <c r="T585" s="340"/>
      <c r="U585" s="340"/>
      <c r="V585" s="340"/>
      <c r="W585" s="340"/>
      <c r="X585" s="340"/>
      <c r="Y585" s="340"/>
      <c r="Z585" s="340"/>
    </row>
    <row r="586" spans="1:26" ht="14.25" customHeight="1">
      <c r="A586" s="340"/>
      <c r="B586" s="340"/>
      <c r="C586" s="340"/>
      <c r="D586" s="340"/>
      <c r="E586" s="340"/>
      <c r="F586" s="340"/>
      <c r="G586" s="340"/>
      <c r="H586" s="340"/>
      <c r="I586" s="340"/>
      <c r="J586" s="340"/>
      <c r="K586" s="340"/>
      <c r="L586" s="340"/>
      <c r="M586" s="340"/>
      <c r="N586" s="340"/>
      <c r="O586" s="340"/>
      <c r="P586" s="340"/>
      <c r="Q586" s="340"/>
      <c r="R586" s="340"/>
      <c r="S586" s="340"/>
      <c r="T586" s="340"/>
      <c r="U586" s="340"/>
      <c r="V586" s="340"/>
      <c r="W586" s="340"/>
      <c r="X586" s="340"/>
      <c r="Y586" s="340"/>
      <c r="Z586" s="340"/>
    </row>
    <row r="587" spans="1:26" ht="14.25" customHeight="1">
      <c r="A587" s="340"/>
      <c r="B587" s="340"/>
      <c r="C587" s="340"/>
      <c r="D587" s="340"/>
      <c r="E587" s="340"/>
      <c r="F587" s="340"/>
      <c r="G587" s="340"/>
      <c r="H587" s="340"/>
      <c r="I587" s="340"/>
      <c r="J587" s="340"/>
      <c r="K587" s="340"/>
      <c r="L587" s="340"/>
      <c r="M587" s="340"/>
      <c r="N587" s="340"/>
      <c r="O587" s="340"/>
      <c r="P587" s="340"/>
      <c r="Q587" s="340"/>
      <c r="R587" s="340"/>
      <c r="S587" s="340"/>
      <c r="T587" s="340"/>
      <c r="U587" s="340"/>
      <c r="V587" s="340"/>
      <c r="W587" s="340"/>
      <c r="X587" s="340"/>
      <c r="Y587" s="340"/>
      <c r="Z587" s="340"/>
    </row>
    <row r="588" spans="1:26" ht="14.25" customHeight="1">
      <c r="A588" s="340"/>
      <c r="B588" s="340"/>
      <c r="C588" s="340"/>
      <c r="D588" s="340"/>
      <c r="E588" s="340"/>
      <c r="F588" s="340"/>
      <c r="G588" s="340"/>
      <c r="H588" s="340"/>
      <c r="I588" s="340"/>
      <c r="J588" s="340"/>
      <c r="K588" s="340"/>
      <c r="L588" s="340"/>
      <c r="M588" s="340"/>
      <c r="N588" s="340"/>
      <c r="O588" s="340"/>
      <c r="P588" s="340"/>
      <c r="Q588" s="340"/>
      <c r="R588" s="340"/>
      <c r="S588" s="340"/>
      <c r="T588" s="340"/>
      <c r="U588" s="340"/>
      <c r="V588" s="340"/>
      <c r="W588" s="340"/>
      <c r="X588" s="340"/>
      <c r="Y588" s="340"/>
      <c r="Z588" s="340"/>
    </row>
    <row r="589" spans="1:26" ht="14.25" customHeight="1">
      <c r="A589" s="340"/>
      <c r="B589" s="340"/>
      <c r="C589" s="340"/>
      <c r="D589" s="340"/>
      <c r="E589" s="340"/>
      <c r="F589" s="340"/>
      <c r="G589" s="340"/>
      <c r="H589" s="340"/>
      <c r="I589" s="340"/>
      <c r="J589" s="340"/>
      <c r="K589" s="340"/>
      <c r="L589" s="340"/>
      <c r="M589" s="340"/>
      <c r="N589" s="340"/>
      <c r="O589" s="340"/>
      <c r="P589" s="340"/>
      <c r="Q589" s="340"/>
      <c r="R589" s="340"/>
      <c r="S589" s="340"/>
      <c r="T589" s="340"/>
      <c r="U589" s="340"/>
      <c r="V589" s="340"/>
      <c r="W589" s="340"/>
      <c r="X589" s="340"/>
      <c r="Y589" s="340"/>
      <c r="Z589" s="340"/>
    </row>
    <row r="590" spans="1:26" ht="14.25" customHeight="1">
      <c r="A590" s="340"/>
      <c r="B590" s="340"/>
      <c r="C590" s="340"/>
      <c r="D590" s="340"/>
      <c r="E590" s="340"/>
      <c r="F590" s="340"/>
      <c r="G590" s="340"/>
      <c r="H590" s="340"/>
      <c r="I590" s="340"/>
      <c r="J590" s="340"/>
      <c r="K590" s="340"/>
      <c r="L590" s="340"/>
      <c r="M590" s="340"/>
      <c r="N590" s="340"/>
      <c r="O590" s="340"/>
      <c r="P590" s="340"/>
      <c r="Q590" s="340"/>
      <c r="R590" s="340"/>
      <c r="S590" s="340"/>
      <c r="T590" s="340"/>
      <c r="U590" s="340"/>
      <c r="V590" s="340"/>
      <c r="W590" s="340"/>
      <c r="X590" s="340"/>
      <c r="Y590" s="340"/>
      <c r="Z590" s="340"/>
    </row>
    <row r="591" spans="1:26" ht="14.25" customHeight="1">
      <c r="A591" s="340"/>
      <c r="B591" s="340"/>
      <c r="C591" s="340"/>
      <c r="D591" s="340"/>
      <c r="E591" s="340"/>
      <c r="F591" s="340"/>
      <c r="G591" s="340"/>
      <c r="H591" s="340"/>
      <c r="I591" s="340"/>
      <c r="J591" s="340"/>
      <c r="K591" s="340"/>
      <c r="L591" s="340"/>
      <c r="M591" s="340"/>
      <c r="N591" s="340"/>
      <c r="O591" s="340"/>
      <c r="P591" s="340"/>
      <c r="Q591" s="340"/>
      <c r="R591" s="340"/>
      <c r="S591" s="340"/>
      <c r="T591" s="340"/>
      <c r="U591" s="340"/>
      <c r="V591" s="340"/>
      <c r="W591" s="340"/>
      <c r="X591" s="340"/>
      <c r="Y591" s="340"/>
      <c r="Z591" s="340"/>
    </row>
    <row r="592" spans="1:26" ht="14.25" customHeight="1">
      <c r="A592" s="340"/>
      <c r="B592" s="340"/>
      <c r="C592" s="340"/>
      <c r="D592" s="340"/>
      <c r="E592" s="340"/>
      <c r="F592" s="340"/>
      <c r="G592" s="340"/>
      <c r="H592" s="340"/>
      <c r="I592" s="340"/>
      <c r="J592" s="340"/>
      <c r="K592" s="340"/>
      <c r="L592" s="340"/>
      <c r="M592" s="340"/>
      <c r="N592" s="340"/>
      <c r="O592" s="340"/>
      <c r="P592" s="340"/>
      <c r="Q592" s="340"/>
      <c r="R592" s="340"/>
      <c r="S592" s="340"/>
      <c r="T592" s="340"/>
      <c r="U592" s="340"/>
      <c r="V592" s="340"/>
      <c r="W592" s="340"/>
      <c r="X592" s="340"/>
      <c r="Y592" s="340"/>
      <c r="Z592" s="340"/>
    </row>
    <row r="593" spans="1:26" ht="14.25" customHeight="1">
      <c r="A593" s="340"/>
      <c r="B593" s="340"/>
      <c r="C593" s="340"/>
      <c r="D593" s="340"/>
      <c r="E593" s="340"/>
      <c r="F593" s="340"/>
      <c r="G593" s="340"/>
      <c r="H593" s="340"/>
      <c r="I593" s="340"/>
      <c r="J593" s="340"/>
      <c r="K593" s="340"/>
      <c r="L593" s="340"/>
      <c r="M593" s="340"/>
      <c r="N593" s="340"/>
      <c r="O593" s="340"/>
      <c r="P593" s="340"/>
      <c r="Q593" s="340"/>
      <c r="R593" s="340"/>
      <c r="S593" s="340"/>
      <c r="T593" s="340"/>
      <c r="U593" s="340"/>
      <c r="V593" s="340"/>
      <c r="W593" s="340"/>
      <c r="X593" s="340"/>
      <c r="Y593" s="340"/>
      <c r="Z593" s="340"/>
    </row>
    <row r="594" spans="1:26" ht="14.25" customHeight="1">
      <c r="A594" s="340"/>
      <c r="B594" s="340"/>
      <c r="C594" s="340"/>
      <c r="D594" s="340"/>
      <c r="E594" s="340"/>
      <c r="F594" s="340"/>
      <c r="G594" s="340"/>
      <c r="H594" s="340"/>
      <c r="I594" s="340"/>
      <c r="J594" s="340"/>
      <c r="K594" s="340"/>
      <c r="L594" s="340"/>
      <c r="M594" s="340"/>
      <c r="N594" s="340"/>
      <c r="O594" s="340"/>
      <c r="P594" s="340"/>
      <c r="Q594" s="340"/>
      <c r="R594" s="340"/>
      <c r="S594" s="340"/>
      <c r="T594" s="340"/>
      <c r="U594" s="340"/>
      <c r="V594" s="340"/>
      <c r="W594" s="340"/>
      <c r="X594" s="340"/>
      <c r="Y594" s="340"/>
      <c r="Z594" s="340"/>
    </row>
    <row r="595" spans="1:26" ht="14.25" customHeight="1">
      <c r="A595" s="340"/>
      <c r="B595" s="340"/>
      <c r="C595" s="340"/>
      <c r="D595" s="340"/>
      <c r="E595" s="340"/>
      <c r="F595" s="340"/>
      <c r="G595" s="340"/>
      <c r="H595" s="340"/>
      <c r="I595" s="340"/>
      <c r="J595" s="340"/>
      <c r="K595" s="340"/>
      <c r="L595" s="340"/>
      <c r="M595" s="340"/>
      <c r="N595" s="340"/>
      <c r="O595" s="340"/>
      <c r="P595" s="340"/>
      <c r="Q595" s="340"/>
      <c r="R595" s="340"/>
      <c r="S595" s="340"/>
      <c r="T595" s="340"/>
      <c r="U595" s="340"/>
      <c r="V595" s="340"/>
      <c r="W595" s="340"/>
      <c r="X595" s="340"/>
      <c r="Y595" s="340"/>
      <c r="Z595" s="340"/>
    </row>
    <row r="596" spans="1:26" ht="14.25" customHeight="1">
      <c r="A596" s="340"/>
      <c r="B596" s="340"/>
      <c r="C596" s="340"/>
      <c r="D596" s="340"/>
      <c r="E596" s="340"/>
      <c r="F596" s="340"/>
      <c r="G596" s="340"/>
      <c r="H596" s="340"/>
      <c r="I596" s="340"/>
      <c r="J596" s="340"/>
      <c r="K596" s="340"/>
      <c r="L596" s="340"/>
      <c r="M596" s="340"/>
      <c r="N596" s="340"/>
      <c r="O596" s="340"/>
      <c r="P596" s="340"/>
      <c r="Q596" s="340"/>
      <c r="R596" s="340"/>
      <c r="S596" s="340"/>
      <c r="T596" s="340"/>
      <c r="U596" s="340"/>
      <c r="V596" s="340"/>
      <c r="W596" s="340"/>
      <c r="X596" s="340"/>
      <c r="Y596" s="340"/>
      <c r="Z596" s="340"/>
    </row>
    <row r="597" spans="1:26" ht="14.25" customHeight="1">
      <c r="A597" s="340"/>
      <c r="B597" s="340"/>
      <c r="C597" s="340"/>
      <c r="D597" s="340"/>
      <c r="E597" s="340"/>
      <c r="F597" s="340"/>
      <c r="G597" s="340"/>
      <c r="H597" s="340"/>
      <c r="I597" s="340"/>
      <c r="J597" s="340"/>
      <c r="K597" s="340"/>
      <c r="L597" s="340"/>
      <c r="M597" s="340"/>
      <c r="N597" s="340"/>
      <c r="O597" s="340"/>
      <c r="P597" s="340"/>
      <c r="Q597" s="340"/>
      <c r="R597" s="340"/>
      <c r="S597" s="340"/>
      <c r="T597" s="340"/>
      <c r="U597" s="340"/>
      <c r="V597" s="340"/>
      <c r="W597" s="340"/>
      <c r="X597" s="340"/>
      <c r="Y597" s="340"/>
      <c r="Z597" s="340"/>
    </row>
    <row r="598" spans="1:26" ht="14.25" customHeight="1">
      <c r="A598" s="340"/>
      <c r="B598" s="340"/>
      <c r="C598" s="340"/>
      <c r="D598" s="340"/>
      <c r="E598" s="340"/>
      <c r="F598" s="340"/>
      <c r="G598" s="340"/>
      <c r="H598" s="340"/>
      <c r="I598" s="340"/>
      <c r="J598" s="340"/>
      <c r="K598" s="340"/>
      <c r="L598" s="340"/>
      <c r="M598" s="340"/>
      <c r="N598" s="340"/>
      <c r="O598" s="340"/>
      <c r="P598" s="340"/>
      <c r="Q598" s="340"/>
      <c r="R598" s="340"/>
      <c r="S598" s="340"/>
      <c r="T598" s="340"/>
      <c r="U598" s="340"/>
      <c r="V598" s="340"/>
      <c r="W598" s="340"/>
      <c r="X598" s="340"/>
      <c r="Y598" s="340"/>
      <c r="Z598" s="340"/>
    </row>
    <row r="599" spans="1:26" ht="14.25" customHeight="1">
      <c r="A599" s="340"/>
      <c r="B599" s="340"/>
      <c r="C599" s="340"/>
      <c r="D599" s="340"/>
      <c r="E599" s="340"/>
      <c r="F599" s="340"/>
      <c r="G599" s="340"/>
      <c r="H599" s="340"/>
      <c r="I599" s="340"/>
      <c r="J599" s="340"/>
      <c r="K599" s="340"/>
      <c r="L599" s="340"/>
      <c r="M599" s="340"/>
      <c r="N599" s="340"/>
      <c r="O599" s="340"/>
      <c r="P599" s="340"/>
      <c r="Q599" s="340"/>
      <c r="R599" s="340"/>
      <c r="S599" s="340"/>
      <c r="T599" s="340"/>
      <c r="U599" s="340"/>
      <c r="V599" s="340"/>
      <c r="W599" s="340"/>
      <c r="X599" s="340"/>
      <c r="Y599" s="340"/>
      <c r="Z599" s="340"/>
    </row>
    <row r="600" spans="1:26" ht="14.25" customHeight="1">
      <c r="A600" s="340"/>
      <c r="B600" s="340"/>
      <c r="C600" s="340"/>
      <c r="D600" s="340"/>
      <c r="E600" s="340"/>
      <c r="F600" s="340"/>
      <c r="G600" s="340"/>
      <c r="H600" s="340"/>
      <c r="I600" s="340"/>
      <c r="J600" s="340"/>
      <c r="K600" s="340"/>
      <c r="L600" s="340"/>
      <c r="M600" s="340"/>
      <c r="N600" s="340"/>
      <c r="O600" s="340"/>
      <c r="P600" s="340"/>
      <c r="Q600" s="340"/>
      <c r="R600" s="340"/>
      <c r="S600" s="340"/>
      <c r="T600" s="340"/>
      <c r="U600" s="340"/>
      <c r="V600" s="340"/>
      <c r="W600" s="340"/>
      <c r="X600" s="340"/>
      <c r="Y600" s="340"/>
      <c r="Z600" s="340"/>
    </row>
    <row r="601" spans="1:26" ht="14.25" customHeight="1">
      <c r="A601" s="340"/>
      <c r="B601" s="340"/>
      <c r="C601" s="340"/>
      <c r="D601" s="340"/>
      <c r="E601" s="340"/>
      <c r="F601" s="340"/>
      <c r="G601" s="340"/>
      <c r="H601" s="340"/>
      <c r="I601" s="340"/>
      <c r="J601" s="340"/>
      <c r="K601" s="340"/>
      <c r="L601" s="340"/>
      <c r="M601" s="340"/>
      <c r="N601" s="340"/>
      <c r="O601" s="340"/>
      <c r="P601" s="340"/>
      <c r="Q601" s="340"/>
      <c r="R601" s="340"/>
      <c r="S601" s="340"/>
      <c r="T601" s="340"/>
      <c r="U601" s="340"/>
      <c r="V601" s="340"/>
      <c r="W601" s="340"/>
      <c r="X601" s="340"/>
      <c r="Y601" s="340"/>
      <c r="Z601" s="340"/>
    </row>
    <row r="602" spans="1:26" ht="14.25" customHeight="1">
      <c r="A602" s="340"/>
      <c r="B602" s="340"/>
      <c r="C602" s="340"/>
      <c r="D602" s="340"/>
      <c r="E602" s="340"/>
      <c r="F602" s="340"/>
      <c r="G602" s="340"/>
      <c r="H602" s="340"/>
      <c r="I602" s="340"/>
      <c r="J602" s="340"/>
      <c r="K602" s="340"/>
      <c r="L602" s="340"/>
      <c r="M602" s="340"/>
      <c r="N602" s="340"/>
      <c r="O602" s="340"/>
      <c r="P602" s="340"/>
      <c r="Q602" s="340"/>
      <c r="R602" s="340"/>
      <c r="S602" s="340"/>
      <c r="T602" s="340"/>
      <c r="U602" s="340"/>
      <c r="V602" s="340"/>
      <c r="W602" s="340"/>
      <c r="X602" s="340"/>
      <c r="Y602" s="340"/>
      <c r="Z602" s="340"/>
    </row>
    <row r="603" spans="1:26" ht="14.25" customHeight="1">
      <c r="A603" s="340"/>
      <c r="B603" s="340"/>
      <c r="C603" s="340"/>
      <c r="D603" s="340"/>
      <c r="E603" s="340"/>
      <c r="F603" s="340"/>
      <c r="G603" s="340"/>
      <c r="H603" s="340"/>
      <c r="I603" s="340"/>
      <c r="J603" s="340"/>
      <c r="K603" s="340"/>
      <c r="L603" s="340"/>
      <c r="M603" s="340"/>
      <c r="N603" s="340"/>
      <c r="O603" s="340"/>
      <c r="P603" s="340"/>
      <c r="Q603" s="340"/>
      <c r="R603" s="340"/>
      <c r="S603" s="340"/>
      <c r="T603" s="340"/>
      <c r="U603" s="340"/>
      <c r="V603" s="340"/>
      <c r="W603" s="340"/>
      <c r="X603" s="340"/>
      <c r="Y603" s="340"/>
      <c r="Z603" s="340"/>
    </row>
    <row r="604" spans="1:26" ht="14.25" customHeight="1">
      <c r="A604" s="340"/>
      <c r="B604" s="340"/>
      <c r="C604" s="340"/>
      <c r="D604" s="340"/>
      <c r="E604" s="340"/>
      <c r="F604" s="340"/>
      <c r="G604" s="340"/>
      <c r="H604" s="340"/>
      <c r="I604" s="340"/>
      <c r="J604" s="340"/>
      <c r="K604" s="340"/>
      <c r="L604" s="340"/>
      <c r="M604" s="340"/>
      <c r="N604" s="340"/>
      <c r="O604" s="340"/>
      <c r="P604" s="340"/>
      <c r="Q604" s="340"/>
      <c r="R604" s="340"/>
      <c r="S604" s="340"/>
      <c r="T604" s="340"/>
      <c r="U604" s="340"/>
      <c r="V604" s="340"/>
      <c r="W604" s="340"/>
      <c r="X604" s="340"/>
      <c r="Y604" s="340"/>
      <c r="Z604" s="340"/>
    </row>
    <row r="605" spans="1:26" ht="14.25" customHeight="1">
      <c r="A605" s="340"/>
      <c r="B605" s="340"/>
      <c r="C605" s="340"/>
      <c r="D605" s="340"/>
      <c r="E605" s="340"/>
      <c r="F605" s="340"/>
      <c r="G605" s="340"/>
      <c r="H605" s="340"/>
      <c r="I605" s="340"/>
      <c r="J605" s="340"/>
      <c r="K605" s="340"/>
      <c r="L605" s="340"/>
      <c r="M605" s="340"/>
      <c r="N605" s="340"/>
      <c r="O605" s="340"/>
      <c r="P605" s="340"/>
      <c r="Q605" s="340"/>
      <c r="R605" s="340"/>
      <c r="S605" s="340"/>
      <c r="T605" s="340"/>
      <c r="U605" s="340"/>
      <c r="V605" s="340"/>
      <c r="W605" s="340"/>
      <c r="X605" s="340"/>
      <c r="Y605" s="340"/>
      <c r="Z605" s="340"/>
    </row>
    <row r="606" spans="1:26" ht="14.25" customHeight="1">
      <c r="A606" s="340"/>
      <c r="B606" s="340"/>
      <c r="C606" s="340"/>
      <c r="D606" s="340"/>
      <c r="E606" s="340"/>
      <c r="F606" s="340"/>
      <c r="G606" s="340"/>
      <c r="H606" s="340"/>
      <c r="I606" s="340"/>
      <c r="J606" s="340"/>
      <c r="K606" s="340"/>
      <c r="L606" s="340"/>
      <c r="M606" s="340"/>
      <c r="N606" s="340"/>
      <c r="O606" s="340"/>
      <c r="P606" s="340"/>
      <c r="Q606" s="340"/>
      <c r="R606" s="340"/>
      <c r="S606" s="340"/>
      <c r="T606" s="340"/>
      <c r="U606" s="340"/>
      <c r="V606" s="340"/>
      <c r="W606" s="340"/>
      <c r="X606" s="340"/>
      <c r="Y606" s="340"/>
      <c r="Z606" s="340"/>
    </row>
    <row r="607" spans="1:26" ht="14.25" customHeight="1">
      <c r="A607" s="340"/>
      <c r="B607" s="340"/>
      <c r="C607" s="340"/>
      <c r="D607" s="340"/>
      <c r="E607" s="340"/>
      <c r="F607" s="340"/>
      <c r="G607" s="340"/>
      <c r="H607" s="340"/>
      <c r="I607" s="340"/>
      <c r="J607" s="340"/>
      <c r="K607" s="340"/>
      <c r="L607" s="340"/>
      <c r="M607" s="340"/>
      <c r="N607" s="340"/>
      <c r="O607" s="340"/>
      <c r="P607" s="340"/>
      <c r="Q607" s="340"/>
      <c r="R607" s="340"/>
      <c r="S607" s="340"/>
      <c r="T607" s="340"/>
      <c r="U607" s="340"/>
      <c r="V607" s="340"/>
      <c r="W607" s="340"/>
      <c r="X607" s="340"/>
      <c r="Y607" s="340"/>
      <c r="Z607" s="340"/>
    </row>
    <row r="608" spans="1:26" ht="14.25" customHeight="1">
      <c r="A608" s="340"/>
      <c r="B608" s="340"/>
      <c r="C608" s="340"/>
      <c r="D608" s="340"/>
      <c r="E608" s="340"/>
      <c r="F608" s="340"/>
      <c r="G608" s="340"/>
      <c r="H608" s="340"/>
      <c r="I608" s="340"/>
      <c r="J608" s="340"/>
      <c r="K608" s="340"/>
      <c r="L608" s="340"/>
      <c r="M608" s="340"/>
      <c r="N608" s="340"/>
      <c r="O608" s="340"/>
      <c r="P608" s="340"/>
      <c r="Q608" s="340"/>
      <c r="R608" s="340"/>
      <c r="S608" s="340"/>
      <c r="T608" s="340"/>
      <c r="U608" s="340"/>
      <c r="V608" s="340"/>
      <c r="W608" s="340"/>
      <c r="X608" s="340"/>
      <c r="Y608" s="340"/>
      <c r="Z608" s="340"/>
    </row>
    <row r="609" spans="1:26" ht="14.25" customHeight="1">
      <c r="A609" s="340"/>
      <c r="B609" s="340"/>
      <c r="C609" s="340"/>
      <c r="D609" s="340"/>
      <c r="E609" s="340"/>
      <c r="F609" s="340"/>
      <c r="G609" s="340"/>
      <c r="H609" s="340"/>
      <c r="I609" s="340"/>
      <c r="J609" s="340"/>
      <c r="K609" s="340"/>
      <c r="L609" s="340"/>
      <c r="M609" s="340"/>
      <c r="N609" s="340"/>
      <c r="O609" s="340"/>
      <c r="P609" s="340"/>
      <c r="Q609" s="340"/>
      <c r="R609" s="340"/>
      <c r="S609" s="340"/>
      <c r="T609" s="340"/>
      <c r="U609" s="340"/>
      <c r="V609" s="340"/>
      <c r="W609" s="340"/>
      <c r="X609" s="340"/>
      <c r="Y609" s="340"/>
      <c r="Z609" s="340"/>
    </row>
    <row r="610" spans="1:26" ht="14.25" customHeight="1">
      <c r="A610" s="340"/>
      <c r="B610" s="340"/>
      <c r="C610" s="340"/>
      <c r="D610" s="340"/>
      <c r="E610" s="340"/>
      <c r="F610" s="340"/>
      <c r="G610" s="340"/>
      <c r="H610" s="340"/>
      <c r="I610" s="340"/>
      <c r="J610" s="340"/>
      <c r="K610" s="340"/>
      <c r="L610" s="340"/>
      <c r="M610" s="340"/>
      <c r="N610" s="340"/>
      <c r="O610" s="340"/>
      <c r="P610" s="340"/>
      <c r="Q610" s="340"/>
      <c r="R610" s="340"/>
      <c r="S610" s="340"/>
      <c r="T610" s="340"/>
      <c r="U610" s="340"/>
      <c r="V610" s="340"/>
      <c r="W610" s="340"/>
      <c r="X610" s="340"/>
      <c r="Y610" s="340"/>
      <c r="Z610" s="340"/>
    </row>
    <row r="611" spans="1:26" ht="14.25" customHeight="1">
      <c r="A611" s="340"/>
      <c r="B611" s="340"/>
      <c r="C611" s="340"/>
      <c r="D611" s="340"/>
      <c r="E611" s="340"/>
      <c r="F611" s="340"/>
      <c r="G611" s="340"/>
      <c r="H611" s="340"/>
      <c r="I611" s="340"/>
      <c r="J611" s="340"/>
      <c r="K611" s="340"/>
      <c r="L611" s="340"/>
      <c r="M611" s="340"/>
      <c r="N611" s="340"/>
      <c r="O611" s="340"/>
      <c r="P611" s="340"/>
      <c r="Q611" s="340"/>
      <c r="R611" s="340"/>
      <c r="S611" s="340"/>
      <c r="T611" s="340"/>
      <c r="U611" s="340"/>
      <c r="V611" s="340"/>
      <c r="W611" s="340"/>
      <c r="X611" s="340"/>
      <c r="Y611" s="340"/>
      <c r="Z611" s="340"/>
    </row>
    <row r="612" spans="1:26" ht="14.25" customHeight="1">
      <c r="A612" s="340"/>
      <c r="B612" s="340"/>
      <c r="C612" s="340"/>
      <c r="D612" s="340"/>
      <c r="E612" s="340"/>
      <c r="F612" s="340"/>
      <c r="G612" s="340"/>
      <c r="H612" s="340"/>
      <c r="I612" s="340"/>
      <c r="J612" s="340"/>
      <c r="K612" s="340"/>
      <c r="L612" s="340"/>
      <c r="M612" s="340"/>
      <c r="N612" s="340"/>
      <c r="O612" s="340"/>
      <c r="P612" s="340"/>
      <c r="Q612" s="340"/>
      <c r="R612" s="340"/>
      <c r="S612" s="340"/>
      <c r="T612" s="340"/>
      <c r="U612" s="340"/>
      <c r="V612" s="340"/>
      <c r="W612" s="340"/>
      <c r="X612" s="340"/>
      <c r="Y612" s="340"/>
      <c r="Z612" s="340"/>
    </row>
    <row r="613" spans="1:26" ht="14.25" customHeight="1">
      <c r="A613" s="340"/>
      <c r="B613" s="340"/>
      <c r="C613" s="340"/>
      <c r="D613" s="340"/>
      <c r="E613" s="340"/>
      <c r="F613" s="340"/>
      <c r="G613" s="340"/>
      <c r="H613" s="340"/>
      <c r="I613" s="340"/>
      <c r="J613" s="340"/>
      <c r="K613" s="340"/>
      <c r="L613" s="340"/>
      <c r="M613" s="340"/>
      <c r="N613" s="340"/>
      <c r="O613" s="340"/>
      <c r="P613" s="340"/>
      <c r="Q613" s="340"/>
      <c r="R613" s="340"/>
      <c r="S613" s="340"/>
      <c r="T613" s="340"/>
      <c r="U613" s="340"/>
      <c r="V613" s="340"/>
      <c r="W613" s="340"/>
      <c r="X613" s="340"/>
      <c r="Y613" s="340"/>
      <c r="Z613" s="340"/>
    </row>
    <row r="614" spans="1:26" ht="14.25" customHeight="1">
      <c r="A614" s="340"/>
      <c r="B614" s="340"/>
      <c r="C614" s="340"/>
      <c r="D614" s="340"/>
      <c r="E614" s="340"/>
      <c r="F614" s="340"/>
      <c r="G614" s="340"/>
      <c r="H614" s="340"/>
      <c r="I614" s="340"/>
      <c r="J614" s="340"/>
      <c r="K614" s="340"/>
      <c r="L614" s="340"/>
      <c r="M614" s="340"/>
      <c r="N614" s="340"/>
      <c r="O614" s="340"/>
      <c r="P614" s="340"/>
      <c r="Q614" s="340"/>
      <c r="R614" s="340"/>
      <c r="S614" s="340"/>
      <c r="T614" s="340"/>
      <c r="U614" s="340"/>
      <c r="V614" s="340"/>
      <c r="W614" s="340"/>
      <c r="X614" s="340"/>
      <c r="Y614" s="340"/>
      <c r="Z614" s="340"/>
    </row>
    <row r="615" spans="1:26" ht="14.25" customHeight="1">
      <c r="A615" s="340"/>
      <c r="B615" s="340"/>
      <c r="C615" s="340"/>
      <c r="D615" s="340"/>
      <c r="E615" s="340"/>
      <c r="F615" s="340"/>
      <c r="G615" s="340"/>
      <c r="H615" s="340"/>
      <c r="I615" s="340"/>
      <c r="J615" s="340"/>
      <c r="K615" s="340"/>
      <c r="L615" s="340"/>
      <c r="M615" s="340"/>
      <c r="N615" s="340"/>
      <c r="O615" s="340"/>
      <c r="P615" s="340"/>
      <c r="Q615" s="340"/>
      <c r="R615" s="340"/>
      <c r="S615" s="340"/>
      <c r="T615" s="340"/>
      <c r="U615" s="340"/>
      <c r="V615" s="340"/>
      <c r="W615" s="340"/>
      <c r="X615" s="340"/>
      <c r="Y615" s="340"/>
      <c r="Z615" s="340"/>
    </row>
    <row r="616" spans="1:26" ht="14.25" customHeight="1">
      <c r="A616" s="340"/>
      <c r="B616" s="340"/>
      <c r="C616" s="340"/>
      <c r="D616" s="340"/>
      <c r="E616" s="340"/>
      <c r="F616" s="340"/>
      <c r="G616" s="340"/>
      <c r="H616" s="340"/>
      <c r="I616" s="340"/>
      <c r="J616" s="340"/>
      <c r="K616" s="340"/>
      <c r="L616" s="340"/>
      <c r="M616" s="340"/>
      <c r="N616" s="340"/>
      <c r="O616" s="340"/>
      <c r="P616" s="340"/>
      <c r="Q616" s="340"/>
      <c r="R616" s="340"/>
      <c r="S616" s="340"/>
      <c r="T616" s="340"/>
      <c r="U616" s="340"/>
      <c r="V616" s="340"/>
      <c r="W616" s="340"/>
      <c r="X616" s="340"/>
      <c r="Y616" s="340"/>
      <c r="Z616" s="340"/>
    </row>
    <row r="617" spans="1:26" ht="14.25" customHeight="1">
      <c r="A617" s="340"/>
      <c r="B617" s="340"/>
      <c r="C617" s="340"/>
      <c r="D617" s="340"/>
      <c r="E617" s="340"/>
      <c r="F617" s="340"/>
      <c r="G617" s="340"/>
      <c r="H617" s="340"/>
      <c r="I617" s="340"/>
      <c r="J617" s="340"/>
      <c r="K617" s="340"/>
      <c r="L617" s="340"/>
      <c r="M617" s="340"/>
      <c r="N617" s="340"/>
      <c r="O617" s="340"/>
      <c r="P617" s="340"/>
      <c r="Q617" s="340"/>
      <c r="R617" s="340"/>
      <c r="S617" s="340"/>
      <c r="T617" s="340"/>
      <c r="U617" s="340"/>
      <c r="V617" s="340"/>
      <c r="W617" s="340"/>
      <c r="X617" s="340"/>
      <c r="Y617" s="340"/>
      <c r="Z617" s="340"/>
    </row>
    <row r="618" spans="1:26" ht="14.25" customHeight="1">
      <c r="A618" s="340"/>
      <c r="B618" s="340"/>
      <c r="C618" s="340"/>
      <c r="D618" s="340"/>
      <c r="E618" s="340"/>
      <c r="F618" s="340"/>
      <c r="G618" s="340"/>
      <c r="H618" s="340"/>
      <c r="I618" s="340"/>
      <c r="J618" s="340"/>
      <c r="K618" s="340"/>
      <c r="L618" s="340"/>
      <c r="M618" s="340"/>
      <c r="N618" s="340"/>
      <c r="O618" s="340"/>
      <c r="P618" s="340"/>
      <c r="Q618" s="340"/>
      <c r="R618" s="340"/>
      <c r="S618" s="340"/>
      <c r="T618" s="340"/>
      <c r="U618" s="340"/>
      <c r="V618" s="340"/>
      <c r="W618" s="340"/>
      <c r="X618" s="340"/>
      <c r="Y618" s="340"/>
      <c r="Z618" s="340"/>
    </row>
    <row r="619" spans="1:26" ht="14.25" customHeight="1">
      <c r="A619" s="340"/>
      <c r="B619" s="340"/>
      <c r="C619" s="340"/>
      <c r="D619" s="340"/>
      <c r="E619" s="340"/>
      <c r="F619" s="340"/>
      <c r="G619" s="340"/>
      <c r="H619" s="340"/>
      <c r="I619" s="340"/>
      <c r="J619" s="340"/>
      <c r="K619" s="340"/>
      <c r="L619" s="340"/>
      <c r="M619" s="340"/>
      <c r="N619" s="340"/>
      <c r="O619" s="340"/>
      <c r="P619" s="340"/>
      <c r="Q619" s="340"/>
      <c r="R619" s="340"/>
      <c r="S619" s="340"/>
      <c r="T619" s="340"/>
      <c r="U619" s="340"/>
      <c r="V619" s="340"/>
      <c r="W619" s="340"/>
      <c r="X619" s="340"/>
      <c r="Y619" s="340"/>
      <c r="Z619" s="340"/>
    </row>
    <row r="620" spans="1:26" ht="14.25" customHeight="1">
      <c r="A620" s="340"/>
      <c r="B620" s="340"/>
      <c r="C620" s="340"/>
      <c r="D620" s="340"/>
      <c r="E620" s="340"/>
      <c r="F620" s="340"/>
      <c r="G620" s="340"/>
      <c r="H620" s="340"/>
      <c r="I620" s="340"/>
      <c r="J620" s="340"/>
      <c r="K620" s="340"/>
      <c r="L620" s="340"/>
      <c r="M620" s="340"/>
      <c r="N620" s="340"/>
      <c r="O620" s="340"/>
      <c r="P620" s="340"/>
      <c r="Q620" s="340"/>
      <c r="R620" s="340"/>
      <c r="S620" s="340"/>
      <c r="T620" s="340"/>
      <c r="U620" s="340"/>
      <c r="V620" s="340"/>
      <c r="W620" s="340"/>
      <c r="X620" s="340"/>
      <c r="Y620" s="340"/>
      <c r="Z620" s="340"/>
    </row>
    <row r="621" spans="1:26" ht="14.25" customHeight="1">
      <c r="A621" s="340"/>
      <c r="B621" s="340"/>
      <c r="C621" s="340"/>
      <c r="D621" s="340"/>
      <c r="E621" s="340"/>
      <c r="F621" s="340"/>
      <c r="G621" s="340"/>
      <c r="H621" s="340"/>
      <c r="I621" s="340"/>
      <c r="J621" s="340"/>
      <c r="K621" s="340"/>
      <c r="L621" s="340"/>
      <c r="M621" s="340"/>
      <c r="N621" s="340"/>
      <c r="O621" s="340"/>
      <c r="P621" s="340"/>
      <c r="Q621" s="340"/>
      <c r="R621" s="340"/>
      <c r="S621" s="340"/>
      <c r="T621" s="340"/>
      <c r="U621" s="340"/>
      <c r="V621" s="340"/>
      <c r="W621" s="340"/>
      <c r="X621" s="340"/>
      <c r="Y621" s="340"/>
      <c r="Z621" s="340"/>
    </row>
    <row r="622" spans="1:26" ht="14.25" customHeight="1">
      <c r="A622" s="340"/>
      <c r="B622" s="340"/>
      <c r="C622" s="340"/>
      <c r="D622" s="340"/>
      <c r="E622" s="340"/>
      <c r="F622" s="340"/>
      <c r="G622" s="340"/>
      <c r="H622" s="340"/>
      <c r="I622" s="340"/>
      <c r="J622" s="340"/>
      <c r="K622" s="340"/>
      <c r="L622" s="340"/>
      <c r="M622" s="340"/>
      <c r="N622" s="340"/>
      <c r="O622" s="340"/>
      <c r="P622" s="340"/>
      <c r="Q622" s="340"/>
      <c r="R622" s="340"/>
      <c r="S622" s="340"/>
      <c r="T622" s="340"/>
      <c r="U622" s="340"/>
      <c r="V622" s="340"/>
      <c r="W622" s="340"/>
      <c r="X622" s="340"/>
      <c r="Y622" s="340"/>
      <c r="Z622" s="340"/>
    </row>
    <row r="623" spans="1:26" ht="14.25" customHeight="1">
      <c r="A623" s="340"/>
      <c r="B623" s="340"/>
      <c r="C623" s="340"/>
      <c r="D623" s="340"/>
      <c r="E623" s="340"/>
      <c r="F623" s="340"/>
      <c r="G623" s="340"/>
      <c r="H623" s="340"/>
      <c r="I623" s="340"/>
      <c r="J623" s="340"/>
      <c r="K623" s="340"/>
      <c r="L623" s="340"/>
      <c r="M623" s="340"/>
      <c r="N623" s="340"/>
      <c r="O623" s="340"/>
      <c r="P623" s="340"/>
      <c r="Q623" s="340"/>
      <c r="R623" s="340"/>
      <c r="S623" s="340"/>
      <c r="T623" s="340"/>
      <c r="U623" s="340"/>
      <c r="V623" s="340"/>
      <c r="W623" s="340"/>
      <c r="X623" s="340"/>
      <c r="Y623" s="340"/>
      <c r="Z623" s="340"/>
    </row>
    <row r="624" spans="1:26" ht="14.25" customHeight="1">
      <c r="A624" s="340"/>
      <c r="B624" s="340"/>
      <c r="C624" s="340"/>
      <c r="D624" s="340"/>
      <c r="E624" s="340"/>
      <c r="F624" s="340"/>
      <c r="G624" s="340"/>
      <c r="H624" s="340"/>
      <c r="I624" s="340"/>
      <c r="J624" s="340"/>
      <c r="K624" s="340"/>
      <c r="L624" s="340"/>
      <c r="M624" s="340"/>
      <c r="N624" s="340"/>
      <c r="O624" s="340"/>
      <c r="P624" s="340"/>
      <c r="Q624" s="340"/>
      <c r="R624" s="340"/>
      <c r="S624" s="340"/>
      <c r="T624" s="340"/>
      <c r="U624" s="340"/>
      <c r="V624" s="340"/>
      <c r="W624" s="340"/>
      <c r="X624" s="340"/>
      <c r="Y624" s="340"/>
      <c r="Z624" s="340"/>
    </row>
    <row r="625" spans="1:26" ht="14.25" customHeight="1">
      <c r="A625" s="340"/>
      <c r="B625" s="340"/>
      <c r="C625" s="340"/>
      <c r="D625" s="340"/>
      <c r="E625" s="340"/>
      <c r="F625" s="340"/>
      <c r="G625" s="340"/>
      <c r="H625" s="340"/>
      <c r="I625" s="340"/>
      <c r="J625" s="340"/>
      <c r="K625" s="340"/>
      <c r="L625" s="340"/>
      <c r="M625" s="340"/>
      <c r="N625" s="340"/>
      <c r="O625" s="340"/>
      <c r="P625" s="340"/>
      <c r="Q625" s="340"/>
      <c r="R625" s="340"/>
      <c r="S625" s="340"/>
      <c r="T625" s="340"/>
      <c r="U625" s="340"/>
      <c r="V625" s="340"/>
      <c r="W625" s="340"/>
      <c r="X625" s="340"/>
      <c r="Y625" s="340"/>
      <c r="Z625" s="340"/>
    </row>
    <row r="626" spans="1:26" ht="14.25" customHeight="1">
      <c r="A626" s="340"/>
      <c r="B626" s="340"/>
      <c r="C626" s="340"/>
      <c r="D626" s="340"/>
      <c r="E626" s="340"/>
      <c r="F626" s="340"/>
      <c r="G626" s="340"/>
      <c r="H626" s="340"/>
      <c r="I626" s="340"/>
      <c r="J626" s="340"/>
      <c r="K626" s="340"/>
      <c r="L626" s="340"/>
      <c r="M626" s="340"/>
      <c r="N626" s="340"/>
      <c r="O626" s="340"/>
      <c r="P626" s="340"/>
      <c r="Q626" s="340"/>
      <c r="R626" s="340"/>
      <c r="S626" s="340"/>
      <c r="T626" s="340"/>
      <c r="U626" s="340"/>
      <c r="V626" s="340"/>
      <c r="W626" s="340"/>
      <c r="X626" s="340"/>
      <c r="Y626" s="340"/>
      <c r="Z626" s="340"/>
    </row>
    <row r="627" spans="1:26" ht="14.25" customHeight="1">
      <c r="A627" s="340"/>
      <c r="B627" s="340"/>
      <c r="C627" s="340"/>
      <c r="D627" s="340"/>
      <c r="E627" s="340"/>
      <c r="F627" s="340"/>
      <c r="G627" s="340"/>
      <c r="H627" s="340"/>
      <c r="I627" s="340"/>
      <c r="J627" s="340"/>
      <c r="K627" s="340"/>
      <c r="L627" s="340"/>
      <c r="M627" s="340"/>
      <c r="N627" s="340"/>
      <c r="O627" s="340"/>
      <c r="P627" s="340"/>
      <c r="Q627" s="340"/>
      <c r="R627" s="340"/>
      <c r="S627" s="340"/>
      <c r="T627" s="340"/>
      <c r="U627" s="340"/>
      <c r="V627" s="340"/>
      <c r="W627" s="340"/>
      <c r="X627" s="340"/>
      <c r="Y627" s="340"/>
      <c r="Z627" s="340"/>
    </row>
    <row r="628" spans="1:26" ht="14.25" customHeight="1">
      <c r="A628" s="340"/>
      <c r="B628" s="340"/>
      <c r="C628" s="340"/>
      <c r="D628" s="340"/>
      <c r="E628" s="340"/>
      <c r="F628" s="340"/>
      <c r="G628" s="340"/>
      <c r="H628" s="340"/>
      <c r="I628" s="340"/>
      <c r="J628" s="340"/>
      <c r="K628" s="340"/>
      <c r="L628" s="340"/>
      <c r="M628" s="340"/>
      <c r="N628" s="340"/>
      <c r="O628" s="340"/>
      <c r="P628" s="340"/>
      <c r="Q628" s="340"/>
      <c r="R628" s="340"/>
      <c r="S628" s="340"/>
      <c r="T628" s="340"/>
      <c r="U628" s="340"/>
      <c r="V628" s="340"/>
      <c r="W628" s="340"/>
      <c r="X628" s="340"/>
      <c r="Y628" s="340"/>
      <c r="Z628" s="340"/>
    </row>
    <row r="629" spans="1:26" ht="14.25" customHeight="1">
      <c r="A629" s="340"/>
      <c r="B629" s="340"/>
      <c r="C629" s="340"/>
      <c r="D629" s="340"/>
      <c r="E629" s="340"/>
      <c r="F629" s="340"/>
      <c r="G629" s="340"/>
      <c r="H629" s="340"/>
      <c r="I629" s="340"/>
      <c r="J629" s="340"/>
      <c r="K629" s="340"/>
      <c r="L629" s="340"/>
      <c r="M629" s="340"/>
      <c r="N629" s="340"/>
      <c r="O629" s="340"/>
      <c r="P629" s="340"/>
      <c r="Q629" s="340"/>
      <c r="R629" s="340"/>
      <c r="S629" s="340"/>
      <c r="T629" s="340"/>
      <c r="U629" s="340"/>
      <c r="V629" s="340"/>
      <c r="W629" s="340"/>
      <c r="X629" s="340"/>
      <c r="Y629" s="340"/>
      <c r="Z629" s="340"/>
    </row>
    <row r="630" spans="1:26" ht="14.25" customHeight="1">
      <c r="A630" s="340"/>
      <c r="B630" s="340"/>
      <c r="C630" s="340"/>
      <c r="D630" s="340"/>
      <c r="E630" s="340"/>
      <c r="F630" s="340"/>
      <c r="G630" s="340"/>
      <c r="H630" s="340"/>
      <c r="I630" s="340"/>
      <c r="J630" s="340"/>
      <c r="K630" s="340"/>
      <c r="L630" s="340"/>
      <c r="M630" s="340"/>
      <c r="N630" s="340"/>
      <c r="O630" s="340"/>
      <c r="P630" s="340"/>
      <c r="Q630" s="340"/>
      <c r="R630" s="340"/>
      <c r="S630" s="340"/>
      <c r="T630" s="340"/>
      <c r="U630" s="340"/>
      <c r="V630" s="340"/>
      <c r="W630" s="340"/>
      <c r="X630" s="340"/>
      <c r="Y630" s="340"/>
      <c r="Z630" s="340"/>
    </row>
    <row r="631" spans="1:26" ht="14.25" customHeight="1">
      <c r="A631" s="340"/>
      <c r="B631" s="340"/>
      <c r="C631" s="340"/>
      <c r="D631" s="340"/>
      <c r="E631" s="340"/>
      <c r="F631" s="340"/>
      <c r="G631" s="340"/>
      <c r="H631" s="340"/>
      <c r="I631" s="340"/>
      <c r="J631" s="340"/>
      <c r="K631" s="340"/>
      <c r="L631" s="340"/>
      <c r="M631" s="340"/>
      <c r="N631" s="340"/>
      <c r="O631" s="340"/>
      <c r="P631" s="340"/>
      <c r="Q631" s="340"/>
      <c r="R631" s="340"/>
      <c r="S631" s="340"/>
      <c r="T631" s="340"/>
      <c r="U631" s="340"/>
      <c r="V631" s="340"/>
      <c r="W631" s="340"/>
      <c r="X631" s="340"/>
      <c r="Y631" s="340"/>
      <c r="Z631" s="340"/>
    </row>
    <row r="632" spans="1:26" ht="14.25" customHeight="1">
      <c r="A632" s="340"/>
      <c r="B632" s="340"/>
      <c r="C632" s="340"/>
      <c r="D632" s="340"/>
      <c r="E632" s="340"/>
      <c r="F632" s="340"/>
      <c r="G632" s="340"/>
      <c r="H632" s="340"/>
      <c r="I632" s="340"/>
      <c r="J632" s="340"/>
      <c r="K632" s="340"/>
      <c r="L632" s="340"/>
      <c r="M632" s="340"/>
      <c r="N632" s="340"/>
      <c r="O632" s="340"/>
      <c r="P632" s="340"/>
      <c r="Q632" s="340"/>
      <c r="R632" s="340"/>
      <c r="S632" s="340"/>
      <c r="T632" s="340"/>
      <c r="U632" s="340"/>
      <c r="V632" s="340"/>
      <c r="W632" s="340"/>
      <c r="X632" s="340"/>
      <c r="Y632" s="340"/>
      <c r="Z632" s="340"/>
    </row>
    <row r="633" spans="1:26" ht="14.25" customHeight="1">
      <c r="A633" s="340"/>
      <c r="B633" s="340"/>
      <c r="C633" s="340"/>
      <c r="D633" s="340"/>
      <c r="E633" s="340"/>
      <c r="F633" s="340"/>
      <c r="G633" s="340"/>
      <c r="H633" s="340"/>
      <c r="I633" s="340"/>
      <c r="J633" s="340"/>
      <c r="K633" s="340"/>
      <c r="L633" s="340"/>
      <c r="M633" s="340"/>
      <c r="N633" s="340"/>
      <c r="O633" s="340"/>
      <c r="P633" s="340"/>
      <c r="Q633" s="340"/>
      <c r="R633" s="340"/>
      <c r="S633" s="340"/>
      <c r="T633" s="340"/>
      <c r="U633" s="340"/>
      <c r="V633" s="340"/>
      <c r="W633" s="340"/>
      <c r="X633" s="340"/>
      <c r="Y633" s="340"/>
      <c r="Z633" s="340"/>
    </row>
    <row r="634" spans="1:26" ht="14.25" customHeight="1">
      <c r="A634" s="340"/>
      <c r="B634" s="340"/>
      <c r="C634" s="340"/>
      <c r="D634" s="340"/>
      <c r="E634" s="340"/>
      <c r="F634" s="340"/>
      <c r="G634" s="340"/>
      <c r="H634" s="340"/>
      <c r="I634" s="340"/>
      <c r="J634" s="340"/>
      <c r="K634" s="340"/>
      <c r="L634" s="340"/>
      <c r="M634" s="340"/>
      <c r="N634" s="340"/>
      <c r="O634" s="340"/>
      <c r="P634" s="340"/>
      <c r="Q634" s="340"/>
      <c r="R634" s="340"/>
      <c r="S634" s="340"/>
      <c r="T634" s="340"/>
      <c r="U634" s="340"/>
      <c r="V634" s="340"/>
      <c r="W634" s="340"/>
      <c r="X634" s="340"/>
      <c r="Y634" s="340"/>
      <c r="Z634" s="340"/>
    </row>
    <row r="635" spans="1:26" ht="14.25" customHeight="1">
      <c r="A635" s="340"/>
      <c r="B635" s="340"/>
      <c r="C635" s="340"/>
      <c r="D635" s="340"/>
      <c r="E635" s="340"/>
      <c r="F635" s="340"/>
      <c r="G635" s="340"/>
      <c r="H635" s="340"/>
      <c r="I635" s="340"/>
      <c r="J635" s="340"/>
      <c r="K635" s="340"/>
      <c r="L635" s="340"/>
      <c r="M635" s="340"/>
      <c r="N635" s="340"/>
      <c r="O635" s="340"/>
      <c r="P635" s="340"/>
      <c r="Q635" s="340"/>
      <c r="R635" s="340"/>
      <c r="S635" s="340"/>
      <c r="T635" s="340"/>
      <c r="U635" s="340"/>
      <c r="V635" s="340"/>
      <c r="W635" s="340"/>
      <c r="X635" s="340"/>
      <c r="Y635" s="340"/>
      <c r="Z635" s="340"/>
    </row>
    <row r="636" spans="1:26" ht="14.25" customHeight="1">
      <c r="A636" s="340"/>
      <c r="B636" s="340"/>
      <c r="C636" s="340"/>
      <c r="D636" s="340"/>
      <c r="E636" s="340"/>
      <c r="F636" s="340"/>
      <c r="G636" s="340"/>
      <c r="H636" s="340"/>
      <c r="I636" s="340"/>
      <c r="J636" s="340"/>
      <c r="K636" s="340"/>
      <c r="L636" s="340"/>
      <c r="M636" s="340"/>
      <c r="N636" s="340"/>
      <c r="O636" s="340"/>
      <c r="P636" s="340"/>
      <c r="Q636" s="340"/>
      <c r="R636" s="340"/>
      <c r="S636" s="340"/>
      <c r="T636" s="340"/>
      <c r="U636" s="340"/>
      <c r="V636" s="340"/>
      <c r="W636" s="340"/>
      <c r="X636" s="340"/>
      <c r="Y636" s="340"/>
      <c r="Z636" s="340"/>
    </row>
    <row r="637" spans="1:26" ht="14.25" customHeight="1">
      <c r="A637" s="340"/>
      <c r="B637" s="340"/>
      <c r="C637" s="340"/>
      <c r="D637" s="340"/>
      <c r="E637" s="340"/>
      <c r="F637" s="340"/>
      <c r="G637" s="340"/>
      <c r="H637" s="340"/>
      <c r="I637" s="340"/>
      <c r="J637" s="340"/>
      <c r="K637" s="340"/>
      <c r="L637" s="340"/>
      <c r="M637" s="340"/>
      <c r="N637" s="340"/>
      <c r="O637" s="340"/>
      <c r="P637" s="340"/>
      <c r="Q637" s="340"/>
      <c r="R637" s="340"/>
      <c r="S637" s="340"/>
      <c r="T637" s="340"/>
      <c r="U637" s="340"/>
      <c r="V637" s="340"/>
      <c r="W637" s="340"/>
      <c r="X637" s="340"/>
      <c r="Y637" s="340"/>
      <c r="Z637" s="340"/>
    </row>
    <row r="638" spans="1:26" ht="14.25" customHeight="1">
      <c r="A638" s="340"/>
      <c r="B638" s="340"/>
      <c r="C638" s="340"/>
      <c r="D638" s="340"/>
      <c r="E638" s="340"/>
      <c r="F638" s="340"/>
      <c r="G638" s="340"/>
      <c r="H638" s="340"/>
      <c r="I638" s="340"/>
      <c r="J638" s="340"/>
      <c r="K638" s="340"/>
      <c r="L638" s="340"/>
      <c r="M638" s="340"/>
      <c r="N638" s="340"/>
      <c r="O638" s="340"/>
      <c r="P638" s="340"/>
      <c r="Q638" s="340"/>
      <c r="R638" s="340"/>
      <c r="S638" s="340"/>
      <c r="T638" s="340"/>
      <c r="U638" s="340"/>
      <c r="V638" s="340"/>
      <c r="W638" s="340"/>
      <c r="X638" s="340"/>
      <c r="Y638" s="340"/>
      <c r="Z638" s="340"/>
    </row>
    <row r="639" spans="1:26" ht="14.25" customHeight="1">
      <c r="A639" s="340"/>
      <c r="B639" s="340"/>
      <c r="C639" s="340"/>
      <c r="D639" s="340"/>
      <c r="E639" s="340"/>
      <c r="F639" s="340"/>
      <c r="G639" s="340"/>
      <c r="H639" s="340"/>
      <c r="I639" s="340"/>
      <c r="J639" s="340"/>
      <c r="K639" s="340"/>
      <c r="L639" s="340"/>
      <c r="M639" s="340"/>
      <c r="N639" s="340"/>
      <c r="O639" s="340"/>
      <c r="P639" s="340"/>
      <c r="Q639" s="340"/>
      <c r="R639" s="340"/>
      <c r="S639" s="340"/>
      <c r="T639" s="340"/>
      <c r="U639" s="340"/>
      <c r="V639" s="340"/>
      <c r="W639" s="340"/>
      <c r="X639" s="340"/>
      <c r="Y639" s="340"/>
      <c r="Z639" s="340"/>
    </row>
    <row r="640" spans="1:26" ht="14.25" customHeight="1">
      <c r="A640" s="340"/>
      <c r="B640" s="340"/>
      <c r="C640" s="340"/>
      <c r="D640" s="340"/>
      <c r="E640" s="340"/>
      <c r="F640" s="340"/>
      <c r="G640" s="340"/>
      <c r="H640" s="340"/>
      <c r="I640" s="340"/>
      <c r="J640" s="340"/>
      <c r="K640" s="340"/>
      <c r="L640" s="340"/>
      <c r="M640" s="340"/>
      <c r="N640" s="340"/>
      <c r="O640" s="340"/>
      <c r="P640" s="340"/>
      <c r="Q640" s="340"/>
      <c r="R640" s="340"/>
      <c r="S640" s="340"/>
      <c r="T640" s="340"/>
      <c r="U640" s="340"/>
      <c r="V640" s="340"/>
      <c r="W640" s="340"/>
      <c r="X640" s="340"/>
      <c r="Y640" s="340"/>
      <c r="Z640" s="340"/>
    </row>
    <row r="641" spans="1:26" ht="14.25" customHeight="1">
      <c r="A641" s="340"/>
      <c r="B641" s="340"/>
      <c r="C641" s="340"/>
      <c r="D641" s="340"/>
      <c r="E641" s="340"/>
      <c r="F641" s="340"/>
      <c r="G641" s="340"/>
      <c r="H641" s="340"/>
      <c r="I641" s="340"/>
      <c r="J641" s="340"/>
      <c r="K641" s="340"/>
      <c r="L641" s="340"/>
      <c r="M641" s="340"/>
      <c r="N641" s="340"/>
      <c r="O641" s="340"/>
      <c r="P641" s="340"/>
      <c r="Q641" s="340"/>
      <c r="R641" s="340"/>
      <c r="S641" s="340"/>
      <c r="T641" s="340"/>
      <c r="U641" s="340"/>
      <c r="V641" s="340"/>
      <c r="W641" s="340"/>
      <c r="X641" s="340"/>
      <c r="Y641" s="340"/>
      <c r="Z641" s="340"/>
    </row>
    <row r="642" spans="1:26" ht="14.25" customHeight="1">
      <c r="A642" s="340"/>
      <c r="B642" s="340"/>
      <c r="C642" s="340"/>
      <c r="D642" s="340"/>
      <c r="E642" s="340"/>
      <c r="F642" s="340"/>
      <c r="G642" s="340"/>
      <c r="H642" s="340"/>
      <c r="I642" s="340"/>
      <c r="J642" s="340"/>
      <c r="K642" s="340"/>
      <c r="L642" s="340"/>
      <c r="M642" s="340"/>
      <c r="N642" s="340"/>
      <c r="O642" s="340"/>
      <c r="P642" s="340"/>
      <c r="Q642" s="340"/>
      <c r="R642" s="340"/>
      <c r="S642" s="340"/>
      <c r="T642" s="340"/>
      <c r="U642" s="340"/>
      <c r="V642" s="340"/>
      <c r="W642" s="340"/>
      <c r="X642" s="340"/>
      <c r="Y642" s="340"/>
      <c r="Z642" s="340"/>
    </row>
    <row r="643" spans="1:26" ht="14.25" customHeight="1">
      <c r="A643" s="340"/>
      <c r="B643" s="340"/>
      <c r="C643" s="340"/>
      <c r="D643" s="340"/>
      <c r="E643" s="340"/>
      <c r="F643" s="340"/>
      <c r="G643" s="340"/>
      <c r="H643" s="340"/>
      <c r="I643" s="340"/>
      <c r="J643" s="340"/>
      <c r="K643" s="340"/>
      <c r="L643" s="340"/>
      <c r="M643" s="340"/>
      <c r="N643" s="340"/>
      <c r="O643" s="340"/>
      <c r="P643" s="340"/>
      <c r="Q643" s="340"/>
      <c r="R643" s="340"/>
      <c r="S643" s="340"/>
      <c r="T643" s="340"/>
      <c r="U643" s="340"/>
      <c r="V643" s="340"/>
      <c r="W643" s="340"/>
      <c r="X643" s="340"/>
      <c r="Y643" s="340"/>
      <c r="Z643" s="340"/>
    </row>
    <row r="644" spans="1:26" ht="14.25" customHeight="1">
      <c r="A644" s="340"/>
      <c r="B644" s="340"/>
      <c r="C644" s="340"/>
      <c r="D644" s="340"/>
      <c r="E644" s="340"/>
      <c r="F644" s="340"/>
      <c r="G644" s="340"/>
      <c r="H644" s="340"/>
      <c r="I644" s="340"/>
      <c r="J644" s="340"/>
      <c r="K644" s="340"/>
      <c r="L644" s="340"/>
      <c r="M644" s="340"/>
      <c r="N644" s="340"/>
      <c r="O644" s="340"/>
      <c r="P644" s="340"/>
      <c r="Q644" s="340"/>
      <c r="R644" s="340"/>
      <c r="S644" s="340"/>
      <c r="T644" s="340"/>
      <c r="U644" s="340"/>
      <c r="V644" s="340"/>
      <c r="W644" s="340"/>
      <c r="X644" s="340"/>
      <c r="Y644" s="340"/>
      <c r="Z644" s="340"/>
    </row>
    <row r="645" spans="1:26" ht="14.25" customHeight="1">
      <c r="A645" s="340"/>
      <c r="B645" s="340"/>
      <c r="C645" s="340"/>
      <c r="D645" s="340"/>
      <c r="E645" s="340"/>
      <c r="F645" s="340"/>
      <c r="G645" s="340"/>
      <c r="H645" s="340"/>
      <c r="I645" s="340"/>
      <c r="J645" s="340"/>
      <c r="K645" s="340"/>
      <c r="L645" s="340"/>
      <c r="M645" s="340"/>
      <c r="N645" s="340"/>
      <c r="O645" s="340"/>
      <c r="P645" s="340"/>
      <c r="Q645" s="340"/>
      <c r="R645" s="340"/>
      <c r="S645" s="340"/>
      <c r="T645" s="340"/>
      <c r="U645" s="340"/>
      <c r="V645" s="340"/>
      <c r="W645" s="340"/>
      <c r="X645" s="340"/>
      <c r="Y645" s="340"/>
      <c r="Z645" s="340"/>
    </row>
    <row r="646" spans="1:26" ht="14.25" customHeight="1">
      <c r="A646" s="340"/>
      <c r="B646" s="340"/>
      <c r="C646" s="340"/>
      <c r="D646" s="340"/>
      <c r="E646" s="340"/>
      <c r="F646" s="340"/>
      <c r="G646" s="340"/>
      <c r="H646" s="340"/>
      <c r="I646" s="340"/>
      <c r="J646" s="340"/>
      <c r="K646" s="340"/>
      <c r="L646" s="340"/>
      <c r="M646" s="340"/>
      <c r="N646" s="340"/>
      <c r="O646" s="340"/>
      <c r="P646" s="340"/>
      <c r="Q646" s="340"/>
      <c r="R646" s="340"/>
      <c r="S646" s="340"/>
      <c r="T646" s="340"/>
      <c r="U646" s="340"/>
      <c r="V646" s="340"/>
      <c r="W646" s="340"/>
      <c r="X646" s="340"/>
      <c r="Y646" s="340"/>
      <c r="Z646" s="340"/>
    </row>
    <row r="647" spans="1:26" ht="14.25" customHeight="1">
      <c r="A647" s="340"/>
      <c r="B647" s="340"/>
      <c r="C647" s="340"/>
      <c r="D647" s="340"/>
      <c r="E647" s="340"/>
      <c r="F647" s="340"/>
      <c r="G647" s="340"/>
      <c r="H647" s="340"/>
      <c r="I647" s="340"/>
      <c r="J647" s="340"/>
      <c r="K647" s="340"/>
      <c r="L647" s="340"/>
      <c r="M647" s="340"/>
      <c r="N647" s="340"/>
      <c r="O647" s="340"/>
      <c r="P647" s="340"/>
      <c r="Q647" s="340"/>
      <c r="R647" s="340"/>
      <c r="S647" s="340"/>
      <c r="T647" s="340"/>
      <c r="U647" s="340"/>
      <c r="V647" s="340"/>
      <c r="W647" s="340"/>
      <c r="X647" s="340"/>
      <c r="Y647" s="340"/>
      <c r="Z647" s="340"/>
    </row>
    <row r="648" spans="1:26" ht="14.25" customHeight="1">
      <c r="A648" s="340"/>
      <c r="B648" s="340"/>
      <c r="C648" s="340"/>
      <c r="D648" s="340"/>
      <c r="E648" s="340"/>
      <c r="F648" s="340"/>
      <c r="G648" s="340"/>
      <c r="H648" s="340"/>
      <c r="I648" s="340"/>
      <c r="J648" s="340"/>
      <c r="K648" s="340"/>
      <c r="L648" s="340"/>
      <c r="M648" s="340"/>
      <c r="N648" s="340"/>
      <c r="O648" s="340"/>
      <c r="P648" s="340"/>
      <c r="Q648" s="340"/>
      <c r="R648" s="340"/>
      <c r="S648" s="340"/>
      <c r="T648" s="340"/>
      <c r="U648" s="340"/>
      <c r="V648" s="340"/>
      <c r="W648" s="340"/>
      <c r="X648" s="340"/>
      <c r="Y648" s="340"/>
      <c r="Z648" s="340"/>
    </row>
    <row r="649" spans="1:26" ht="14.25" customHeight="1">
      <c r="A649" s="340"/>
      <c r="B649" s="340"/>
      <c r="C649" s="340"/>
      <c r="D649" s="340"/>
      <c r="E649" s="340"/>
      <c r="F649" s="340"/>
      <c r="G649" s="340"/>
      <c r="H649" s="340"/>
      <c r="I649" s="340"/>
      <c r="J649" s="340"/>
      <c r="K649" s="340"/>
      <c r="L649" s="340"/>
      <c r="M649" s="340"/>
      <c r="N649" s="340"/>
      <c r="O649" s="340"/>
      <c r="P649" s="340"/>
      <c r="Q649" s="340"/>
      <c r="R649" s="340"/>
      <c r="S649" s="340"/>
      <c r="T649" s="340"/>
      <c r="U649" s="340"/>
      <c r="V649" s="340"/>
      <c r="W649" s="340"/>
      <c r="X649" s="340"/>
      <c r="Y649" s="340"/>
      <c r="Z649" s="340"/>
    </row>
    <row r="650" spans="1:26" ht="14.25" customHeight="1">
      <c r="A650" s="340"/>
      <c r="B650" s="340"/>
      <c r="C650" s="340"/>
      <c r="D650" s="340"/>
      <c r="E650" s="340"/>
      <c r="F650" s="340"/>
      <c r="G650" s="340"/>
      <c r="H650" s="340"/>
      <c r="I650" s="340"/>
      <c r="J650" s="340"/>
      <c r="K650" s="340"/>
      <c r="L650" s="340"/>
      <c r="M650" s="340"/>
      <c r="N650" s="340"/>
      <c r="O650" s="340"/>
      <c r="P650" s="340"/>
      <c r="Q650" s="340"/>
      <c r="R650" s="340"/>
      <c r="S650" s="340"/>
      <c r="T650" s="340"/>
      <c r="U650" s="340"/>
      <c r="V650" s="340"/>
      <c r="W650" s="340"/>
      <c r="X650" s="340"/>
      <c r="Y650" s="340"/>
      <c r="Z650" s="340"/>
    </row>
    <row r="651" spans="1:26" ht="14.25" customHeight="1">
      <c r="A651" s="340"/>
      <c r="B651" s="340"/>
      <c r="C651" s="340"/>
      <c r="D651" s="340"/>
      <c r="E651" s="340"/>
      <c r="F651" s="340"/>
      <c r="G651" s="340"/>
      <c r="H651" s="340"/>
      <c r="I651" s="340"/>
      <c r="J651" s="340"/>
      <c r="K651" s="340"/>
      <c r="L651" s="340"/>
      <c r="M651" s="340"/>
      <c r="N651" s="340"/>
      <c r="O651" s="340"/>
      <c r="P651" s="340"/>
      <c r="Q651" s="340"/>
      <c r="R651" s="340"/>
      <c r="S651" s="340"/>
      <c r="T651" s="340"/>
      <c r="U651" s="340"/>
      <c r="V651" s="340"/>
      <c r="W651" s="340"/>
      <c r="X651" s="340"/>
      <c r="Y651" s="340"/>
      <c r="Z651" s="340"/>
    </row>
    <row r="652" spans="1:26" ht="14.25" customHeight="1">
      <c r="A652" s="340"/>
      <c r="B652" s="340"/>
      <c r="C652" s="340"/>
      <c r="D652" s="340"/>
      <c r="E652" s="340"/>
      <c r="F652" s="340"/>
      <c r="G652" s="340"/>
      <c r="H652" s="340"/>
      <c r="I652" s="340"/>
      <c r="J652" s="340"/>
      <c r="K652" s="340"/>
      <c r="L652" s="340"/>
      <c r="M652" s="340"/>
      <c r="N652" s="340"/>
      <c r="O652" s="340"/>
      <c r="P652" s="340"/>
      <c r="Q652" s="340"/>
      <c r="R652" s="340"/>
      <c r="S652" s="340"/>
      <c r="T652" s="340"/>
      <c r="U652" s="340"/>
      <c r="V652" s="340"/>
      <c r="W652" s="340"/>
      <c r="X652" s="340"/>
      <c r="Y652" s="340"/>
      <c r="Z652" s="340"/>
    </row>
    <row r="653" spans="1:26" ht="14.25" customHeight="1">
      <c r="A653" s="340"/>
      <c r="B653" s="340"/>
      <c r="C653" s="340"/>
      <c r="D653" s="340"/>
      <c r="E653" s="340"/>
      <c r="F653" s="340"/>
      <c r="G653" s="340"/>
      <c r="H653" s="340"/>
      <c r="I653" s="340"/>
      <c r="J653" s="340"/>
      <c r="K653" s="340"/>
      <c r="L653" s="340"/>
      <c r="M653" s="340"/>
      <c r="N653" s="340"/>
      <c r="O653" s="340"/>
      <c r="P653" s="340"/>
      <c r="Q653" s="340"/>
      <c r="R653" s="340"/>
      <c r="S653" s="340"/>
      <c r="T653" s="340"/>
      <c r="U653" s="340"/>
      <c r="V653" s="340"/>
      <c r="W653" s="340"/>
      <c r="X653" s="340"/>
      <c r="Y653" s="340"/>
      <c r="Z653" s="340"/>
    </row>
    <row r="654" spans="1:26" ht="14.25" customHeight="1">
      <c r="A654" s="340"/>
      <c r="B654" s="340"/>
      <c r="C654" s="340"/>
      <c r="D654" s="340"/>
      <c r="E654" s="340"/>
      <c r="F654" s="340"/>
      <c r="G654" s="340"/>
      <c r="H654" s="340"/>
      <c r="I654" s="340"/>
      <c r="J654" s="340"/>
      <c r="K654" s="340"/>
      <c r="L654" s="340"/>
      <c r="M654" s="340"/>
      <c r="N654" s="340"/>
      <c r="O654" s="340"/>
      <c r="P654" s="340"/>
      <c r="Q654" s="340"/>
      <c r="R654" s="340"/>
      <c r="S654" s="340"/>
      <c r="T654" s="340"/>
      <c r="U654" s="340"/>
      <c r="V654" s="340"/>
      <c r="W654" s="340"/>
      <c r="X654" s="340"/>
      <c r="Y654" s="340"/>
      <c r="Z654" s="340"/>
    </row>
    <row r="655" spans="1:26" ht="14.25" customHeight="1">
      <c r="A655" s="340"/>
      <c r="B655" s="340"/>
      <c r="C655" s="340"/>
      <c r="D655" s="340"/>
      <c r="E655" s="340"/>
      <c r="F655" s="340"/>
      <c r="G655" s="340"/>
      <c r="H655" s="340"/>
      <c r="I655" s="340"/>
      <c r="J655" s="340"/>
      <c r="K655" s="340"/>
      <c r="L655" s="340"/>
      <c r="M655" s="340"/>
      <c r="N655" s="340"/>
      <c r="O655" s="340"/>
      <c r="P655" s="340"/>
      <c r="Q655" s="340"/>
      <c r="R655" s="340"/>
      <c r="S655" s="340"/>
      <c r="T655" s="340"/>
      <c r="U655" s="340"/>
      <c r="V655" s="340"/>
      <c r="W655" s="340"/>
      <c r="X655" s="340"/>
      <c r="Y655" s="340"/>
      <c r="Z655" s="340"/>
    </row>
    <row r="656" spans="1:26" ht="14.25" customHeight="1">
      <c r="A656" s="340"/>
      <c r="B656" s="340"/>
      <c r="C656" s="340"/>
      <c r="D656" s="340"/>
      <c r="E656" s="340"/>
      <c r="F656" s="340"/>
      <c r="G656" s="340"/>
      <c r="H656" s="340"/>
      <c r="I656" s="340"/>
      <c r="J656" s="340"/>
      <c r="K656" s="340"/>
      <c r="L656" s="340"/>
      <c r="M656" s="340"/>
      <c r="N656" s="340"/>
      <c r="O656" s="340"/>
      <c r="P656" s="340"/>
      <c r="Q656" s="340"/>
      <c r="R656" s="340"/>
      <c r="S656" s="340"/>
      <c r="T656" s="340"/>
      <c r="U656" s="340"/>
      <c r="V656" s="340"/>
      <c r="W656" s="340"/>
      <c r="X656" s="340"/>
      <c r="Y656" s="340"/>
      <c r="Z656" s="340"/>
    </row>
    <row r="657" spans="1:26" ht="14.25" customHeight="1">
      <c r="A657" s="340"/>
      <c r="B657" s="340"/>
      <c r="C657" s="340"/>
      <c r="D657" s="340"/>
      <c r="E657" s="340"/>
      <c r="F657" s="340"/>
      <c r="G657" s="340"/>
      <c r="H657" s="340"/>
      <c r="I657" s="340"/>
      <c r="J657" s="340"/>
      <c r="K657" s="340"/>
      <c r="L657" s="340"/>
      <c r="M657" s="340"/>
      <c r="N657" s="340"/>
      <c r="O657" s="340"/>
      <c r="P657" s="340"/>
      <c r="Q657" s="340"/>
      <c r="R657" s="340"/>
      <c r="S657" s="340"/>
      <c r="T657" s="340"/>
      <c r="U657" s="340"/>
      <c r="V657" s="340"/>
      <c r="W657" s="340"/>
      <c r="X657" s="340"/>
      <c r="Y657" s="340"/>
      <c r="Z657" s="340"/>
    </row>
    <row r="658" spans="1:26" ht="14.25" customHeight="1">
      <c r="A658" s="340"/>
      <c r="B658" s="340"/>
      <c r="C658" s="340"/>
      <c r="D658" s="340"/>
      <c r="E658" s="340"/>
      <c r="F658" s="340"/>
      <c r="G658" s="340"/>
      <c r="H658" s="340"/>
      <c r="I658" s="340"/>
      <c r="J658" s="340"/>
      <c r="K658" s="340"/>
      <c r="L658" s="340"/>
      <c r="M658" s="340"/>
      <c r="N658" s="340"/>
      <c r="O658" s="340"/>
      <c r="P658" s="340"/>
      <c r="Q658" s="340"/>
      <c r="R658" s="340"/>
      <c r="S658" s="340"/>
      <c r="T658" s="340"/>
      <c r="U658" s="340"/>
      <c r="V658" s="340"/>
      <c r="W658" s="340"/>
      <c r="X658" s="340"/>
      <c r="Y658" s="340"/>
      <c r="Z658" s="340"/>
    </row>
    <row r="659" spans="1:26" ht="14.25" customHeight="1">
      <c r="A659" s="340"/>
      <c r="B659" s="340"/>
      <c r="C659" s="340"/>
      <c r="D659" s="340"/>
      <c r="E659" s="340"/>
      <c r="F659" s="340"/>
      <c r="G659" s="340"/>
      <c r="H659" s="340"/>
      <c r="I659" s="340"/>
      <c r="J659" s="340"/>
      <c r="K659" s="340"/>
      <c r="L659" s="340"/>
      <c r="M659" s="340"/>
      <c r="N659" s="340"/>
      <c r="O659" s="340"/>
      <c r="P659" s="340"/>
      <c r="Q659" s="340"/>
      <c r="R659" s="340"/>
      <c r="S659" s="340"/>
      <c r="T659" s="340"/>
      <c r="U659" s="340"/>
      <c r="V659" s="340"/>
      <c r="W659" s="340"/>
      <c r="X659" s="340"/>
      <c r="Y659" s="340"/>
      <c r="Z659" s="340"/>
    </row>
    <row r="660" spans="1:26" ht="14.25" customHeight="1">
      <c r="A660" s="340"/>
      <c r="B660" s="340"/>
      <c r="C660" s="340"/>
      <c r="D660" s="340"/>
      <c r="E660" s="340"/>
      <c r="F660" s="340"/>
      <c r="G660" s="340"/>
      <c r="H660" s="340"/>
      <c r="I660" s="340"/>
      <c r="J660" s="340"/>
      <c r="K660" s="340"/>
      <c r="L660" s="340"/>
      <c r="M660" s="340"/>
      <c r="N660" s="340"/>
      <c r="O660" s="340"/>
      <c r="P660" s="340"/>
      <c r="Q660" s="340"/>
      <c r="R660" s="340"/>
      <c r="S660" s="340"/>
      <c r="T660" s="340"/>
      <c r="U660" s="340"/>
      <c r="V660" s="340"/>
      <c r="W660" s="340"/>
      <c r="X660" s="340"/>
      <c r="Y660" s="340"/>
      <c r="Z660" s="340"/>
    </row>
    <row r="661" spans="1:26" ht="14.25" customHeight="1">
      <c r="A661" s="340"/>
      <c r="B661" s="340"/>
      <c r="C661" s="340"/>
      <c r="D661" s="340"/>
      <c r="E661" s="340"/>
      <c r="F661" s="340"/>
      <c r="G661" s="340"/>
      <c r="H661" s="340"/>
      <c r="I661" s="340"/>
      <c r="J661" s="340"/>
      <c r="K661" s="340"/>
      <c r="L661" s="340"/>
      <c r="M661" s="340"/>
      <c r="N661" s="340"/>
      <c r="O661" s="340"/>
      <c r="P661" s="340"/>
      <c r="Q661" s="340"/>
      <c r="R661" s="340"/>
      <c r="S661" s="340"/>
      <c r="T661" s="340"/>
      <c r="U661" s="340"/>
      <c r="V661" s="340"/>
      <c r="W661" s="340"/>
      <c r="X661" s="340"/>
      <c r="Y661" s="340"/>
      <c r="Z661" s="340"/>
    </row>
    <row r="662" spans="1:26" ht="14.25" customHeight="1">
      <c r="A662" s="340"/>
      <c r="B662" s="340"/>
      <c r="C662" s="340"/>
      <c r="D662" s="340"/>
      <c r="E662" s="340"/>
      <c r="F662" s="340"/>
      <c r="G662" s="340"/>
      <c r="H662" s="340"/>
      <c r="I662" s="340"/>
      <c r="J662" s="340"/>
      <c r="K662" s="340"/>
      <c r="L662" s="340"/>
      <c r="M662" s="340"/>
      <c r="N662" s="340"/>
      <c r="O662" s="340"/>
      <c r="P662" s="340"/>
      <c r="Q662" s="340"/>
      <c r="R662" s="340"/>
      <c r="S662" s="340"/>
      <c r="T662" s="340"/>
      <c r="U662" s="340"/>
      <c r="V662" s="340"/>
      <c r="W662" s="340"/>
      <c r="X662" s="340"/>
      <c r="Y662" s="340"/>
      <c r="Z662" s="340"/>
    </row>
    <row r="663" spans="1:26" ht="14.25" customHeight="1">
      <c r="A663" s="340"/>
      <c r="B663" s="340"/>
      <c r="C663" s="340"/>
      <c r="D663" s="340"/>
      <c r="E663" s="340"/>
      <c r="F663" s="340"/>
      <c r="G663" s="340"/>
      <c r="H663" s="340"/>
      <c r="I663" s="340"/>
      <c r="J663" s="340"/>
      <c r="K663" s="340"/>
      <c r="L663" s="340"/>
      <c r="M663" s="340"/>
      <c r="N663" s="340"/>
      <c r="O663" s="340"/>
      <c r="P663" s="340"/>
      <c r="Q663" s="340"/>
      <c r="R663" s="340"/>
      <c r="S663" s="340"/>
      <c r="T663" s="340"/>
      <c r="U663" s="340"/>
      <c r="V663" s="340"/>
      <c r="W663" s="340"/>
      <c r="X663" s="340"/>
      <c r="Y663" s="340"/>
      <c r="Z663" s="340"/>
    </row>
    <row r="664" spans="1:26" ht="14.25" customHeight="1">
      <c r="A664" s="340"/>
      <c r="B664" s="340"/>
      <c r="C664" s="340"/>
      <c r="D664" s="340"/>
      <c r="E664" s="340"/>
      <c r="F664" s="340"/>
      <c r="G664" s="340"/>
      <c r="H664" s="340"/>
      <c r="I664" s="340"/>
      <c r="J664" s="340"/>
      <c r="K664" s="340"/>
      <c r="L664" s="340"/>
      <c r="M664" s="340"/>
      <c r="N664" s="340"/>
      <c r="O664" s="340"/>
      <c r="P664" s="340"/>
      <c r="Q664" s="340"/>
      <c r="R664" s="340"/>
      <c r="S664" s="340"/>
      <c r="T664" s="340"/>
      <c r="U664" s="340"/>
      <c r="V664" s="340"/>
      <c r="W664" s="340"/>
      <c r="X664" s="340"/>
      <c r="Y664" s="340"/>
      <c r="Z664" s="340"/>
    </row>
    <row r="665" spans="1:26" ht="14.25" customHeight="1">
      <c r="A665" s="340"/>
      <c r="B665" s="340"/>
      <c r="C665" s="340"/>
      <c r="D665" s="340"/>
      <c r="E665" s="340"/>
      <c r="F665" s="340"/>
      <c r="G665" s="340"/>
      <c r="H665" s="340"/>
      <c r="I665" s="340"/>
      <c r="J665" s="340"/>
      <c r="K665" s="340"/>
      <c r="L665" s="340"/>
      <c r="M665" s="340"/>
      <c r="N665" s="340"/>
      <c r="O665" s="340"/>
      <c r="P665" s="340"/>
      <c r="Q665" s="340"/>
      <c r="R665" s="340"/>
      <c r="S665" s="340"/>
      <c r="T665" s="340"/>
      <c r="U665" s="340"/>
      <c r="V665" s="340"/>
      <c r="W665" s="340"/>
      <c r="X665" s="340"/>
      <c r="Y665" s="340"/>
      <c r="Z665" s="340"/>
    </row>
    <row r="666" spans="1:26" ht="14.25" customHeight="1">
      <c r="A666" s="340"/>
      <c r="B666" s="340"/>
      <c r="C666" s="340"/>
      <c r="D666" s="340"/>
      <c r="E666" s="340"/>
      <c r="F666" s="340"/>
      <c r="G666" s="340"/>
      <c r="H666" s="340"/>
      <c r="I666" s="340"/>
      <c r="J666" s="340"/>
      <c r="K666" s="340"/>
      <c r="L666" s="340"/>
      <c r="M666" s="340"/>
      <c r="N666" s="340"/>
      <c r="O666" s="340"/>
      <c r="P666" s="340"/>
      <c r="Q666" s="340"/>
      <c r="R666" s="340"/>
      <c r="S666" s="340"/>
      <c r="T666" s="340"/>
      <c r="U666" s="340"/>
      <c r="V666" s="340"/>
      <c r="W666" s="340"/>
      <c r="X666" s="340"/>
      <c r="Y666" s="340"/>
      <c r="Z666" s="340"/>
    </row>
    <row r="667" spans="1:26" ht="14.25" customHeight="1">
      <c r="A667" s="340"/>
      <c r="B667" s="340"/>
      <c r="C667" s="340"/>
      <c r="D667" s="340"/>
      <c r="E667" s="340"/>
      <c r="F667" s="340"/>
      <c r="G667" s="340"/>
      <c r="H667" s="340"/>
      <c r="I667" s="340"/>
      <c r="J667" s="340"/>
      <c r="K667" s="340"/>
      <c r="L667" s="340"/>
      <c r="M667" s="340"/>
      <c r="N667" s="340"/>
      <c r="O667" s="340"/>
      <c r="P667" s="340"/>
      <c r="Q667" s="340"/>
      <c r="R667" s="340"/>
      <c r="S667" s="340"/>
      <c r="T667" s="340"/>
      <c r="U667" s="340"/>
      <c r="V667" s="340"/>
      <c r="W667" s="340"/>
      <c r="X667" s="340"/>
      <c r="Y667" s="340"/>
      <c r="Z667" s="340"/>
    </row>
    <row r="668" spans="1:26" ht="14.25" customHeight="1">
      <c r="A668" s="340"/>
      <c r="B668" s="340"/>
      <c r="C668" s="340"/>
      <c r="D668" s="340"/>
      <c r="E668" s="340"/>
      <c r="F668" s="340"/>
      <c r="G668" s="340"/>
      <c r="H668" s="340"/>
      <c r="I668" s="340"/>
      <c r="J668" s="340"/>
      <c r="K668" s="340"/>
      <c r="L668" s="340"/>
      <c r="M668" s="340"/>
      <c r="N668" s="340"/>
      <c r="O668" s="340"/>
      <c r="P668" s="340"/>
      <c r="Q668" s="340"/>
      <c r="R668" s="340"/>
      <c r="S668" s="340"/>
      <c r="T668" s="340"/>
      <c r="U668" s="340"/>
      <c r="V668" s="340"/>
      <c r="W668" s="340"/>
      <c r="X668" s="340"/>
      <c r="Y668" s="340"/>
      <c r="Z668" s="340"/>
    </row>
    <row r="669" spans="1:26" ht="14.25" customHeight="1">
      <c r="A669" s="340"/>
      <c r="B669" s="340"/>
      <c r="C669" s="340"/>
      <c r="D669" s="340"/>
      <c r="E669" s="340"/>
      <c r="F669" s="340"/>
      <c r="G669" s="340"/>
      <c r="H669" s="340"/>
      <c r="I669" s="340"/>
      <c r="J669" s="340"/>
      <c r="K669" s="340"/>
      <c r="L669" s="340"/>
      <c r="M669" s="340"/>
      <c r="N669" s="340"/>
      <c r="O669" s="340"/>
      <c r="P669" s="340"/>
      <c r="Q669" s="340"/>
      <c r="R669" s="340"/>
      <c r="S669" s="340"/>
      <c r="T669" s="340"/>
      <c r="U669" s="340"/>
      <c r="V669" s="340"/>
      <c r="W669" s="340"/>
      <c r="X669" s="340"/>
      <c r="Y669" s="340"/>
      <c r="Z669" s="340"/>
    </row>
    <row r="670" spans="1:26" ht="14.25" customHeight="1">
      <c r="A670" s="340"/>
      <c r="B670" s="340"/>
      <c r="C670" s="340"/>
      <c r="D670" s="340"/>
      <c r="E670" s="340"/>
      <c r="F670" s="340"/>
      <c r="G670" s="340"/>
      <c r="H670" s="340"/>
      <c r="I670" s="340"/>
      <c r="J670" s="340"/>
      <c r="K670" s="340"/>
      <c r="L670" s="340"/>
      <c r="M670" s="340"/>
      <c r="N670" s="340"/>
      <c r="O670" s="340"/>
      <c r="P670" s="340"/>
      <c r="Q670" s="340"/>
      <c r="R670" s="340"/>
      <c r="S670" s="340"/>
      <c r="T670" s="340"/>
      <c r="U670" s="340"/>
      <c r="V670" s="340"/>
      <c r="W670" s="340"/>
      <c r="X670" s="340"/>
      <c r="Y670" s="340"/>
      <c r="Z670" s="340"/>
    </row>
    <row r="671" spans="1:26" ht="14.25" customHeight="1">
      <c r="A671" s="340"/>
      <c r="B671" s="340"/>
      <c r="C671" s="340"/>
      <c r="D671" s="340"/>
      <c r="E671" s="340"/>
      <c r="F671" s="340"/>
      <c r="G671" s="340"/>
      <c r="H671" s="340"/>
      <c r="I671" s="340"/>
      <c r="J671" s="340"/>
      <c r="K671" s="340"/>
      <c r="L671" s="340"/>
      <c r="M671" s="340"/>
      <c r="N671" s="340"/>
      <c r="O671" s="340"/>
      <c r="P671" s="340"/>
      <c r="Q671" s="340"/>
      <c r="R671" s="340"/>
      <c r="S671" s="340"/>
      <c r="T671" s="340"/>
      <c r="U671" s="340"/>
      <c r="V671" s="340"/>
      <c r="W671" s="340"/>
      <c r="X671" s="340"/>
      <c r="Y671" s="340"/>
      <c r="Z671" s="340"/>
    </row>
    <row r="672" spans="1:26" ht="14.25" customHeight="1">
      <c r="A672" s="340"/>
      <c r="B672" s="340"/>
      <c r="C672" s="340"/>
      <c r="D672" s="340"/>
      <c r="E672" s="340"/>
      <c r="F672" s="340"/>
      <c r="G672" s="340"/>
      <c r="H672" s="340"/>
      <c r="I672" s="340"/>
      <c r="J672" s="340"/>
      <c r="K672" s="340"/>
      <c r="L672" s="340"/>
      <c r="M672" s="340"/>
      <c r="N672" s="340"/>
      <c r="O672" s="340"/>
      <c r="P672" s="340"/>
      <c r="Q672" s="340"/>
      <c r="R672" s="340"/>
      <c r="S672" s="340"/>
      <c r="T672" s="340"/>
      <c r="U672" s="340"/>
      <c r="V672" s="340"/>
      <c r="W672" s="340"/>
      <c r="X672" s="340"/>
      <c r="Y672" s="340"/>
      <c r="Z672" s="340"/>
    </row>
    <row r="673" spans="1:26" ht="14.25" customHeight="1">
      <c r="A673" s="340"/>
      <c r="B673" s="340"/>
      <c r="C673" s="340"/>
      <c r="D673" s="340"/>
      <c r="E673" s="340"/>
      <c r="F673" s="340"/>
      <c r="G673" s="340"/>
      <c r="H673" s="340"/>
      <c r="I673" s="340"/>
      <c r="J673" s="340"/>
      <c r="K673" s="340"/>
      <c r="L673" s="340"/>
      <c r="M673" s="340"/>
      <c r="N673" s="340"/>
      <c r="O673" s="340"/>
      <c r="P673" s="340"/>
      <c r="Q673" s="340"/>
      <c r="R673" s="340"/>
      <c r="S673" s="340"/>
      <c r="T673" s="340"/>
      <c r="U673" s="340"/>
      <c r="V673" s="340"/>
      <c r="W673" s="340"/>
      <c r="X673" s="340"/>
      <c r="Y673" s="340"/>
      <c r="Z673" s="340"/>
    </row>
    <row r="674" spans="1:26" ht="14.25" customHeight="1">
      <c r="A674" s="340"/>
      <c r="B674" s="340"/>
      <c r="C674" s="340"/>
      <c r="D674" s="340"/>
      <c r="E674" s="340"/>
      <c r="F674" s="340"/>
      <c r="G674" s="340"/>
      <c r="H674" s="340"/>
      <c r="I674" s="340"/>
      <c r="J674" s="340"/>
      <c r="K674" s="340"/>
      <c r="L674" s="340"/>
      <c r="M674" s="340"/>
      <c r="N674" s="340"/>
      <c r="O674" s="340"/>
      <c r="P674" s="340"/>
      <c r="Q674" s="340"/>
      <c r="R674" s="340"/>
      <c r="S674" s="340"/>
      <c r="T674" s="340"/>
      <c r="U674" s="340"/>
      <c r="V674" s="340"/>
      <c r="W674" s="340"/>
      <c r="X674" s="340"/>
      <c r="Y674" s="340"/>
      <c r="Z674" s="340"/>
    </row>
    <row r="675" spans="1:26" ht="14.25" customHeight="1">
      <c r="A675" s="340"/>
      <c r="B675" s="340"/>
      <c r="C675" s="340"/>
      <c r="D675" s="340"/>
      <c r="E675" s="340"/>
      <c r="F675" s="340"/>
      <c r="G675" s="340"/>
      <c r="H675" s="340"/>
      <c r="I675" s="340"/>
      <c r="J675" s="340"/>
      <c r="K675" s="340"/>
      <c r="L675" s="340"/>
      <c r="M675" s="340"/>
      <c r="N675" s="340"/>
      <c r="O675" s="340"/>
      <c r="P675" s="340"/>
      <c r="Q675" s="340"/>
      <c r="R675" s="340"/>
      <c r="S675" s="340"/>
      <c r="T675" s="340"/>
      <c r="U675" s="340"/>
      <c r="V675" s="340"/>
      <c r="W675" s="340"/>
      <c r="X675" s="340"/>
      <c r="Y675" s="340"/>
      <c r="Z675" s="340"/>
    </row>
    <row r="676" spans="1:26" ht="14.25" customHeight="1">
      <c r="A676" s="340"/>
      <c r="B676" s="340"/>
      <c r="C676" s="340"/>
      <c r="D676" s="340"/>
      <c r="E676" s="340"/>
      <c r="F676" s="340"/>
      <c r="G676" s="340"/>
      <c r="H676" s="340"/>
      <c r="I676" s="340"/>
      <c r="J676" s="340"/>
      <c r="K676" s="340"/>
      <c r="L676" s="340"/>
      <c r="M676" s="340"/>
      <c r="N676" s="340"/>
      <c r="O676" s="340"/>
      <c r="P676" s="340"/>
      <c r="Q676" s="340"/>
      <c r="R676" s="340"/>
      <c r="S676" s="340"/>
      <c r="T676" s="340"/>
      <c r="U676" s="340"/>
      <c r="V676" s="340"/>
      <c r="W676" s="340"/>
      <c r="X676" s="340"/>
      <c r="Y676" s="340"/>
      <c r="Z676" s="340"/>
    </row>
    <row r="677" spans="1:26" ht="14.25" customHeight="1">
      <c r="A677" s="340"/>
      <c r="B677" s="340"/>
      <c r="C677" s="340"/>
      <c r="D677" s="340"/>
      <c r="E677" s="340"/>
      <c r="F677" s="340"/>
      <c r="G677" s="340"/>
      <c r="H677" s="340"/>
      <c r="I677" s="340"/>
      <c r="J677" s="340"/>
      <c r="K677" s="340"/>
      <c r="L677" s="340"/>
      <c r="M677" s="340"/>
      <c r="N677" s="340"/>
      <c r="O677" s="340"/>
      <c r="P677" s="340"/>
      <c r="Q677" s="340"/>
      <c r="R677" s="340"/>
      <c r="S677" s="340"/>
      <c r="T677" s="340"/>
      <c r="U677" s="340"/>
      <c r="V677" s="340"/>
      <c r="W677" s="340"/>
      <c r="X677" s="340"/>
      <c r="Y677" s="340"/>
      <c r="Z677" s="340"/>
    </row>
    <row r="678" spans="1:26" ht="14.25" customHeight="1">
      <c r="A678" s="340"/>
      <c r="B678" s="340"/>
      <c r="C678" s="340"/>
      <c r="D678" s="340"/>
      <c r="E678" s="340"/>
      <c r="F678" s="340"/>
      <c r="G678" s="340"/>
      <c r="H678" s="340"/>
      <c r="I678" s="340"/>
      <c r="J678" s="340"/>
      <c r="K678" s="340"/>
      <c r="L678" s="340"/>
      <c r="M678" s="340"/>
      <c r="N678" s="340"/>
      <c r="O678" s="340"/>
      <c r="P678" s="340"/>
      <c r="Q678" s="340"/>
      <c r="R678" s="340"/>
      <c r="S678" s="340"/>
      <c r="T678" s="340"/>
      <c r="U678" s="340"/>
      <c r="V678" s="340"/>
      <c r="W678" s="340"/>
      <c r="X678" s="340"/>
      <c r="Y678" s="340"/>
      <c r="Z678" s="340"/>
    </row>
    <row r="679" spans="1:26" ht="14.25" customHeight="1">
      <c r="A679" s="340"/>
      <c r="B679" s="340"/>
      <c r="C679" s="340"/>
      <c r="D679" s="340"/>
      <c r="E679" s="340"/>
      <c r="F679" s="340"/>
      <c r="G679" s="340"/>
      <c r="H679" s="340"/>
      <c r="I679" s="340"/>
      <c r="J679" s="340"/>
      <c r="K679" s="340"/>
      <c r="L679" s="340"/>
      <c r="M679" s="340"/>
      <c r="N679" s="340"/>
      <c r="O679" s="340"/>
      <c r="P679" s="340"/>
      <c r="Q679" s="340"/>
      <c r="R679" s="340"/>
      <c r="S679" s="340"/>
      <c r="T679" s="340"/>
      <c r="U679" s="340"/>
      <c r="V679" s="340"/>
      <c r="W679" s="340"/>
      <c r="X679" s="340"/>
      <c r="Y679" s="340"/>
      <c r="Z679" s="340"/>
    </row>
    <row r="680" spans="1:26" ht="14.25" customHeight="1">
      <c r="A680" s="340"/>
      <c r="B680" s="340"/>
      <c r="C680" s="340"/>
      <c r="D680" s="340"/>
      <c r="E680" s="340"/>
      <c r="F680" s="340"/>
      <c r="G680" s="340"/>
      <c r="H680" s="340"/>
      <c r="I680" s="340"/>
      <c r="J680" s="340"/>
      <c r="K680" s="340"/>
      <c r="L680" s="340"/>
      <c r="M680" s="340"/>
      <c r="N680" s="340"/>
      <c r="O680" s="340"/>
      <c r="P680" s="340"/>
      <c r="Q680" s="340"/>
      <c r="R680" s="340"/>
      <c r="S680" s="340"/>
      <c r="T680" s="340"/>
      <c r="U680" s="340"/>
      <c r="V680" s="340"/>
      <c r="W680" s="340"/>
      <c r="X680" s="340"/>
      <c r="Y680" s="340"/>
      <c r="Z680" s="340"/>
    </row>
    <row r="681" spans="1:26" ht="14.25" customHeight="1">
      <c r="A681" s="340"/>
      <c r="B681" s="340"/>
      <c r="C681" s="340"/>
      <c r="D681" s="340"/>
      <c r="E681" s="340"/>
      <c r="F681" s="340"/>
      <c r="G681" s="340"/>
      <c r="H681" s="340"/>
      <c r="I681" s="340"/>
      <c r="J681" s="340"/>
      <c r="K681" s="340"/>
      <c r="L681" s="340"/>
      <c r="M681" s="340"/>
      <c r="N681" s="340"/>
      <c r="O681" s="340"/>
      <c r="P681" s="340"/>
      <c r="Q681" s="340"/>
      <c r="R681" s="340"/>
      <c r="S681" s="340"/>
      <c r="T681" s="340"/>
      <c r="U681" s="340"/>
      <c r="V681" s="340"/>
      <c r="W681" s="340"/>
      <c r="X681" s="340"/>
      <c r="Y681" s="340"/>
      <c r="Z681" s="340"/>
    </row>
    <row r="682" spans="1:26" ht="14.25" customHeight="1">
      <c r="A682" s="340"/>
      <c r="B682" s="340"/>
      <c r="C682" s="340"/>
      <c r="D682" s="340"/>
      <c r="E682" s="340"/>
      <c r="F682" s="340"/>
      <c r="G682" s="340"/>
      <c r="H682" s="340"/>
      <c r="I682" s="340"/>
      <c r="J682" s="340"/>
      <c r="K682" s="340"/>
      <c r="L682" s="340"/>
      <c r="M682" s="340"/>
      <c r="N682" s="340"/>
      <c r="O682" s="340"/>
      <c r="P682" s="340"/>
      <c r="Q682" s="340"/>
      <c r="R682" s="340"/>
      <c r="S682" s="340"/>
      <c r="T682" s="340"/>
      <c r="U682" s="340"/>
      <c r="V682" s="340"/>
      <c r="W682" s="340"/>
      <c r="X682" s="340"/>
      <c r="Y682" s="340"/>
      <c r="Z682" s="340"/>
    </row>
    <row r="683" spans="1:26" ht="14.25" customHeight="1">
      <c r="A683" s="340"/>
      <c r="B683" s="340"/>
      <c r="C683" s="340"/>
      <c r="D683" s="340"/>
      <c r="E683" s="340"/>
      <c r="F683" s="340"/>
      <c r="G683" s="340"/>
      <c r="H683" s="340"/>
      <c r="I683" s="340"/>
      <c r="J683" s="340"/>
      <c r="K683" s="340"/>
      <c r="L683" s="340"/>
      <c r="M683" s="340"/>
      <c r="N683" s="340"/>
      <c r="O683" s="340"/>
      <c r="P683" s="340"/>
      <c r="Q683" s="340"/>
      <c r="R683" s="340"/>
      <c r="S683" s="340"/>
      <c r="T683" s="340"/>
      <c r="U683" s="340"/>
      <c r="V683" s="340"/>
      <c r="W683" s="340"/>
      <c r="X683" s="340"/>
      <c r="Y683" s="340"/>
      <c r="Z683" s="340"/>
    </row>
    <row r="684" spans="1:26" ht="14.25" customHeight="1">
      <c r="A684" s="340"/>
      <c r="B684" s="340"/>
      <c r="C684" s="340"/>
      <c r="D684" s="340"/>
      <c r="E684" s="340"/>
      <c r="F684" s="340"/>
      <c r="G684" s="340"/>
      <c r="H684" s="340"/>
      <c r="I684" s="340"/>
      <c r="J684" s="340"/>
      <c r="K684" s="340"/>
      <c r="L684" s="340"/>
      <c r="M684" s="340"/>
      <c r="N684" s="340"/>
      <c r="O684" s="340"/>
      <c r="P684" s="340"/>
      <c r="Q684" s="340"/>
      <c r="R684" s="340"/>
      <c r="S684" s="340"/>
      <c r="T684" s="340"/>
      <c r="U684" s="340"/>
      <c r="V684" s="340"/>
      <c r="W684" s="340"/>
      <c r="X684" s="340"/>
      <c r="Y684" s="340"/>
      <c r="Z684" s="340"/>
    </row>
    <row r="685" spans="1:26" ht="14.25" customHeight="1">
      <c r="A685" s="340"/>
      <c r="B685" s="340"/>
      <c r="C685" s="340"/>
      <c r="D685" s="340"/>
      <c r="E685" s="340"/>
      <c r="F685" s="340"/>
      <c r="G685" s="340"/>
      <c r="H685" s="340"/>
      <c r="I685" s="340"/>
      <c r="J685" s="340"/>
      <c r="K685" s="340"/>
      <c r="L685" s="340"/>
      <c r="M685" s="340"/>
      <c r="N685" s="340"/>
      <c r="O685" s="340"/>
      <c r="P685" s="340"/>
      <c r="Q685" s="340"/>
      <c r="R685" s="340"/>
      <c r="S685" s="340"/>
      <c r="T685" s="340"/>
      <c r="U685" s="340"/>
      <c r="V685" s="340"/>
      <c r="W685" s="340"/>
      <c r="X685" s="340"/>
      <c r="Y685" s="340"/>
      <c r="Z685" s="340"/>
    </row>
    <row r="686" spans="1:26" ht="14.25" customHeight="1">
      <c r="A686" s="340"/>
      <c r="B686" s="340"/>
      <c r="C686" s="340"/>
      <c r="D686" s="340"/>
      <c r="E686" s="340"/>
      <c r="F686" s="340"/>
      <c r="G686" s="340"/>
      <c r="H686" s="340"/>
      <c r="I686" s="340"/>
      <c r="J686" s="340"/>
      <c r="K686" s="340"/>
      <c r="L686" s="340"/>
      <c r="M686" s="340"/>
      <c r="N686" s="340"/>
      <c r="O686" s="340"/>
      <c r="P686" s="340"/>
      <c r="Q686" s="340"/>
      <c r="R686" s="340"/>
      <c r="S686" s="340"/>
      <c r="T686" s="340"/>
      <c r="U686" s="340"/>
      <c r="V686" s="340"/>
      <c r="W686" s="340"/>
      <c r="X686" s="340"/>
      <c r="Y686" s="340"/>
      <c r="Z686" s="340"/>
    </row>
    <row r="687" spans="1:26" ht="14.25" customHeight="1">
      <c r="A687" s="340"/>
      <c r="B687" s="340"/>
      <c r="C687" s="340"/>
      <c r="D687" s="340"/>
      <c r="E687" s="340"/>
      <c r="F687" s="340"/>
      <c r="G687" s="340"/>
      <c r="H687" s="340"/>
      <c r="I687" s="340"/>
      <c r="J687" s="340"/>
      <c r="K687" s="340"/>
      <c r="L687" s="340"/>
      <c r="M687" s="340"/>
      <c r="N687" s="340"/>
      <c r="O687" s="340"/>
      <c r="P687" s="340"/>
      <c r="Q687" s="340"/>
      <c r="R687" s="340"/>
      <c r="S687" s="340"/>
      <c r="T687" s="340"/>
      <c r="U687" s="340"/>
      <c r="V687" s="340"/>
      <c r="W687" s="340"/>
      <c r="X687" s="340"/>
      <c r="Y687" s="340"/>
      <c r="Z687" s="340"/>
    </row>
    <row r="688" spans="1:26" ht="14.25" customHeight="1">
      <c r="A688" s="340"/>
      <c r="B688" s="340"/>
      <c r="C688" s="340"/>
      <c r="D688" s="340"/>
      <c r="E688" s="340"/>
      <c r="F688" s="340"/>
      <c r="G688" s="340"/>
      <c r="H688" s="340"/>
      <c r="I688" s="340"/>
      <c r="J688" s="340"/>
      <c r="K688" s="340"/>
      <c r="L688" s="340"/>
      <c r="M688" s="340"/>
      <c r="N688" s="340"/>
      <c r="O688" s="340"/>
      <c r="P688" s="340"/>
      <c r="Q688" s="340"/>
      <c r="R688" s="340"/>
      <c r="S688" s="340"/>
      <c r="T688" s="340"/>
      <c r="U688" s="340"/>
      <c r="V688" s="340"/>
      <c r="W688" s="340"/>
      <c r="X688" s="340"/>
      <c r="Y688" s="340"/>
      <c r="Z688" s="340"/>
    </row>
    <row r="689" spans="1:26" ht="14.25" customHeight="1">
      <c r="A689" s="340"/>
      <c r="B689" s="340"/>
      <c r="C689" s="340"/>
      <c r="D689" s="340"/>
      <c r="E689" s="340"/>
      <c r="F689" s="340"/>
      <c r="G689" s="340"/>
      <c r="H689" s="340"/>
      <c r="I689" s="340"/>
      <c r="J689" s="340"/>
      <c r="K689" s="340"/>
      <c r="L689" s="340"/>
      <c r="M689" s="340"/>
      <c r="N689" s="340"/>
      <c r="O689" s="340"/>
      <c r="P689" s="340"/>
      <c r="Q689" s="340"/>
      <c r="R689" s="340"/>
      <c r="S689" s="340"/>
      <c r="T689" s="340"/>
      <c r="U689" s="340"/>
      <c r="V689" s="340"/>
      <c r="W689" s="340"/>
      <c r="X689" s="340"/>
      <c r="Y689" s="340"/>
      <c r="Z689" s="340"/>
    </row>
    <row r="690" spans="1:26" ht="14.25" customHeight="1">
      <c r="A690" s="340"/>
      <c r="B690" s="340"/>
      <c r="C690" s="340"/>
      <c r="D690" s="340"/>
      <c r="E690" s="340"/>
      <c r="F690" s="340"/>
      <c r="G690" s="340"/>
      <c r="H690" s="340"/>
      <c r="I690" s="340"/>
      <c r="J690" s="340"/>
      <c r="K690" s="340"/>
      <c r="L690" s="340"/>
      <c r="M690" s="340"/>
      <c r="N690" s="340"/>
      <c r="O690" s="340"/>
      <c r="P690" s="340"/>
      <c r="Q690" s="340"/>
      <c r="R690" s="340"/>
      <c r="S690" s="340"/>
      <c r="T690" s="340"/>
      <c r="U690" s="340"/>
      <c r="V690" s="340"/>
      <c r="W690" s="340"/>
      <c r="X690" s="340"/>
      <c r="Y690" s="340"/>
      <c r="Z690" s="340"/>
    </row>
    <row r="691" spans="1:26" ht="14.25" customHeight="1">
      <c r="A691" s="340"/>
      <c r="B691" s="340"/>
      <c r="C691" s="340"/>
      <c r="D691" s="340"/>
      <c r="E691" s="340"/>
      <c r="F691" s="340"/>
      <c r="G691" s="340"/>
      <c r="H691" s="340"/>
      <c r="I691" s="340"/>
      <c r="J691" s="340"/>
      <c r="K691" s="340"/>
      <c r="L691" s="340"/>
      <c r="M691" s="340"/>
      <c r="N691" s="340"/>
      <c r="O691" s="340"/>
      <c r="P691" s="340"/>
      <c r="Q691" s="340"/>
      <c r="R691" s="340"/>
      <c r="S691" s="340"/>
      <c r="T691" s="340"/>
      <c r="U691" s="340"/>
      <c r="V691" s="340"/>
      <c r="W691" s="340"/>
      <c r="X691" s="340"/>
      <c r="Y691" s="340"/>
      <c r="Z691" s="340"/>
    </row>
    <row r="692" spans="1:26" ht="14.25" customHeight="1">
      <c r="A692" s="340"/>
      <c r="B692" s="340"/>
      <c r="C692" s="340"/>
      <c r="D692" s="340"/>
      <c r="E692" s="340"/>
      <c r="F692" s="340"/>
      <c r="G692" s="340"/>
      <c r="H692" s="340"/>
      <c r="I692" s="340"/>
      <c r="J692" s="340"/>
      <c r="K692" s="340"/>
      <c r="L692" s="340"/>
      <c r="M692" s="340"/>
      <c r="N692" s="340"/>
      <c r="O692" s="340"/>
      <c r="P692" s="340"/>
      <c r="Q692" s="340"/>
      <c r="R692" s="340"/>
      <c r="S692" s="340"/>
      <c r="T692" s="340"/>
      <c r="U692" s="340"/>
      <c r="V692" s="340"/>
      <c r="W692" s="340"/>
      <c r="X692" s="340"/>
      <c r="Y692" s="340"/>
      <c r="Z692" s="340"/>
    </row>
    <row r="693" spans="1:26" ht="14.25" customHeight="1">
      <c r="A693" s="340"/>
      <c r="B693" s="340"/>
      <c r="C693" s="340"/>
      <c r="D693" s="340"/>
      <c r="E693" s="340"/>
      <c r="F693" s="340"/>
      <c r="G693" s="340"/>
      <c r="H693" s="340"/>
      <c r="I693" s="340"/>
      <c r="J693" s="340"/>
      <c r="K693" s="340"/>
      <c r="L693" s="340"/>
      <c r="M693" s="340"/>
      <c r="N693" s="340"/>
      <c r="O693" s="340"/>
      <c r="P693" s="340"/>
      <c r="Q693" s="340"/>
      <c r="R693" s="340"/>
      <c r="S693" s="340"/>
      <c r="T693" s="340"/>
      <c r="U693" s="340"/>
      <c r="V693" s="340"/>
      <c r="W693" s="340"/>
      <c r="X693" s="340"/>
      <c r="Y693" s="340"/>
      <c r="Z693" s="340"/>
    </row>
    <row r="694" spans="1:26" ht="14.25" customHeight="1">
      <c r="A694" s="340"/>
      <c r="B694" s="340"/>
      <c r="C694" s="340"/>
      <c r="D694" s="340"/>
      <c r="E694" s="340"/>
      <c r="F694" s="340"/>
      <c r="G694" s="340"/>
      <c r="H694" s="340"/>
      <c r="I694" s="340"/>
      <c r="J694" s="340"/>
      <c r="K694" s="340"/>
      <c r="L694" s="340"/>
      <c r="M694" s="340"/>
      <c r="N694" s="340"/>
      <c r="O694" s="340"/>
      <c r="P694" s="340"/>
      <c r="Q694" s="340"/>
      <c r="R694" s="340"/>
      <c r="S694" s="340"/>
      <c r="T694" s="340"/>
      <c r="U694" s="340"/>
      <c r="V694" s="340"/>
      <c r="W694" s="340"/>
      <c r="X694" s="340"/>
      <c r="Y694" s="340"/>
      <c r="Z694" s="340"/>
    </row>
    <row r="695" spans="1:26" ht="14.25" customHeight="1">
      <c r="A695" s="340"/>
      <c r="B695" s="340"/>
      <c r="C695" s="340"/>
      <c r="D695" s="340"/>
      <c r="E695" s="340"/>
      <c r="F695" s="340"/>
      <c r="G695" s="340"/>
      <c r="H695" s="340"/>
      <c r="I695" s="340"/>
      <c r="J695" s="340"/>
      <c r="K695" s="340"/>
      <c r="L695" s="340"/>
      <c r="M695" s="340"/>
      <c r="N695" s="340"/>
      <c r="O695" s="340"/>
      <c r="P695" s="340"/>
      <c r="Q695" s="340"/>
      <c r="R695" s="340"/>
      <c r="S695" s="340"/>
      <c r="T695" s="340"/>
      <c r="U695" s="340"/>
      <c r="V695" s="340"/>
      <c r="W695" s="340"/>
      <c r="X695" s="340"/>
      <c r="Y695" s="340"/>
      <c r="Z695" s="340"/>
    </row>
    <row r="696" spans="1:26" ht="14.25" customHeight="1">
      <c r="A696" s="340"/>
      <c r="B696" s="340"/>
      <c r="C696" s="340"/>
      <c r="D696" s="340"/>
      <c r="E696" s="340"/>
      <c r="F696" s="340"/>
      <c r="G696" s="340"/>
      <c r="H696" s="340"/>
      <c r="I696" s="340"/>
      <c r="J696" s="340"/>
      <c r="K696" s="340"/>
      <c r="L696" s="340"/>
      <c r="M696" s="340"/>
      <c r="N696" s="340"/>
      <c r="O696" s="340"/>
      <c r="P696" s="340"/>
      <c r="Q696" s="340"/>
      <c r="R696" s="340"/>
      <c r="S696" s="340"/>
      <c r="T696" s="340"/>
      <c r="U696" s="340"/>
      <c r="V696" s="340"/>
      <c r="W696" s="340"/>
      <c r="X696" s="340"/>
      <c r="Y696" s="340"/>
      <c r="Z696" s="340"/>
    </row>
    <row r="697" spans="1:26" ht="14.25" customHeight="1">
      <c r="A697" s="340"/>
      <c r="B697" s="340"/>
      <c r="C697" s="340"/>
      <c r="D697" s="340"/>
      <c r="E697" s="340"/>
      <c r="F697" s="340"/>
      <c r="G697" s="340"/>
      <c r="H697" s="340"/>
      <c r="I697" s="340"/>
      <c r="J697" s="340"/>
      <c r="K697" s="340"/>
      <c r="L697" s="340"/>
      <c r="M697" s="340"/>
      <c r="N697" s="340"/>
      <c r="O697" s="340"/>
      <c r="P697" s="340"/>
      <c r="Q697" s="340"/>
      <c r="R697" s="340"/>
      <c r="S697" s="340"/>
      <c r="T697" s="340"/>
      <c r="U697" s="340"/>
      <c r="V697" s="340"/>
      <c r="W697" s="340"/>
      <c r="X697" s="340"/>
      <c r="Y697" s="340"/>
      <c r="Z697" s="340"/>
    </row>
    <row r="698" spans="1:26" ht="14.25" customHeight="1">
      <c r="A698" s="340"/>
      <c r="B698" s="340"/>
      <c r="C698" s="340"/>
      <c r="D698" s="340"/>
      <c r="E698" s="340"/>
      <c r="F698" s="340"/>
      <c r="G698" s="340"/>
      <c r="H698" s="340"/>
      <c r="I698" s="340"/>
      <c r="J698" s="340"/>
      <c r="K698" s="340"/>
      <c r="L698" s="340"/>
      <c r="M698" s="340"/>
      <c r="N698" s="340"/>
      <c r="O698" s="340"/>
      <c r="P698" s="340"/>
      <c r="Q698" s="340"/>
      <c r="R698" s="340"/>
      <c r="S698" s="340"/>
      <c r="T698" s="340"/>
      <c r="U698" s="340"/>
      <c r="V698" s="340"/>
      <c r="W698" s="340"/>
      <c r="X698" s="340"/>
      <c r="Y698" s="340"/>
      <c r="Z698" s="340"/>
    </row>
    <row r="699" spans="1:26" ht="14.25" customHeight="1">
      <c r="A699" s="340"/>
      <c r="B699" s="340"/>
      <c r="C699" s="340"/>
      <c r="D699" s="340"/>
      <c r="E699" s="340"/>
      <c r="F699" s="340"/>
      <c r="G699" s="340"/>
      <c r="H699" s="340"/>
      <c r="I699" s="340"/>
      <c r="J699" s="340"/>
      <c r="K699" s="340"/>
      <c r="L699" s="340"/>
      <c r="M699" s="340"/>
      <c r="N699" s="340"/>
      <c r="O699" s="340"/>
      <c r="P699" s="340"/>
      <c r="Q699" s="340"/>
      <c r="R699" s="340"/>
      <c r="S699" s="340"/>
      <c r="T699" s="340"/>
      <c r="U699" s="340"/>
      <c r="V699" s="340"/>
      <c r="W699" s="340"/>
      <c r="X699" s="340"/>
      <c r="Y699" s="340"/>
      <c r="Z699" s="340"/>
    </row>
    <row r="700" spans="1:26" ht="14.25" customHeight="1">
      <c r="A700" s="340"/>
      <c r="B700" s="340"/>
      <c r="C700" s="340"/>
      <c r="D700" s="340"/>
      <c r="E700" s="340"/>
      <c r="F700" s="340"/>
      <c r="G700" s="340"/>
      <c r="H700" s="340"/>
      <c r="I700" s="340"/>
      <c r="J700" s="340"/>
      <c r="K700" s="340"/>
      <c r="L700" s="340"/>
      <c r="M700" s="340"/>
      <c r="N700" s="340"/>
      <c r="O700" s="340"/>
      <c r="P700" s="340"/>
      <c r="Q700" s="340"/>
      <c r="R700" s="340"/>
      <c r="S700" s="340"/>
      <c r="T700" s="340"/>
      <c r="U700" s="340"/>
      <c r="V700" s="340"/>
      <c r="W700" s="340"/>
      <c r="X700" s="340"/>
      <c r="Y700" s="340"/>
      <c r="Z700" s="340"/>
    </row>
    <row r="701" spans="1:26" ht="14.25" customHeight="1">
      <c r="A701" s="340"/>
      <c r="B701" s="340"/>
      <c r="C701" s="340"/>
      <c r="D701" s="340"/>
      <c r="E701" s="340"/>
      <c r="F701" s="340"/>
      <c r="G701" s="340"/>
      <c r="H701" s="340"/>
      <c r="I701" s="340"/>
      <c r="J701" s="340"/>
      <c r="K701" s="340"/>
      <c r="L701" s="340"/>
      <c r="M701" s="340"/>
      <c r="N701" s="340"/>
      <c r="O701" s="340"/>
      <c r="P701" s="340"/>
      <c r="Q701" s="340"/>
      <c r="R701" s="340"/>
      <c r="S701" s="340"/>
      <c r="T701" s="340"/>
      <c r="U701" s="340"/>
      <c r="V701" s="340"/>
      <c r="W701" s="340"/>
      <c r="X701" s="340"/>
      <c r="Y701" s="340"/>
      <c r="Z701" s="340"/>
    </row>
    <row r="702" spans="1:26" ht="14.25" customHeight="1">
      <c r="A702" s="340"/>
      <c r="B702" s="340"/>
      <c r="C702" s="340"/>
      <c r="D702" s="340"/>
      <c r="E702" s="340"/>
      <c r="F702" s="340"/>
      <c r="G702" s="340"/>
      <c r="H702" s="340"/>
      <c r="I702" s="340"/>
      <c r="J702" s="340"/>
      <c r="K702" s="340"/>
      <c r="L702" s="340"/>
      <c r="M702" s="340"/>
      <c r="N702" s="340"/>
      <c r="O702" s="340"/>
      <c r="P702" s="340"/>
      <c r="Q702" s="340"/>
      <c r="R702" s="340"/>
      <c r="S702" s="340"/>
      <c r="T702" s="340"/>
      <c r="U702" s="340"/>
      <c r="V702" s="340"/>
      <c r="W702" s="340"/>
      <c r="X702" s="340"/>
      <c r="Y702" s="340"/>
      <c r="Z702" s="340"/>
    </row>
    <row r="703" spans="1:26" ht="14.25" customHeight="1">
      <c r="A703" s="340"/>
      <c r="B703" s="340"/>
      <c r="C703" s="340"/>
      <c r="D703" s="340"/>
      <c r="E703" s="340"/>
      <c r="F703" s="340"/>
      <c r="G703" s="340"/>
      <c r="H703" s="340"/>
      <c r="I703" s="340"/>
      <c r="J703" s="340"/>
      <c r="K703" s="340"/>
      <c r="L703" s="340"/>
      <c r="M703" s="340"/>
      <c r="N703" s="340"/>
      <c r="O703" s="340"/>
      <c r="P703" s="340"/>
      <c r="Q703" s="340"/>
      <c r="R703" s="340"/>
      <c r="S703" s="340"/>
      <c r="T703" s="340"/>
      <c r="U703" s="340"/>
      <c r="V703" s="340"/>
      <c r="W703" s="340"/>
      <c r="X703" s="340"/>
      <c r="Y703" s="340"/>
      <c r="Z703" s="340"/>
    </row>
    <row r="704" spans="1:26" ht="14.25" customHeight="1">
      <c r="A704" s="340"/>
      <c r="B704" s="340"/>
      <c r="C704" s="340"/>
      <c r="D704" s="340"/>
      <c r="E704" s="340"/>
      <c r="F704" s="340"/>
      <c r="G704" s="340"/>
      <c r="H704" s="340"/>
      <c r="I704" s="340"/>
      <c r="J704" s="340"/>
      <c r="K704" s="340"/>
      <c r="L704" s="340"/>
      <c r="M704" s="340"/>
      <c r="N704" s="340"/>
      <c r="O704" s="340"/>
      <c r="P704" s="340"/>
      <c r="Q704" s="340"/>
      <c r="R704" s="340"/>
      <c r="S704" s="340"/>
      <c r="T704" s="340"/>
      <c r="U704" s="340"/>
      <c r="V704" s="340"/>
      <c r="W704" s="340"/>
      <c r="X704" s="340"/>
      <c r="Y704" s="340"/>
      <c r="Z704" s="340"/>
    </row>
    <row r="705" spans="1:26" ht="14.25" customHeight="1">
      <c r="A705" s="340"/>
      <c r="B705" s="340"/>
      <c r="C705" s="340"/>
      <c r="D705" s="340"/>
      <c r="E705" s="340"/>
      <c r="F705" s="340"/>
      <c r="G705" s="340"/>
      <c r="H705" s="340"/>
      <c r="I705" s="340"/>
      <c r="J705" s="340"/>
      <c r="K705" s="340"/>
      <c r="L705" s="340"/>
      <c r="M705" s="340"/>
      <c r="N705" s="340"/>
      <c r="O705" s="340"/>
      <c r="P705" s="340"/>
      <c r="Q705" s="340"/>
      <c r="R705" s="340"/>
      <c r="S705" s="340"/>
      <c r="T705" s="340"/>
      <c r="U705" s="340"/>
      <c r="V705" s="340"/>
      <c r="W705" s="340"/>
      <c r="X705" s="340"/>
      <c r="Y705" s="340"/>
      <c r="Z705" s="340"/>
    </row>
    <row r="706" spans="1:26" ht="14.25" customHeight="1">
      <c r="A706" s="340"/>
      <c r="B706" s="340"/>
      <c r="C706" s="340"/>
      <c r="D706" s="340"/>
      <c r="E706" s="340"/>
      <c r="F706" s="340"/>
      <c r="G706" s="340"/>
      <c r="H706" s="340"/>
      <c r="I706" s="340"/>
      <c r="J706" s="340"/>
      <c r="K706" s="340"/>
      <c r="L706" s="340"/>
      <c r="M706" s="340"/>
      <c r="N706" s="340"/>
      <c r="O706" s="340"/>
      <c r="P706" s="340"/>
      <c r="Q706" s="340"/>
      <c r="R706" s="340"/>
      <c r="S706" s="340"/>
      <c r="T706" s="340"/>
      <c r="U706" s="340"/>
      <c r="V706" s="340"/>
      <c r="W706" s="340"/>
      <c r="X706" s="340"/>
      <c r="Y706" s="340"/>
      <c r="Z706" s="340"/>
    </row>
    <row r="707" spans="1:26" ht="14.25" customHeight="1">
      <c r="A707" s="340"/>
      <c r="B707" s="340"/>
      <c r="C707" s="340"/>
      <c r="D707" s="340"/>
      <c r="E707" s="340"/>
      <c r="F707" s="340"/>
      <c r="G707" s="340"/>
      <c r="H707" s="340"/>
      <c r="I707" s="340"/>
      <c r="J707" s="340"/>
      <c r="K707" s="340"/>
      <c r="L707" s="340"/>
      <c r="M707" s="340"/>
      <c r="N707" s="340"/>
      <c r="O707" s="340"/>
      <c r="P707" s="340"/>
      <c r="Q707" s="340"/>
      <c r="R707" s="340"/>
      <c r="S707" s="340"/>
      <c r="T707" s="340"/>
      <c r="U707" s="340"/>
      <c r="V707" s="340"/>
      <c r="W707" s="340"/>
      <c r="X707" s="340"/>
      <c r="Y707" s="340"/>
      <c r="Z707" s="340"/>
    </row>
    <row r="708" spans="1:26" ht="14.25" customHeight="1">
      <c r="A708" s="340"/>
      <c r="B708" s="340"/>
      <c r="C708" s="340"/>
      <c r="D708" s="340"/>
      <c r="E708" s="340"/>
      <c r="F708" s="340"/>
      <c r="G708" s="340"/>
      <c r="H708" s="340"/>
      <c r="I708" s="340"/>
      <c r="J708" s="340"/>
      <c r="K708" s="340"/>
      <c r="L708" s="340"/>
      <c r="M708" s="340"/>
      <c r="N708" s="340"/>
      <c r="O708" s="340"/>
      <c r="P708" s="340"/>
      <c r="Q708" s="340"/>
      <c r="R708" s="340"/>
      <c r="S708" s="340"/>
      <c r="T708" s="340"/>
      <c r="U708" s="340"/>
      <c r="V708" s="340"/>
      <c r="W708" s="340"/>
      <c r="X708" s="340"/>
      <c r="Y708" s="340"/>
      <c r="Z708" s="340"/>
    </row>
    <row r="709" spans="1:26" ht="14.25" customHeight="1">
      <c r="A709" s="340"/>
      <c r="B709" s="340"/>
      <c r="C709" s="340"/>
      <c r="D709" s="340"/>
      <c r="E709" s="340"/>
      <c r="F709" s="340"/>
      <c r="G709" s="340"/>
      <c r="H709" s="340"/>
      <c r="I709" s="340"/>
      <c r="J709" s="340"/>
      <c r="K709" s="340"/>
      <c r="L709" s="340"/>
      <c r="M709" s="340"/>
      <c r="N709" s="340"/>
      <c r="O709" s="340"/>
      <c r="P709" s="340"/>
      <c r="Q709" s="340"/>
      <c r="R709" s="340"/>
      <c r="S709" s="340"/>
      <c r="T709" s="340"/>
      <c r="U709" s="340"/>
      <c r="V709" s="340"/>
      <c r="W709" s="340"/>
      <c r="X709" s="340"/>
      <c r="Y709" s="340"/>
      <c r="Z709" s="340"/>
    </row>
    <row r="710" spans="1:26" ht="14.25" customHeight="1">
      <c r="A710" s="340"/>
      <c r="B710" s="340"/>
      <c r="C710" s="340"/>
      <c r="D710" s="340"/>
      <c r="E710" s="340"/>
      <c r="F710" s="340"/>
      <c r="G710" s="340"/>
      <c r="H710" s="340"/>
      <c r="I710" s="340"/>
      <c r="J710" s="340"/>
      <c r="K710" s="340"/>
      <c r="L710" s="340"/>
      <c r="M710" s="340"/>
      <c r="N710" s="340"/>
      <c r="O710" s="340"/>
      <c r="P710" s="340"/>
      <c r="Q710" s="340"/>
      <c r="R710" s="340"/>
      <c r="S710" s="340"/>
      <c r="T710" s="340"/>
      <c r="U710" s="340"/>
      <c r="V710" s="340"/>
      <c r="W710" s="340"/>
      <c r="X710" s="340"/>
      <c r="Y710" s="340"/>
      <c r="Z710" s="340"/>
    </row>
    <row r="711" spans="1:26" ht="14.25" customHeight="1">
      <c r="A711" s="340"/>
      <c r="B711" s="340"/>
      <c r="C711" s="340"/>
      <c r="D711" s="340"/>
      <c r="E711" s="340"/>
      <c r="F711" s="340"/>
      <c r="G711" s="340"/>
      <c r="H711" s="340"/>
      <c r="I711" s="340"/>
      <c r="J711" s="340"/>
      <c r="K711" s="340"/>
      <c r="L711" s="340"/>
      <c r="M711" s="340"/>
      <c r="N711" s="340"/>
      <c r="O711" s="340"/>
      <c r="P711" s="340"/>
      <c r="Q711" s="340"/>
      <c r="R711" s="340"/>
      <c r="S711" s="340"/>
      <c r="T711" s="340"/>
      <c r="U711" s="340"/>
      <c r="V711" s="340"/>
      <c r="W711" s="340"/>
      <c r="X711" s="340"/>
      <c r="Y711" s="340"/>
      <c r="Z711" s="340"/>
    </row>
    <row r="712" spans="1:26" ht="14.25" customHeight="1">
      <c r="A712" s="340"/>
      <c r="B712" s="340"/>
      <c r="C712" s="340"/>
      <c r="D712" s="340"/>
      <c r="E712" s="340"/>
      <c r="F712" s="340"/>
      <c r="G712" s="340"/>
      <c r="H712" s="340"/>
      <c r="I712" s="340"/>
      <c r="J712" s="340"/>
      <c r="K712" s="340"/>
      <c r="L712" s="340"/>
      <c r="M712" s="340"/>
      <c r="N712" s="340"/>
      <c r="O712" s="340"/>
      <c r="P712" s="340"/>
      <c r="Q712" s="340"/>
      <c r="R712" s="340"/>
      <c r="S712" s="340"/>
      <c r="T712" s="340"/>
      <c r="U712" s="340"/>
      <c r="V712" s="340"/>
      <c r="W712" s="340"/>
      <c r="X712" s="340"/>
      <c r="Y712" s="340"/>
      <c r="Z712" s="340"/>
    </row>
    <row r="713" spans="1:26" ht="14.25" customHeight="1">
      <c r="A713" s="340"/>
      <c r="B713" s="340"/>
      <c r="C713" s="340"/>
      <c r="D713" s="340"/>
      <c r="E713" s="340"/>
      <c r="F713" s="340"/>
      <c r="G713" s="340"/>
      <c r="H713" s="340"/>
      <c r="I713" s="340"/>
      <c r="J713" s="340"/>
      <c r="K713" s="340"/>
      <c r="L713" s="340"/>
      <c r="M713" s="340"/>
      <c r="N713" s="340"/>
      <c r="O713" s="340"/>
      <c r="P713" s="340"/>
      <c r="Q713" s="340"/>
      <c r="R713" s="340"/>
      <c r="S713" s="340"/>
      <c r="T713" s="340"/>
      <c r="U713" s="340"/>
      <c r="V713" s="340"/>
      <c r="W713" s="340"/>
      <c r="X713" s="340"/>
      <c r="Y713" s="340"/>
      <c r="Z713" s="340"/>
    </row>
    <row r="714" spans="1:26" ht="14.25" customHeight="1">
      <c r="A714" s="340"/>
      <c r="B714" s="340"/>
      <c r="C714" s="340"/>
      <c r="D714" s="340"/>
      <c r="E714" s="340"/>
      <c r="F714" s="340"/>
      <c r="G714" s="340"/>
      <c r="H714" s="340"/>
      <c r="I714" s="340"/>
      <c r="J714" s="340"/>
      <c r="K714" s="340"/>
      <c r="L714" s="340"/>
      <c r="M714" s="340"/>
      <c r="N714" s="340"/>
      <c r="O714" s="340"/>
      <c r="P714" s="340"/>
      <c r="Q714" s="340"/>
      <c r="R714" s="340"/>
      <c r="S714" s="340"/>
      <c r="T714" s="340"/>
      <c r="U714" s="340"/>
      <c r="V714" s="340"/>
      <c r="W714" s="340"/>
      <c r="X714" s="340"/>
      <c r="Y714" s="340"/>
      <c r="Z714" s="340"/>
    </row>
    <row r="715" spans="1:26" ht="14.25" customHeight="1">
      <c r="A715" s="340"/>
      <c r="B715" s="340"/>
      <c r="C715" s="340"/>
      <c r="D715" s="340"/>
      <c r="E715" s="340"/>
      <c r="F715" s="340"/>
      <c r="G715" s="340"/>
      <c r="H715" s="340"/>
      <c r="I715" s="340"/>
      <c r="J715" s="340"/>
      <c r="K715" s="340"/>
      <c r="L715" s="340"/>
      <c r="M715" s="340"/>
      <c r="N715" s="340"/>
      <c r="O715" s="340"/>
      <c r="P715" s="340"/>
      <c r="Q715" s="340"/>
      <c r="R715" s="340"/>
      <c r="S715" s="340"/>
      <c r="T715" s="340"/>
      <c r="U715" s="340"/>
      <c r="V715" s="340"/>
      <c r="W715" s="340"/>
      <c r="X715" s="340"/>
      <c r="Y715" s="340"/>
      <c r="Z715" s="340"/>
    </row>
    <row r="716" spans="1:26" ht="14.25" customHeight="1">
      <c r="A716" s="340"/>
      <c r="B716" s="340"/>
      <c r="C716" s="340"/>
      <c r="D716" s="340"/>
      <c r="E716" s="340"/>
      <c r="F716" s="340"/>
      <c r="G716" s="340"/>
      <c r="H716" s="340"/>
      <c r="I716" s="340"/>
      <c r="J716" s="340"/>
      <c r="K716" s="340"/>
      <c r="L716" s="340"/>
      <c r="M716" s="340"/>
      <c r="N716" s="340"/>
      <c r="O716" s="340"/>
      <c r="P716" s="340"/>
      <c r="Q716" s="340"/>
      <c r="R716" s="340"/>
      <c r="S716" s="340"/>
      <c r="T716" s="340"/>
      <c r="U716" s="340"/>
      <c r="V716" s="340"/>
      <c r="W716" s="340"/>
      <c r="X716" s="340"/>
      <c r="Y716" s="340"/>
      <c r="Z716" s="340"/>
    </row>
    <row r="717" spans="1:26" ht="14.25" customHeight="1">
      <c r="A717" s="340"/>
      <c r="B717" s="340"/>
      <c r="C717" s="340"/>
      <c r="D717" s="340"/>
      <c r="E717" s="340"/>
      <c r="F717" s="340"/>
      <c r="G717" s="340"/>
      <c r="H717" s="340"/>
      <c r="I717" s="340"/>
      <c r="J717" s="340"/>
      <c r="K717" s="340"/>
      <c r="L717" s="340"/>
      <c r="M717" s="340"/>
      <c r="N717" s="340"/>
      <c r="O717" s="340"/>
      <c r="P717" s="340"/>
      <c r="Q717" s="340"/>
      <c r="R717" s="340"/>
      <c r="S717" s="340"/>
      <c r="T717" s="340"/>
      <c r="U717" s="340"/>
      <c r="V717" s="340"/>
      <c r="W717" s="340"/>
      <c r="X717" s="340"/>
      <c r="Y717" s="340"/>
      <c r="Z717" s="340"/>
    </row>
    <row r="718" spans="1:26" ht="14.25" customHeight="1">
      <c r="A718" s="340"/>
      <c r="B718" s="340"/>
      <c r="C718" s="340"/>
      <c r="D718" s="340"/>
      <c r="E718" s="340"/>
      <c r="F718" s="340"/>
      <c r="G718" s="340"/>
      <c r="H718" s="340"/>
      <c r="I718" s="340"/>
      <c r="J718" s="340"/>
      <c r="K718" s="340"/>
      <c r="L718" s="340"/>
      <c r="M718" s="340"/>
      <c r="N718" s="340"/>
      <c r="O718" s="340"/>
      <c r="P718" s="340"/>
      <c r="Q718" s="340"/>
      <c r="R718" s="340"/>
      <c r="S718" s="340"/>
      <c r="T718" s="340"/>
      <c r="U718" s="340"/>
      <c r="V718" s="340"/>
      <c r="W718" s="340"/>
      <c r="X718" s="340"/>
      <c r="Y718" s="340"/>
      <c r="Z718" s="340"/>
    </row>
    <row r="719" spans="1:26" ht="14.25" customHeight="1">
      <c r="A719" s="340"/>
      <c r="B719" s="340"/>
      <c r="C719" s="340"/>
      <c r="D719" s="340"/>
      <c r="E719" s="340"/>
      <c r="F719" s="340"/>
      <c r="G719" s="340"/>
      <c r="H719" s="340"/>
      <c r="I719" s="340"/>
      <c r="J719" s="340"/>
      <c r="K719" s="340"/>
      <c r="L719" s="340"/>
      <c r="M719" s="340"/>
      <c r="N719" s="340"/>
      <c r="O719" s="340"/>
      <c r="P719" s="340"/>
      <c r="Q719" s="340"/>
      <c r="R719" s="340"/>
      <c r="S719" s="340"/>
      <c r="T719" s="340"/>
      <c r="U719" s="340"/>
      <c r="V719" s="340"/>
      <c r="W719" s="340"/>
      <c r="X719" s="340"/>
      <c r="Y719" s="340"/>
      <c r="Z719" s="340"/>
    </row>
    <row r="720" spans="1:26" ht="14.25" customHeight="1">
      <c r="A720" s="340"/>
      <c r="B720" s="340"/>
      <c r="C720" s="340"/>
      <c r="D720" s="340"/>
      <c r="E720" s="340"/>
      <c r="F720" s="340"/>
      <c r="G720" s="340"/>
      <c r="H720" s="340"/>
      <c r="I720" s="340"/>
      <c r="J720" s="340"/>
      <c r="K720" s="340"/>
      <c r="L720" s="340"/>
      <c r="M720" s="340"/>
      <c r="N720" s="340"/>
      <c r="O720" s="340"/>
      <c r="P720" s="340"/>
      <c r="Q720" s="340"/>
      <c r="R720" s="340"/>
      <c r="S720" s="340"/>
      <c r="T720" s="340"/>
      <c r="U720" s="340"/>
      <c r="V720" s="340"/>
      <c r="W720" s="340"/>
      <c r="X720" s="340"/>
      <c r="Y720" s="340"/>
      <c r="Z720" s="340"/>
    </row>
    <row r="721" spans="1:26" ht="14.25" customHeight="1">
      <c r="A721" s="340"/>
      <c r="B721" s="340"/>
      <c r="C721" s="340"/>
      <c r="D721" s="340"/>
      <c r="E721" s="340"/>
      <c r="F721" s="340"/>
      <c r="G721" s="340"/>
      <c r="H721" s="340"/>
      <c r="I721" s="340"/>
      <c r="J721" s="340"/>
      <c r="K721" s="340"/>
      <c r="L721" s="340"/>
      <c r="M721" s="340"/>
      <c r="N721" s="340"/>
      <c r="O721" s="340"/>
      <c r="P721" s="340"/>
      <c r="Q721" s="340"/>
      <c r="R721" s="340"/>
      <c r="S721" s="340"/>
      <c r="T721" s="340"/>
      <c r="U721" s="340"/>
      <c r="V721" s="340"/>
      <c r="W721" s="340"/>
      <c r="X721" s="340"/>
      <c r="Y721" s="340"/>
      <c r="Z721" s="340"/>
    </row>
    <row r="722" spans="1:26" ht="14.25" customHeight="1">
      <c r="A722" s="340"/>
      <c r="B722" s="340"/>
      <c r="C722" s="340"/>
      <c r="D722" s="340"/>
      <c r="E722" s="340"/>
      <c r="F722" s="340"/>
      <c r="G722" s="340"/>
      <c r="H722" s="340"/>
      <c r="I722" s="340"/>
      <c r="J722" s="340"/>
      <c r="K722" s="340"/>
      <c r="L722" s="340"/>
      <c r="M722" s="340"/>
      <c r="N722" s="340"/>
      <c r="O722" s="340"/>
      <c r="P722" s="340"/>
      <c r="Q722" s="340"/>
      <c r="R722" s="340"/>
      <c r="S722" s="340"/>
      <c r="T722" s="340"/>
      <c r="U722" s="340"/>
      <c r="V722" s="340"/>
      <c r="W722" s="340"/>
      <c r="X722" s="340"/>
      <c r="Y722" s="340"/>
      <c r="Z722" s="340"/>
    </row>
    <row r="723" spans="1:26" ht="14.25" customHeight="1">
      <c r="A723" s="340"/>
      <c r="B723" s="340"/>
      <c r="C723" s="340"/>
      <c r="D723" s="340"/>
      <c r="E723" s="340"/>
      <c r="F723" s="340"/>
      <c r="G723" s="340"/>
      <c r="H723" s="340"/>
      <c r="I723" s="340"/>
      <c r="J723" s="340"/>
      <c r="K723" s="340"/>
      <c r="L723" s="340"/>
      <c r="M723" s="340"/>
      <c r="N723" s="340"/>
      <c r="O723" s="340"/>
      <c r="P723" s="340"/>
      <c r="Q723" s="340"/>
      <c r="R723" s="340"/>
      <c r="S723" s="340"/>
      <c r="T723" s="340"/>
      <c r="U723" s="340"/>
      <c r="V723" s="340"/>
      <c r="W723" s="340"/>
      <c r="X723" s="340"/>
      <c r="Y723" s="340"/>
      <c r="Z723" s="340"/>
    </row>
    <row r="724" spans="1:26" ht="14.25" customHeight="1">
      <c r="A724" s="340"/>
      <c r="B724" s="340"/>
      <c r="C724" s="340"/>
      <c r="D724" s="340"/>
      <c r="E724" s="340"/>
      <c r="F724" s="340"/>
      <c r="G724" s="340"/>
      <c r="H724" s="340"/>
      <c r="I724" s="340"/>
      <c r="J724" s="340"/>
      <c r="K724" s="340"/>
      <c r="L724" s="340"/>
      <c r="M724" s="340"/>
      <c r="N724" s="340"/>
      <c r="O724" s="340"/>
      <c r="P724" s="340"/>
      <c r="Q724" s="340"/>
      <c r="R724" s="340"/>
      <c r="S724" s="340"/>
      <c r="T724" s="340"/>
      <c r="U724" s="340"/>
      <c r="V724" s="340"/>
      <c r="W724" s="340"/>
      <c r="X724" s="340"/>
      <c r="Y724" s="340"/>
      <c r="Z724" s="340"/>
    </row>
    <row r="725" spans="1:26" ht="14.25" customHeight="1">
      <c r="A725" s="340"/>
      <c r="B725" s="340"/>
      <c r="C725" s="340"/>
      <c r="D725" s="340"/>
      <c r="E725" s="340"/>
      <c r="F725" s="340"/>
      <c r="G725" s="340"/>
      <c r="H725" s="340"/>
      <c r="I725" s="340"/>
      <c r="J725" s="340"/>
      <c r="K725" s="340"/>
      <c r="L725" s="340"/>
      <c r="M725" s="340"/>
      <c r="N725" s="340"/>
      <c r="O725" s="340"/>
      <c r="P725" s="340"/>
      <c r="Q725" s="340"/>
      <c r="R725" s="340"/>
      <c r="S725" s="340"/>
      <c r="T725" s="340"/>
      <c r="U725" s="340"/>
      <c r="V725" s="340"/>
      <c r="W725" s="340"/>
      <c r="X725" s="340"/>
      <c r="Y725" s="340"/>
      <c r="Z725" s="340"/>
    </row>
    <row r="726" spans="1:26" ht="14.25" customHeight="1">
      <c r="A726" s="340"/>
      <c r="B726" s="340"/>
      <c r="C726" s="340"/>
      <c r="D726" s="340"/>
      <c r="E726" s="340"/>
      <c r="F726" s="340"/>
      <c r="G726" s="340"/>
      <c r="H726" s="340"/>
      <c r="I726" s="340"/>
      <c r="J726" s="340"/>
      <c r="K726" s="340"/>
      <c r="L726" s="340"/>
      <c r="M726" s="340"/>
      <c r="N726" s="340"/>
      <c r="O726" s="340"/>
      <c r="P726" s="340"/>
      <c r="Q726" s="340"/>
      <c r="R726" s="340"/>
      <c r="S726" s="340"/>
      <c r="T726" s="340"/>
      <c r="U726" s="340"/>
      <c r="V726" s="340"/>
      <c r="W726" s="340"/>
      <c r="X726" s="340"/>
      <c r="Y726" s="340"/>
      <c r="Z726" s="340"/>
    </row>
    <row r="727" spans="1:26" ht="14.25" customHeight="1">
      <c r="A727" s="340"/>
      <c r="B727" s="340"/>
      <c r="C727" s="340"/>
      <c r="D727" s="340"/>
      <c r="E727" s="340"/>
      <c r="F727" s="340"/>
      <c r="G727" s="340"/>
      <c r="H727" s="340"/>
      <c r="I727" s="340"/>
      <c r="J727" s="340"/>
      <c r="K727" s="340"/>
      <c r="L727" s="340"/>
      <c r="M727" s="340"/>
      <c r="N727" s="340"/>
      <c r="O727" s="340"/>
      <c r="P727" s="340"/>
      <c r="Q727" s="340"/>
      <c r="R727" s="340"/>
      <c r="S727" s="340"/>
      <c r="T727" s="340"/>
      <c r="U727" s="340"/>
      <c r="V727" s="340"/>
      <c r="W727" s="340"/>
      <c r="X727" s="340"/>
      <c r="Y727" s="340"/>
      <c r="Z727" s="340"/>
    </row>
    <row r="728" spans="1:26" ht="14.25" customHeight="1">
      <c r="A728" s="340"/>
      <c r="B728" s="340"/>
      <c r="C728" s="340"/>
      <c r="D728" s="340"/>
      <c r="E728" s="340"/>
      <c r="F728" s="340"/>
      <c r="G728" s="340"/>
      <c r="H728" s="340"/>
      <c r="I728" s="340"/>
      <c r="J728" s="340"/>
      <c r="K728" s="340"/>
      <c r="L728" s="340"/>
      <c r="M728" s="340"/>
      <c r="N728" s="340"/>
      <c r="O728" s="340"/>
      <c r="P728" s="340"/>
      <c r="Q728" s="340"/>
      <c r="R728" s="340"/>
      <c r="S728" s="340"/>
      <c r="T728" s="340"/>
      <c r="U728" s="340"/>
      <c r="V728" s="340"/>
      <c r="W728" s="340"/>
      <c r="X728" s="340"/>
      <c r="Y728" s="340"/>
      <c r="Z728" s="340"/>
    </row>
    <row r="729" spans="1:26" ht="14.25" customHeight="1">
      <c r="A729" s="340"/>
      <c r="B729" s="340"/>
      <c r="C729" s="340"/>
      <c r="D729" s="340"/>
      <c r="E729" s="340"/>
      <c r="F729" s="340"/>
      <c r="G729" s="340"/>
      <c r="H729" s="340"/>
      <c r="I729" s="340"/>
      <c r="J729" s="340"/>
      <c r="K729" s="340"/>
      <c r="L729" s="340"/>
      <c r="M729" s="340"/>
      <c r="N729" s="340"/>
      <c r="O729" s="340"/>
      <c r="P729" s="340"/>
      <c r="Q729" s="340"/>
      <c r="R729" s="340"/>
      <c r="S729" s="340"/>
      <c r="T729" s="340"/>
      <c r="U729" s="340"/>
      <c r="V729" s="340"/>
      <c r="W729" s="340"/>
      <c r="X729" s="340"/>
      <c r="Y729" s="340"/>
      <c r="Z729" s="340"/>
    </row>
    <row r="730" spans="1:26" ht="14.25" customHeight="1">
      <c r="A730" s="340"/>
      <c r="B730" s="340"/>
      <c r="C730" s="340"/>
      <c r="D730" s="340"/>
      <c r="E730" s="340"/>
      <c r="F730" s="340"/>
      <c r="G730" s="340"/>
      <c r="H730" s="340"/>
      <c r="I730" s="340"/>
      <c r="J730" s="340"/>
      <c r="K730" s="340"/>
      <c r="L730" s="340"/>
      <c r="M730" s="340"/>
      <c r="N730" s="340"/>
      <c r="O730" s="340"/>
      <c r="P730" s="340"/>
      <c r="Q730" s="340"/>
      <c r="R730" s="340"/>
      <c r="S730" s="340"/>
      <c r="T730" s="340"/>
      <c r="U730" s="340"/>
      <c r="V730" s="340"/>
      <c r="W730" s="340"/>
      <c r="X730" s="340"/>
      <c r="Y730" s="340"/>
      <c r="Z730" s="340"/>
    </row>
    <row r="731" spans="1:26" ht="14.25" customHeight="1">
      <c r="A731" s="340"/>
      <c r="B731" s="340"/>
      <c r="C731" s="340"/>
      <c r="D731" s="340"/>
      <c r="E731" s="340"/>
      <c r="F731" s="340"/>
      <c r="G731" s="340"/>
      <c r="H731" s="340"/>
      <c r="I731" s="340"/>
      <c r="J731" s="340"/>
      <c r="K731" s="340"/>
      <c r="L731" s="340"/>
      <c r="M731" s="340"/>
      <c r="N731" s="340"/>
      <c r="O731" s="340"/>
      <c r="P731" s="340"/>
      <c r="Q731" s="340"/>
      <c r="R731" s="340"/>
      <c r="S731" s="340"/>
      <c r="T731" s="340"/>
      <c r="U731" s="340"/>
      <c r="V731" s="340"/>
      <c r="W731" s="340"/>
      <c r="X731" s="340"/>
      <c r="Y731" s="340"/>
      <c r="Z731" s="340"/>
    </row>
    <row r="732" spans="1:26" ht="14.25" customHeight="1">
      <c r="A732" s="340"/>
      <c r="B732" s="340"/>
      <c r="C732" s="340"/>
      <c r="D732" s="340"/>
      <c r="E732" s="340"/>
      <c r="F732" s="340"/>
      <c r="G732" s="340"/>
      <c r="H732" s="340"/>
      <c r="I732" s="340"/>
      <c r="J732" s="340"/>
      <c r="K732" s="340"/>
      <c r="L732" s="340"/>
      <c r="M732" s="340"/>
      <c r="N732" s="340"/>
      <c r="O732" s="340"/>
      <c r="P732" s="340"/>
      <c r="Q732" s="340"/>
      <c r="R732" s="340"/>
      <c r="S732" s="340"/>
      <c r="T732" s="340"/>
      <c r="U732" s="340"/>
      <c r="V732" s="340"/>
      <c r="W732" s="340"/>
      <c r="X732" s="340"/>
      <c r="Y732" s="340"/>
      <c r="Z732" s="340"/>
    </row>
    <row r="733" spans="1:26" ht="14.25" customHeight="1">
      <c r="A733" s="340"/>
      <c r="B733" s="340"/>
      <c r="C733" s="340"/>
      <c r="D733" s="340"/>
      <c r="E733" s="340"/>
      <c r="F733" s="340"/>
      <c r="G733" s="340"/>
      <c r="H733" s="340"/>
      <c r="I733" s="340"/>
      <c r="J733" s="340"/>
      <c r="K733" s="340"/>
      <c r="L733" s="340"/>
      <c r="M733" s="340"/>
      <c r="N733" s="340"/>
      <c r="O733" s="340"/>
      <c r="P733" s="340"/>
      <c r="Q733" s="340"/>
      <c r="R733" s="340"/>
      <c r="S733" s="340"/>
      <c r="T733" s="340"/>
      <c r="U733" s="340"/>
      <c r="V733" s="340"/>
      <c r="W733" s="340"/>
      <c r="X733" s="340"/>
      <c r="Y733" s="340"/>
      <c r="Z733" s="340"/>
    </row>
    <row r="734" spans="1:26" ht="14.25" customHeight="1">
      <c r="A734" s="340"/>
      <c r="B734" s="340"/>
      <c r="C734" s="340"/>
      <c r="D734" s="340"/>
      <c r="E734" s="340"/>
      <c r="F734" s="340"/>
      <c r="G734" s="340"/>
      <c r="H734" s="340"/>
      <c r="I734" s="340"/>
      <c r="J734" s="340"/>
      <c r="K734" s="340"/>
      <c r="L734" s="340"/>
      <c r="M734" s="340"/>
      <c r="N734" s="340"/>
      <c r="O734" s="340"/>
      <c r="P734" s="340"/>
      <c r="Q734" s="340"/>
      <c r="R734" s="340"/>
      <c r="S734" s="340"/>
      <c r="T734" s="340"/>
      <c r="U734" s="340"/>
      <c r="V734" s="340"/>
      <c r="W734" s="340"/>
      <c r="X734" s="340"/>
      <c r="Y734" s="340"/>
      <c r="Z734" s="340"/>
    </row>
    <row r="735" spans="1:26" ht="14.25" customHeight="1">
      <c r="A735" s="340"/>
      <c r="B735" s="340"/>
      <c r="C735" s="340"/>
      <c r="D735" s="340"/>
      <c r="E735" s="340"/>
      <c r="F735" s="340"/>
      <c r="G735" s="340"/>
      <c r="H735" s="340"/>
      <c r="I735" s="340"/>
      <c r="J735" s="340"/>
      <c r="K735" s="340"/>
      <c r="L735" s="340"/>
      <c r="M735" s="340"/>
      <c r="N735" s="340"/>
      <c r="O735" s="340"/>
      <c r="P735" s="340"/>
      <c r="Q735" s="340"/>
      <c r="R735" s="340"/>
      <c r="S735" s="340"/>
      <c r="T735" s="340"/>
      <c r="U735" s="340"/>
      <c r="V735" s="340"/>
      <c r="W735" s="340"/>
      <c r="X735" s="340"/>
      <c r="Y735" s="340"/>
      <c r="Z735" s="340"/>
    </row>
    <row r="736" spans="1:26" ht="14.25" customHeight="1">
      <c r="A736" s="340"/>
      <c r="B736" s="340"/>
      <c r="C736" s="340"/>
      <c r="D736" s="340"/>
      <c r="E736" s="340"/>
      <c r="F736" s="340"/>
      <c r="G736" s="340"/>
      <c r="H736" s="340"/>
      <c r="I736" s="340"/>
      <c r="J736" s="340"/>
      <c r="K736" s="340"/>
      <c r="L736" s="340"/>
      <c r="M736" s="340"/>
      <c r="N736" s="340"/>
      <c r="O736" s="340"/>
      <c r="P736" s="340"/>
      <c r="Q736" s="340"/>
      <c r="R736" s="340"/>
      <c r="S736" s="340"/>
      <c r="T736" s="340"/>
      <c r="U736" s="340"/>
      <c r="V736" s="340"/>
      <c r="W736" s="340"/>
      <c r="X736" s="340"/>
      <c r="Y736" s="340"/>
      <c r="Z736" s="340"/>
    </row>
    <row r="737" spans="1:26" ht="14.25" customHeight="1">
      <c r="A737" s="340"/>
      <c r="B737" s="340"/>
      <c r="C737" s="340"/>
      <c r="D737" s="340"/>
      <c r="E737" s="340"/>
      <c r="F737" s="340"/>
      <c r="G737" s="340"/>
      <c r="H737" s="340"/>
      <c r="I737" s="340"/>
      <c r="J737" s="340"/>
      <c r="K737" s="340"/>
      <c r="L737" s="340"/>
      <c r="M737" s="340"/>
      <c r="N737" s="340"/>
      <c r="O737" s="340"/>
      <c r="P737" s="340"/>
      <c r="Q737" s="340"/>
      <c r="R737" s="340"/>
      <c r="S737" s="340"/>
      <c r="T737" s="340"/>
      <c r="U737" s="340"/>
      <c r="V737" s="340"/>
      <c r="W737" s="340"/>
      <c r="X737" s="340"/>
      <c r="Y737" s="340"/>
      <c r="Z737" s="340"/>
    </row>
    <row r="738" spans="1:26" ht="14.25" customHeight="1">
      <c r="A738" s="340"/>
      <c r="B738" s="340"/>
      <c r="C738" s="340"/>
      <c r="D738" s="340"/>
      <c r="E738" s="340"/>
      <c r="F738" s="340"/>
      <c r="G738" s="340"/>
      <c r="H738" s="340"/>
      <c r="I738" s="340"/>
      <c r="J738" s="340"/>
      <c r="K738" s="340"/>
      <c r="L738" s="340"/>
      <c r="M738" s="340"/>
      <c r="N738" s="340"/>
      <c r="O738" s="340"/>
      <c r="P738" s="340"/>
      <c r="Q738" s="340"/>
      <c r="R738" s="340"/>
      <c r="S738" s="340"/>
      <c r="T738" s="340"/>
      <c r="U738" s="340"/>
      <c r="V738" s="340"/>
      <c r="W738" s="340"/>
      <c r="X738" s="340"/>
      <c r="Y738" s="340"/>
      <c r="Z738" s="340"/>
    </row>
    <row r="739" spans="1:26" ht="14.25" customHeight="1">
      <c r="A739" s="340"/>
      <c r="B739" s="340"/>
      <c r="C739" s="340"/>
      <c r="D739" s="340"/>
      <c r="E739" s="340"/>
      <c r="F739" s="340"/>
      <c r="G739" s="340"/>
      <c r="H739" s="340"/>
      <c r="I739" s="340"/>
      <c r="J739" s="340"/>
      <c r="K739" s="340"/>
      <c r="L739" s="340"/>
      <c r="M739" s="340"/>
      <c r="N739" s="340"/>
      <c r="O739" s="340"/>
      <c r="P739" s="340"/>
      <c r="Q739" s="340"/>
      <c r="R739" s="340"/>
      <c r="S739" s="340"/>
      <c r="T739" s="340"/>
      <c r="U739" s="340"/>
      <c r="V739" s="340"/>
      <c r="W739" s="340"/>
      <c r="X739" s="340"/>
      <c r="Y739" s="340"/>
      <c r="Z739" s="340"/>
    </row>
    <row r="740" spans="1:26" ht="14.25" customHeight="1">
      <c r="A740" s="340"/>
      <c r="B740" s="340"/>
      <c r="C740" s="340"/>
      <c r="D740" s="340"/>
      <c r="E740" s="340"/>
      <c r="F740" s="340"/>
      <c r="G740" s="340"/>
      <c r="H740" s="340"/>
      <c r="I740" s="340"/>
      <c r="J740" s="340"/>
      <c r="K740" s="340"/>
      <c r="L740" s="340"/>
      <c r="M740" s="340"/>
      <c r="N740" s="340"/>
      <c r="O740" s="340"/>
      <c r="P740" s="340"/>
      <c r="Q740" s="340"/>
      <c r="R740" s="340"/>
      <c r="S740" s="340"/>
      <c r="T740" s="340"/>
      <c r="U740" s="340"/>
      <c r="V740" s="340"/>
      <c r="W740" s="340"/>
      <c r="X740" s="340"/>
      <c r="Y740" s="340"/>
      <c r="Z740" s="340"/>
    </row>
    <row r="741" spans="1:26" ht="14.25" customHeight="1">
      <c r="A741" s="340"/>
      <c r="B741" s="340"/>
      <c r="C741" s="340"/>
      <c r="D741" s="340"/>
      <c r="E741" s="340"/>
      <c r="F741" s="340"/>
      <c r="G741" s="340"/>
      <c r="H741" s="340"/>
      <c r="I741" s="340"/>
      <c r="J741" s="340"/>
      <c r="K741" s="340"/>
      <c r="L741" s="340"/>
      <c r="M741" s="340"/>
      <c r="N741" s="340"/>
      <c r="O741" s="340"/>
      <c r="P741" s="340"/>
      <c r="Q741" s="340"/>
      <c r="R741" s="340"/>
      <c r="S741" s="340"/>
      <c r="T741" s="340"/>
      <c r="U741" s="340"/>
      <c r="V741" s="340"/>
      <c r="W741" s="340"/>
      <c r="X741" s="340"/>
      <c r="Y741" s="340"/>
      <c r="Z741" s="340"/>
    </row>
    <row r="742" spans="1:26" ht="14.25" customHeight="1">
      <c r="A742" s="340"/>
      <c r="B742" s="340"/>
      <c r="C742" s="340"/>
      <c r="D742" s="340"/>
      <c r="E742" s="340"/>
      <c r="F742" s="340"/>
      <c r="G742" s="340"/>
      <c r="H742" s="340"/>
      <c r="I742" s="340"/>
      <c r="J742" s="340"/>
      <c r="K742" s="340"/>
      <c r="L742" s="340"/>
      <c r="M742" s="340"/>
      <c r="N742" s="340"/>
      <c r="O742" s="340"/>
      <c r="P742" s="340"/>
      <c r="Q742" s="340"/>
      <c r="R742" s="340"/>
      <c r="S742" s="340"/>
      <c r="T742" s="340"/>
      <c r="U742" s="340"/>
      <c r="V742" s="340"/>
      <c r="W742" s="340"/>
      <c r="X742" s="340"/>
      <c r="Y742" s="340"/>
      <c r="Z742" s="340"/>
    </row>
    <row r="743" spans="1:26" ht="14.25" customHeight="1">
      <c r="A743" s="340"/>
      <c r="B743" s="340"/>
      <c r="C743" s="340"/>
      <c r="D743" s="340"/>
      <c r="E743" s="340"/>
      <c r="F743" s="340"/>
      <c r="G743" s="340"/>
      <c r="H743" s="340"/>
      <c r="I743" s="340"/>
      <c r="J743" s="340"/>
      <c r="K743" s="340"/>
      <c r="L743" s="340"/>
      <c r="M743" s="340"/>
      <c r="N743" s="340"/>
      <c r="O743" s="340"/>
      <c r="P743" s="340"/>
      <c r="Q743" s="340"/>
      <c r="R743" s="340"/>
      <c r="S743" s="340"/>
      <c r="T743" s="340"/>
      <c r="U743" s="340"/>
      <c r="V743" s="340"/>
      <c r="W743" s="340"/>
      <c r="X743" s="340"/>
      <c r="Y743" s="340"/>
      <c r="Z743" s="340"/>
    </row>
    <row r="744" spans="1:26" ht="14.25" customHeight="1">
      <c r="A744" s="340"/>
      <c r="B744" s="340"/>
      <c r="C744" s="340"/>
      <c r="D744" s="340"/>
      <c r="E744" s="340"/>
      <c r="F744" s="340"/>
      <c r="G744" s="340"/>
      <c r="H744" s="340"/>
      <c r="I744" s="340"/>
      <c r="J744" s="340"/>
      <c r="K744" s="340"/>
      <c r="L744" s="340"/>
      <c r="M744" s="340"/>
      <c r="N744" s="340"/>
      <c r="O744" s="340"/>
      <c r="P744" s="340"/>
      <c r="Q744" s="340"/>
      <c r="R744" s="340"/>
      <c r="S744" s="340"/>
      <c r="T744" s="340"/>
      <c r="U744" s="340"/>
      <c r="V744" s="340"/>
      <c r="W744" s="340"/>
      <c r="X744" s="340"/>
      <c r="Y744" s="340"/>
      <c r="Z744" s="340"/>
    </row>
    <row r="745" spans="1:26" ht="14.25" customHeight="1">
      <c r="A745" s="340"/>
      <c r="B745" s="340"/>
      <c r="C745" s="340"/>
      <c r="D745" s="340"/>
      <c r="E745" s="340"/>
      <c r="F745" s="340"/>
      <c r="G745" s="340"/>
      <c r="H745" s="340"/>
      <c r="I745" s="340"/>
      <c r="J745" s="340"/>
      <c r="K745" s="340"/>
      <c r="L745" s="340"/>
      <c r="M745" s="340"/>
      <c r="N745" s="340"/>
      <c r="O745" s="340"/>
      <c r="P745" s="340"/>
      <c r="Q745" s="340"/>
      <c r="R745" s="340"/>
      <c r="S745" s="340"/>
      <c r="T745" s="340"/>
      <c r="U745" s="340"/>
      <c r="V745" s="340"/>
      <c r="W745" s="340"/>
      <c r="X745" s="340"/>
      <c r="Y745" s="340"/>
      <c r="Z745" s="340"/>
    </row>
    <row r="746" spans="1:26" ht="14.25" customHeight="1">
      <c r="A746" s="340"/>
      <c r="B746" s="340"/>
      <c r="C746" s="340"/>
      <c r="D746" s="340"/>
      <c r="E746" s="340"/>
      <c r="F746" s="340"/>
      <c r="G746" s="340"/>
      <c r="H746" s="340"/>
      <c r="I746" s="340"/>
      <c r="J746" s="340"/>
      <c r="K746" s="340"/>
      <c r="L746" s="340"/>
      <c r="M746" s="340"/>
      <c r="N746" s="340"/>
      <c r="O746" s="340"/>
      <c r="P746" s="340"/>
      <c r="Q746" s="340"/>
      <c r="R746" s="340"/>
      <c r="S746" s="340"/>
      <c r="T746" s="340"/>
      <c r="U746" s="340"/>
      <c r="V746" s="340"/>
      <c r="W746" s="340"/>
      <c r="X746" s="340"/>
      <c r="Y746" s="340"/>
      <c r="Z746" s="340"/>
    </row>
    <row r="747" spans="1:26" ht="14.25" customHeight="1">
      <c r="A747" s="340"/>
      <c r="B747" s="340"/>
      <c r="C747" s="340"/>
      <c r="D747" s="340"/>
      <c r="E747" s="340"/>
      <c r="F747" s="340"/>
      <c r="G747" s="340"/>
      <c r="H747" s="340"/>
      <c r="I747" s="340"/>
      <c r="J747" s="340"/>
      <c r="K747" s="340"/>
      <c r="L747" s="340"/>
      <c r="M747" s="340"/>
      <c r="N747" s="340"/>
      <c r="O747" s="340"/>
      <c r="P747" s="340"/>
      <c r="Q747" s="340"/>
      <c r="R747" s="340"/>
      <c r="S747" s="340"/>
      <c r="T747" s="340"/>
      <c r="U747" s="340"/>
      <c r="V747" s="340"/>
      <c r="W747" s="340"/>
      <c r="X747" s="340"/>
      <c r="Y747" s="340"/>
      <c r="Z747" s="340"/>
    </row>
    <row r="748" spans="1:26" ht="14.25" customHeight="1">
      <c r="A748" s="340"/>
      <c r="B748" s="340"/>
      <c r="C748" s="340"/>
      <c r="D748" s="340"/>
      <c r="E748" s="340"/>
      <c r="F748" s="340"/>
      <c r="G748" s="340"/>
      <c r="H748" s="340"/>
      <c r="I748" s="340"/>
      <c r="J748" s="340"/>
      <c r="K748" s="340"/>
      <c r="L748" s="340"/>
      <c r="M748" s="340"/>
      <c r="N748" s="340"/>
      <c r="O748" s="340"/>
      <c r="P748" s="340"/>
      <c r="Q748" s="340"/>
      <c r="R748" s="340"/>
      <c r="S748" s="340"/>
      <c r="T748" s="340"/>
      <c r="U748" s="340"/>
      <c r="V748" s="340"/>
      <c r="W748" s="340"/>
      <c r="X748" s="340"/>
      <c r="Y748" s="340"/>
      <c r="Z748" s="340"/>
    </row>
    <row r="749" spans="1:26" ht="14.25" customHeight="1">
      <c r="A749" s="340"/>
      <c r="B749" s="340"/>
      <c r="C749" s="340"/>
      <c r="D749" s="340"/>
      <c r="E749" s="340"/>
      <c r="F749" s="340"/>
      <c r="G749" s="340"/>
      <c r="H749" s="340"/>
      <c r="I749" s="340"/>
      <c r="J749" s="340"/>
      <c r="K749" s="340"/>
      <c r="L749" s="340"/>
      <c r="M749" s="340"/>
      <c r="N749" s="340"/>
      <c r="O749" s="340"/>
      <c r="P749" s="340"/>
      <c r="Q749" s="340"/>
      <c r="R749" s="340"/>
      <c r="S749" s="340"/>
      <c r="T749" s="340"/>
      <c r="U749" s="340"/>
      <c r="V749" s="340"/>
      <c r="W749" s="340"/>
      <c r="X749" s="340"/>
      <c r="Y749" s="340"/>
      <c r="Z749" s="340"/>
    </row>
    <row r="750" spans="1:26" ht="14.25" customHeight="1">
      <c r="A750" s="340"/>
      <c r="B750" s="340"/>
      <c r="C750" s="340"/>
      <c r="D750" s="340"/>
      <c r="E750" s="340"/>
      <c r="F750" s="340"/>
      <c r="G750" s="340"/>
      <c r="H750" s="340"/>
      <c r="I750" s="340"/>
      <c r="J750" s="340"/>
      <c r="K750" s="340"/>
      <c r="L750" s="340"/>
      <c r="M750" s="340"/>
      <c r="N750" s="340"/>
      <c r="O750" s="340"/>
      <c r="P750" s="340"/>
      <c r="Q750" s="340"/>
      <c r="R750" s="340"/>
      <c r="S750" s="340"/>
      <c r="T750" s="340"/>
      <c r="U750" s="340"/>
      <c r="V750" s="340"/>
      <c r="W750" s="340"/>
      <c r="X750" s="340"/>
      <c r="Y750" s="340"/>
      <c r="Z750" s="340"/>
    </row>
    <row r="751" spans="1:26" ht="14.25" customHeight="1">
      <c r="A751" s="340"/>
      <c r="B751" s="340"/>
      <c r="C751" s="340"/>
      <c r="D751" s="340"/>
      <c r="E751" s="340"/>
      <c r="F751" s="340"/>
      <c r="G751" s="340"/>
      <c r="H751" s="340"/>
      <c r="I751" s="340"/>
      <c r="J751" s="340"/>
      <c r="K751" s="340"/>
      <c r="L751" s="340"/>
      <c r="M751" s="340"/>
      <c r="N751" s="340"/>
      <c r="O751" s="340"/>
      <c r="P751" s="340"/>
      <c r="Q751" s="340"/>
      <c r="R751" s="340"/>
      <c r="S751" s="340"/>
      <c r="T751" s="340"/>
      <c r="U751" s="340"/>
      <c r="V751" s="340"/>
      <c r="W751" s="340"/>
      <c r="X751" s="340"/>
      <c r="Y751" s="340"/>
      <c r="Z751" s="340"/>
    </row>
    <row r="752" spans="1:26" ht="14.25" customHeight="1">
      <c r="A752" s="340"/>
      <c r="B752" s="340"/>
      <c r="C752" s="340"/>
      <c r="D752" s="340"/>
      <c r="E752" s="340"/>
      <c r="F752" s="340"/>
      <c r="G752" s="340"/>
      <c r="H752" s="340"/>
      <c r="I752" s="340"/>
      <c r="J752" s="340"/>
      <c r="K752" s="340"/>
      <c r="L752" s="340"/>
      <c r="M752" s="340"/>
      <c r="N752" s="340"/>
      <c r="O752" s="340"/>
      <c r="P752" s="340"/>
      <c r="Q752" s="340"/>
      <c r="R752" s="340"/>
      <c r="S752" s="340"/>
      <c r="T752" s="340"/>
      <c r="U752" s="340"/>
      <c r="V752" s="340"/>
      <c r="W752" s="340"/>
      <c r="X752" s="340"/>
      <c r="Y752" s="340"/>
      <c r="Z752" s="340"/>
    </row>
    <row r="753" spans="1:26" ht="14.25" customHeight="1">
      <c r="A753" s="340"/>
      <c r="B753" s="340"/>
      <c r="C753" s="340"/>
      <c r="D753" s="340"/>
      <c r="E753" s="340"/>
      <c r="F753" s="340"/>
      <c r="G753" s="340"/>
      <c r="H753" s="340"/>
      <c r="I753" s="340"/>
      <c r="J753" s="340"/>
      <c r="K753" s="340"/>
      <c r="L753" s="340"/>
      <c r="M753" s="340"/>
      <c r="N753" s="340"/>
      <c r="O753" s="340"/>
      <c r="P753" s="340"/>
      <c r="Q753" s="340"/>
      <c r="R753" s="340"/>
      <c r="S753" s="340"/>
      <c r="T753" s="340"/>
      <c r="U753" s="340"/>
      <c r="V753" s="340"/>
      <c r="W753" s="340"/>
      <c r="X753" s="340"/>
      <c r="Y753" s="340"/>
      <c r="Z753" s="340"/>
    </row>
    <row r="754" spans="1:26" ht="14.25" customHeight="1">
      <c r="A754" s="340"/>
      <c r="B754" s="340"/>
      <c r="C754" s="340"/>
      <c r="D754" s="340"/>
      <c r="E754" s="340"/>
      <c r="F754" s="340"/>
      <c r="G754" s="340"/>
      <c r="H754" s="340"/>
      <c r="I754" s="340"/>
      <c r="J754" s="340"/>
      <c r="K754" s="340"/>
      <c r="L754" s="340"/>
      <c r="M754" s="340"/>
      <c r="N754" s="340"/>
      <c r="O754" s="340"/>
      <c r="P754" s="340"/>
      <c r="Q754" s="340"/>
      <c r="R754" s="340"/>
      <c r="S754" s="340"/>
      <c r="T754" s="340"/>
      <c r="U754" s="340"/>
      <c r="V754" s="340"/>
      <c r="W754" s="340"/>
      <c r="X754" s="340"/>
      <c r="Y754" s="340"/>
      <c r="Z754" s="340"/>
    </row>
    <row r="755" spans="1:26" ht="14.25" customHeight="1">
      <c r="A755" s="340"/>
      <c r="B755" s="340"/>
      <c r="C755" s="340"/>
      <c r="D755" s="340"/>
      <c r="E755" s="340"/>
      <c r="F755" s="340"/>
      <c r="G755" s="340"/>
      <c r="H755" s="340"/>
      <c r="I755" s="340"/>
      <c r="J755" s="340"/>
      <c r="K755" s="340"/>
      <c r="L755" s="340"/>
      <c r="M755" s="340"/>
      <c r="N755" s="340"/>
      <c r="O755" s="340"/>
      <c r="P755" s="340"/>
      <c r="Q755" s="340"/>
      <c r="R755" s="340"/>
      <c r="S755" s="340"/>
      <c r="T755" s="340"/>
      <c r="U755" s="340"/>
      <c r="V755" s="340"/>
      <c r="W755" s="340"/>
      <c r="X755" s="340"/>
      <c r="Y755" s="340"/>
      <c r="Z755" s="340"/>
    </row>
    <row r="756" spans="1:26" ht="14.25" customHeight="1">
      <c r="A756" s="340"/>
      <c r="B756" s="340"/>
      <c r="C756" s="340"/>
      <c r="D756" s="340"/>
      <c r="E756" s="340"/>
      <c r="F756" s="340"/>
      <c r="G756" s="340"/>
      <c r="H756" s="340"/>
      <c r="I756" s="340"/>
      <c r="J756" s="340"/>
      <c r="K756" s="340"/>
      <c r="L756" s="340"/>
      <c r="M756" s="340"/>
      <c r="N756" s="340"/>
      <c r="O756" s="340"/>
      <c r="P756" s="340"/>
      <c r="Q756" s="340"/>
      <c r="R756" s="340"/>
      <c r="S756" s="340"/>
      <c r="T756" s="340"/>
      <c r="U756" s="340"/>
      <c r="V756" s="340"/>
      <c r="W756" s="340"/>
      <c r="X756" s="340"/>
      <c r="Y756" s="340"/>
      <c r="Z756" s="340"/>
    </row>
    <row r="757" spans="1:26" ht="14.25" customHeight="1">
      <c r="A757" s="340"/>
      <c r="B757" s="340"/>
      <c r="C757" s="340"/>
      <c r="D757" s="340"/>
      <c r="E757" s="340"/>
      <c r="F757" s="340"/>
      <c r="G757" s="340"/>
      <c r="H757" s="340"/>
      <c r="I757" s="340"/>
      <c r="J757" s="340"/>
      <c r="K757" s="340"/>
      <c r="L757" s="340"/>
      <c r="M757" s="340"/>
      <c r="N757" s="340"/>
      <c r="O757" s="340"/>
      <c r="P757" s="340"/>
      <c r="Q757" s="340"/>
      <c r="R757" s="340"/>
      <c r="S757" s="340"/>
      <c r="T757" s="340"/>
      <c r="U757" s="340"/>
      <c r="V757" s="340"/>
      <c r="W757" s="340"/>
      <c r="X757" s="340"/>
      <c r="Y757" s="340"/>
      <c r="Z757" s="340"/>
    </row>
    <row r="758" spans="1:26" ht="14.25" customHeight="1">
      <c r="A758" s="340"/>
      <c r="B758" s="340"/>
      <c r="C758" s="340"/>
      <c r="D758" s="340"/>
      <c r="E758" s="340"/>
      <c r="F758" s="340"/>
      <c r="G758" s="340"/>
      <c r="H758" s="340"/>
      <c r="I758" s="340"/>
      <c r="J758" s="340"/>
      <c r="K758" s="340"/>
      <c r="L758" s="340"/>
      <c r="M758" s="340"/>
      <c r="N758" s="340"/>
      <c r="O758" s="340"/>
      <c r="P758" s="340"/>
      <c r="Q758" s="340"/>
      <c r="R758" s="340"/>
      <c r="S758" s="340"/>
      <c r="T758" s="340"/>
      <c r="U758" s="340"/>
      <c r="V758" s="340"/>
      <c r="W758" s="340"/>
      <c r="X758" s="340"/>
      <c r="Y758" s="340"/>
      <c r="Z758" s="340"/>
    </row>
    <row r="759" spans="1:26" ht="14.25" customHeight="1">
      <c r="A759" s="340"/>
      <c r="B759" s="340"/>
      <c r="C759" s="340"/>
      <c r="D759" s="340"/>
      <c r="E759" s="340"/>
      <c r="F759" s="340"/>
      <c r="G759" s="340"/>
      <c r="H759" s="340"/>
      <c r="I759" s="340"/>
      <c r="J759" s="340"/>
      <c r="K759" s="340"/>
      <c r="L759" s="340"/>
      <c r="M759" s="340"/>
      <c r="N759" s="340"/>
      <c r="O759" s="340"/>
      <c r="P759" s="340"/>
      <c r="Q759" s="340"/>
      <c r="R759" s="340"/>
      <c r="S759" s="340"/>
      <c r="T759" s="340"/>
      <c r="U759" s="340"/>
      <c r="V759" s="340"/>
      <c r="W759" s="340"/>
      <c r="X759" s="340"/>
      <c r="Y759" s="340"/>
      <c r="Z759" s="340"/>
    </row>
    <row r="760" spans="1:26" ht="14.25" customHeight="1">
      <c r="A760" s="340"/>
      <c r="B760" s="340"/>
      <c r="C760" s="340"/>
      <c r="D760" s="340"/>
      <c r="E760" s="340"/>
      <c r="F760" s="340"/>
      <c r="G760" s="340"/>
      <c r="H760" s="340"/>
      <c r="I760" s="340"/>
      <c r="J760" s="340"/>
      <c r="K760" s="340"/>
      <c r="L760" s="340"/>
      <c r="M760" s="340"/>
      <c r="N760" s="340"/>
      <c r="O760" s="340"/>
      <c r="P760" s="340"/>
      <c r="Q760" s="340"/>
      <c r="R760" s="340"/>
      <c r="S760" s="340"/>
      <c r="T760" s="340"/>
      <c r="U760" s="340"/>
      <c r="V760" s="340"/>
      <c r="W760" s="340"/>
      <c r="X760" s="340"/>
      <c r="Y760" s="340"/>
      <c r="Z760" s="340"/>
    </row>
    <row r="761" spans="1:26" ht="14.25" customHeight="1">
      <c r="A761" s="340"/>
      <c r="B761" s="340"/>
      <c r="C761" s="340"/>
      <c r="D761" s="340"/>
      <c r="E761" s="340"/>
      <c r="F761" s="340"/>
      <c r="G761" s="340"/>
      <c r="H761" s="340"/>
      <c r="I761" s="340"/>
      <c r="J761" s="340"/>
      <c r="K761" s="340"/>
      <c r="L761" s="340"/>
      <c r="M761" s="340"/>
      <c r="N761" s="340"/>
      <c r="O761" s="340"/>
      <c r="P761" s="340"/>
      <c r="Q761" s="340"/>
      <c r="R761" s="340"/>
      <c r="S761" s="340"/>
      <c r="T761" s="340"/>
      <c r="U761" s="340"/>
      <c r="V761" s="340"/>
      <c r="W761" s="340"/>
      <c r="X761" s="340"/>
      <c r="Y761" s="340"/>
      <c r="Z761" s="340"/>
    </row>
    <row r="762" spans="1:26" ht="14.25" customHeight="1">
      <c r="A762" s="340"/>
      <c r="B762" s="340"/>
      <c r="C762" s="340"/>
      <c r="D762" s="340"/>
      <c r="E762" s="340"/>
      <c r="F762" s="340"/>
      <c r="G762" s="340"/>
      <c r="H762" s="340"/>
      <c r="I762" s="340"/>
      <c r="J762" s="340"/>
      <c r="K762" s="340"/>
      <c r="L762" s="340"/>
      <c r="M762" s="340"/>
      <c r="N762" s="340"/>
      <c r="O762" s="340"/>
      <c r="P762" s="340"/>
      <c r="Q762" s="340"/>
      <c r="R762" s="340"/>
      <c r="S762" s="340"/>
      <c r="T762" s="340"/>
      <c r="U762" s="340"/>
      <c r="V762" s="340"/>
      <c r="W762" s="340"/>
      <c r="X762" s="340"/>
      <c r="Y762" s="340"/>
      <c r="Z762" s="340"/>
    </row>
    <row r="763" spans="1:26" ht="14.25" customHeight="1">
      <c r="A763" s="340"/>
      <c r="B763" s="340"/>
      <c r="C763" s="340"/>
      <c r="D763" s="340"/>
      <c r="E763" s="340"/>
      <c r="F763" s="340"/>
      <c r="G763" s="340"/>
      <c r="H763" s="340"/>
      <c r="I763" s="340"/>
      <c r="J763" s="340"/>
      <c r="K763" s="340"/>
      <c r="L763" s="340"/>
      <c r="M763" s="340"/>
      <c r="N763" s="340"/>
      <c r="O763" s="340"/>
      <c r="P763" s="340"/>
      <c r="Q763" s="340"/>
      <c r="R763" s="340"/>
      <c r="S763" s="340"/>
      <c r="T763" s="340"/>
      <c r="U763" s="340"/>
      <c r="V763" s="340"/>
      <c r="W763" s="340"/>
      <c r="X763" s="340"/>
      <c r="Y763" s="340"/>
      <c r="Z763" s="340"/>
    </row>
    <row r="764" spans="1:26" ht="14.25" customHeight="1">
      <c r="A764" s="340"/>
      <c r="B764" s="340"/>
      <c r="C764" s="340"/>
      <c r="D764" s="340"/>
      <c r="E764" s="340"/>
      <c r="F764" s="340"/>
      <c r="G764" s="340"/>
      <c r="H764" s="340"/>
      <c r="I764" s="340"/>
      <c r="J764" s="340"/>
      <c r="K764" s="340"/>
      <c r="L764" s="340"/>
      <c r="M764" s="340"/>
      <c r="N764" s="340"/>
      <c r="O764" s="340"/>
      <c r="P764" s="340"/>
      <c r="Q764" s="340"/>
      <c r="R764" s="340"/>
      <c r="S764" s="340"/>
      <c r="T764" s="340"/>
      <c r="U764" s="340"/>
      <c r="V764" s="340"/>
      <c r="W764" s="340"/>
      <c r="X764" s="340"/>
      <c r="Y764" s="340"/>
      <c r="Z764" s="340"/>
    </row>
    <row r="765" spans="1:26" ht="14.25" customHeight="1">
      <c r="A765" s="340"/>
      <c r="B765" s="340"/>
      <c r="C765" s="340"/>
      <c r="D765" s="340"/>
      <c r="E765" s="340"/>
      <c r="F765" s="340"/>
      <c r="G765" s="340"/>
      <c r="H765" s="340"/>
      <c r="I765" s="340"/>
      <c r="J765" s="340"/>
      <c r="K765" s="340"/>
      <c r="L765" s="340"/>
      <c r="M765" s="340"/>
      <c r="N765" s="340"/>
      <c r="O765" s="340"/>
      <c r="P765" s="340"/>
      <c r="Q765" s="340"/>
      <c r="R765" s="340"/>
      <c r="S765" s="340"/>
      <c r="T765" s="340"/>
      <c r="U765" s="340"/>
      <c r="V765" s="340"/>
      <c r="W765" s="340"/>
      <c r="X765" s="340"/>
      <c r="Y765" s="340"/>
      <c r="Z765" s="340"/>
    </row>
    <row r="766" spans="1:26" ht="14.25" customHeight="1">
      <c r="A766" s="340"/>
      <c r="B766" s="340"/>
      <c r="C766" s="340"/>
      <c r="D766" s="340"/>
      <c r="E766" s="340"/>
      <c r="F766" s="340"/>
      <c r="G766" s="340"/>
      <c r="H766" s="340"/>
      <c r="I766" s="340"/>
      <c r="J766" s="340"/>
      <c r="K766" s="340"/>
      <c r="L766" s="340"/>
      <c r="M766" s="340"/>
      <c r="N766" s="340"/>
      <c r="O766" s="340"/>
      <c r="P766" s="340"/>
      <c r="Q766" s="340"/>
      <c r="R766" s="340"/>
      <c r="S766" s="340"/>
      <c r="T766" s="340"/>
      <c r="U766" s="340"/>
      <c r="V766" s="340"/>
      <c r="W766" s="340"/>
      <c r="X766" s="340"/>
      <c r="Y766" s="340"/>
      <c r="Z766" s="340"/>
    </row>
    <row r="767" spans="1:26" ht="14.25" customHeight="1">
      <c r="A767" s="340"/>
      <c r="B767" s="340"/>
      <c r="C767" s="340"/>
      <c r="D767" s="340"/>
      <c r="E767" s="340"/>
      <c r="F767" s="340"/>
      <c r="G767" s="340"/>
      <c r="H767" s="340"/>
      <c r="I767" s="340"/>
      <c r="J767" s="340"/>
      <c r="K767" s="340"/>
      <c r="L767" s="340"/>
      <c r="M767" s="340"/>
      <c r="N767" s="340"/>
      <c r="O767" s="340"/>
      <c r="P767" s="340"/>
      <c r="Q767" s="340"/>
      <c r="R767" s="340"/>
      <c r="S767" s="340"/>
      <c r="T767" s="340"/>
      <c r="U767" s="340"/>
      <c r="V767" s="340"/>
      <c r="W767" s="340"/>
      <c r="X767" s="340"/>
      <c r="Y767" s="340"/>
      <c r="Z767" s="340"/>
    </row>
    <row r="768" spans="1:26" ht="14.25" customHeight="1">
      <c r="A768" s="340"/>
      <c r="B768" s="340"/>
      <c r="C768" s="340"/>
      <c r="D768" s="340"/>
      <c r="E768" s="340"/>
      <c r="F768" s="340"/>
      <c r="G768" s="340"/>
      <c r="H768" s="340"/>
      <c r="I768" s="340"/>
      <c r="J768" s="340"/>
      <c r="K768" s="340"/>
      <c r="L768" s="340"/>
      <c r="M768" s="340"/>
      <c r="N768" s="340"/>
      <c r="O768" s="340"/>
      <c r="P768" s="340"/>
      <c r="Q768" s="340"/>
      <c r="R768" s="340"/>
      <c r="S768" s="340"/>
      <c r="T768" s="340"/>
      <c r="U768" s="340"/>
      <c r="V768" s="340"/>
      <c r="W768" s="340"/>
      <c r="X768" s="340"/>
      <c r="Y768" s="340"/>
      <c r="Z768" s="340"/>
    </row>
    <row r="769" spans="1:26" ht="14.25" customHeight="1">
      <c r="A769" s="340"/>
      <c r="B769" s="340"/>
      <c r="C769" s="340"/>
      <c r="D769" s="340"/>
      <c r="E769" s="340"/>
      <c r="F769" s="340"/>
      <c r="G769" s="340"/>
      <c r="H769" s="340"/>
      <c r="I769" s="340"/>
      <c r="J769" s="340"/>
      <c r="K769" s="340"/>
      <c r="L769" s="340"/>
      <c r="M769" s="340"/>
      <c r="N769" s="340"/>
      <c r="O769" s="340"/>
      <c r="P769" s="340"/>
      <c r="Q769" s="340"/>
      <c r="R769" s="340"/>
      <c r="S769" s="340"/>
      <c r="T769" s="340"/>
      <c r="U769" s="340"/>
      <c r="V769" s="340"/>
      <c r="W769" s="340"/>
      <c r="X769" s="340"/>
      <c r="Y769" s="340"/>
      <c r="Z769" s="340"/>
    </row>
    <row r="770" spans="1:26" ht="14.25" customHeight="1">
      <c r="A770" s="340"/>
      <c r="B770" s="340"/>
      <c r="C770" s="340"/>
      <c r="D770" s="340"/>
      <c r="E770" s="340"/>
      <c r="F770" s="340"/>
      <c r="G770" s="340"/>
      <c r="H770" s="340"/>
      <c r="I770" s="340"/>
      <c r="J770" s="340"/>
      <c r="K770" s="340"/>
      <c r="L770" s="340"/>
      <c r="M770" s="340"/>
      <c r="N770" s="340"/>
      <c r="O770" s="340"/>
      <c r="P770" s="340"/>
      <c r="Q770" s="340"/>
      <c r="R770" s="340"/>
      <c r="S770" s="340"/>
      <c r="T770" s="340"/>
      <c r="U770" s="340"/>
      <c r="V770" s="340"/>
      <c r="W770" s="340"/>
      <c r="X770" s="340"/>
      <c r="Y770" s="340"/>
      <c r="Z770" s="340"/>
    </row>
    <row r="771" spans="1:26" ht="14.25" customHeight="1">
      <c r="A771" s="340"/>
      <c r="B771" s="340"/>
      <c r="C771" s="340"/>
      <c r="D771" s="340"/>
      <c r="E771" s="340"/>
      <c r="F771" s="340"/>
      <c r="G771" s="340"/>
      <c r="H771" s="340"/>
      <c r="I771" s="340"/>
      <c r="J771" s="340"/>
      <c r="K771" s="340"/>
      <c r="L771" s="340"/>
      <c r="M771" s="340"/>
      <c r="N771" s="340"/>
      <c r="O771" s="340"/>
      <c r="P771" s="340"/>
      <c r="Q771" s="340"/>
      <c r="R771" s="340"/>
      <c r="S771" s="340"/>
      <c r="T771" s="340"/>
      <c r="U771" s="340"/>
      <c r="V771" s="340"/>
      <c r="W771" s="340"/>
      <c r="X771" s="340"/>
      <c r="Y771" s="340"/>
      <c r="Z771" s="340"/>
    </row>
    <row r="772" spans="1:26" ht="14.25" customHeight="1">
      <c r="A772" s="340"/>
      <c r="B772" s="340"/>
      <c r="C772" s="340"/>
      <c r="D772" s="340"/>
      <c r="E772" s="340"/>
      <c r="F772" s="340"/>
      <c r="G772" s="340"/>
      <c r="H772" s="340"/>
      <c r="I772" s="340"/>
      <c r="J772" s="340"/>
      <c r="K772" s="340"/>
      <c r="L772" s="340"/>
      <c r="M772" s="340"/>
      <c r="N772" s="340"/>
      <c r="O772" s="340"/>
      <c r="P772" s="340"/>
      <c r="Q772" s="340"/>
      <c r="R772" s="340"/>
      <c r="S772" s="340"/>
      <c r="T772" s="340"/>
      <c r="U772" s="340"/>
      <c r="V772" s="340"/>
      <c r="W772" s="340"/>
      <c r="X772" s="340"/>
      <c r="Y772" s="340"/>
      <c r="Z772" s="340"/>
    </row>
    <row r="773" spans="1:26" ht="14.25" customHeight="1">
      <c r="A773" s="340"/>
      <c r="B773" s="340"/>
      <c r="C773" s="340"/>
      <c r="D773" s="340"/>
      <c r="E773" s="340"/>
      <c r="F773" s="340"/>
      <c r="G773" s="340"/>
      <c r="H773" s="340"/>
      <c r="I773" s="340"/>
      <c r="J773" s="340"/>
      <c r="K773" s="340"/>
      <c r="L773" s="340"/>
      <c r="M773" s="340"/>
      <c r="N773" s="340"/>
      <c r="O773" s="340"/>
      <c r="P773" s="340"/>
      <c r="Q773" s="340"/>
      <c r="R773" s="340"/>
      <c r="S773" s="340"/>
      <c r="T773" s="340"/>
      <c r="U773" s="340"/>
      <c r="V773" s="340"/>
      <c r="W773" s="340"/>
      <c r="X773" s="340"/>
      <c r="Y773" s="340"/>
      <c r="Z773" s="340"/>
    </row>
    <row r="774" spans="1:26" ht="14.25" customHeight="1">
      <c r="A774" s="340"/>
      <c r="B774" s="340"/>
      <c r="C774" s="340"/>
      <c r="D774" s="340"/>
      <c r="E774" s="340"/>
      <c r="F774" s="340"/>
      <c r="G774" s="340"/>
      <c r="H774" s="340"/>
      <c r="I774" s="340"/>
      <c r="J774" s="340"/>
      <c r="K774" s="340"/>
      <c r="L774" s="340"/>
      <c r="M774" s="340"/>
      <c r="N774" s="340"/>
      <c r="O774" s="340"/>
      <c r="P774" s="340"/>
      <c r="Q774" s="340"/>
      <c r="R774" s="340"/>
      <c r="S774" s="340"/>
      <c r="T774" s="340"/>
      <c r="U774" s="340"/>
      <c r="V774" s="340"/>
      <c r="W774" s="340"/>
      <c r="X774" s="340"/>
      <c r="Y774" s="340"/>
      <c r="Z774" s="340"/>
    </row>
    <row r="775" spans="1:26" ht="14.25" customHeight="1">
      <c r="A775" s="340"/>
      <c r="B775" s="340"/>
      <c r="C775" s="340"/>
      <c r="D775" s="340"/>
      <c r="E775" s="340"/>
      <c r="F775" s="340"/>
      <c r="G775" s="340"/>
      <c r="H775" s="340"/>
      <c r="I775" s="340"/>
      <c r="J775" s="340"/>
      <c r="K775" s="340"/>
      <c r="L775" s="340"/>
      <c r="M775" s="340"/>
      <c r="N775" s="340"/>
      <c r="O775" s="340"/>
      <c r="P775" s="340"/>
      <c r="Q775" s="340"/>
      <c r="R775" s="340"/>
      <c r="S775" s="340"/>
      <c r="T775" s="340"/>
      <c r="U775" s="340"/>
      <c r="V775" s="340"/>
      <c r="W775" s="340"/>
      <c r="X775" s="340"/>
      <c r="Y775" s="340"/>
      <c r="Z775" s="340"/>
    </row>
    <row r="776" spans="1:26" ht="14.25" customHeight="1">
      <c r="A776" s="340"/>
      <c r="B776" s="340"/>
      <c r="C776" s="340"/>
      <c r="D776" s="340"/>
      <c r="E776" s="340"/>
      <c r="F776" s="340"/>
      <c r="G776" s="340"/>
      <c r="H776" s="340"/>
      <c r="I776" s="340"/>
      <c r="J776" s="340"/>
      <c r="K776" s="340"/>
      <c r="L776" s="340"/>
      <c r="M776" s="340"/>
      <c r="N776" s="340"/>
      <c r="O776" s="340"/>
      <c r="P776" s="340"/>
      <c r="Q776" s="340"/>
      <c r="R776" s="340"/>
      <c r="S776" s="340"/>
      <c r="T776" s="340"/>
      <c r="U776" s="340"/>
      <c r="V776" s="340"/>
      <c r="W776" s="340"/>
      <c r="X776" s="340"/>
      <c r="Y776" s="340"/>
      <c r="Z776" s="340"/>
    </row>
    <row r="777" spans="1:26" ht="14.25" customHeight="1">
      <c r="A777" s="340"/>
      <c r="B777" s="340"/>
      <c r="C777" s="340"/>
      <c r="D777" s="340"/>
      <c r="E777" s="340"/>
      <c r="F777" s="340"/>
      <c r="G777" s="340"/>
      <c r="H777" s="340"/>
      <c r="I777" s="340"/>
      <c r="J777" s="340"/>
      <c r="K777" s="340"/>
      <c r="L777" s="340"/>
      <c r="M777" s="340"/>
      <c r="N777" s="340"/>
      <c r="O777" s="340"/>
      <c r="P777" s="340"/>
      <c r="Q777" s="340"/>
      <c r="R777" s="340"/>
      <c r="S777" s="340"/>
      <c r="T777" s="340"/>
      <c r="U777" s="340"/>
      <c r="V777" s="340"/>
      <c r="W777" s="340"/>
      <c r="X777" s="340"/>
      <c r="Y777" s="340"/>
      <c r="Z777" s="340"/>
    </row>
    <row r="778" spans="1:26" ht="14.25" customHeight="1">
      <c r="A778" s="340"/>
      <c r="B778" s="340"/>
      <c r="C778" s="340"/>
      <c r="D778" s="340"/>
      <c r="E778" s="340"/>
      <c r="F778" s="340"/>
      <c r="G778" s="340"/>
      <c r="H778" s="340"/>
      <c r="I778" s="340"/>
      <c r="J778" s="340"/>
      <c r="K778" s="340"/>
      <c r="L778" s="340"/>
      <c r="M778" s="340"/>
      <c r="N778" s="340"/>
      <c r="O778" s="340"/>
      <c r="P778" s="340"/>
      <c r="Q778" s="340"/>
      <c r="R778" s="340"/>
      <c r="S778" s="340"/>
      <c r="T778" s="340"/>
      <c r="U778" s="340"/>
      <c r="V778" s="340"/>
      <c r="W778" s="340"/>
      <c r="X778" s="340"/>
      <c r="Y778" s="340"/>
      <c r="Z778" s="340"/>
    </row>
    <row r="779" spans="1:26" ht="14.25" customHeight="1">
      <c r="A779" s="340"/>
      <c r="B779" s="340"/>
      <c r="C779" s="340"/>
      <c r="D779" s="340"/>
      <c r="E779" s="340"/>
      <c r="F779" s="340"/>
      <c r="G779" s="340"/>
      <c r="H779" s="340"/>
      <c r="I779" s="340"/>
      <c r="J779" s="340"/>
      <c r="K779" s="340"/>
      <c r="L779" s="340"/>
      <c r="M779" s="340"/>
      <c r="N779" s="340"/>
      <c r="O779" s="340"/>
      <c r="P779" s="340"/>
      <c r="Q779" s="340"/>
      <c r="R779" s="340"/>
      <c r="S779" s="340"/>
      <c r="T779" s="340"/>
      <c r="U779" s="340"/>
      <c r="V779" s="340"/>
      <c r="W779" s="340"/>
      <c r="X779" s="340"/>
      <c r="Y779" s="340"/>
      <c r="Z779" s="340"/>
    </row>
    <row r="780" spans="1:26" ht="14.25" customHeight="1">
      <c r="A780" s="340"/>
      <c r="B780" s="340"/>
      <c r="C780" s="340"/>
      <c r="D780" s="340"/>
      <c r="E780" s="340"/>
      <c r="F780" s="340"/>
      <c r="G780" s="340"/>
      <c r="H780" s="340"/>
      <c r="I780" s="340"/>
      <c r="J780" s="340"/>
      <c r="K780" s="340"/>
      <c r="L780" s="340"/>
      <c r="M780" s="340"/>
      <c r="N780" s="340"/>
      <c r="O780" s="340"/>
      <c r="P780" s="340"/>
      <c r="Q780" s="340"/>
      <c r="R780" s="340"/>
      <c r="S780" s="340"/>
      <c r="T780" s="340"/>
      <c r="U780" s="340"/>
      <c r="V780" s="340"/>
      <c r="W780" s="340"/>
      <c r="X780" s="340"/>
      <c r="Y780" s="340"/>
      <c r="Z780" s="340"/>
    </row>
    <row r="781" spans="1:26" ht="14.25" customHeight="1">
      <c r="A781" s="340"/>
      <c r="B781" s="340"/>
      <c r="C781" s="340"/>
      <c r="D781" s="340"/>
      <c r="E781" s="340"/>
      <c r="F781" s="340"/>
      <c r="G781" s="340"/>
      <c r="H781" s="340"/>
      <c r="I781" s="340"/>
      <c r="J781" s="340"/>
      <c r="K781" s="340"/>
      <c r="L781" s="340"/>
      <c r="M781" s="340"/>
      <c r="N781" s="340"/>
      <c r="O781" s="340"/>
      <c r="P781" s="340"/>
      <c r="Q781" s="340"/>
      <c r="R781" s="340"/>
      <c r="S781" s="340"/>
      <c r="T781" s="340"/>
      <c r="U781" s="340"/>
      <c r="V781" s="340"/>
      <c r="W781" s="340"/>
      <c r="X781" s="340"/>
      <c r="Y781" s="340"/>
      <c r="Z781" s="340"/>
    </row>
    <row r="782" spans="1:26" ht="14.25" customHeight="1">
      <c r="A782" s="340"/>
      <c r="B782" s="340"/>
      <c r="C782" s="340"/>
      <c r="D782" s="340"/>
      <c r="E782" s="340"/>
      <c r="F782" s="340"/>
      <c r="G782" s="340"/>
      <c r="H782" s="340"/>
      <c r="I782" s="340"/>
      <c r="J782" s="340"/>
      <c r="K782" s="340"/>
      <c r="L782" s="340"/>
      <c r="M782" s="340"/>
      <c r="N782" s="340"/>
      <c r="O782" s="340"/>
      <c r="P782" s="340"/>
      <c r="Q782" s="340"/>
      <c r="R782" s="340"/>
      <c r="S782" s="340"/>
      <c r="T782" s="340"/>
      <c r="U782" s="340"/>
      <c r="V782" s="340"/>
      <c r="W782" s="340"/>
      <c r="X782" s="340"/>
      <c r="Y782" s="340"/>
      <c r="Z782" s="340"/>
    </row>
    <row r="783" spans="1:26" ht="14.25" customHeight="1">
      <c r="A783" s="340"/>
      <c r="B783" s="340"/>
      <c r="C783" s="340"/>
      <c r="D783" s="340"/>
      <c r="E783" s="340"/>
      <c r="F783" s="340"/>
      <c r="G783" s="340"/>
      <c r="H783" s="340"/>
      <c r="I783" s="340"/>
      <c r="J783" s="340"/>
      <c r="K783" s="340"/>
      <c r="L783" s="340"/>
      <c r="M783" s="340"/>
      <c r="N783" s="340"/>
      <c r="O783" s="340"/>
      <c r="P783" s="340"/>
      <c r="Q783" s="340"/>
      <c r="R783" s="340"/>
      <c r="S783" s="340"/>
      <c r="T783" s="340"/>
      <c r="U783" s="340"/>
      <c r="V783" s="340"/>
      <c r="W783" s="340"/>
      <c r="X783" s="340"/>
      <c r="Y783" s="340"/>
      <c r="Z783" s="340"/>
    </row>
    <row r="784" spans="1:26" ht="14.25" customHeight="1">
      <c r="A784" s="340"/>
      <c r="B784" s="340"/>
      <c r="C784" s="340"/>
      <c r="D784" s="340"/>
      <c r="E784" s="340"/>
      <c r="F784" s="340"/>
      <c r="G784" s="340"/>
      <c r="H784" s="340"/>
      <c r="I784" s="340"/>
      <c r="J784" s="340"/>
      <c r="K784" s="340"/>
      <c r="L784" s="340"/>
      <c r="M784" s="340"/>
      <c r="N784" s="340"/>
      <c r="O784" s="340"/>
      <c r="P784" s="340"/>
      <c r="Q784" s="340"/>
      <c r="R784" s="340"/>
      <c r="S784" s="340"/>
      <c r="T784" s="340"/>
      <c r="U784" s="340"/>
      <c r="V784" s="340"/>
      <c r="W784" s="340"/>
      <c r="X784" s="340"/>
      <c r="Y784" s="340"/>
      <c r="Z784" s="340"/>
    </row>
    <row r="785" spans="1:26" ht="14.25" customHeight="1">
      <c r="A785" s="340"/>
      <c r="B785" s="340"/>
      <c r="C785" s="340"/>
      <c r="D785" s="340"/>
      <c r="E785" s="340"/>
      <c r="F785" s="340"/>
      <c r="G785" s="340"/>
      <c r="H785" s="340"/>
      <c r="I785" s="340"/>
      <c r="J785" s="340"/>
      <c r="K785" s="340"/>
      <c r="L785" s="340"/>
      <c r="M785" s="340"/>
      <c r="N785" s="340"/>
      <c r="O785" s="340"/>
      <c r="P785" s="340"/>
      <c r="Q785" s="340"/>
      <c r="R785" s="340"/>
      <c r="S785" s="340"/>
      <c r="T785" s="340"/>
      <c r="U785" s="340"/>
      <c r="V785" s="340"/>
      <c r="W785" s="340"/>
      <c r="X785" s="340"/>
      <c r="Y785" s="340"/>
      <c r="Z785" s="340"/>
    </row>
    <row r="786" spans="1:26" ht="14.25" customHeight="1">
      <c r="A786" s="340"/>
      <c r="B786" s="340"/>
      <c r="C786" s="340"/>
      <c r="D786" s="340"/>
      <c r="E786" s="340"/>
      <c r="F786" s="340"/>
      <c r="G786" s="340"/>
      <c r="H786" s="340"/>
      <c r="I786" s="340"/>
      <c r="J786" s="340"/>
      <c r="K786" s="340"/>
      <c r="L786" s="340"/>
      <c r="M786" s="340"/>
      <c r="N786" s="340"/>
      <c r="O786" s="340"/>
      <c r="P786" s="340"/>
      <c r="Q786" s="340"/>
      <c r="R786" s="340"/>
      <c r="S786" s="340"/>
      <c r="T786" s="340"/>
      <c r="U786" s="340"/>
      <c r="V786" s="340"/>
      <c r="W786" s="340"/>
      <c r="X786" s="340"/>
      <c r="Y786" s="340"/>
      <c r="Z786" s="340"/>
    </row>
    <row r="787" spans="1:26" ht="14.25" customHeight="1">
      <c r="A787" s="340"/>
      <c r="B787" s="340"/>
      <c r="C787" s="340"/>
      <c r="D787" s="340"/>
      <c r="E787" s="340"/>
      <c r="F787" s="340"/>
      <c r="G787" s="340"/>
      <c r="H787" s="340"/>
      <c r="I787" s="340"/>
      <c r="J787" s="340"/>
      <c r="K787" s="340"/>
      <c r="L787" s="340"/>
      <c r="M787" s="340"/>
      <c r="N787" s="340"/>
      <c r="O787" s="340"/>
      <c r="P787" s="340"/>
      <c r="Q787" s="340"/>
      <c r="R787" s="340"/>
      <c r="S787" s="340"/>
      <c r="T787" s="340"/>
      <c r="U787" s="340"/>
      <c r="V787" s="340"/>
      <c r="W787" s="340"/>
      <c r="X787" s="340"/>
      <c r="Y787" s="340"/>
      <c r="Z787" s="340"/>
    </row>
    <row r="788" spans="1:26" ht="14.25" customHeight="1">
      <c r="A788" s="340"/>
      <c r="B788" s="340"/>
      <c r="C788" s="340"/>
      <c r="D788" s="340"/>
      <c r="E788" s="340"/>
      <c r="F788" s="340"/>
      <c r="G788" s="340"/>
      <c r="H788" s="340"/>
      <c r="I788" s="340"/>
      <c r="J788" s="340"/>
      <c r="K788" s="340"/>
      <c r="L788" s="340"/>
      <c r="M788" s="340"/>
      <c r="N788" s="340"/>
      <c r="O788" s="340"/>
      <c r="P788" s="340"/>
      <c r="Q788" s="340"/>
      <c r="R788" s="340"/>
      <c r="S788" s="340"/>
      <c r="T788" s="340"/>
      <c r="U788" s="340"/>
      <c r="V788" s="340"/>
      <c r="W788" s="340"/>
      <c r="X788" s="340"/>
      <c r="Y788" s="340"/>
      <c r="Z788" s="340"/>
    </row>
    <row r="789" spans="1:26" ht="14.25" customHeight="1">
      <c r="A789" s="340"/>
      <c r="B789" s="340"/>
      <c r="C789" s="340"/>
      <c r="D789" s="340"/>
      <c r="E789" s="340"/>
      <c r="F789" s="340"/>
      <c r="G789" s="340"/>
      <c r="H789" s="340"/>
      <c r="I789" s="340"/>
      <c r="J789" s="340"/>
      <c r="K789" s="340"/>
      <c r="L789" s="340"/>
      <c r="M789" s="340"/>
      <c r="N789" s="340"/>
      <c r="O789" s="340"/>
      <c r="P789" s="340"/>
      <c r="Q789" s="340"/>
      <c r="R789" s="340"/>
      <c r="S789" s="340"/>
      <c r="T789" s="340"/>
      <c r="U789" s="340"/>
      <c r="V789" s="340"/>
      <c r="W789" s="340"/>
      <c r="X789" s="340"/>
      <c r="Y789" s="340"/>
      <c r="Z789" s="340"/>
    </row>
    <row r="790" spans="1:26" ht="14.25" customHeight="1">
      <c r="A790" s="340"/>
      <c r="B790" s="340"/>
      <c r="C790" s="340"/>
      <c r="D790" s="340"/>
      <c r="E790" s="340"/>
      <c r="F790" s="340"/>
      <c r="G790" s="340"/>
      <c r="H790" s="340"/>
      <c r="I790" s="340"/>
      <c r="J790" s="340"/>
      <c r="K790" s="340"/>
      <c r="L790" s="340"/>
      <c r="M790" s="340"/>
      <c r="N790" s="340"/>
      <c r="O790" s="340"/>
      <c r="P790" s="340"/>
      <c r="Q790" s="340"/>
      <c r="R790" s="340"/>
      <c r="S790" s="340"/>
      <c r="T790" s="340"/>
      <c r="U790" s="340"/>
      <c r="V790" s="340"/>
      <c r="W790" s="340"/>
      <c r="X790" s="340"/>
      <c r="Y790" s="340"/>
      <c r="Z790" s="340"/>
    </row>
    <row r="791" spans="1:26" ht="14.25" customHeight="1">
      <c r="A791" s="340"/>
      <c r="B791" s="340"/>
      <c r="C791" s="340"/>
      <c r="D791" s="340"/>
      <c r="E791" s="340"/>
      <c r="F791" s="340"/>
      <c r="G791" s="340"/>
      <c r="H791" s="340"/>
      <c r="I791" s="340"/>
      <c r="J791" s="340"/>
      <c r="K791" s="340"/>
      <c r="L791" s="340"/>
      <c r="M791" s="340"/>
      <c r="N791" s="340"/>
      <c r="O791" s="340"/>
      <c r="P791" s="340"/>
      <c r="Q791" s="340"/>
      <c r="R791" s="340"/>
      <c r="S791" s="340"/>
      <c r="T791" s="340"/>
      <c r="U791" s="340"/>
      <c r="V791" s="340"/>
      <c r="W791" s="340"/>
      <c r="X791" s="340"/>
      <c r="Y791" s="340"/>
      <c r="Z791" s="340"/>
    </row>
    <row r="792" spans="1:26" ht="14.25" customHeight="1">
      <c r="A792" s="340"/>
      <c r="B792" s="340"/>
      <c r="C792" s="340"/>
      <c r="D792" s="340"/>
      <c r="E792" s="340"/>
      <c r="F792" s="340"/>
      <c r="G792" s="340"/>
      <c r="H792" s="340"/>
      <c r="I792" s="340"/>
      <c r="J792" s="340"/>
      <c r="K792" s="340"/>
      <c r="L792" s="340"/>
      <c r="M792" s="340"/>
      <c r="N792" s="340"/>
      <c r="O792" s="340"/>
      <c r="P792" s="340"/>
      <c r="Q792" s="340"/>
      <c r="R792" s="340"/>
      <c r="S792" s="340"/>
      <c r="T792" s="340"/>
      <c r="U792" s="340"/>
      <c r="V792" s="340"/>
      <c r="W792" s="340"/>
      <c r="X792" s="340"/>
      <c r="Y792" s="340"/>
      <c r="Z792" s="340"/>
    </row>
    <row r="793" spans="1:26" ht="14.25" customHeight="1">
      <c r="A793" s="340"/>
      <c r="B793" s="340"/>
      <c r="C793" s="340"/>
      <c r="D793" s="340"/>
      <c r="E793" s="340"/>
      <c r="F793" s="340"/>
      <c r="G793" s="340"/>
      <c r="H793" s="340"/>
      <c r="I793" s="340"/>
      <c r="J793" s="340"/>
      <c r="K793" s="340"/>
      <c r="L793" s="340"/>
      <c r="M793" s="340"/>
      <c r="N793" s="340"/>
      <c r="O793" s="340"/>
      <c r="P793" s="340"/>
      <c r="Q793" s="340"/>
      <c r="R793" s="340"/>
      <c r="S793" s="340"/>
      <c r="T793" s="340"/>
      <c r="U793" s="340"/>
      <c r="V793" s="340"/>
      <c r="W793" s="340"/>
      <c r="X793" s="340"/>
      <c r="Y793" s="340"/>
      <c r="Z793" s="340"/>
    </row>
    <row r="794" spans="1:26" ht="14.25" customHeight="1">
      <c r="A794" s="340"/>
      <c r="B794" s="340"/>
      <c r="C794" s="340"/>
      <c r="D794" s="340"/>
      <c r="E794" s="340"/>
      <c r="F794" s="340"/>
      <c r="G794" s="340"/>
      <c r="H794" s="340"/>
      <c r="I794" s="340"/>
      <c r="J794" s="340"/>
      <c r="K794" s="340"/>
      <c r="L794" s="340"/>
      <c r="M794" s="340"/>
      <c r="N794" s="340"/>
      <c r="O794" s="340"/>
      <c r="P794" s="340"/>
      <c r="Q794" s="340"/>
      <c r="R794" s="340"/>
      <c r="S794" s="340"/>
      <c r="T794" s="340"/>
      <c r="U794" s="340"/>
      <c r="V794" s="340"/>
      <c r="W794" s="340"/>
      <c r="X794" s="340"/>
      <c r="Y794" s="340"/>
      <c r="Z794" s="340"/>
    </row>
    <row r="795" spans="1:26" ht="14.25" customHeight="1">
      <c r="A795" s="340"/>
      <c r="B795" s="340"/>
      <c r="C795" s="340"/>
      <c r="D795" s="340"/>
      <c r="E795" s="340"/>
      <c r="F795" s="340"/>
      <c r="G795" s="340"/>
      <c r="H795" s="340"/>
      <c r="I795" s="340"/>
      <c r="J795" s="340"/>
      <c r="K795" s="340"/>
      <c r="L795" s="340"/>
      <c r="M795" s="340"/>
      <c r="N795" s="340"/>
      <c r="O795" s="340"/>
      <c r="P795" s="340"/>
      <c r="Q795" s="340"/>
      <c r="R795" s="340"/>
      <c r="S795" s="340"/>
      <c r="T795" s="340"/>
      <c r="U795" s="340"/>
      <c r="V795" s="340"/>
      <c r="W795" s="340"/>
      <c r="X795" s="340"/>
      <c r="Y795" s="340"/>
      <c r="Z795" s="340"/>
    </row>
    <row r="796" spans="1:26" ht="14.25" customHeight="1">
      <c r="A796" s="340"/>
      <c r="B796" s="340"/>
      <c r="C796" s="340"/>
      <c r="D796" s="340"/>
      <c r="E796" s="340"/>
      <c r="F796" s="340"/>
      <c r="G796" s="340"/>
      <c r="H796" s="340"/>
      <c r="I796" s="340"/>
      <c r="J796" s="340"/>
      <c r="K796" s="340"/>
      <c r="L796" s="340"/>
      <c r="M796" s="340"/>
      <c r="N796" s="340"/>
      <c r="O796" s="340"/>
      <c r="P796" s="340"/>
      <c r="Q796" s="340"/>
      <c r="R796" s="340"/>
      <c r="S796" s="340"/>
      <c r="T796" s="340"/>
      <c r="U796" s="340"/>
      <c r="V796" s="340"/>
      <c r="W796" s="340"/>
      <c r="X796" s="340"/>
      <c r="Y796" s="340"/>
      <c r="Z796" s="340"/>
    </row>
    <row r="797" spans="1:26" ht="14.25" customHeight="1">
      <c r="A797" s="340"/>
      <c r="B797" s="340"/>
      <c r="C797" s="340"/>
      <c r="D797" s="340"/>
      <c r="E797" s="340"/>
      <c r="F797" s="340"/>
      <c r="G797" s="340"/>
      <c r="H797" s="340"/>
      <c r="I797" s="340"/>
      <c r="J797" s="340"/>
      <c r="K797" s="340"/>
      <c r="L797" s="340"/>
      <c r="M797" s="340"/>
      <c r="N797" s="340"/>
      <c r="O797" s="340"/>
      <c r="P797" s="340"/>
      <c r="Q797" s="340"/>
      <c r="R797" s="340"/>
      <c r="S797" s="340"/>
      <c r="T797" s="340"/>
      <c r="U797" s="340"/>
      <c r="V797" s="340"/>
      <c r="W797" s="340"/>
      <c r="X797" s="340"/>
      <c r="Y797" s="340"/>
      <c r="Z797" s="340"/>
    </row>
    <row r="798" spans="1:26" ht="14.25" customHeight="1">
      <c r="A798" s="340"/>
      <c r="B798" s="340"/>
      <c r="C798" s="340"/>
      <c r="D798" s="340"/>
      <c r="E798" s="340"/>
      <c r="F798" s="340"/>
      <c r="G798" s="340"/>
      <c r="H798" s="340"/>
      <c r="I798" s="340"/>
      <c r="J798" s="340"/>
      <c r="K798" s="340"/>
      <c r="L798" s="340"/>
      <c r="M798" s="340"/>
      <c r="N798" s="340"/>
      <c r="O798" s="340"/>
      <c r="P798" s="340"/>
      <c r="Q798" s="340"/>
      <c r="R798" s="340"/>
      <c r="S798" s="340"/>
      <c r="T798" s="340"/>
      <c r="U798" s="340"/>
      <c r="V798" s="340"/>
      <c r="W798" s="340"/>
      <c r="X798" s="340"/>
      <c r="Y798" s="340"/>
      <c r="Z798" s="340"/>
    </row>
    <row r="799" spans="1:26" ht="14.25" customHeight="1">
      <c r="A799" s="340"/>
      <c r="B799" s="340"/>
      <c r="C799" s="340"/>
      <c r="D799" s="340"/>
      <c r="E799" s="340"/>
      <c r="F799" s="340"/>
      <c r="G799" s="340"/>
      <c r="H799" s="340"/>
      <c r="I799" s="340"/>
      <c r="J799" s="340"/>
      <c r="K799" s="340"/>
      <c r="L799" s="340"/>
      <c r="M799" s="340"/>
      <c r="N799" s="340"/>
      <c r="O799" s="340"/>
      <c r="P799" s="340"/>
      <c r="Q799" s="340"/>
      <c r="R799" s="340"/>
      <c r="S799" s="340"/>
      <c r="T799" s="340"/>
      <c r="U799" s="340"/>
      <c r="V799" s="340"/>
      <c r="W799" s="340"/>
      <c r="X799" s="340"/>
      <c r="Y799" s="340"/>
      <c r="Z799" s="340"/>
    </row>
    <row r="800" spans="1:26" ht="14.25" customHeight="1">
      <c r="A800" s="340"/>
      <c r="B800" s="340"/>
      <c r="C800" s="340"/>
      <c r="D800" s="340"/>
      <c r="E800" s="340"/>
      <c r="F800" s="340"/>
      <c r="G800" s="340"/>
      <c r="H800" s="340"/>
      <c r="I800" s="340"/>
      <c r="J800" s="340"/>
      <c r="K800" s="340"/>
      <c r="L800" s="340"/>
      <c r="M800" s="340"/>
      <c r="N800" s="340"/>
      <c r="O800" s="340"/>
      <c r="P800" s="340"/>
      <c r="Q800" s="340"/>
      <c r="R800" s="340"/>
      <c r="S800" s="340"/>
      <c r="T800" s="340"/>
      <c r="U800" s="340"/>
      <c r="V800" s="340"/>
      <c r="W800" s="340"/>
      <c r="X800" s="340"/>
      <c r="Y800" s="340"/>
      <c r="Z800" s="340"/>
    </row>
    <row r="801" spans="1:26" ht="14.25" customHeight="1">
      <c r="A801" s="340"/>
      <c r="B801" s="340"/>
      <c r="C801" s="340"/>
      <c r="D801" s="340"/>
      <c r="E801" s="340"/>
      <c r="F801" s="340"/>
      <c r="G801" s="340"/>
      <c r="H801" s="340"/>
      <c r="I801" s="340"/>
      <c r="J801" s="340"/>
      <c r="K801" s="340"/>
      <c r="L801" s="340"/>
      <c r="M801" s="340"/>
      <c r="N801" s="340"/>
      <c r="O801" s="340"/>
      <c r="P801" s="340"/>
      <c r="Q801" s="340"/>
      <c r="R801" s="340"/>
      <c r="S801" s="340"/>
      <c r="T801" s="340"/>
      <c r="U801" s="340"/>
      <c r="V801" s="340"/>
      <c r="W801" s="340"/>
      <c r="X801" s="340"/>
      <c r="Y801" s="340"/>
      <c r="Z801" s="340"/>
    </row>
    <row r="802" spans="1:26" ht="14.25" customHeight="1">
      <c r="A802" s="340"/>
      <c r="B802" s="340"/>
      <c r="C802" s="340"/>
      <c r="D802" s="340"/>
      <c r="E802" s="340"/>
      <c r="F802" s="340"/>
      <c r="G802" s="340"/>
      <c r="H802" s="340"/>
      <c r="I802" s="340"/>
      <c r="J802" s="340"/>
      <c r="K802" s="340"/>
      <c r="L802" s="340"/>
      <c r="M802" s="340"/>
      <c r="N802" s="340"/>
      <c r="O802" s="340"/>
      <c r="P802" s="340"/>
      <c r="Q802" s="340"/>
      <c r="R802" s="340"/>
      <c r="S802" s="340"/>
      <c r="T802" s="340"/>
      <c r="U802" s="340"/>
      <c r="V802" s="340"/>
      <c r="W802" s="340"/>
      <c r="X802" s="340"/>
      <c r="Y802" s="340"/>
      <c r="Z802" s="340"/>
    </row>
    <row r="803" spans="1:26" ht="14.25" customHeight="1">
      <c r="A803" s="340"/>
      <c r="B803" s="340"/>
      <c r="C803" s="340"/>
      <c r="D803" s="340"/>
      <c r="E803" s="340"/>
      <c r="F803" s="340"/>
      <c r="G803" s="340"/>
      <c r="H803" s="340"/>
      <c r="I803" s="340"/>
      <c r="J803" s="340"/>
      <c r="K803" s="340"/>
      <c r="L803" s="340"/>
      <c r="M803" s="340"/>
      <c r="N803" s="340"/>
      <c r="O803" s="340"/>
      <c r="P803" s="340"/>
      <c r="Q803" s="340"/>
      <c r="R803" s="340"/>
      <c r="S803" s="340"/>
      <c r="T803" s="340"/>
      <c r="U803" s="340"/>
      <c r="V803" s="340"/>
      <c r="W803" s="340"/>
      <c r="X803" s="340"/>
      <c r="Y803" s="340"/>
      <c r="Z803" s="340"/>
    </row>
    <row r="804" spans="1:26" ht="14.25" customHeight="1">
      <c r="A804" s="340"/>
      <c r="B804" s="340"/>
      <c r="C804" s="340"/>
      <c r="D804" s="340"/>
      <c r="E804" s="340"/>
      <c r="F804" s="340"/>
      <c r="G804" s="340"/>
      <c r="H804" s="340"/>
      <c r="I804" s="340"/>
      <c r="J804" s="340"/>
      <c r="K804" s="340"/>
      <c r="L804" s="340"/>
      <c r="M804" s="340"/>
      <c r="N804" s="340"/>
      <c r="O804" s="340"/>
      <c r="P804" s="340"/>
      <c r="Q804" s="340"/>
      <c r="R804" s="340"/>
      <c r="S804" s="340"/>
      <c r="T804" s="340"/>
      <c r="U804" s="340"/>
      <c r="V804" s="340"/>
      <c r="W804" s="340"/>
      <c r="X804" s="340"/>
      <c r="Y804" s="340"/>
      <c r="Z804" s="340"/>
    </row>
    <row r="805" spans="1:26" ht="14.25" customHeight="1">
      <c r="A805" s="340"/>
      <c r="B805" s="340"/>
      <c r="C805" s="340"/>
      <c r="D805" s="340"/>
      <c r="E805" s="340"/>
      <c r="F805" s="340"/>
      <c r="G805" s="340"/>
      <c r="H805" s="340"/>
      <c r="I805" s="340"/>
      <c r="J805" s="340"/>
      <c r="K805" s="340"/>
      <c r="L805" s="340"/>
      <c r="M805" s="340"/>
      <c r="N805" s="340"/>
      <c r="O805" s="340"/>
      <c r="P805" s="340"/>
      <c r="Q805" s="340"/>
      <c r="R805" s="340"/>
      <c r="S805" s="340"/>
      <c r="T805" s="340"/>
      <c r="U805" s="340"/>
      <c r="V805" s="340"/>
      <c r="W805" s="340"/>
      <c r="X805" s="340"/>
      <c r="Y805" s="340"/>
      <c r="Z805" s="340"/>
    </row>
    <row r="806" spans="1:26" ht="14.25" customHeight="1">
      <c r="A806" s="340"/>
      <c r="B806" s="340"/>
      <c r="C806" s="340"/>
      <c r="D806" s="340"/>
      <c r="E806" s="340"/>
      <c r="F806" s="340"/>
      <c r="G806" s="340"/>
      <c r="H806" s="340"/>
      <c r="I806" s="340"/>
      <c r="J806" s="340"/>
      <c r="K806" s="340"/>
      <c r="L806" s="340"/>
      <c r="M806" s="340"/>
      <c r="N806" s="340"/>
      <c r="O806" s="340"/>
      <c r="P806" s="340"/>
      <c r="Q806" s="340"/>
      <c r="R806" s="340"/>
      <c r="S806" s="340"/>
      <c r="T806" s="340"/>
      <c r="U806" s="340"/>
      <c r="V806" s="340"/>
      <c r="W806" s="340"/>
      <c r="X806" s="340"/>
      <c r="Y806" s="340"/>
      <c r="Z806" s="340"/>
    </row>
    <row r="807" spans="1:26" ht="14.25" customHeight="1">
      <c r="A807" s="340"/>
      <c r="B807" s="340"/>
      <c r="C807" s="340"/>
      <c r="D807" s="340"/>
      <c r="E807" s="340"/>
      <c r="F807" s="340"/>
      <c r="G807" s="340"/>
      <c r="H807" s="340"/>
      <c r="I807" s="340"/>
      <c r="J807" s="340"/>
      <c r="K807" s="340"/>
      <c r="L807" s="340"/>
      <c r="M807" s="340"/>
      <c r="N807" s="340"/>
      <c r="O807" s="340"/>
      <c r="P807" s="340"/>
      <c r="Q807" s="340"/>
      <c r="R807" s="340"/>
      <c r="S807" s="340"/>
      <c r="T807" s="340"/>
      <c r="U807" s="340"/>
      <c r="V807" s="340"/>
      <c r="W807" s="340"/>
      <c r="X807" s="340"/>
      <c r="Y807" s="340"/>
      <c r="Z807" s="340"/>
    </row>
    <row r="808" spans="1:26" ht="14.25" customHeight="1">
      <c r="A808" s="340"/>
      <c r="B808" s="340"/>
      <c r="C808" s="340"/>
      <c r="D808" s="340"/>
      <c r="E808" s="340"/>
      <c r="F808" s="340"/>
      <c r="G808" s="340"/>
      <c r="H808" s="340"/>
      <c r="I808" s="340"/>
      <c r="J808" s="340"/>
      <c r="K808" s="340"/>
      <c r="L808" s="340"/>
      <c r="M808" s="340"/>
      <c r="N808" s="340"/>
      <c r="O808" s="340"/>
      <c r="P808" s="340"/>
      <c r="Q808" s="340"/>
      <c r="R808" s="340"/>
      <c r="S808" s="340"/>
      <c r="T808" s="340"/>
      <c r="U808" s="340"/>
      <c r="V808" s="340"/>
      <c r="W808" s="340"/>
      <c r="X808" s="340"/>
      <c r="Y808" s="340"/>
      <c r="Z808" s="340"/>
    </row>
    <row r="809" spans="1:26" ht="14.25" customHeight="1">
      <c r="A809" s="340"/>
      <c r="B809" s="340"/>
      <c r="C809" s="340"/>
      <c r="D809" s="340"/>
      <c r="E809" s="340"/>
      <c r="F809" s="340"/>
      <c r="G809" s="340"/>
      <c r="H809" s="340"/>
      <c r="I809" s="340"/>
      <c r="J809" s="340"/>
      <c r="K809" s="340"/>
      <c r="L809" s="340"/>
      <c r="M809" s="340"/>
      <c r="N809" s="340"/>
      <c r="O809" s="340"/>
      <c r="P809" s="340"/>
      <c r="Q809" s="340"/>
      <c r="R809" s="340"/>
      <c r="S809" s="340"/>
      <c r="T809" s="340"/>
      <c r="U809" s="340"/>
      <c r="V809" s="340"/>
      <c r="W809" s="340"/>
      <c r="X809" s="340"/>
      <c r="Y809" s="340"/>
      <c r="Z809" s="340"/>
    </row>
    <row r="810" spans="1:26" ht="14.25" customHeight="1">
      <c r="A810" s="340"/>
      <c r="B810" s="340"/>
      <c r="C810" s="340"/>
      <c r="D810" s="340"/>
      <c r="E810" s="340"/>
      <c r="F810" s="340"/>
      <c r="G810" s="340"/>
      <c r="H810" s="340"/>
      <c r="I810" s="340"/>
      <c r="J810" s="340"/>
      <c r="K810" s="340"/>
      <c r="L810" s="340"/>
      <c r="M810" s="340"/>
      <c r="N810" s="340"/>
      <c r="O810" s="340"/>
      <c r="P810" s="340"/>
      <c r="Q810" s="340"/>
      <c r="R810" s="340"/>
      <c r="S810" s="340"/>
      <c r="T810" s="340"/>
      <c r="U810" s="340"/>
      <c r="V810" s="340"/>
      <c r="W810" s="340"/>
      <c r="X810" s="340"/>
      <c r="Y810" s="340"/>
      <c r="Z810" s="340"/>
    </row>
    <row r="811" spans="1:26" ht="14.25" customHeight="1">
      <c r="A811" s="340"/>
      <c r="B811" s="340"/>
      <c r="C811" s="340"/>
      <c r="D811" s="340"/>
      <c r="E811" s="340"/>
      <c r="F811" s="340"/>
      <c r="G811" s="340"/>
      <c r="H811" s="340"/>
      <c r="I811" s="340"/>
      <c r="J811" s="340"/>
      <c r="K811" s="340"/>
      <c r="L811" s="340"/>
      <c r="M811" s="340"/>
      <c r="N811" s="340"/>
      <c r="O811" s="340"/>
      <c r="P811" s="340"/>
      <c r="Q811" s="340"/>
      <c r="R811" s="340"/>
      <c r="S811" s="340"/>
      <c r="T811" s="340"/>
      <c r="U811" s="340"/>
      <c r="V811" s="340"/>
      <c r="W811" s="340"/>
      <c r="X811" s="340"/>
      <c r="Y811" s="340"/>
      <c r="Z811" s="340"/>
    </row>
    <row r="812" spans="1:26" ht="14.25" customHeight="1">
      <c r="A812" s="340"/>
      <c r="B812" s="340"/>
      <c r="C812" s="340"/>
      <c r="D812" s="340"/>
      <c r="E812" s="340"/>
      <c r="F812" s="340"/>
      <c r="G812" s="340"/>
      <c r="H812" s="340"/>
      <c r="I812" s="340"/>
      <c r="J812" s="340"/>
      <c r="K812" s="340"/>
      <c r="L812" s="340"/>
      <c r="M812" s="340"/>
      <c r="N812" s="340"/>
      <c r="O812" s="340"/>
      <c r="P812" s="340"/>
      <c r="Q812" s="340"/>
      <c r="R812" s="340"/>
      <c r="S812" s="340"/>
      <c r="T812" s="340"/>
      <c r="U812" s="340"/>
      <c r="V812" s="340"/>
      <c r="W812" s="340"/>
      <c r="X812" s="340"/>
      <c r="Y812" s="340"/>
      <c r="Z812" s="340"/>
    </row>
    <row r="813" spans="1:26" ht="14.25" customHeight="1">
      <c r="A813" s="340"/>
      <c r="B813" s="340"/>
      <c r="C813" s="340"/>
      <c r="D813" s="340"/>
      <c r="E813" s="340"/>
      <c r="F813" s="340"/>
      <c r="G813" s="340"/>
      <c r="H813" s="340"/>
      <c r="I813" s="340"/>
      <c r="J813" s="340"/>
      <c r="K813" s="340"/>
      <c r="L813" s="340"/>
      <c r="M813" s="340"/>
      <c r="N813" s="340"/>
      <c r="O813" s="340"/>
      <c r="P813" s="340"/>
      <c r="Q813" s="340"/>
      <c r="R813" s="340"/>
      <c r="S813" s="340"/>
      <c r="T813" s="340"/>
      <c r="U813" s="340"/>
      <c r="V813" s="340"/>
      <c r="W813" s="340"/>
      <c r="X813" s="340"/>
      <c r="Y813" s="340"/>
      <c r="Z813" s="340"/>
    </row>
    <row r="814" spans="1:26" ht="14.25" customHeight="1">
      <c r="A814" s="340"/>
      <c r="B814" s="340"/>
      <c r="C814" s="340"/>
      <c r="D814" s="340"/>
      <c r="E814" s="340"/>
      <c r="F814" s="340"/>
      <c r="G814" s="340"/>
      <c r="H814" s="340"/>
      <c r="I814" s="340"/>
      <c r="J814" s="340"/>
      <c r="K814" s="340"/>
      <c r="L814" s="340"/>
      <c r="M814" s="340"/>
      <c r="N814" s="340"/>
      <c r="O814" s="340"/>
      <c r="P814" s="340"/>
      <c r="Q814" s="340"/>
      <c r="R814" s="340"/>
      <c r="S814" s="340"/>
      <c r="T814" s="340"/>
      <c r="U814" s="340"/>
      <c r="V814" s="340"/>
      <c r="W814" s="340"/>
      <c r="X814" s="340"/>
      <c r="Y814" s="340"/>
      <c r="Z814" s="340"/>
    </row>
    <row r="815" spans="1:26" ht="14.25" customHeight="1">
      <c r="A815" s="340"/>
      <c r="B815" s="340"/>
      <c r="C815" s="340"/>
      <c r="D815" s="340"/>
      <c r="E815" s="340"/>
      <c r="F815" s="340"/>
      <c r="G815" s="340"/>
      <c r="H815" s="340"/>
      <c r="I815" s="340"/>
      <c r="J815" s="340"/>
      <c r="K815" s="340"/>
      <c r="L815" s="340"/>
      <c r="M815" s="340"/>
      <c r="N815" s="340"/>
      <c r="O815" s="340"/>
      <c r="P815" s="340"/>
      <c r="Q815" s="340"/>
      <c r="R815" s="340"/>
      <c r="S815" s="340"/>
      <c r="T815" s="340"/>
      <c r="U815" s="340"/>
      <c r="V815" s="340"/>
      <c r="W815" s="340"/>
      <c r="X815" s="340"/>
      <c r="Y815" s="340"/>
      <c r="Z815" s="340"/>
    </row>
    <row r="816" spans="1:26" ht="14.25" customHeight="1">
      <c r="A816" s="340"/>
      <c r="B816" s="340"/>
      <c r="C816" s="340"/>
      <c r="D816" s="340"/>
      <c r="E816" s="340"/>
      <c r="F816" s="340"/>
      <c r="G816" s="340"/>
      <c r="H816" s="340"/>
      <c r="I816" s="340"/>
      <c r="J816" s="340"/>
      <c r="K816" s="340"/>
      <c r="L816" s="340"/>
      <c r="M816" s="340"/>
      <c r="N816" s="340"/>
      <c r="O816" s="340"/>
      <c r="P816" s="340"/>
      <c r="Q816" s="340"/>
      <c r="R816" s="340"/>
      <c r="S816" s="340"/>
      <c r="T816" s="340"/>
      <c r="U816" s="340"/>
      <c r="V816" s="340"/>
      <c r="W816" s="340"/>
      <c r="X816" s="340"/>
      <c r="Y816" s="340"/>
      <c r="Z816" s="340"/>
    </row>
    <row r="817" spans="1:26" ht="14.25" customHeight="1">
      <c r="A817" s="340"/>
      <c r="B817" s="340"/>
      <c r="C817" s="340"/>
      <c r="D817" s="340"/>
      <c r="E817" s="340"/>
      <c r="F817" s="340"/>
      <c r="G817" s="340"/>
      <c r="H817" s="340"/>
      <c r="I817" s="340"/>
      <c r="J817" s="340"/>
      <c r="K817" s="340"/>
      <c r="L817" s="340"/>
      <c r="M817" s="340"/>
      <c r="N817" s="340"/>
      <c r="O817" s="340"/>
      <c r="P817" s="340"/>
      <c r="Q817" s="340"/>
      <c r="R817" s="340"/>
      <c r="S817" s="340"/>
      <c r="T817" s="340"/>
      <c r="U817" s="340"/>
      <c r="V817" s="340"/>
      <c r="W817" s="340"/>
      <c r="X817" s="340"/>
      <c r="Y817" s="340"/>
      <c r="Z817" s="340"/>
    </row>
    <row r="818" spans="1:26" ht="14.25" customHeight="1">
      <c r="A818" s="340"/>
      <c r="B818" s="340"/>
      <c r="C818" s="340"/>
      <c r="D818" s="340"/>
      <c r="E818" s="340"/>
      <c r="F818" s="340"/>
      <c r="G818" s="340"/>
      <c r="H818" s="340"/>
      <c r="I818" s="340"/>
      <c r="J818" s="340"/>
      <c r="K818" s="340"/>
      <c r="L818" s="340"/>
      <c r="M818" s="340"/>
      <c r="N818" s="340"/>
      <c r="O818" s="340"/>
      <c r="P818" s="340"/>
      <c r="Q818" s="340"/>
      <c r="R818" s="340"/>
      <c r="S818" s="340"/>
      <c r="T818" s="340"/>
      <c r="U818" s="340"/>
      <c r="V818" s="340"/>
      <c r="W818" s="340"/>
      <c r="X818" s="340"/>
      <c r="Y818" s="340"/>
      <c r="Z818" s="340"/>
    </row>
    <row r="819" spans="1:26" ht="14.25" customHeight="1">
      <c r="A819" s="340"/>
      <c r="B819" s="340"/>
      <c r="C819" s="340"/>
      <c r="D819" s="340"/>
      <c r="E819" s="340"/>
      <c r="F819" s="340"/>
      <c r="G819" s="340"/>
      <c r="H819" s="340"/>
      <c r="I819" s="340"/>
      <c r="J819" s="340"/>
      <c r="K819" s="340"/>
      <c r="L819" s="340"/>
      <c r="M819" s="340"/>
      <c r="N819" s="340"/>
      <c r="O819" s="340"/>
      <c r="P819" s="340"/>
      <c r="Q819" s="340"/>
      <c r="R819" s="340"/>
      <c r="S819" s="340"/>
      <c r="T819" s="340"/>
      <c r="U819" s="340"/>
      <c r="V819" s="340"/>
      <c r="W819" s="340"/>
      <c r="X819" s="340"/>
      <c r="Y819" s="340"/>
      <c r="Z819" s="340"/>
    </row>
    <row r="820" spans="1:26" ht="14.25" customHeight="1">
      <c r="A820" s="340"/>
      <c r="B820" s="340"/>
      <c r="C820" s="340"/>
      <c r="D820" s="340"/>
      <c r="E820" s="340"/>
      <c r="F820" s="340"/>
      <c r="G820" s="340"/>
      <c r="H820" s="340"/>
      <c r="I820" s="340"/>
      <c r="J820" s="340"/>
      <c r="K820" s="340"/>
      <c r="L820" s="340"/>
      <c r="M820" s="340"/>
      <c r="N820" s="340"/>
      <c r="O820" s="340"/>
      <c r="P820" s="340"/>
      <c r="Q820" s="340"/>
      <c r="R820" s="340"/>
      <c r="S820" s="340"/>
      <c r="T820" s="340"/>
      <c r="U820" s="340"/>
      <c r="V820" s="340"/>
      <c r="W820" s="340"/>
      <c r="X820" s="340"/>
      <c r="Y820" s="340"/>
      <c r="Z820" s="340"/>
    </row>
    <row r="821" spans="1:26" ht="14.25" customHeight="1">
      <c r="A821" s="340"/>
      <c r="B821" s="340"/>
      <c r="C821" s="340"/>
      <c r="D821" s="340"/>
      <c r="E821" s="340"/>
      <c r="F821" s="340"/>
      <c r="G821" s="340"/>
      <c r="H821" s="340"/>
      <c r="I821" s="340"/>
      <c r="J821" s="340"/>
      <c r="K821" s="340"/>
      <c r="L821" s="340"/>
      <c r="M821" s="340"/>
      <c r="N821" s="340"/>
      <c r="O821" s="340"/>
      <c r="P821" s="340"/>
      <c r="Q821" s="340"/>
      <c r="R821" s="340"/>
      <c r="S821" s="340"/>
      <c r="T821" s="340"/>
      <c r="U821" s="340"/>
      <c r="V821" s="340"/>
      <c r="W821" s="340"/>
      <c r="X821" s="340"/>
      <c r="Y821" s="340"/>
      <c r="Z821" s="340"/>
    </row>
    <row r="822" spans="1:26" ht="14.25" customHeight="1">
      <c r="A822" s="340"/>
      <c r="B822" s="340"/>
      <c r="C822" s="340"/>
      <c r="D822" s="340"/>
      <c r="E822" s="340"/>
      <c r="F822" s="340"/>
      <c r="G822" s="340"/>
      <c r="H822" s="340"/>
      <c r="I822" s="340"/>
      <c r="J822" s="340"/>
      <c r="K822" s="340"/>
      <c r="L822" s="340"/>
      <c r="M822" s="340"/>
      <c r="N822" s="340"/>
      <c r="O822" s="340"/>
      <c r="P822" s="340"/>
      <c r="Q822" s="340"/>
      <c r="R822" s="340"/>
      <c r="S822" s="340"/>
      <c r="T822" s="340"/>
      <c r="U822" s="340"/>
      <c r="V822" s="340"/>
      <c r="W822" s="340"/>
      <c r="X822" s="340"/>
      <c r="Y822" s="340"/>
      <c r="Z822" s="340"/>
    </row>
    <row r="823" spans="1:26" ht="14.25" customHeight="1">
      <c r="A823" s="340"/>
      <c r="B823" s="340"/>
      <c r="C823" s="340"/>
      <c r="D823" s="340"/>
      <c r="E823" s="340"/>
      <c r="F823" s="340"/>
      <c r="G823" s="340"/>
      <c r="H823" s="340"/>
      <c r="I823" s="340"/>
      <c r="J823" s="340"/>
      <c r="K823" s="340"/>
      <c r="L823" s="340"/>
      <c r="M823" s="340"/>
      <c r="N823" s="340"/>
      <c r="O823" s="340"/>
      <c r="P823" s="340"/>
      <c r="Q823" s="340"/>
      <c r="R823" s="340"/>
      <c r="S823" s="340"/>
      <c r="T823" s="340"/>
      <c r="U823" s="340"/>
      <c r="V823" s="340"/>
      <c r="W823" s="340"/>
      <c r="X823" s="340"/>
      <c r="Y823" s="340"/>
      <c r="Z823" s="340"/>
    </row>
    <row r="824" spans="1:26" ht="14.25" customHeight="1">
      <c r="A824" s="340"/>
      <c r="B824" s="340"/>
      <c r="C824" s="340"/>
      <c r="D824" s="340"/>
      <c r="E824" s="340"/>
      <c r="F824" s="340"/>
      <c r="G824" s="340"/>
      <c r="H824" s="340"/>
      <c r="I824" s="340"/>
      <c r="J824" s="340"/>
      <c r="K824" s="340"/>
      <c r="L824" s="340"/>
      <c r="M824" s="340"/>
      <c r="N824" s="340"/>
      <c r="O824" s="340"/>
      <c r="P824" s="340"/>
      <c r="Q824" s="340"/>
      <c r="R824" s="340"/>
      <c r="S824" s="340"/>
      <c r="T824" s="340"/>
      <c r="U824" s="340"/>
      <c r="V824" s="340"/>
      <c r="W824" s="340"/>
      <c r="X824" s="340"/>
      <c r="Y824" s="340"/>
      <c r="Z824" s="340"/>
    </row>
    <row r="825" spans="1:26" ht="14.25" customHeight="1">
      <c r="A825" s="340"/>
      <c r="B825" s="340"/>
      <c r="C825" s="340"/>
      <c r="D825" s="340"/>
      <c r="E825" s="340"/>
      <c r="F825" s="340"/>
      <c r="G825" s="340"/>
      <c r="H825" s="340"/>
      <c r="I825" s="340"/>
      <c r="J825" s="340"/>
      <c r="K825" s="340"/>
      <c r="L825" s="340"/>
      <c r="M825" s="340"/>
      <c r="N825" s="340"/>
      <c r="O825" s="340"/>
      <c r="P825" s="340"/>
      <c r="Q825" s="340"/>
      <c r="R825" s="340"/>
      <c r="S825" s="340"/>
      <c r="T825" s="340"/>
      <c r="U825" s="340"/>
      <c r="V825" s="340"/>
      <c r="W825" s="340"/>
      <c r="X825" s="340"/>
      <c r="Y825" s="340"/>
      <c r="Z825" s="340"/>
    </row>
    <row r="826" spans="1:26" ht="14.25" customHeight="1">
      <c r="A826" s="340"/>
      <c r="B826" s="340"/>
      <c r="C826" s="340"/>
      <c r="D826" s="340"/>
      <c r="E826" s="340"/>
      <c r="F826" s="340"/>
      <c r="G826" s="340"/>
      <c r="H826" s="340"/>
      <c r="I826" s="340"/>
      <c r="J826" s="340"/>
      <c r="K826" s="340"/>
      <c r="L826" s="340"/>
      <c r="M826" s="340"/>
      <c r="N826" s="340"/>
      <c r="O826" s="340"/>
      <c r="P826" s="340"/>
      <c r="Q826" s="340"/>
      <c r="R826" s="340"/>
      <c r="S826" s="340"/>
      <c r="T826" s="340"/>
      <c r="U826" s="340"/>
      <c r="V826" s="340"/>
      <c r="W826" s="340"/>
      <c r="X826" s="340"/>
      <c r="Y826" s="340"/>
      <c r="Z826" s="340"/>
    </row>
    <row r="827" spans="1:26" ht="14.25" customHeight="1">
      <c r="A827" s="340"/>
      <c r="B827" s="340"/>
      <c r="C827" s="340"/>
      <c r="D827" s="340"/>
      <c r="E827" s="340"/>
      <c r="F827" s="340"/>
      <c r="G827" s="340"/>
      <c r="H827" s="340"/>
      <c r="I827" s="340"/>
      <c r="J827" s="340"/>
      <c r="K827" s="340"/>
      <c r="L827" s="340"/>
      <c r="M827" s="340"/>
      <c r="N827" s="340"/>
      <c r="O827" s="340"/>
      <c r="P827" s="340"/>
      <c r="Q827" s="340"/>
      <c r="R827" s="340"/>
      <c r="S827" s="340"/>
      <c r="T827" s="340"/>
      <c r="U827" s="340"/>
      <c r="V827" s="340"/>
      <c r="W827" s="340"/>
      <c r="X827" s="340"/>
      <c r="Y827" s="340"/>
      <c r="Z827" s="340"/>
    </row>
    <row r="828" spans="1:26" ht="14.25" customHeight="1">
      <c r="A828" s="340"/>
      <c r="B828" s="340"/>
      <c r="C828" s="340"/>
      <c r="D828" s="340"/>
      <c r="E828" s="340"/>
      <c r="F828" s="340"/>
      <c r="G828" s="340"/>
      <c r="H828" s="340"/>
      <c r="I828" s="340"/>
      <c r="J828" s="340"/>
      <c r="K828" s="340"/>
      <c r="L828" s="340"/>
      <c r="M828" s="340"/>
      <c r="N828" s="340"/>
      <c r="O828" s="340"/>
      <c r="P828" s="340"/>
      <c r="Q828" s="340"/>
      <c r="R828" s="340"/>
      <c r="S828" s="340"/>
      <c r="T828" s="340"/>
      <c r="U828" s="340"/>
      <c r="V828" s="340"/>
      <c r="W828" s="340"/>
      <c r="X828" s="340"/>
      <c r="Y828" s="340"/>
      <c r="Z828" s="340"/>
    </row>
    <row r="829" spans="1:26" ht="14.25" customHeight="1">
      <c r="A829" s="340"/>
      <c r="B829" s="340"/>
      <c r="C829" s="340"/>
      <c r="D829" s="340"/>
      <c r="E829" s="340"/>
      <c r="F829" s="340"/>
      <c r="G829" s="340"/>
      <c r="H829" s="340"/>
      <c r="I829" s="340"/>
      <c r="J829" s="340"/>
      <c r="K829" s="340"/>
      <c r="L829" s="340"/>
      <c r="M829" s="340"/>
      <c r="N829" s="340"/>
      <c r="O829" s="340"/>
      <c r="P829" s="340"/>
      <c r="Q829" s="340"/>
      <c r="R829" s="340"/>
      <c r="S829" s="340"/>
      <c r="T829" s="340"/>
      <c r="U829" s="340"/>
      <c r="V829" s="340"/>
      <c r="W829" s="340"/>
      <c r="X829" s="340"/>
      <c r="Y829" s="340"/>
      <c r="Z829" s="340"/>
    </row>
    <row r="830" spans="1:26" ht="14.25" customHeight="1">
      <c r="A830" s="340"/>
      <c r="B830" s="340"/>
      <c r="C830" s="340"/>
      <c r="D830" s="340"/>
      <c r="E830" s="340"/>
      <c r="F830" s="340"/>
      <c r="G830" s="340"/>
      <c r="H830" s="340"/>
      <c r="I830" s="340"/>
      <c r="J830" s="340"/>
      <c r="K830" s="340"/>
      <c r="L830" s="340"/>
      <c r="M830" s="340"/>
      <c r="N830" s="340"/>
      <c r="O830" s="340"/>
      <c r="P830" s="340"/>
      <c r="Q830" s="340"/>
      <c r="R830" s="340"/>
      <c r="S830" s="340"/>
      <c r="T830" s="340"/>
      <c r="U830" s="340"/>
      <c r="V830" s="340"/>
      <c r="W830" s="340"/>
      <c r="X830" s="340"/>
      <c r="Y830" s="340"/>
      <c r="Z830" s="340"/>
    </row>
    <row r="831" spans="1:26" ht="14.25" customHeight="1">
      <c r="A831" s="340"/>
      <c r="B831" s="340"/>
      <c r="C831" s="340"/>
      <c r="D831" s="340"/>
      <c r="E831" s="340"/>
      <c r="F831" s="340"/>
      <c r="G831" s="340"/>
      <c r="H831" s="340"/>
      <c r="I831" s="340"/>
      <c r="J831" s="340"/>
      <c r="K831" s="340"/>
      <c r="L831" s="340"/>
      <c r="M831" s="340"/>
      <c r="N831" s="340"/>
      <c r="O831" s="340"/>
      <c r="P831" s="340"/>
      <c r="Q831" s="340"/>
      <c r="R831" s="340"/>
      <c r="S831" s="340"/>
      <c r="T831" s="340"/>
      <c r="U831" s="340"/>
      <c r="V831" s="340"/>
      <c r="W831" s="340"/>
      <c r="X831" s="340"/>
      <c r="Y831" s="340"/>
      <c r="Z831" s="340"/>
    </row>
    <row r="832" spans="1:26" ht="14.25" customHeight="1">
      <c r="A832" s="340"/>
      <c r="B832" s="340"/>
      <c r="C832" s="340"/>
      <c r="D832" s="340"/>
      <c r="E832" s="340"/>
      <c r="F832" s="340"/>
      <c r="G832" s="340"/>
      <c r="H832" s="340"/>
      <c r="I832" s="340"/>
      <c r="J832" s="340"/>
      <c r="K832" s="340"/>
      <c r="L832" s="340"/>
      <c r="M832" s="340"/>
      <c r="N832" s="340"/>
      <c r="O832" s="340"/>
      <c r="P832" s="340"/>
      <c r="Q832" s="340"/>
      <c r="R832" s="340"/>
      <c r="S832" s="340"/>
      <c r="T832" s="340"/>
      <c r="U832" s="340"/>
      <c r="V832" s="340"/>
      <c r="W832" s="340"/>
      <c r="X832" s="340"/>
      <c r="Y832" s="340"/>
      <c r="Z832" s="340"/>
    </row>
    <row r="833" spans="1:26" ht="14.25" customHeight="1">
      <c r="A833" s="340"/>
      <c r="B833" s="340"/>
      <c r="C833" s="340"/>
      <c r="D833" s="340"/>
      <c r="E833" s="340"/>
      <c r="F833" s="340"/>
      <c r="G833" s="340"/>
      <c r="H833" s="340"/>
      <c r="I833" s="340"/>
      <c r="J833" s="340"/>
      <c r="K833" s="340"/>
      <c r="L833" s="340"/>
      <c r="M833" s="340"/>
      <c r="N833" s="340"/>
      <c r="O833" s="340"/>
      <c r="P833" s="340"/>
      <c r="Q833" s="340"/>
      <c r="R833" s="340"/>
      <c r="S833" s="340"/>
      <c r="T833" s="340"/>
      <c r="U833" s="340"/>
      <c r="V833" s="340"/>
      <c r="W833" s="340"/>
      <c r="X833" s="340"/>
      <c r="Y833" s="340"/>
      <c r="Z833" s="340"/>
    </row>
    <row r="834" spans="1:26" ht="14.25" customHeight="1">
      <c r="A834" s="340"/>
      <c r="B834" s="340"/>
      <c r="C834" s="340"/>
      <c r="D834" s="340"/>
      <c r="E834" s="340"/>
      <c r="F834" s="340"/>
      <c r="G834" s="340"/>
      <c r="H834" s="340"/>
      <c r="I834" s="340"/>
      <c r="J834" s="340"/>
      <c r="K834" s="340"/>
      <c r="L834" s="340"/>
      <c r="M834" s="340"/>
      <c r="N834" s="340"/>
      <c r="O834" s="340"/>
      <c r="P834" s="340"/>
      <c r="Q834" s="340"/>
      <c r="R834" s="340"/>
      <c r="S834" s="340"/>
      <c r="T834" s="340"/>
      <c r="U834" s="340"/>
      <c r="V834" s="340"/>
      <c r="W834" s="340"/>
      <c r="X834" s="340"/>
      <c r="Y834" s="340"/>
      <c r="Z834" s="340"/>
    </row>
    <row r="835" spans="1:26" ht="14.25" customHeight="1">
      <c r="A835" s="340"/>
      <c r="B835" s="340"/>
      <c r="C835" s="340"/>
      <c r="D835" s="340"/>
      <c r="E835" s="340"/>
      <c r="F835" s="340"/>
      <c r="G835" s="340"/>
      <c r="H835" s="340"/>
      <c r="I835" s="340"/>
      <c r="J835" s="340"/>
      <c r="K835" s="340"/>
      <c r="L835" s="340"/>
      <c r="M835" s="340"/>
      <c r="N835" s="340"/>
      <c r="O835" s="340"/>
      <c r="P835" s="340"/>
      <c r="Q835" s="340"/>
      <c r="R835" s="340"/>
      <c r="S835" s="340"/>
      <c r="T835" s="340"/>
      <c r="U835" s="340"/>
      <c r="V835" s="340"/>
      <c r="W835" s="340"/>
      <c r="X835" s="340"/>
      <c r="Y835" s="340"/>
      <c r="Z835" s="340"/>
    </row>
    <row r="836" spans="1:26" ht="14.25" customHeight="1">
      <c r="A836" s="340"/>
      <c r="B836" s="340"/>
      <c r="C836" s="340"/>
      <c r="D836" s="340"/>
      <c r="E836" s="340"/>
      <c r="F836" s="340"/>
      <c r="G836" s="340"/>
      <c r="H836" s="340"/>
      <c r="I836" s="340"/>
      <c r="J836" s="340"/>
      <c r="K836" s="340"/>
      <c r="L836" s="340"/>
      <c r="M836" s="340"/>
      <c r="N836" s="340"/>
      <c r="O836" s="340"/>
      <c r="P836" s="340"/>
      <c r="Q836" s="340"/>
      <c r="R836" s="340"/>
      <c r="S836" s="340"/>
      <c r="T836" s="340"/>
      <c r="U836" s="340"/>
      <c r="V836" s="340"/>
      <c r="W836" s="340"/>
      <c r="X836" s="340"/>
      <c r="Y836" s="340"/>
      <c r="Z836" s="340"/>
    </row>
    <row r="837" spans="1:26" ht="14.25" customHeight="1">
      <c r="A837" s="340"/>
      <c r="B837" s="340"/>
      <c r="C837" s="340"/>
      <c r="D837" s="340"/>
      <c r="E837" s="340"/>
      <c r="F837" s="340"/>
      <c r="G837" s="340"/>
      <c r="H837" s="340"/>
      <c r="I837" s="340"/>
      <c r="J837" s="340"/>
      <c r="K837" s="340"/>
      <c r="L837" s="340"/>
      <c r="M837" s="340"/>
      <c r="N837" s="340"/>
      <c r="O837" s="340"/>
      <c r="P837" s="340"/>
      <c r="Q837" s="340"/>
      <c r="R837" s="340"/>
      <c r="S837" s="340"/>
      <c r="T837" s="340"/>
      <c r="U837" s="340"/>
      <c r="V837" s="340"/>
      <c r="W837" s="340"/>
      <c r="X837" s="340"/>
      <c r="Y837" s="340"/>
      <c r="Z837" s="340"/>
    </row>
    <row r="838" spans="1:26" ht="14.25" customHeight="1">
      <c r="A838" s="340"/>
      <c r="B838" s="340"/>
      <c r="C838" s="340"/>
      <c r="D838" s="340"/>
      <c r="E838" s="340"/>
      <c r="F838" s="340"/>
      <c r="G838" s="340"/>
      <c r="H838" s="340"/>
      <c r="I838" s="340"/>
      <c r="J838" s="340"/>
      <c r="K838" s="340"/>
      <c r="L838" s="340"/>
      <c r="M838" s="340"/>
      <c r="N838" s="340"/>
      <c r="O838" s="340"/>
      <c r="P838" s="340"/>
      <c r="Q838" s="340"/>
      <c r="R838" s="340"/>
      <c r="S838" s="340"/>
      <c r="T838" s="340"/>
      <c r="U838" s="340"/>
      <c r="V838" s="340"/>
      <c r="W838" s="340"/>
      <c r="X838" s="340"/>
      <c r="Y838" s="340"/>
      <c r="Z838" s="340"/>
    </row>
    <row r="839" spans="1:26" ht="14.25" customHeight="1">
      <c r="A839" s="340"/>
      <c r="B839" s="340"/>
      <c r="C839" s="340"/>
      <c r="D839" s="340"/>
      <c r="E839" s="340"/>
      <c r="F839" s="340"/>
      <c r="G839" s="340"/>
      <c r="H839" s="340"/>
      <c r="I839" s="340"/>
      <c r="J839" s="340"/>
      <c r="K839" s="340"/>
      <c r="L839" s="340"/>
      <c r="M839" s="340"/>
      <c r="N839" s="340"/>
      <c r="O839" s="340"/>
      <c r="P839" s="340"/>
      <c r="Q839" s="340"/>
      <c r="R839" s="340"/>
      <c r="S839" s="340"/>
      <c r="T839" s="340"/>
      <c r="U839" s="340"/>
      <c r="V839" s="340"/>
      <c r="W839" s="340"/>
      <c r="X839" s="340"/>
      <c r="Y839" s="340"/>
      <c r="Z839" s="340"/>
    </row>
    <row r="840" spans="1:26" ht="14.25" customHeight="1">
      <c r="A840" s="340"/>
      <c r="B840" s="340"/>
      <c r="C840" s="340"/>
      <c r="D840" s="340"/>
      <c r="E840" s="340"/>
      <c r="F840" s="340"/>
      <c r="G840" s="340"/>
      <c r="H840" s="340"/>
      <c r="I840" s="340"/>
      <c r="J840" s="340"/>
      <c r="K840" s="340"/>
      <c r="L840" s="340"/>
      <c r="M840" s="340"/>
      <c r="N840" s="340"/>
      <c r="O840" s="340"/>
      <c r="P840" s="340"/>
      <c r="Q840" s="340"/>
      <c r="R840" s="340"/>
      <c r="S840" s="340"/>
      <c r="T840" s="340"/>
      <c r="U840" s="340"/>
      <c r="V840" s="340"/>
      <c r="W840" s="340"/>
      <c r="X840" s="340"/>
      <c r="Y840" s="340"/>
      <c r="Z840" s="340"/>
    </row>
    <row r="841" spans="1:26" ht="14.25" customHeight="1">
      <c r="A841" s="340"/>
      <c r="B841" s="340"/>
      <c r="C841" s="340"/>
      <c r="D841" s="340"/>
      <c r="E841" s="340"/>
      <c r="F841" s="340"/>
      <c r="G841" s="340"/>
      <c r="H841" s="340"/>
      <c r="I841" s="340"/>
      <c r="J841" s="340"/>
      <c r="K841" s="340"/>
      <c r="L841" s="340"/>
      <c r="M841" s="340"/>
      <c r="N841" s="340"/>
      <c r="O841" s="340"/>
      <c r="P841" s="340"/>
      <c r="Q841" s="340"/>
      <c r="R841" s="340"/>
      <c r="S841" s="340"/>
      <c r="T841" s="340"/>
      <c r="U841" s="340"/>
      <c r="V841" s="340"/>
      <c r="W841" s="340"/>
      <c r="X841" s="340"/>
      <c r="Y841" s="340"/>
      <c r="Z841" s="340"/>
    </row>
    <row r="842" spans="1:26" ht="14.25" customHeight="1">
      <c r="A842" s="340"/>
      <c r="B842" s="340"/>
      <c r="C842" s="340"/>
      <c r="D842" s="340"/>
      <c r="E842" s="340"/>
      <c r="F842" s="340"/>
      <c r="G842" s="340"/>
      <c r="H842" s="340"/>
      <c r="I842" s="340"/>
      <c r="J842" s="340"/>
      <c r="K842" s="340"/>
      <c r="L842" s="340"/>
      <c r="M842" s="340"/>
      <c r="N842" s="340"/>
      <c r="O842" s="340"/>
      <c r="P842" s="340"/>
      <c r="Q842" s="340"/>
      <c r="R842" s="340"/>
      <c r="S842" s="340"/>
      <c r="T842" s="340"/>
      <c r="U842" s="340"/>
      <c r="V842" s="340"/>
      <c r="W842" s="340"/>
      <c r="X842" s="340"/>
      <c r="Y842" s="340"/>
      <c r="Z842" s="340"/>
    </row>
    <row r="843" spans="1:26" ht="14.25" customHeight="1">
      <c r="A843" s="340"/>
      <c r="B843" s="340"/>
      <c r="C843" s="340"/>
      <c r="D843" s="340"/>
      <c r="E843" s="340"/>
      <c r="F843" s="340"/>
      <c r="G843" s="340"/>
      <c r="H843" s="340"/>
      <c r="I843" s="340"/>
      <c r="J843" s="340"/>
      <c r="K843" s="340"/>
      <c r="L843" s="340"/>
      <c r="M843" s="340"/>
      <c r="N843" s="340"/>
      <c r="O843" s="340"/>
      <c r="P843" s="340"/>
      <c r="Q843" s="340"/>
      <c r="R843" s="340"/>
      <c r="S843" s="340"/>
      <c r="T843" s="340"/>
      <c r="U843" s="340"/>
      <c r="V843" s="340"/>
      <c r="W843" s="340"/>
      <c r="X843" s="340"/>
      <c r="Y843" s="340"/>
      <c r="Z843" s="340"/>
    </row>
    <row r="844" spans="1:26" ht="14.25" customHeight="1">
      <c r="A844" s="340"/>
      <c r="B844" s="340"/>
      <c r="C844" s="340"/>
      <c r="D844" s="340"/>
      <c r="E844" s="340"/>
      <c r="F844" s="340"/>
      <c r="G844" s="340"/>
      <c r="H844" s="340"/>
      <c r="I844" s="340"/>
      <c r="J844" s="340"/>
      <c r="K844" s="340"/>
      <c r="L844" s="340"/>
      <c r="M844" s="340"/>
      <c r="N844" s="340"/>
      <c r="O844" s="340"/>
      <c r="P844" s="340"/>
      <c r="Q844" s="340"/>
      <c r="R844" s="340"/>
      <c r="S844" s="340"/>
      <c r="T844" s="340"/>
      <c r="U844" s="340"/>
      <c r="V844" s="340"/>
      <c r="W844" s="340"/>
      <c r="X844" s="340"/>
      <c r="Y844" s="340"/>
      <c r="Z844" s="340"/>
    </row>
    <row r="845" spans="1:26" ht="14.25" customHeight="1">
      <c r="A845" s="340"/>
      <c r="B845" s="340"/>
      <c r="C845" s="340"/>
      <c r="D845" s="340"/>
      <c r="E845" s="340"/>
      <c r="F845" s="340"/>
      <c r="G845" s="340"/>
      <c r="H845" s="340"/>
      <c r="I845" s="340"/>
      <c r="J845" s="340"/>
      <c r="K845" s="340"/>
      <c r="L845" s="340"/>
      <c r="M845" s="340"/>
      <c r="N845" s="340"/>
      <c r="O845" s="340"/>
      <c r="P845" s="340"/>
      <c r="Q845" s="340"/>
      <c r="R845" s="340"/>
      <c r="S845" s="340"/>
      <c r="T845" s="340"/>
      <c r="U845" s="340"/>
      <c r="V845" s="340"/>
      <c r="W845" s="340"/>
      <c r="X845" s="340"/>
      <c r="Y845" s="340"/>
      <c r="Z845" s="340"/>
    </row>
    <row r="846" spans="1:26" ht="14.25" customHeight="1">
      <c r="A846" s="340"/>
      <c r="B846" s="340"/>
      <c r="C846" s="340"/>
      <c r="D846" s="340"/>
      <c r="E846" s="340"/>
      <c r="F846" s="340"/>
      <c r="G846" s="340"/>
      <c r="H846" s="340"/>
      <c r="I846" s="340"/>
      <c r="J846" s="340"/>
      <c r="K846" s="340"/>
      <c r="L846" s="340"/>
      <c r="M846" s="340"/>
      <c r="N846" s="340"/>
      <c r="O846" s="340"/>
      <c r="P846" s="340"/>
      <c r="Q846" s="340"/>
      <c r="R846" s="340"/>
      <c r="S846" s="340"/>
      <c r="T846" s="340"/>
      <c r="U846" s="340"/>
      <c r="V846" s="340"/>
      <c r="W846" s="340"/>
      <c r="X846" s="340"/>
      <c r="Y846" s="340"/>
      <c r="Z846" s="340"/>
    </row>
    <row r="847" spans="1:26" ht="14.25" customHeight="1">
      <c r="A847" s="340"/>
      <c r="B847" s="340"/>
      <c r="C847" s="340"/>
      <c r="D847" s="340"/>
      <c r="E847" s="340"/>
      <c r="F847" s="340"/>
      <c r="G847" s="340"/>
      <c r="H847" s="340"/>
      <c r="I847" s="340"/>
      <c r="J847" s="340"/>
      <c r="K847" s="340"/>
      <c r="L847" s="340"/>
      <c r="M847" s="340"/>
      <c r="N847" s="340"/>
      <c r="O847" s="340"/>
      <c r="P847" s="340"/>
      <c r="Q847" s="340"/>
      <c r="R847" s="340"/>
      <c r="S847" s="340"/>
      <c r="T847" s="340"/>
      <c r="U847" s="340"/>
      <c r="V847" s="340"/>
      <c r="W847" s="340"/>
      <c r="X847" s="340"/>
      <c r="Y847" s="340"/>
      <c r="Z847" s="340"/>
    </row>
    <row r="848" spans="1:26" ht="14.25" customHeight="1">
      <c r="A848" s="340"/>
      <c r="B848" s="340"/>
      <c r="C848" s="340"/>
      <c r="D848" s="340"/>
      <c r="E848" s="340"/>
      <c r="F848" s="340"/>
      <c r="G848" s="340"/>
      <c r="H848" s="340"/>
      <c r="I848" s="340"/>
      <c r="J848" s="340"/>
      <c r="K848" s="340"/>
      <c r="L848" s="340"/>
      <c r="M848" s="340"/>
      <c r="N848" s="340"/>
      <c r="O848" s="340"/>
      <c r="P848" s="340"/>
      <c r="Q848" s="340"/>
      <c r="R848" s="340"/>
      <c r="S848" s="340"/>
      <c r="T848" s="340"/>
      <c r="U848" s="340"/>
      <c r="V848" s="340"/>
      <c r="W848" s="340"/>
      <c r="X848" s="340"/>
      <c r="Y848" s="340"/>
      <c r="Z848" s="340"/>
    </row>
    <row r="849" spans="1:26" ht="14.25" customHeight="1">
      <c r="A849" s="340"/>
      <c r="B849" s="340"/>
      <c r="C849" s="340"/>
      <c r="D849" s="340"/>
      <c r="E849" s="340"/>
      <c r="F849" s="340"/>
      <c r="G849" s="340"/>
      <c r="H849" s="340"/>
      <c r="I849" s="340"/>
      <c r="J849" s="340"/>
      <c r="K849" s="340"/>
      <c r="L849" s="340"/>
      <c r="M849" s="340"/>
      <c r="N849" s="340"/>
      <c r="O849" s="340"/>
      <c r="P849" s="340"/>
      <c r="Q849" s="340"/>
      <c r="R849" s="340"/>
      <c r="S849" s="340"/>
      <c r="T849" s="340"/>
      <c r="U849" s="340"/>
      <c r="V849" s="340"/>
      <c r="W849" s="340"/>
      <c r="X849" s="340"/>
      <c r="Y849" s="340"/>
      <c r="Z849" s="340"/>
    </row>
    <row r="850" spans="1:26" ht="14.25" customHeight="1">
      <c r="A850" s="340"/>
      <c r="B850" s="340"/>
      <c r="C850" s="340"/>
      <c r="D850" s="340"/>
      <c r="E850" s="340"/>
      <c r="F850" s="340"/>
      <c r="G850" s="340"/>
      <c r="H850" s="340"/>
      <c r="I850" s="340"/>
      <c r="J850" s="340"/>
      <c r="K850" s="340"/>
      <c r="L850" s="340"/>
      <c r="M850" s="340"/>
      <c r="N850" s="340"/>
      <c r="O850" s="340"/>
      <c r="P850" s="340"/>
      <c r="Q850" s="340"/>
      <c r="R850" s="340"/>
      <c r="S850" s="340"/>
      <c r="T850" s="340"/>
      <c r="U850" s="340"/>
      <c r="V850" s="340"/>
      <c r="W850" s="340"/>
      <c r="X850" s="340"/>
      <c r="Y850" s="340"/>
      <c r="Z850" s="340"/>
    </row>
    <row r="851" spans="1:26" ht="14.25" customHeight="1">
      <c r="A851" s="340"/>
      <c r="B851" s="340"/>
      <c r="C851" s="340"/>
      <c r="D851" s="340"/>
      <c r="E851" s="340"/>
      <c r="F851" s="340"/>
      <c r="G851" s="340"/>
      <c r="H851" s="340"/>
      <c r="I851" s="340"/>
      <c r="J851" s="340"/>
      <c r="K851" s="340"/>
      <c r="L851" s="340"/>
      <c r="M851" s="340"/>
      <c r="N851" s="340"/>
      <c r="O851" s="340"/>
      <c r="P851" s="340"/>
      <c r="Q851" s="340"/>
      <c r="R851" s="340"/>
      <c r="S851" s="340"/>
      <c r="T851" s="340"/>
      <c r="U851" s="340"/>
      <c r="V851" s="340"/>
      <c r="W851" s="340"/>
      <c r="X851" s="340"/>
      <c r="Y851" s="340"/>
      <c r="Z851" s="340"/>
    </row>
    <row r="852" spans="1:26" ht="14.25" customHeight="1">
      <c r="A852" s="340"/>
      <c r="B852" s="340"/>
      <c r="C852" s="340"/>
      <c r="D852" s="340"/>
      <c r="E852" s="340"/>
      <c r="F852" s="340"/>
      <c r="G852" s="340"/>
      <c r="H852" s="340"/>
      <c r="I852" s="340"/>
      <c r="J852" s="340"/>
      <c r="K852" s="340"/>
      <c r="L852" s="340"/>
      <c r="M852" s="340"/>
      <c r="N852" s="340"/>
      <c r="O852" s="340"/>
      <c r="P852" s="340"/>
      <c r="Q852" s="340"/>
      <c r="R852" s="340"/>
      <c r="S852" s="340"/>
      <c r="T852" s="340"/>
      <c r="U852" s="340"/>
      <c r="V852" s="340"/>
      <c r="W852" s="340"/>
      <c r="X852" s="340"/>
      <c r="Y852" s="340"/>
      <c r="Z852" s="340"/>
    </row>
    <row r="853" spans="1:26" ht="14.25" customHeight="1">
      <c r="A853" s="340"/>
      <c r="B853" s="340"/>
      <c r="C853" s="340"/>
      <c r="D853" s="340"/>
      <c r="E853" s="340"/>
      <c r="F853" s="340"/>
      <c r="G853" s="340"/>
      <c r="H853" s="340"/>
      <c r="I853" s="340"/>
      <c r="J853" s="340"/>
      <c r="K853" s="340"/>
      <c r="L853" s="340"/>
      <c r="M853" s="340"/>
      <c r="N853" s="340"/>
      <c r="O853" s="340"/>
      <c r="P853" s="340"/>
      <c r="Q853" s="340"/>
      <c r="R853" s="340"/>
      <c r="S853" s="340"/>
      <c r="T853" s="340"/>
      <c r="U853" s="340"/>
      <c r="V853" s="340"/>
      <c r="W853" s="340"/>
      <c r="X853" s="340"/>
      <c r="Y853" s="340"/>
      <c r="Z853" s="340"/>
    </row>
    <row r="854" spans="1:26" ht="14.25" customHeight="1">
      <c r="A854" s="340"/>
      <c r="B854" s="340"/>
      <c r="C854" s="340"/>
      <c r="D854" s="340"/>
      <c r="E854" s="340"/>
      <c r="F854" s="340"/>
      <c r="G854" s="340"/>
      <c r="H854" s="340"/>
      <c r="I854" s="340"/>
      <c r="J854" s="340"/>
      <c r="K854" s="340"/>
      <c r="L854" s="340"/>
      <c r="M854" s="340"/>
      <c r="N854" s="340"/>
      <c r="O854" s="340"/>
      <c r="P854" s="340"/>
      <c r="Q854" s="340"/>
      <c r="R854" s="340"/>
      <c r="S854" s="340"/>
      <c r="T854" s="340"/>
      <c r="U854" s="340"/>
      <c r="V854" s="340"/>
      <c r="W854" s="340"/>
      <c r="X854" s="340"/>
      <c r="Y854" s="340"/>
      <c r="Z854" s="340"/>
    </row>
    <row r="855" spans="1:26" ht="14.25" customHeight="1">
      <c r="A855" s="340"/>
      <c r="B855" s="340"/>
      <c r="C855" s="340"/>
      <c r="D855" s="340"/>
      <c r="E855" s="340"/>
      <c r="F855" s="340"/>
      <c r="G855" s="340"/>
      <c r="H855" s="340"/>
      <c r="I855" s="340"/>
      <c r="J855" s="340"/>
      <c r="K855" s="340"/>
      <c r="L855" s="340"/>
      <c r="M855" s="340"/>
      <c r="N855" s="340"/>
      <c r="O855" s="340"/>
      <c r="P855" s="340"/>
      <c r="Q855" s="340"/>
      <c r="R855" s="340"/>
      <c r="S855" s="340"/>
      <c r="T855" s="340"/>
      <c r="U855" s="340"/>
      <c r="V855" s="340"/>
      <c r="W855" s="340"/>
      <c r="X855" s="340"/>
      <c r="Y855" s="340"/>
      <c r="Z855" s="340"/>
    </row>
    <row r="856" spans="1:26" ht="14.25" customHeight="1">
      <c r="A856" s="340"/>
      <c r="B856" s="340"/>
      <c r="C856" s="340"/>
      <c r="D856" s="340"/>
      <c r="E856" s="340"/>
      <c r="F856" s="340"/>
      <c r="G856" s="340"/>
      <c r="H856" s="340"/>
      <c r="I856" s="340"/>
      <c r="J856" s="340"/>
      <c r="K856" s="340"/>
      <c r="L856" s="340"/>
      <c r="M856" s="340"/>
      <c r="N856" s="340"/>
      <c r="O856" s="340"/>
      <c r="P856" s="340"/>
      <c r="Q856" s="340"/>
      <c r="R856" s="340"/>
      <c r="S856" s="340"/>
      <c r="T856" s="340"/>
      <c r="U856" s="340"/>
      <c r="V856" s="340"/>
      <c r="W856" s="340"/>
      <c r="X856" s="340"/>
      <c r="Y856" s="340"/>
      <c r="Z856" s="340"/>
    </row>
    <row r="857" spans="1:26" ht="14.25" customHeight="1">
      <c r="A857" s="340"/>
      <c r="B857" s="340"/>
      <c r="C857" s="340"/>
      <c r="D857" s="340"/>
      <c r="E857" s="340"/>
      <c r="F857" s="340"/>
      <c r="G857" s="340"/>
      <c r="H857" s="340"/>
      <c r="I857" s="340"/>
      <c r="J857" s="340"/>
      <c r="K857" s="340"/>
      <c r="L857" s="340"/>
      <c r="M857" s="340"/>
      <c r="N857" s="340"/>
      <c r="O857" s="340"/>
      <c r="P857" s="340"/>
      <c r="Q857" s="340"/>
      <c r="R857" s="340"/>
      <c r="S857" s="340"/>
      <c r="T857" s="340"/>
      <c r="U857" s="340"/>
      <c r="V857" s="340"/>
      <c r="W857" s="340"/>
      <c r="X857" s="340"/>
      <c r="Y857" s="340"/>
      <c r="Z857" s="340"/>
    </row>
    <row r="858" spans="1:26" ht="14.25" customHeight="1">
      <c r="A858" s="340"/>
      <c r="B858" s="340"/>
      <c r="C858" s="340"/>
      <c r="D858" s="340"/>
      <c r="E858" s="340"/>
      <c r="F858" s="340"/>
      <c r="G858" s="340"/>
      <c r="H858" s="340"/>
      <c r="I858" s="340"/>
      <c r="J858" s="340"/>
      <c r="K858" s="340"/>
      <c r="L858" s="340"/>
      <c r="M858" s="340"/>
      <c r="N858" s="340"/>
      <c r="O858" s="340"/>
      <c r="P858" s="340"/>
      <c r="Q858" s="340"/>
      <c r="R858" s="340"/>
      <c r="S858" s="340"/>
      <c r="T858" s="340"/>
      <c r="U858" s="340"/>
      <c r="V858" s="340"/>
      <c r="W858" s="340"/>
      <c r="X858" s="340"/>
      <c r="Y858" s="340"/>
      <c r="Z858" s="340"/>
    </row>
    <row r="859" spans="1:26" ht="14.25" customHeight="1">
      <c r="A859" s="340"/>
      <c r="B859" s="340"/>
      <c r="C859" s="340"/>
      <c r="D859" s="340"/>
      <c r="E859" s="340"/>
      <c r="F859" s="340"/>
      <c r="G859" s="340"/>
      <c r="H859" s="340"/>
      <c r="I859" s="340"/>
      <c r="J859" s="340"/>
      <c r="K859" s="340"/>
      <c r="L859" s="340"/>
      <c r="M859" s="340"/>
      <c r="N859" s="340"/>
      <c r="O859" s="340"/>
      <c r="P859" s="340"/>
      <c r="Q859" s="340"/>
      <c r="R859" s="340"/>
      <c r="S859" s="340"/>
      <c r="T859" s="340"/>
      <c r="U859" s="340"/>
      <c r="V859" s="340"/>
      <c r="W859" s="340"/>
      <c r="X859" s="340"/>
      <c r="Y859" s="340"/>
      <c r="Z859" s="340"/>
    </row>
    <row r="860" spans="1:26" ht="14.25" customHeight="1">
      <c r="A860" s="340"/>
      <c r="B860" s="340"/>
      <c r="C860" s="340"/>
      <c r="D860" s="340"/>
      <c r="E860" s="340"/>
      <c r="F860" s="340"/>
      <c r="G860" s="340"/>
      <c r="H860" s="340"/>
      <c r="I860" s="340"/>
      <c r="J860" s="340"/>
      <c r="K860" s="340"/>
      <c r="L860" s="340"/>
      <c r="M860" s="340"/>
      <c r="N860" s="340"/>
      <c r="O860" s="340"/>
      <c r="P860" s="340"/>
      <c r="Q860" s="340"/>
      <c r="R860" s="340"/>
      <c r="S860" s="340"/>
      <c r="T860" s="340"/>
      <c r="U860" s="340"/>
      <c r="V860" s="340"/>
      <c r="W860" s="340"/>
      <c r="X860" s="340"/>
      <c r="Y860" s="340"/>
      <c r="Z860" s="340"/>
    </row>
    <row r="861" spans="1:26" ht="14.25" customHeight="1">
      <c r="A861" s="340"/>
      <c r="B861" s="340"/>
      <c r="C861" s="340"/>
      <c r="D861" s="340"/>
      <c r="E861" s="340"/>
      <c r="F861" s="340"/>
      <c r="G861" s="340"/>
      <c r="H861" s="340"/>
      <c r="I861" s="340"/>
      <c r="J861" s="340"/>
      <c r="K861" s="340"/>
      <c r="L861" s="340"/>
      <c r="M861" s="340"/>
      <c r="N861" s="340"/>
      <c r="O861" s="340"/>
      <c r="P861" s="340"/>
      <c r="Q861" s="340"/>
      <c r="R861" s="340"/>
      <c r="S861" s="340"/>
      <c r="T861" s="340"/>
      <c r="U861" s="340"/>
      <c r="V861" s="340"/>
      <c r="W861" s="340"/>
      <c r="X861" s="340"/>
      <c r="Y861" s="340"/>
      <c r="Z861" s="340"/>
    </row>
    <row r="862" spans="1:26" ht="14.25" customHeight="1">
      <c r="A862" s="340"/>
      <c r="B862" s="340"/>
      <c r="C862" s="340"/>
      <c r="D862" s="340"/>
      <c r="E862" s="340"/>
      <c r="F862" s="340"/>
      <c r="G862" s="340"/>
      <c r="H862" s="340"/>
      <c r="I862" s="340"/>
      <c r="J862" s="340"/>
      <c r="K862" s="340"/>
      <c r="L862" s="340"/>
      <c r="M862" s="340"/>
      <c r="N862" s="340"/>
      <c r="O862" s="340"/>
      <c r="P862" s="340"/>
      <c r="Q862" s="340"/>
      <c r="R862" s="340"/>
      <c r="S862" s="340"/>
      <c r="T862" s="340"/>
      <c r="U862" s="340"/>
      <c r="V862" s="340"/>
      <c r="W862" s="340"/>
      <c r="X862" s="340"/>
      <c r="Y862" s="340"/>
      <c r="Z862" s="340"/>
    </row>
    <row r="863" spans="1:26" ht="14.25" customHeight="1">
      <c r="A863" s="340"/>
      <c r="B863" s="340"/>
      <c r="C863" s="340"/>
      <c r="D863" s="340"/>
      <c r="E863" s="340"/>
      <c r="F863" s="340"/>
      <c r="G863" s="340"/>
      <c r="H863" s="340"/>
      <c r="I863" s="340"/>
      <c r="J863" s="340"/>
      <c r="K863" s="340"/>
      <c r="L863" s="340"/>
      <c r="M863" s="340"/>
      <c r="N863" s="340"/>
      <c r="O863" s="340"/>
      <c r="P863" s="340"/>
      <c r="Q863" s="340"/>
      <c r="R863" s="340"/>
      <c r="S863" s="340"/>
      <c r="T863" s="340"/>
      <c r="U863" s="340"/>
      <c r="V863" s="340"/>
      <c r="W863" s="340"/>
      <c r="X863" s="340"/>
      <c r="Y863" s="340"/>
      <c r="Z863" s="340"/>
    </row>
    <row r="864" spans="1:26" ht="14.25" customHeight="1">
      <c r="A864" s="340"/>
      <c r="B864" s="340"/>
      <c r="C864" s="340"/>
      <c r="D864" s="340"/>
      <c r="E864" s="340"/>
      <c r="F864" s="340"/>
      <c r="G864" s="340"/>
      <c r="H864" s="340"/>
      <c r="I864" s="340"/>
      <c r="J864" s="340"/>
      <c r="K864" s="340"/>
      <c r="L864" s="340"/>
      <c r="M864" s="340"/>
      <c r="N864" s="340"/>
      <c r="O864" s="340"/>
      <c r="P864" s="340"/>
      <c r="Q864" s="340"/>
      <c r="R864" s="340"/>
      <c r="S864" s="340"/>
      <c r="T864" s="340"/>
      <c r="U864" s="340"/>
      <c r="V864" s="340"/>
      <c r="W864" s="340"/>
      <c r="X864" s="340"/>
      <c r="Y864" s="340"/>
      <c r="Z864" s="340"/>
    </row>
    <row r="865" spans="1:26" ht="14.25" customHeight="1">
      <c r="A865" s="340"/>
      <c r="B865" s="340"/>
      <c r="C865" s="340"/>
      <c r="D865" s="340"/>
      <c r="E865" s="340"/>
      <c r="F865" s="340"/>
      <c r="G865" s="340"/>
      <c r="H865" s="340"/>
      <c r="I865" s="340"/>
      <c r="J865" s="340"/>
      <c r="K865" s="340"/>
      <c r="L865" s="340"/>
      <c r="M865" s="340"/>
      <c r="N865" s="340"/>
      <c r="O865" s="340"/>
      <c r="P865" s="340"/>
      <c r="Q865" s="340"/>
      <c r="R865" s="340"/>
      <c r="S865" s="340"/>
      <c r="T865" s="340"/>
      <c r="U865" s="340"/>
      <c r="V865" s="340"/>
      <c r="W865" s="340"/>
      <c r="X865" s="340"/>
      <c r="Y865" s="340"/>
      <c r="Z865" s="340"/>
    </row>
    <row r="866" spans="1:26" ht="14.25" customHeight="1">
      <c r="A866" s="340"/>
      <c r="B866" s="340"/>
      <c r="C866" s="340"/>
      <c r="D866" s="340"/>
      <c r="E866" s="340"/>
      <c r="F866" s="340"/>
      <c r="G866" s="340"/>
      <c r="H866" s="340"/>
      <c r="I866" s="340"/>
      <c r="J866" s="340"/>
      <c r="K866" s="340"/>
      <c r="L866" s="340"/>
      <c r="M866" s="340"/>
      <c r="N866" s="340"/>
      <c r="O866" s="340"/>
      <c r="P866" s="340"/>
      <c r="Q866" s="340"/>
      <c r="R866" s="340"/>
      <c r="S866" s="340"/>
      <c r="T866" s="340"/>
      <c r="U866" s="340"/>
      <c r="V866" s="340"/>
      <c r="W866" s="340"/>
      <c r="X866" s="340"/>
      <c r="Y866" s="340"/>
      <c r="Z866" s="340"/>
    </row>
    <row r="867" spans="1:26" ht="14.25" customHeight="1">
      <c r="A867" s="340"/>
      <c r="B867" s="340"/>
      <c r="C867" s="340"/>
      <c r="D867" s="340"/>
      <c r="E867" s="340"/>
      <c r="F867" s="340"/>
      <c r="G867" s="340"/>
      <c r="H867" s="340"/>
      <c r="I867" s="340"/>
      <c r="J867" s="340"/>
      <c r="K867" s="340"/>
      <c r="L867" s="340"/>
      <c r="M867" s="340"/>
      <c r="N867" s="340"/>
      <c r="O867" s="340"/>
      <c r="P867" s="340"/>
      <c r="Q867" s="340"/>
      <c r="R867" s="340"/>
      <c r="S867" s="340"/>
      <c r="T867" s="340"/>
      <c r="U867" s="340"/>
      <c r="V867" s="340"/>
      <c r="W867" s="340"/>
      <c r="X867" s="340"/>
      <c r="Y867" s="340"/>
      <c r="Z867" s="340"/>
    </row>
    <row r="868" spans="1:26" ht="14.25" customHeight="1">
      <c r="A868" s="340"/>
      <c r="B868" s="340"/>
      <c r="C868" s="340"/>
      <c r="D868" s="340"/>
      <c r="E868" s="340"/>
      <c r="F868" s="340"/>
      <c r="G868" s="340"/>
      <c r="H868" s="340"/>
      <c r="I868" s="340"/>
      <c r="J868" s="340"/>
      <c r="K868" s="340"/>
      <c r="L868" s="340"/>
      <c r="M868" s="340"/>
      <c r="N868" s="340"/>
      <c r="O868" s="340"/>
      <c r="P868" s="340"/>
      <c r="Q868" s="340"/>
      <c r="R868" s="340"/>
      <c r="S868" s="340"/>
      <c r="T868" s="340"/>
      <c r="U868" s="340"/>
      <c r="V868" s="340"/>
      <c r="W868" s="340"/>
      <c r="X868" s="340"/>
      <c r="Y868" s="340"/>
      <c r="Z868" s="340"/>
    </row>
    <row r="869" spans="1:26" ht="14.25" customHeight="1">
      <c r="A869" s="340"/>
      <c r="B869" s="340"/>
      <c r="C869" s="340"/>
      <c r="D869" s="340"/>
      <c r="E869" s="340"/>
      <c r="F869" s="340"/>
      <c r="G869" s="340"/>
      <c r="H869" s="340"/>
      <c r="I869" s="340"/>
      <c r="J869" s="340"/>
      <c r="K869" s="340"/>
      <c r="L869" s="340"/>
      <c r="M869" s="340"/>
      <c r="N869" s="340"/>
      <c r="O869" s="340"/>
      <c r="P869" s="340"/>
      <c r="Q869" s="340"/>
      <c r="R869" s="340"/>
      <c r="S869" s="340"/>
      <c r="T869" s="340"/>
      <c r="U869" s="340"/>
      <c r="V869" s="340"/>
      <c r="W869" s="340"/>
      <c r="X869" s="340"/>
      <c r="Y869" s="340"/>
      <c r="Z869" s="340"/>
    </row>
    <row r="870" spans="1:26" ht="14.25" customHeight="1">
      <c r="A870" s="340"/>
      <c r="B870" s="340"/>
      <c r="C870" s="340"/>
      <c r="D870" s="340"/>
      <c r="E870" s="340"/>
      <c r="F870" s="340"/>
      <c r="G870" s="340"/>
      <c r="H870" s="340"/>
      <c r="I870" s="340"/>
      <c r="J870" s="340"/>
      <c r="K870" s="340"/>
      <c r="L870" s="340"/>
      <c r="M870" s="340"/>
      <c r="N870" s="340"/>
      <c r="O870" s="340"/>
      <c r="P870" s="340"/>
      <c r="Q870" s="340"/>
      <c r="R870" s="340"/>
      <c r="S870" s="340"/>
      <c r="T870" s="340"/>
      <c r="U870" s="340"/>
      <c r="V870" s="340"/>
      <c r="W870" s="340"/>
      <c r="X870" s="340"/>
      <c r="Y870" s="340"/>
      <c r="Z870" s="340"/>
    </row>
    <row r="871" spans="1:26" ht="14.25" customHeight="1">
      <c r="A871" s="340"/>
      <c r="B871" s="340"/>
      <c r="C871" s="340"/>
      <c r="D871" s="340"/>
      <c r="E871" s="340"/>
      <c r="F871" s="340"/>
      <c r="G871" s="340"/>
      <c r="H871" s="340"/>
      <c r="I871" s="340"/>
      <c r="J871" s="340"/>
      <c r="K871" s="340"/>
      <c r="L871" s="340"/>
      <c r="M871" s="340"/>
      <c r="N871" s="340"/>
      <c r="O871" s="340"/>
      <c r="P871" s="340"/>
      <c r="Q871" s="340"/>
      <c r="R871" s="340"/>
      <c r="S871" s="340"/>
      <c r="T871" s="340"/>
      <c r="U871" s="340"/>
      <c r="V871" s="340"/>
      <c r="W871" s="340"/>
      <c r="X871" s="340"/>
      <c r="Y871" s="340"/>
      <c r="Z871" s="340"/>
    </row>
    <row r="872" spans="1:26" ht="14.25" customHeight="1">
      <c r="A872" s="340"/>
      <c r="B872" s="340"/>
      <c r="C872" s="340"/>
      <c r="D872" s="340"/>
      <c r="E872" s="340"/>
      <c r="F872" s="340"/>
      <c r="G872" s="340"/>
      <c r="H872" s="340"/>
      <c r="I872" s="340"/>
      <c r="J872" s="340"/>
      <c r="K872" s="340"/>
      <c r="L872" s="340"/>
      <c r="M872" s="340"/>
      <c r="N872" s="340"/>
      <c r="O872" s="340"/>
      <c r="P872" s="340"/>
      <c r="Q872" s="340"/>
      <c r="R872" s="340"/>
      <c r="S872" s="340"/>
      <c r="T872" s="340"/>
      <c r="U872" s="340"/>
      <c r="V872" s="340"/>
      <c r="W872" s="340"/>
      <c r="X872" s="340"/>
      <c r="Y872" s="340"/>
      <c r="Z872" s="340"/>
    </row>
    <row r="873" spans="1:26" ht="14.25" customHeight="1">
      <c r="A873" s="340"/>
      <c r="B873" s="340"/>
      <c r="C873" s="340"/>
      <c r="D873" s="340"/>
      <c r="E873" s="340"/>
      <c r="F873" s="340"/>
      <c r="G873" s="340"/>
      <c r="H873" s="340"/>
      <c r="I873" s="340"/>
      <c r="J873" s="340"/>
      <c r="K873" s="340"/>
      <c r="L873" s="340"/>
      <c r="M873" s="340"/>
      <c r="N873" s="340"/>
      <c r="O873" s="340"/>
      <c r="P873" s="340"/>
      <c r="Q873" s="340"/>
      <c r="R873" s="340"/>
      <c r="S873" s="340"/>
      <c r="T873" s="340"/>
      <c r="U873" s="340"/>
      <c r="V873" s="340"/>
      <c r="W873" s="340"/>
      <c r="X873" s="340"/>
      <c r="Y873" s="340"/>
      <c r="Z873" s="340"/>
    </row>
    <row r="874" spans="1:26" ht="14.25" customHeight="1">
      <c r="A874" s="340"/>
      <c r="B874" s="340"/>
      <c r="C874" s="340"/>
      <c r="D874" s="340"/>
      <c r="E874" s="340"/>
      <c r="F874" s="340"/>
      <c r="G874" s="340"/>
      <c r="H874" s="340"/>
      <c r="I874" s="340"/>
      <c r="J874" s="340"/>
      <c r="K874" s="340"/>
      <c r="L874" s="340"/>
      <c r="M874" s="340"/>
      <c r="N874" s="340"/>
      <c r="O874" s="340"/>
      <c r="P874" s="340"/>
      <c r="Q874" s="340"/>
      <c r="R874" s="340"/>
      <c r="S874" s="340"/>
      <c r="T874" s="340"/>
      <c r="U874" s="340"/>
      <c r="V874" s="340"/>
      <c r="W874" s="340"/>
      <c r="X874" s="340"/>
      <c r="Y874" s="340"/>
      <c r="Z874" s="340"/>
    </row>
    <row r="875" spans="1:26" ht="14.25" customHeight="1">
      <c r="A875" s="340"/>
      <c r="B875" s="340"/>
      <c r="C875" s="340"/>
      <c r="D875" s="340"/>
      <c r="E875" s="340"/>
      <c r="F875" s="340"/>
      <c r="G875" s="340"/>
      <c r="H875" s="340"/>
      <c r="I875" s="340"/>
      <c r="J875" s="340"/>
      <c r="K875" s="340"/>
      <c r="L875" s="340"/>
      <c r="M875" s="340"/>
      <c r="N875" s="340"/>
      <c r="O875" s="340"/>
      <c r="P875" s="340"/>
      <c r="Q875" s="340"/>
      <c r="R875" s="340"/>
      <c r="S875" s="340"/>
      <c r="T875" s="340"/>
      <c r="U875" s="340"/>
      <c r="V875" s="340"/>
      <c r="W875" s="340"/>
      <c r="X875" s="340"/>
      <c r="Y875" s="340"/>
      <c r="Z875" s="340"/>
    </row>
    <row r="876" spans="1:26" ht="14.25" customHeight="1">
      <c r="A876" s="340"/>
      <c r="B876" s="340"/>
      <c r="C876" s="340"/>
      <c r="D876" s="340"/>
      <c r="E876" s="340"/>
      <c r="F876" s="340"/>
      <c r="G876" s="340"/>
      <c r="H876" s="340"/>
      <c r="I876" s="340"/>
      <c r="J876" s="340"/>
      <c r="K876" s="340"/>
      <c r="L876" s="340"/>
      <c r="M876" s="340"/>
      <c r="N876" s="340"/>
      <c r="O876" s="340"/>
      <c r="P876" s="340"/>
      <c r="Q876" s="340"/>
      <c r="R876" s="340"/>
      <c r="S876" s="340"/>
      <c r="T876" s="340"/>
      <c r="U876" s="340"/>
      <c r="V876" s="340"/>
      <c r="W876" s="340"/>
      <c r="X876" s="340"/>
      <c r="Y876" s="340"/>
      <c r="Z876" s="340"/>
    </row>
    <row r="877" spans="1:26" ht="14.25" customHeight="1">
      <c r="A877" s="340"/>
      <c r="B877" s="340"/>
      <c r="C877" s="340"/>
      <c r="D877" s="340"/>
      <c r="E877" s="340"/>
      <c r="F877" s="340"/>
      <c r="G877" s="340"/>
      <c r="H877" s="340"/>
      <c r="I877" s="340"/>
      <c r="J877" s="340"/>
      <c r="K877" s="340"/>
      <c r="L877" s="340"/>
      <c r="M877" s="340"/>
      <c r="N877" s="340"/>
      <c r="O877" s="340"/>
      <c r="P877" s="340"/>
      <c r="Q877" s="340"/>
      <c r="R877" s="340"/>
      <c r="S877" s="340"/>
      <c r="T877" s="340"/>
      <c r="U877" s="340"/>
      <c r="V877" s="340"/>
      <c r="W877" s="340"/>
      <c r="X877" s="340"/>
      <c r="Y877" s="340"/>
      <c r="Z877" s="340"/>
    </row>
    <row r="878" spans="1:26" ht="14.25" customHeight="1">
      <c r="A878" s="340"/>
      <c r="B878" s="340"/>
      <c r="C878" s="340"/>
      <c r="D878" s="340"/>
      <c r="E878" s="340"/>
      <c r="F878" s="340"/>
      <c r="G878" s="340"/>
      <c r="H878" s="340"/>
      <c r="I878" s="340"/>
      <c r="J878" s="340"/>
      <c r="K878" s="340"/>
      <c r="L878" s="340"/>
      <c r="M878" s="340"/>
      <c r="N878" s="340"/>
      <c r="O878" s="340"/>
      <c r="P878" s="340"/>
      <c r="Q878" s="340"/>
      <c r="R878" s="340"/>
      <c r="S878" s="340"/>
      <c r="T878" s="340"/>
      <c r="U878" s="340"/>
      <c r="V878" s="340"/>
      <c r="W878" s="340"/>
      <c r="X878" s="340"/>
      <c r="Y878" s="340"/>
      <c r="Z878" s="340"/>
    </row>
    <row r="879" spans="1:26" ht="14.25" customHeight="1">
      <c r="A879" s="340"/>
      <c r="B879" s="340"/>
      <c r="C879" s="340"/>
      <c r="D879" s="340"/>
      <c r="E879" s="340"/>
      <c r="F879" s="340"/>
      <c r="G879" s="340"/>
      <c r="H879" s="340"/>
      <c r="I879" s="340"/>
      <c r="J879" s="340"/>
      <c r="K879" s="340"/>
      <c r="L879" s="340"/>
      <c r="M879" s="340"/>
      <c r="N879" s="340"/>
      <c r="O879" s="340"/>
      <c r="P879" s="340"/>
      <c r="Q879" s="340"/>
      <c r="R879" s="340"/>
      <c r="S879" s="340"/>
      <c r="T879" s="340"/>
      <c r="U879" s="340"/>
      <c r="V879" s="340"/>
      <c r="W879" s="340"/>
      <c r="X879" s="340"/>
      <c r="Y879" s="340"/>
      <c r="Z879" s="340"/>
    </row>
    <row r="880" spans="1:26" ht="14.25" customHeight="1">
      <c r="A880" s="340"/>
      <c r="B880" s="340"/>
      <c r="C880" s="340"/>
      <c r="D880" s="340"/>
      <c r="E880" s="340"/>
      <c r="F880" s="340"/>
      <c r="G880" s="340"/>
      <c r="H880" s="340"/>
      <c r="I880" s="340"/>
      <c r="J880" s="340"/>
      <c r="K880" s="340"/>
      <c r="L880" s="340"/>
      <c r="M880" s="340"/>
      <c r="N880" s="340"/>
      <c r="O880" s="340"/>
      <c r="P880" s="340"/>
      <c r="Q880" s="340"/>
      <c r="R880" s="340"/>
      <c r="S880" s="340"/>
      <c r="T880" s="340"/>
      <c r="U880" s="340"/>
      <c r="V880" s="340"/>
      <c r="W880" s="340"/>
      <c r="X880" s="340"/>
      <c r="Y880" s="340"/>
      <c r="Z880" s="340"/>
    </row>
    <row r="881" spans="1:26" ht="14.25" customHeight="1">
      <c r="A881" s="340"/>
      <c r="B881" s="340"/>
      <c r="C881" s="340"/>
      <c r="D881" s="340"/>
      <c r="E881" s="340"/>
      <c r="F881" s="340"/>
      <c r="G881" s="340"/>
      <c r="H881" s="340"/>
      <c r="I881" s="340"/>
      <c r="J881" s="340"/>
      <c r="K881" s="340"/>
      <c r="L881" s="340"/>
      <c r="M881" s="340"/>
      <c r="N881" s="340"/>
      <c r="O881" s="340"/>
      <c r="P881" s="340"/>
      <c r="Q881" s="340"/>
      <c r="R881" s="340"/>
      <c r="S881" s="340"/>
      <c r="T881" s="340"/>
      <c r="U881" s="340"/>
      <c r="V881" s="340"/>
      <c r="W881" s="340"/>
      <c r="X881" s="340"/>
      <c r="Y881" s="340"/>
      <c r="Z881" s="340"/>
    </row>
    <row r="882" spans="1:26" ht="14.25" customHeight="1">
      <c r="A882" s="340"/>
      <c r="B882" s="340"/>
      <c r="C882" s="340"/>
      <c r="D882" s="340"/>
      <c r="E882" s="340"/>
      <c r="F882" s="340"/>
      <c r="G882" s="340"/>
      <c r="H882" s="340"/>
      <c r="I882" s="340"/>
      <c r="J882" s="340"/>
      <c r="K882" s="340"/>
      <c r="L882" s="340"/>
      <c r="M882" s="340"/>
      <c r="N882" s="340"/>
      <c r="O882" s="340"/>
      <c r="P882" s="340"/>
      <c r="Q882" s="340"/>
      <c r="R882" s="340"/>
      <c r="S882" s="340"/>
      <c r="T882" s="340"/>
      <c r="U882" s="340"/>
      <c r="V882" s="340"/>
      <c r="W882" s="340"/>
      <c r="X882" s="340"/>
      <c r="Y882" s="340"/>
      <c r="Z882" s="340"/>
    </row>
    <row r="883" spans="1:26" ht="14.25" customHeight="1">
      <c r="A883" s="340"/>
      <c r="B883" s="340"/>
      <c r="C883" s="340"/>
      <c r="D883" s="340"/>
      <c r="E883" s="340"/>
      <c r="F883" s="340"/>
      <c r="G883" s="340"/>
      <c r="H883" s="340"/>
      <c r="I883" s="340"/>
      <c r="J883" s="340"/>
      <c r="K883" s="340"/>
      <c r="L883" s="340"/>
      <c r="M883" s="340"/>
      <c r="N883" s="340"/>
      <c r="O883" s="340"/>
      <c r="P883" s="340"/>
      <c r="Q883" s="340"/>
      <c r="R883" s="340"/>
      <c r="S883" s="340"/>
      <c r="T883" s="340"/>
      <c r="U883" s="340"/>
      <c r="V883" s="340"/>
      <c r="W883" s="340"/>
      <c r="X883" s="340"/>
      <c r="Y883" s="340"/>
      <c r="Z883" s="340"/>
    </row>
    <row r="884" spans="1:26" ht="14.25" customHeight="1">
      <c r="A884" s="340"/>
      <c r="B884" s="340"/>
      <c r="C884" s="340"/>
      <c r="D884" s="340"/>
      <c r="E884" s="340"/>
      <c r="F884" s="340"/>
      <c r="G884" s="340"/>
      <c r="H884" s="340"/>
      <c r="I884" s="340"/>
      <c r="J884" s="340"/>
      <c r="K884" s="340"/>
      <c r="L884" s="340"/>
      <c r="M884" s="340"/>
      <c r="N884" s="340"/>
      <c r="O884" s="340"/>
      <c r="P884" s="340"/>
      <c r="Q884" s="340"/>
      <c r="R884" s="340"/>
      <c r="S884" s="340"/>
      <c r="T884" s="340"/>
      <c r="U884" s="340"/>
      <c r="V884" s="340"/>
      <c r="W884" s="340"/>
      <c r="X884" s="340"/>
      <c r="Y884" s="340"/>
      <c r="Z884" s="340"/>
    </row>
    <row r="885" spans="1:26" ht="14.25" customHeight="1">
      <c r="A885" s="340"/>
      <c r="B885" s="340"/>
      <c r="C885" s="340"/>
      <c r="D885" s="340"/>
      <c r="E885" s="340"/>
      <c r="F885" s="340"/>
      <c r="G885" s="340"/>
      <c r="H885" s="340"/>
      <c r="I885" s="340"/>
      <c r="J885" s="340"/>
      <c r="K885" s="340"/>
      <c r="L885" s="340"/>
      <c r="M885" s="340"/>
      <c r="N885" s="340"/>
      <c r="O885" s="340"/>
      <c r="P885" s="340"/>
      <c r="Q885" s="340"/>
      <c r="R885" s="340"/>
      <c r="S885" s="340"/>
      <c r="T885" s="340"/>
      <c r="U885" s="340"/>
      <c r="V885" s="340"/>
      <c r="W885" s="340"/>
      <c r="X885" s="340"/>
      <c r="Y885" s="340"/>
      <c r="Z885" s="340"/>
    </row>
    <row r="886" spans="1:26" ht="14.25" customHeight="1">
      <c r="A886" s="340"/>
      <c r="B886" s="340"/>
      <c r="C886" s="340"/>
      <c r="D886" s="340"/>
      <c r="E886" s="340"/>
      <c r="F886" s="340"/>
      <c r="G886" s="340"/>
      <c r="H886" s="340"/>
      <c r="I886" s="340"/>
      <c r="J886" s="340"/>
      <c r="K886" s="340"/>
      <c r="L886" s="340"/>
      <c r="M886" s="340"/>
      <c r="N886" s="340"/>
      <c r="O886" s="340"/>
      <c r="P886" s="340"/>
      <c r="Q886" s="340"/>
      <c r="R886" s="340"/>
      <c r="S886" s="340"/>
      <c r="T886" s="340"/>
      <c r="U886" s="340"/>
      <c r="V886" s="340"/>
      <c r="W886" s="340"/>
      <c r="X886" s="340"/>
      <c r="Y886" s="340"/>
      <c r="Z886" s="340"/>
    </row>
    <row r="887" spans="1:26" ht="14.25" customHeight="1">
      <c r="A887" s="340"/>
      <c r="B887" s="340"/>
      <c r="C887" s="340"/>
      <c r="D887" s="340"/>
      <c r="E887" s="340"/>
      <c r="F887" s="340"/>
      <c r="G887" s="340"/>
      <c r="H887" s="340"/>
      <c r="I887" s="340"/>
      <c r="J887" s="340"/>
      <c r="K887" s="340"/>
      <c r="L887" s="340"/>
      <c r="M887" s="340"/>
      <c r="N887" s="340"/>
      <c r="O887" s="340"/>
      <c r="P887" s="340"/>
      <c r="Q887" s="340"/>
      <c r="R887" s="340"/>
      <c r="S887" s="340"/>
      <c r="T887" s="340"/>
      <c r="U887" s="340"/>
      <c r="V887" s="340"/>
      <c r="W887" s="340"/>
      <c r="X887" s="340"/>
      <c r="Y887" s="340"/>
      <c r="Z887" s="340"/>
    </row>
    <row r="888" spans="1:26" ht="14.25" customHeight="1">
      <c r="A888" s="340"/>
      <c r="B888" s="340"/>
      <c r="C888" s="340"/>
      <c r="D888" s="340"/>
      <c r="E888" s="340"/>
      <c r="F888" s="340"/>
      <c r="G888" s="340"/>
      <c r="H888" s="340"/>
      <c r="I888" s="340"/>
      <c r="J888" s="340"/>
      <c r="K888" s="340"/>
      <c r="L888" s="340"/>
      <c r="M888" s="340"/>
      <c r="N888" s="340"/>
      <c r="O888" s="340"/>
      <c r="P888" s="340"/>
      <c r="Q888" s="340"/>
      <c r="R888" s="340"/>
      <c r="S888" s="340"/>
      <c r="T888" s="340"/>
      <c r="U888" s="340"/>
      <c r="V888" s="340"/>
      <c r="W888" s="340"/>
      <c r="X888" s="340"/>
      <c r="Y888" s="340"/>
      <c r="Z888" s="340"/>
    </row>
    <row r="889" spans="1:26" ht="14.25" customHeight="1">
      <c r="A889" s="340"/>
      <c r="B889" s="340"/>
      <c r="C889" s="340"/>
      <c r="D889" s="340"/>
      <c r="E889" s="340"/>
      <c r="F889" s="340"/>
      <c r="G889" s="340"/>
      <c r="H889" s="340"/>
      <c r="I889" s="340"/>
      <c r="J889" s="340"/>
      <c r="K889" s="340"/>
      <c r="L889" s="340"/>
      <c r="M889" s="340"/>
      <c r="N889" s="340"/>
      <c r="O889" s="340"/>
      <c r="P889" s="340"/>
      <c r="Q889" s="340"/>
      <c r="R889" s="340"/>
      <c r="S889" s="340"/>
      <c r="T889" s="340"/>
      <c r="U889" s="340"/>
      <c r="V889" s="340"/>
      <c r="W889" s="340"/>
      <c r="X889" s="340"/>
      <c r="Y889" s="340"/>
      <c r="Z889" s="340"/>
    </row>
    <row r="890" spans="1:26" ht="14.25" customHeight="1">
      <c r="A890" s="340"/>
      <c r="B890" s="340"/>
      <c r="C890" s="340"/>
      <c r="D890" s="340"/>
      <c r="E890" s="340"/>
      <c r="F890" s="340"/>
      <c r="G890" s="340"/>
      <c r="H890" s="340"/>
      <c r="I890" s="340"/>
      <c r="J890" s="340"/>
      <c r="K890" s="340"/>
      <c r="L890" s="340"/>
      <c r="M890" s="340"/>
      <c r="N890" s="340"/>
      <c r="O890" s="340"/>
      <c r="P890" s="340"/>
      <c r="Q890" s="340"/>
      <c r="R890" s="340"/>
      <c r="S890" s="340"/>
      <c r="T890" s="340"/>
      <c r="U890" s="340"/>
      <c r="V890" s="340"/>
      <c r="W890" s="340"/>
      <c r="X890" s="340"/>
      <c r="Y890" s="340"/>
      <c r="Z890" s="340"/>
    </row>
    <row r="891" spans="1:26" ht="14.25" customHeight="1">
      <c r="A891" s="340"/>
      <c r="B891" s="340"/>
      <c r="C891" s="340"/>
      <c r="D891" s="340"/>
      <c r="E891" s="340"/>
      <c r="F891" s="340"/>
      <c r="G891" s="340"/>
      <c r="H891" s="340"/>
      <c r="I891" s="340"/>
      <c r="J891" s="340"/>
      <c r="K891" s="340"/>
      <c r="L891" s="340"/>
      <c r="M891" s="340"/>
      <c r="N891" s="340"/>
      <c r="O891" s="340"/>
      <c r="P891" s="340"/>
      <c r="Q891" s="340"/>
      <c r="R891" s="340"/>
      <c r="S891" s="340"/>
      <c r="T891" s="340"/>
      <c r="U891" s="340"/>
      <c r="V891" s="340"/>
      <c r="W891" s="340"/>
      <c r="X891" s="340"/>
      <c r="Y891" s="340"/>
      <c r="Z891" s="340"/>
    </row>
    <row r="892" spans="1:26" ht="14.25" customHeight="1">
      <c r="A892" s="340"/>
      <c r="B892" s="340"/>
      <c r="C892" s="340"/>
      <c r="D892" s="340"/>
      <c r="E892" s="340"/>
      <c r="F892" s="340"/>
      <c r="G892" s="340"/>
      <c r="H892" s="340"/>
      <c r="I892" s="340"/>
      <c r="J892" s="340"/>
      <c r="K892" s="340"/>
      <c r="L892" s="340"/>
      <c r="M892" s="340"/>
      <c r="N892" s="340"/>
      <c r="O892" s="340"/>
      <c r="P892" s="340"/>
      <c r="Q892" s="340"/>
      <c r="R892" s="340"/>
      <c r="S892" s="340"/>
      <c r="T892" s="340"/>
      <c r="U892" s="340"/>
      <c r="V892" s="340"/>
      <c r="W892" s="340"/>
      <c r="X892" s="340"/>
      <c r="Y892" s="340"/>
      <c r="Z892" s="340"/>
    </row>
    <row r="893" spans="1:26" ht="14.25" customHeight="1">
      <c r="A893" s="340"/>
      <c r="B893" s="340"/>
      <c r="C893" s="340"/>
      <c r="D893" s="340"/>
      <c r="E893" s="340"/>
      <c r="F893" s="340"/>
      <c r="G893" s="340"/>
      <c r="H893" s="340"/>
      <c r="I893" s="340"/>
      <c r="J893" s="340"/>
      <c r="K893" s="340"/>
      <c r="L893" s="340"/>
      <c r="M893" s="340"/>
      <c r="N893" s="340"/>
      <c r="O893" s="340"/>
      <c r="P893" s="340"/>
      <c r="Q893" s="340"/>
      <c r="R893" s="340"/>
      <c r="S893" s="340"/>
      <c r="T893" s="340"/>
      <c r="U893" s="340"/>
      <c r="V893" s="340"/>
      <c r="W893" s="340"/>
      <c r="X893" s="340"/>
      <c r="Y893" s="340"/>
      <c r="Z893" s="340"/>
    </row>
    <row r="894" spans="1:26" ht="14.25" customHeight="1">
      <c r="A894" s="340"/>
      <c r="B894" s="340"/>
      <c r="C894" s="340"/>
      <c r="D894" s="340"/>
      <c r="E894" s="340"/>
      <c r="F894" s="340"/>
      <c r="G894" s="340"/>
      <c r="H894" s="340"/>
      <c r="I894" s="340"/>
      <c r="J894" s="340"/>
      <c r="K894" s="340"/>
      <c r="L894" s="340"/>
      <c r="M894" s="340"/>
      <c r="N894" s="340"/>
      <c r="O894" s="340"/>
      <c r="P894" s="340"/>
      <c r="Q894" s="340"/>
      <c r="R894" s="340"/>
      <c r="S894" s="340"/>
      <c r="T894" s="340"/>
      <c r="U894" s="340"/>
      <c r="V894" s="340"/>
      <c r="W894" s="340"/>
      <c r="X894" s="340"/>
      <c r="Y894" s="340"/>
      <c r="Z894" s="340"/>
    </row>
    <row r="895" spans="1:26" ht="14.25" customHeight="1">
      <c r="A895" s="340"/>
      <c r="B895" s="340"/>
      <c r="C895" s="340"/>
      <c r="D895" s="340"/>
      <c r="E895" s="340"/>
      <c r="F895" s="340"/>
      <c r="G895" s="340"/>
      <c r="H895" s="340"/>
      <c r="I895" s="340"/>
      <c r="J895" s="340"/>
      <c r="K895" s="340"/>
      <c r="L895" s="340"/>
      <c r="M895" s="340"/>
      <c r="N895" s="340"/>
      <c r="O895" s="340"/>
      <c r="P895" s="340"/>
      <c r="Q895" s="340"/>
      <c r="R895" s="340"/>
      <c r="S895" s="340"/>
      <c r="T895" s="340"/>
      <c r="U895" s="340"/>
      <c r="V895" s="340"/>
      <c r="W895" s="340"/>
      <c r="X895" s="340"/>
      <c r="Y895" s="340"/>
      <c r="Z895" s="340"/>
    </row>
    <row r="896" spans="1:26" ht="14.25" customHeight="1">
      <c r="A896" s="340"/>
      <c r="B896" s="340"/>
      <c r="C896" s="340"/>
      <c r="D896" s="340"/>
      <c r="E896" s="340"/>
      <c r="F896" s="340"/>
      <c r="G896" s="340"/>
      <c r="H896" s="340"/>
      <c r="I896" s="340"/>
      <c r="J896" s="340"/>
      <c r="K896" s="340"/>
      <c r="L896" s="340"/>
      <c r="M896" s="340"/>
      <c r="N896" s="340"/>
      <c r="O896" s="340"/>
      <c r="P896" s="340"/>
      <c r="Q896" s="340"/>
      <c r="R896" s="340"/>
      <c r="S896" s="340"/>
      <c r="T896" s="340"/>
      <c r="U896" s="340"/>
      <c r="V896" s="340"/>
      <c r="W896" s="340"/>
      <c r="X896" s="340"/>
      <c r="Y896" s="340"/>
      <c r="Z896" s="340"/>
    </row>
    <row r="897" spans="1:26" ht="14.25" customHeight="1">
      <c r="A897" s="340"/>
      <c r="B897" s="340"/>
      <c r="C897" s="340"/>
      <c r="D897" s="340"/>
      <c r="E897" s="340"/>
      <c r="F897" s="340"/>
      <c r="G897" s="340"/>
      <c r="H897" s="340"/>
      <c r="I897" s="340"/>
      <c r="J897" s="340"/>
      <c r="K897" s="340"/>
      <c r="L897" s="340"/>
      <c r="M897" s="340"/>
      <c r="N897" s="340"/>
      <c r="O897" s="340"/>
      <c r="P897" s="340"/>
      <c r="Q897" s="340"/>
      <c r="R897" s="340"/>
      <c r="S897" s="340"/>
      <c r="T897" s="340"/>
      <c r="U897" s="340"/>
      <c r="V897" s="340"/>
      <c r="W897" s="340"/>
      <c r="X897" s="340"/>
      <c r="Y897" s="340"/>
      <c r="Z897" s="340"/>
    </row>
    <row r="898" spans="1:26" ht="14.25" customHeight="1">
      <c r="A898" s="340"/>
      <c r="B898" s="340"/>
      <c r="C898" s="340"/>
      <c r="D898" s="340"/>
      <c r="E898" s="340"/>
      <c r="F898" s="340"/>
      <c r="G898" s="340"/>
      <c r="H898" s="340"/>
      <c r="I898" s="340"/>
      <c r="J898" s="340"/>
      <c r="K898" s="340"/>
      <c r="L898" s="340"/>
      <c r="M898" s="340"/>
      <c r="N898" s="340"/>
      <c r="O898" s="340"/>
      <c r="P898" s="340"/>
      <c r="Q898" s="340"/>
      <c r="R898" s="340"/>
      <c r="S898" s="340"/>
      <c r="T898" s="340"/>
      <c r="U898" s="340"/>
      <c r="V898" s="340"/>
      <c r="W898" s="340"/>
      <c r="X898" s="340"/>
      <c r="Y898" s="340"/>
      <c r="Z898" s="340"/>
    </row>
    <row r="899" spans="1:26" ht="14.25" customHeight="1">
      <c r="A899" s="340"/>
      <c r="B899" s="340"/>
      <c r="C899" s="340"/>
      <c r="D899" s="340"/>
      <c r="E899" s="340"/>
      <c r="F899" s="340"/>
      <c r="G899" s="340"/>
      <c r="H899" s="340"/>
      <c r="I899" s="340"/>
      <c r="J899" s="340"/>
      <c r="K899" s="340"/>
      <c r="L899" s="340"/>
      <c r="M899" s="340"/>
      <c r="N899" s="340"/>
      <c r="O899" s="340"/>
      <c r="P899" s="340"/>
      <c r="Q899" s="340"/>
      <c r="R899" s="340"/>
      <c r="S899" s="340"/>
      <c r="T899" s="340"/>
      <c r="U899" s="340"/>
      <c r="V899" s="340"/>
      <c r="W899" s="340"/>
      <c r="X899" s="340"/>
      <c r="Y899" s="340"/>
      <c r="Z899" s="340"/>
    </row>
    <row r="900" spans="1:26" ht="14.25" customHeight="1">
      <c r="A900" s="340"/>
      <c r="B900" s="340"/>
      <c r="C900" s="340"/>
      <c r="D900" s="340"/>
      <c r="E900" s="340"/>
      <c r="F900" s="340"/>
      <c r="G900" s="340"/>
      <c r="H900" s="340"/>
      <c r="I900" s="340"/>
      <c r="J900" s="340"/>
      <c r="K900" s="340"/>
      <c r="L900" s="340"/>
      <c r="M900" s="340"/>
      <c r="N900" s="340"/>
      <c r="O900" s="340"/>
      <c r="P900" s="340"/>
      <c r="Q900" s="340"/>
      <c r="R900" s="340"/>
      <c r="S900" s="340"/>
      <c r="T900" s="340"/>
      <c r="U900" s="340"/>
      <c r="V900" s="340"/>
      <c r="W900" s="340"/>
      <c r="X900" s="340"/>
      <c r="Y900" s="340"/>
      <c r="Z900" s="340"/>
    </row>
    <row r="901" spans="1:26" ht="14.25" customHeight="1">
      <c r="A901" s="340"/>
      <c r="B901" s="340"/>
      <c r="C901" s="340"/>
      <c r="D901" s="340"/>
      <c r="E901" s="340"/>
      <c r="F901" s="340"/>
      <c r="G901" s="340"/>
      <c r="H901" s="340"/>
      <c r="I901" s="340"/>
      <c r="J901" s="340"/>
      <c r="K901" s="340"/>
      <c r="L901" s="340"/>
      <c r="M901" s="340"/>
      <c r="N901" s="340"/>
      <c r="O901" s="340"/>
      <c r="P901" s="340"/>
      <c r="Q901" s="340"/>
      <c r="R901" s="340"/>
      <c r="S901" s="340"/>
      <c r="T901" s="340"/>
      <c r="U901" s="340"/>
      <c r="V901" s="340"/>
      <c r="W901" s="340"/>
      <c r="X901" s="340"/>
      <c r="Y901" s="340"/>
      <c r="Z901" s="340"/>
    </row>
    <row r="902" spans="1:26" ht="14.25" customHeight="1">
      <c r="A902" s="340"/>
      <c r="B902" s="340"/>
      <c r="C902" s="340"/>
      <c r="D902" s="340"/>
      <c r="E902" s="340"/>
      <c r="F902" s="340"/>
      <c r="G902" s="340"/>
      <c r="H902" s="340"/>
      <c r="I902" s="340"/>
      <c r="J902" s="340"/>
      <c r="K902" s="340"/>
      <c r="L902" s="340"/>
      <c r="M902" s="340"/>
      <c r="N902" s="340"/>
      <c r="O902" s="340"/>
      <c r="P902" s="340"/>
      <c r="Q902" s="340"/>
      <c r="R902" s="340"/>
      <c r="S902" s="340"/>
      <c r="T902" s="340"/>
      <c r="U902" s="340"/>
      <c r="V902" s="340"/>
      <c r="W902" s="340"/>
      <c r="X902" s="340"/>
      <c r="Y902" s="340"/>
      <c r="Z902" s="340"/>
    </row>
    <row r="903" spans="1:26" ht="14.25" customHeight="1">
      <c r="A903" s="340"/>
      <c r="B903" s="340"/>
      <c r="C903" s="340"/>
      <c r="D903" s="340"/>
      <c r="E903" s="340"/>
      <c r="F903" s="340"/>
      <c r="G903" s="340"/>
      <c r="H903" s="340"/>
      <c r="I903" s="340"/>
      <c r="J903" s="340"/>
      <c r="K903" s="340"/>
      <c r="L903" s="340"/>
      <c r="M903" s="340"/>
      <c r="N903" s="340"/>
      <c r="O903" s="340"/>
      <c r="P903" s="340"/>
      <c r="Q903" s="340"/>
      <c r="R903" s="340"/>
      <c r="S903" s="340"/>
      <c r="T903" s="340"/>
      <c r="U903" s="340"/>
      <c r="V903" s="340"/>
      <c r="W903" s="340"/>
      <c r="X903" s="340"/>
      <c r="Y903" s="340"/>
      <c r="Z903" s="340"/>
    </row>
    <row r="904" spans="1:26" ht="14.25" customHeight="1">
      <c r="A904" s="340"/>
      <c r="B904" s="340"/>
      <c r="C904" s="340"/>
      <c r="D904" s="340"/>
      <c r="E904" s="340"/>
      <c r="F904" s="340"/>
      <c r="G904" s="340"/>
      <c r="H904" s="340"/>
      <c r="I904" s="340"/>
      <c r="J904" s="340"/>
      <c r="K904" s="340"/>
      <c r="L904" s="340"/>
      <c r="M904" s="340"/>
      <c r="N904" s="340"/>
      <c r="O904" s="340"/>
      <c r="P904" s="340"/>
      <c r="Q904" s="340"/>
      <c r="R904" s="340"/>
      <c r="S904" s="340"/>
      <c r="T904" s="340"/>
      <c r="U904" s="340"/>
      <c r="V904" s="340"/>
      <c r="W904" s="340"/>
      <c r="X904" s="340"/>
      <c r="Y904" s="340"/>
      <c r="Z904" s="340"/>
    </row>
    <row r="905" spans="1:26" ht="14.25" customHeight="1">
      <c r="A905" s="340"/>
      <c r="B905" s="340"/>
      <c r="C905" s="340"/>
      <c r="D905" s="340"/>
      <c r="E905" s="340"/>
      <c r="F905" s="340"/>
      <c r="G905" s="340"/>
      <c r="H905" s="340"/>
      <c r="I905" s="340"/>
      <c r="J905" s="340"/>
      <c r="K905" s="340"/>
      <c r="L905" s="340"/>
      <c r="M905" s="340"/>
      <c r="N905" s="340"/>
      <c r="O905" s="340"/>
      <c r="P905" s="340"/>
      <c r="Q905" s="340"/>
      <c r="R905" s="340"/>
      <c r="S905" s="340"/>
      <c r="T905" s="340"/>
      <c r="U905" s="340"/>
      <c r="V905" s="340"/>
      <c r="W905" s="340"/>
      <c r="X905" s="340"/>
      <c r="Y905" s="340"/>
      <c r="Z905" s="340"/>
    </row>
    <row r="906" spans="1:26" ht="14.25" customHeight="1">
      <c r="A906" s="340"/>
      <c r="B906" s="340"/>
      <c r="C906" s="340"/>
      <c r="D906" s="340"/>
      <c r="E906" s="340"/>
      <c r="F906" s="340"/>
      <c r="G906" s="340"/>
      <c r="H906" s="340"/>
      <c r="I906" s="340"/>
      <c r="J906" s="340"/>
      <c r="K906" s="340"/>
      <c r="L906" s="340"/>
      <c r="M906" s="340"/>
      <c r="N906" s="340"/>
      <c r="O906" s="340"/>
      <c r="P906" s="340"/>
      <c r="Q906" s="340"/>
      <c r="R906" s="340"/>
      <c r="S906" s="340"/>
      <c r="T906" s="340"/>
      <c r="U906" s="340"/>
      <c r="V906" s="340"/>
      <c r="W906" s="340"/>
      <c r="X906" s="340"/>
      <c r="Y906" s="340"/>
      <c r="Z906" s="340"/>
    </row>
    <row r="907" spans="1:26" ht="14.25" customHeight="1">
      <c r="A907" s="340"/>
      <c r="B907" s="340"/>
      <c r="C907" s="340"/>
      <c r="D907" s="340"/>
      <c r="E907" s="340"/>
      <c r="F907" s="340"/>
      <c r="G907" s="340"/>
      <c r="H907" s="340"/>
      <c r="I907" s="340"/>
      <c r="J907" s="340"/>
      <c r="K907" s="340"/>
      <c r="L907" s="340"/>
      <c r="M907" s="340"/>
      <c r="N907" s="340"/>
      <c r="O907" s="340"/>
      <c r="P907" s="340"/>
      <c r="Q907" s="340"/>
      <c r="R907" s="340"/>
      <c r="S907" s="340"/>
      <c r="T907" s="340"/>
      <c r="U907" s="340"/>
      <c r="V907" s="340"/>
      <c r="W907" s="340"/>
      <c r="X907" s="340"/>
      <c r="Y907" s="340"/>
      <c r="Z907" s="340"/>
    </row>
    <row r="908" spans="1:26" ht="14.25" customHeight="1">
      <c r="A908" s="340"/>
      <c r="B908" s="340"/>
      <c r="C908" s="340"/>
      <c r="D908" s="340"/>
      <c r="E908" s="340"/>
      <c r="F908" s="340"/>
      <c r="G908" s="340"/>
      <c r="H908" s="340"/>
      <c r="I908" s="340"/>
      <c r="J908" s="340"/>
      <c r="K908" s="340"/>
      <c r="L908" s="340"/>
      <c r="M908" s="340"/>
      <c r="N908" s="340"/>
      <c r="O908" s="340"/>
      <c r="P908" s="340"/>
      <c r="Q908" s="340"/>
      <c r="R908" s="340"/>
      <c r="S908" s="340"/>
      <c r="T908" s="340"/>
      <c r="U908" s="340"/>
      <c r="V908" s="340"/>
      <c r="W908" s="340"/>
      <c r="X908" s="340"/>
      <c r="Y908" s="340"/>
      <c r="Z908" s="340"/>
    </row>
    <row r="909" spans="1:26" ht="14.25" customHeight="1">
      <c r="A909" s="340"/>
      <c r="B909" s="340"/>
      <c r="C909" s="340"/>
      <c r="D909" s="340"/>
      <c r="E909" s="340"/>
      <c r="F909" s="340"/>
      <c r="G909" s="340"/>
      <c r="H909" s="340"/>
      <c r="I909" s="340"/>
      <c r="J909" s="340"/>
      <c r="K909" s="340"/>
      <c r="L909" s="340"/>
      <c r="M909" s="340"/>
      <c r="N909" s="340"/>
      <c r="O909" s="340"/>
      <c r="P909" s="340"/>
      <c r="Q909" s="340"/>
      <c r="R909" s="340"/>
      <c r="S909" s="340"/>
      <c r="T909" s="340"/>
      <c r="U909" s="340"/>
      <c r="V909" s="340"/>
      <c r="W909" s="340"/>
      <c r="X909" s="340"/>
      <c r="Y909" s="340"/>
      <c r="Z909" s="340"/>
    </row>
    <row r="910" spans="1:26" ht="14.25" customHeight="1">
      <c r="A910" s="340"/>
      <c r="B910" s="340"/>
      <c r="C910" s="340"/>
      <c r="D910" s="340"/>
      <c r="E910" s="340"/>
      <c r="F910" s="340"/>
      <c r="G910" s="340"/>
      <c r="H910" s="340"/>
      <c r="I910" s="340"/>
      <c r="J910" s="340"/>
      <c r="K910" s="340"/>
      <c r="L910" s="340"/>
      <c r="M910" s="340"/>
      <c r="N910" s="340"/>
      <c r="O910" s="340"/>
      <c r="P910" s="340"/>
      <c r="Q910" s="340"/>
      <c r="R910" s="340"/>
      <c r="S910" s="340"/>
      <c r="T910" s="340"/>
      <c r="U910" s="340"/>
      <c r="V910" s="340"/>
      <c r="W910" s="340"/>
      <c r="X910" s="340"/>
      <c r="Y910" s="340"/>
      <c r="Z910" s="340"/>
    </row>
    <row r="911" spans="1:26" ht="14.25" customHeight="1">
      <c r="A911" s="340"/>
      <c r="B911" s="340"/>
      <c r="C911" s="340"/>
      <c r="D911" s="340"/>
      <c r="E911" s="340"/>
      <c r="F911" s="340"/>
      <c r="G911" s="340"/>
      <c r="H911" s="340"/>
      <c r="I911" s="340"/>
      <c r="J911" s="340"/>
      <c r="K911" s="340"/>
      <c r="L911" s="340"/>
      <c r="M911" s="340"/>
      <c r="N911" s="340"/>
      <c r="O911" s="340"/>
      <c r="P911" s="340"/>
      <c r="Q911" s="340"/>
      <c r="R911" s="340"/>
      <c r="S911" s="340"/>
      <c r="T911" s="340"/>
      <c r="U911" s="340"/>
      <c r="V911" s="340"/>
      <c r="W911" s="340"/>
      <c r="X911" s="340"/>
      <c r="Y911" s="340"/>
      <c r="Z911" s="340"/>
    </row>
    <row r="912" spans="1:26" ht="14.25" customHeight="1">
      <c r="A912" s="340"/>
      <c r="B912" s="340"/>
      <c r="C912" s="340"/>
      <c r="D912" s="340"/>
      <c r="E912" s="340"/>
      <c r="F912" s="340"/>
      <c r="G912" s="340"/>
      <c r="H912" s="340"/>
      <c r="I912" s="340"/>
      <c r="J912" s="340"/>
      <c r="K912" s="340"/>
      <c r="L912" s="340"/>
      <c r="M912" s="340"/>
      <c r="N912" s="340"/>
      <c r="O912" s="340"/>
      <c r="P912" s="340"/>
      <c r="Q912" s="340"/>
      <c r="R912" s="340"/>
      <c r="S912" s="340"/>
      <c r="T912" s="340"/>
      <c r="U912" s="340"/>
      <c r="V912" s="340"/>
      <c r="W912" s="340"/>
      <c r="X912" s="340"/>
      <c r="Y912" s="340"/>
      <c r="Z912" s="340"/>
    </row>
    <row r="913" spans="1:26" ht="14.25" customHeight="1">
      <c r="A913" s="340"/>
      <c r="B913" s="340"/>
      <c r="C913" s="340"/>
      <c r="D913" s="340"/>
      <c r="E913" s="340"/>
      <c r="F913" s="340"/>
      <c r="G913" s="340"/>
      <c r="H913" s="340"/>
      <c r="I913" s="340"/>
      <c r="J913" s="340"/>
      <c r="K913" s="340"/>
      <c r="L913" s="340"/>
      <c r="M913" s="340"/>
      <c r="N913" s="340"/>
      <c r="O913" s="340"/>
      <c r="P913" s="340"/>
      <c r="Q913" s="340"/>
      <c r="R913" s="340"/>
      <c r="S913" s="340"/>
      <c r="T913" s="340"/>
      <c r="U913" s="340"/>
      <c r="V913" s="340"/>
      <c r="W913" s="340"/>
      <c r="X913" s="340"/>
      <c r="Y913" s="340"/>
      <c r="Z913" s="340"/>
    </row>
    <row r="914" spans="1:26" ht="14.25" customHeight="1">
      <c r="A914" s="340"/>
      <c r="B914" s="340"/>
      <c r="C914" s="340"/>
      <c r="D914" s="340"/>
      <c r="E914" s="340"/>
      <c r="F914" s="340"/>
      <c r="G914" s="340"/>
      <c r="H914" s="340"/>
      <c r="I914" s="340"/>
      <c r="J914" s="340"/>
      <c r="K914" s="340"/>
      <c r="L914" s="340"/>
      <c r="M914" s="340"/>
      <c r="N914" s="340"/>
      <c r="O914" s="340"/>
      <c r="P914" s="340"/>
      <c r="Q914" s="340"/>
      <c r="R914" s="340"/>
      <c r="S914" s="340"/>
      <c r="T914" s="340"/>
      <c r="U914" s="340"/>
      <c r="V914" s="340"/>
      <c r="W914" s="340"/>
      <c r="X914" s="340"/>
      <c r="Y914" s="340"/>
      <c r="Z914" s="340"/>
    </row>
    <row r="915" spans="1:26" ht="14.25" customHeight="1">
      <c r="A915" s="340"/>
      <c r="B915" s="340"/>
      <c r="C915" s="340"/>
      <c r="D915" s="340"/>
      <c r="E915" s="340"/>
      <c r="F915" s="340"/>
      <c r="G915" s="340"/>
      <c r="H915" s="340"/>
      <c r="I915" s="340"/>
      <c r="J915" s="340"/>
      <c r="K915" s="340"/>
      <c r="L915" s="340"/>
      <c r="M915" s="340"/>
      <c r="N915" s="340"/>
      <c r="O915" s="340"/>
      <c r="P915" s="340"/>
      <c r="Q915" s="340"/>
      <c r="R915" s="340"/>
      <c r="S915" s="340"/>
      <c r="T915" s="340"/>
      <c r="U915" s="340"/>
      <c r="V915" s="340"/>
      <c r="W915" s="340"/>
      <c r="X915" s="340"/>
      <c r="Y915" s="340"/>
      <c r="Z915" s="340"/>
    </row>
    <row r="916" spans="1:26" ht="14.25" customHeight="1">
      <c r="A916" s="340"/>
      <c r="B916" s="340"/>
      <c r="C916" s="340"/>
      <c r="D916" s="340"/>
      <c r="E916" s="340"/>
      <c r="F916" s="340"/>
      <c r="G916" s="340"/>
      <c r="H916" s="340"/>
      <c r="I916" s="340"/>
      <c r="J916" s="340"/>
      <c r="K916" s="340"/>
      <c r="L916" s="340"/>
      <c r="M916" s="340"/>
      <c r="N916" s="340"/>
      <c r="O916" s="340"/>
      <c r="P916" s="340"/>
      <c r="Q916" s="340"/>
      <c r="R916" s="340"/>
      <c r="S916" s="340"/>
      <c r="T916" s="340"/>
      <c r="U916" s="340"/>
      <c r="V916" s="340"/>
      <c r="W916" s="340"/>
      <c r="X916" s="340"/>
      <c r="Y916" s="340"/>
      <c r="Z916" s="340"/>
    </row>
    <row r="917" spans="1:26" ht="14.25" customHeight="1">
      <c r="A917" s="340"/>
      <c r="B917" s="340"/>
      <c r="C917" s="340"/>
      <c r="D917" s="340"/>
      <c r="E917" s="340"/>
      <c r="F917" s="340"/>
      <c r="G917" s="340"/>
      <c r="H917" s="340"/>
      <c r="I917" s="340"/>
      <c r="J917" s="340"/>
      <c r="K917" s="340"/>
      <c r="L917" s="340"/>
      <c r="M917" s="340"/>
      <c r="N917" s="340"/>
      <c r="O917" s="340"/>
      <c r="P917" s="340"/>
      <c r="Q917" s="340"/>
      <c r="R917" s="340"/>
      <c r="S917" s="340"/>
      <c r="T917" s="340"/>
      <c r="U917" s="340"/>
      <c r="V917" s="340"/>
      <c r="W917" s="340"/>
      <c r="X917" s="340"/>
      <c r="Y917" s="340"/>
      <c r="Z917" s="340"/>
    </row>
    <row r="918" spans="1:26" ht="14.25" customHeight="1">
      <c r="A918" s="340"/>
      <c r="B918" s="340"/>
      <c r="C918" s="340"/>
      <c r="D918" s="340"/>
      <c r="E918" s="340"/>
      <c r="F918" s="340"/>
      <c r="G918" s="340"/>
      <c r="H918" s="340"/>
      <c r="I918" s="340"/>
      <c r="J918" s="340"/>
      <c r="K918" s="340"/>
      <c r="L918" s="340"/>
      <c r="M918" s="340"/>
      <c r="N918" s="340"/>
      <c r="O918" s="340"/>
      <c r="P918" s="340"/>
      <c r="Q918" s="340"/>
      <c r="R918" s="340"/>
      <c r="S918" s="340"/>
      <c r="T918" s="340"/>
      <c r="U918" s="340"/>
      <c r="V918" s="340"/>
      <c r="W918" s="340"/>
      <c r="X918" s="340"/>
      <c r="Y918" s="340"/>
      <c r="Z918" s="340"/>
    </row>
    <row r="919" spans="1:26" ht="14.25" customHeight="1">
      <c r="A919" s="340"/>
      <c r="B919" s="340"/>
      <c r="C919" s="340"/>
      <c r="D919" s="340"/>
      <c r="E919" s="340"/>
      <c r="F919" s="340"/>
      <c r="G919" s="340"/>
      <c r="H919" s="340"/>
      <c r="I919" s="340"/>
      <c r="J919" s="340"/>
      <c r="K919" s="340"/>
      <c r="L919" s="340"/>
      <c r="M919" s="340"/>
      <c r="N919" s="340"/>
      <c r="O919" s="340"/>
      <c r="P919" s="340"/>
      <c r="Q919" s="340"/>
      <c r="R919" s="340"/>
      <c r="S919" s="340"/>
      <c r="T919" s="340"/>
      <c r="U919" s="340"/>
      <c r="V919" s="340"/>
      <c r="W919" s="340"/>
      <c r="X919" s="340"/>
      <c r="Y919" s="340"/>
      <c r="Z919" s="340"/>
    </row>
    <row r="920" spans="1:26" ht="14.25" customHeight="1">
      <c r="A920" s="340"/>
      <c r="B920" s="340"/>
      <c r="C920" s="340"/>
      <c r="D920" s="340"/>
      <c r="E920" s="340"/>
      <c r="F920" s="340"/>
      <c r="G920" s="340"/>
      <c r="H920" s="340"/>
      <c r="I920" s="340"/>
      <c r="J920" s="340"/>
      <c r="K920" s="340"/>
      <c r="L920" s="340"/>
      <c r="M920" s="340"/>
      <c r="N920" s="340"/>
      <c r="O920" s="340"/>
      <c r="P920" s="340"/>
      <c r="Q920" s="340"/>
      <c r="R920" s="340"/>
      <c r="S920" s="340"/>
      <c r="T920" s="340"/>
      <c r="U920" s="340"/>
      <c r="V920" s="340"/>
      <c r="W920" s="340"/>
      <c r="X920" s="340"/>
      <c r="Y920" s="340"/>
      <c r="Z920" s="340"/>
    </row>
    <row r="921" spans="1:26" ht="14.25" customHeight="1">
      <c r="A921" s="340"/>
      <c r="B921" s="340"/>
      <c r="C921" s="340"/>
      <c r="D921" s="340"/>
      <c r="E921" s="340"/>
      <c r="F921" s="340"/>
      <c r="G921" s="340"/>
      <c r="H921" s="340"/>
      <c r="I921" s="340"/>
      <c r="J921" s="340"/>
      <c r="K921" s="340"/>
      <c r="L921" s="340"/>
      <c r="M921" s="340"/>
      <c r="N921" s="340"/>
      <c r="O921" s="340"/>
      <c r="P921" s="340"/>
      <c r="Q921" s="340"/>
      <c r="R921" s="340"/>
      <c r="S921" s="340"/>
      <c r="T921" s="340"/>
      <c r="U921" s="340"/>
      <c r="V921" s="340"/>
      <c r="W921" s="340"/>
      <c r="X921" s="340"/>
      <c r="Y921" s="340"/>
      <c r="Z921" s="340"/>
    </row>
    <row r="922" spans="1:26" ht="14.25" customHeight="1">
      <c r="A922" s="340"/>
      <c r="B922" s="340"/>
      <c r="C922" s="340"/>
      <c r="D922" s="340"/>
      <c r="E922" s="340"/>
      <c r="F922" s="340"/>
      <c r="G922" s="340"/>
      <c r="H922" s="340"/>
      <c r="I922" s="340"/>
      <c r="J922" s="340"/>
      <c r="K922" s="340"/>
      <c r="L922" s="340"/>
      <c r="M922" s="340"/>
      <c r="N922" s="340"/>
      <c r="O922" s="340"/>
      <c r="P922" s="340"/>
      <c r="Q922" s="340"/>
      <c r="R922" s="340"/>
      <c r="S922" s="340"/>
      <c r="T922" s="340"/>
      <c r="U922" s="340"/>
      <c r="V922" s="340"/>
      <c r="W922" s="340"/>
      <c r="X922" s="340"/>
      <c r="Y922" s="340"/>
      <c r="Z922" s="340"/>
    </row>
    <row r="923" spans="1:26" ht="14.25" customHeight="1">
      <c r="A923" s="340"/>
      <c r="B923" s="340"/>
      <c r="C923" s="340"/>
      <c r="D923" s="340"/>
      <c r="E923" s="340"/>
      <c r="F923" s="340"/>
      <c r="G923" s="340"/>
      <c r="H923" s="340"/>
      <c r="I923" s="340"/>
      <c r="J923" s="340"/>
      <c r="K923" s="340"/>
      <c r="L923" s="340"/>
      <c r="M923" s="340"/>
      <c r="N923" s="340"/>
      <c r="O923" s="340"/>
      <c r="P923" s="340"/>
      <c r="Q923" s="340"/>
      <c r="R923" s="340"/>
      <c r="S923" s="340"/>
      <c r="T923" s="340"/>
      <c r="U923" s="340"/>
      <c r="V923" s="340"/>
      <c r="W923" s="340"/>
      <c r="X923" s="340"/>
      <c r="Y923" s="340"/>
      <c r="Z923" s="340"/>
    </row>
    <row r="924" spans="1:26" ht="14.25" customHeight="1">
      <c r="A924" s="340"/>
      <c r="B924" s="340"/>
      <c r="C924" s="340"/>
      <c r="D924" s="340"/>
      <c r="E924" s="340"/>
      <c r="F924" s="340"/>
      <c r="G924" s="340"/>
      <c r="H924" s="340"/>
      <c r="I924" s="340"/>
      <c r="J924" s="340"/>
      <c r="K924" s="340"/>
      <c r="L924" s="340"/>
      <c r="M924" s="340"/>
      <c r="N924" s="340"/>
      <c r="O924" s="340"/>
      <c r="P924" s="340"/>
      <c r="Q924" s="340"/>
      <c r="R924" s="340"/>
      <c r="S924" s="340"/>
      <c r="T924" s="340"/>
      <c r="U924" s="340"/>
      <c r="V924" s="340"/>
      <c r="W924" s="340"/>
      <c r="X924" s="340"/>
      <c r="Y924" s="340"/>
      <c r="Z924" s="340"/>
    </row>
    <row r="925" spans="1:26" ht="14.25" customHeight="1">
      <c r="A925" s="340"/>
      <c r="B925" s="340"/>
      <c r="C925" s="340"/>
      <c r="D925" s="340"/>
      <c r="E925" s="340"/>
      <c r="F925" s="340"/>
      <c r="G925" s="340"/>
      <c r="H925" s="340"/>
      <c r="I925" s="340"/>
      <c r="J925" s="340"/>
      <c r="K925" s="340"/>
      <c r="L925" s="340"/>
      <c r="M925" s="340"/>
      <c r="N925" s="340"/>
      <c r="O925" s="340"/>
      <c r="P925" s="340"/>
      <c r="Q925" s="340"/>
      <c r="R925" s="340"/>
      <c r="S925" s="340"/>
      <c r="T925" s="340"/>
      <c r="U925" s="340"/>
      <c r="V925" s="340"/>
      <c r="W925" s="340"/>
      <c r="X925" s="340"/>
      <c r="Y925" s="340"/>
      <c r="Z925" s="340"/>
    </row>
    <row r="926" spans="1:26" ht="14.25" customHeight="1">
      <c r="A926" s="340"/>
      <c r="B926" s="340"/>
      <c r="C926" s="340"/>
      <c r="D926" s="340"/>
      <c r="E926" s="340"/>
      <c r="F926" s="340"/>
      <c r="G926" s="340"/>
      <c r="H926" s="340"/>
      <c r="I926" s="340"/>
      <c r="J926" s="340"/>
      <c r="K926" s="340"/>
      <c r="L926" s="340"/>
      <c r="M926" s="340"/>
      <c r="N926" s="340"/>
      <c r="O926" s="340"/>
      <c r="P926" s="340"/>
      <c r="Q926" s="340"/>
      <c r="R926" s="340"/>
      <c r="S926" s="340"/>
      <c r="T926" s="340"/>
      <c r="U926" s="340"/>
      <c r="V926" s="340"/>
      <c r="W926" s="340"/>
      <c r="X926" s="340"/>
      <c r="Y926" s="340"/>
      <c r="Z926" s="340"/>
    </row>
    <row r="927" spans="1:26" ht="14.25" customHeight="1">
      <c r="A927" s="340"/>
      <c r="B927" s="340"/>
      <c r="C927" s="340"/>
      <c r="D927" s="340"/>
      <c r="E927" s="340"/>
      <c r="F927" s="340"/>
      <c r="G927" s="340"/>
      <c r="H927" s="340"/>
      <c r="I927" s="340"/>
      <c r="J927" s="340"/>
      <c r="K927" s="340"/>
      <c r="L927" s="340"/>
      <c r="M927" s="340"/>
      <c r="N927" s="340"/>
      <c r="O927" s="340"/>
      <c r="P927" s="340"/>
      <c r="Q927" s="340"/>
      <c r="R927" s="340"/>
      <c r="S927" s="340"/>
      <c r="T927" s="340"/>
      <c r="U927" s="340"/>
      <c r="V927" s="340"/>
      <c r="W927" s="340"/>
      <c r="X927" s="340"/>
      <c r="Y927" s="340"/>
      <c r="Z927" s="340"/>
    </row>
    <row r="928" spans="1:26" ht="14.25" customHeight="1">
      <c r="A928" s="340"/>
      <c r="B928" s="340"/>
      <c r="C928" s="340"/>
      <c r="D928" s="340"/>
      <c r="E928" s="340"/>
      <c r="F928" s="340"/>
      <c r="G928" s="340"/>
      <c r="H928" s="340"/>
      <c r="I928" s="340"/>
      <c r="J928" s="340"/>
      <c r="K928" s="340"/>
      <c r="L928" s="340"/>
      <c r="M928" s="340"/>
      <c r="N928" s="340"/>
      <c r="O928" s="340"/>
      <c r="P928" s="340"/>
      <c r="Q928" s="340"/>
      <c r="R928" s="340"/>
      <c r="S928" s="340"/>
      <c r="T928" s="340"/>
      <c r="U928" s="340"/>
      <c r="V928" s="340"/>
      <c r="W928" s="340"/>
      <c r="X928" s="340"/>
      <c r="Y928" s="340"/>
      <c r="Z928" s="340"/>
    </row>
    <row r="929" spans="1:26" ht="14.25" customHeight="1">
      <c r="A929" s="340"/>
      <c r="B929" s="340"/>
      <c r="C929" s="340"/>
      <c r="D929" s="340"/>
      <c r="E929" s="340"/>
      <c r="F929" s="340"/>
      <c r="G929" s="340"/>
      <c r="H929" s="340"/>
      <c r="I929" s="340"/>
      <c r="J929" s="340"/>
      <c r="K929" s="340"/>
      <c r="L929" s="340"/>
      <c r="M929" s="340"/>
      <c r="N929" s="340"/>
      <c r="O929" s="340"/>
      <c r="P929" s="340"/>
      <c r="Q929" s="340"/>
      <c r="R929" s="340"/>
      <c r="S929" s="340"/>
      <c r="T929" s="340"/>
      <c r="U929" s="340"/>
      <c r="V929" s="340"/>
      <c r="W929" s="340"/>
      <c r="X929" s="340"/>
      <c r="Y929" s="340"/>
      <c r="Z929" s="340"/>
    </row>
    <row r="930" spans="1:26" ht="14.25" customHeight="1">
      <c r="A930" s="340"/>
      <c r="B930" s="340"/>
      <c r="C930" s="340"/>
      <c r="D930" s="340"/>
      <c r="E930" s="340"/>
      <c r="F930" s="340"/>
      <c r="G930" s="340"/>
      <c r="H930" s="340"/>
      <c r="I930" s="340"/>
      <c r="J930" s="340"/>
      <c r="K930" s="340"/>
      <c r="L930" s="340"/>
      <c r="M930" s="340"/>
      <c r="N930" s="340"/>
      <c r="O930" s="340"/>
      <c r="P930" s="340"/>
      <c r="Q930" s="340"/>
      <c r="R930" s="340"/>
      <c r="S930" s="340"/>
      <c r="T930" s="340"/>
      <c r="U930" s="340"/>
      <c r="V930" s="340"/>
      <c r="W930" s="340"/>
      <c r="X930" s="340"/>
      <c r="Y930" s="340"/>
      <c r="Z930" s="340"/>
    </row>
    <row r="931" spans="1:26" ht="14.25" customHeight="1">
      <c r="A931" s="340"/>
      <c r="B931" s="340"/>
      <c r="C931" s="340"/>
      <c r="D931" s="340"/>
      <c r="E931" s="340"/>
      <c r="F931" s="340"/>
      <c r="G931" s="340"/>
      <c r="H931" s="340"/>
      <c r="I931" s="340"/>
      <c r="J931" s="340"/>
      <c r="K931" s="340"/>
      <c r="L931" s="340"/>
      <c r="M931" s="340"/>
      <c r="N931" s="340"/>
      <c r="O931" s="340"/>
      <c r="P931" s="340"/>
      <c r="Q931" s="340"/>
      <c r="R931" s="340"/>
      <c r="S931" s="340"/>
      <c r="T931" s="340"/>
      <c r="U931" s="340"/>
      <c r="V931" s="340"/>
      <c r="W931" s="340"/>
      <c r="X931" s="340"/>
      <c r="Y931" s="340"/>
      <c r="Z931" s="340"/>
    </row>
    <row r="932" spans="1:26" ht="14.25" customHeight="1">
      <c r="A932" s="340"/>
      <c r="B932" s="340"/>
      <c r="C932" s="340"/>
      <c r="D932" s="340"/>
      <c r="E932" s="340"/>
      <c r="F932" s="340"/>
      <c r="G932" s="340"/>
      <c r="H932" s="340"/>
      <c r="I932" s="340"/>
      <c r="J932" s="340"/>
      <c r="K932" s="340"/>
      <c r="L932" s="340"/>
      <c r="M932" s="340"/>
      <c r="N932" s="340"/>
      <c r="O932" s="340"/>
      <c r="P932" s="340"/>
      <c r="Q932" s="340"/>
      <c r="R932" s="340"/>
      <c r="S932" s="340"/>
      <c r="T932" s="340"/>
      <c r="U932" s="340"/>
      <c r="V932" s="340"/>
      <c r="W932" s="340"/>
      <c r="X932" s="340"/>
      <c r="Y932" s="340"/>
      <c r="Z932" s="340"/>
    </row>
    <row r="933" spans="1:26" ht="14.25" customHeight="1">
      <c r="A933" s="340"/>
      <c r="B933" s="340"/>
      <c r="C933" s="340"/>
      <c r="D933" s="340"/>
      <c r="E933" s="340"/>
      <c r="F933" s="340"/>
      <c r="G933" s="340"/>
      <c r="H933" s="340"/>
      <c r="I933" s="340"/>
      <c r="J933" s="340"/>
      <c r="K933" s="340"/>
      <c r="L933" s="340"/>
      <c r="M933" s="340"/>
      <c r="N933" s="340"/>
      <c r="O933" s="340"/>
      <c r="P933" s="340"/>
      <c r="Q933" s="340"/>
      <c r="R933" s="340"/>
      <c r="S933" s="340"/>
      <c r="T933" s="340"/>
      <c r="U933" s="340"/>
      <c r="V933" s="340"/>
      <c r="W933" s="340"/>
      <c r="X933" s="340"/>
      <c r="Y933" s="340"/>
      <c r="Z933" s="340"/>
    </row>
    <row r="934" spans="1:26" ht="14.25" customHeight="1">
      <c r="A934" s="340"/>
      <c r="B934" s="340"/>
      <c r="C934" s="340"/>
      <c r="D934" s="340"/>
      <c r="E934" s="340"/>
      <c r="F934" s="340"/>
      <c r="G934" s="340"/>
      <c r="H934" s="340"/>
      <c r="I934" s="340"/>
      <c r="J934" s="340"/>
      <c r="K934" s="340"/>
      <c r="L934" s="340"/>
      <c r="M934" s="340"/>
      <c r="N934" s="340"/>
      <c r="O934" s="340"/>
      <c r="P934" s="340"/>
      <c r="Q934" s="340"/>
      <c r="R934" s="340"/>
      <c r="S934" s="340"/>
      <c r="T934" s="340"/>
      <c r="U934" s="340"/>
      <c r="V934" s="340"/>
      <c r="W934" s="340"/>
      <c r="X934" s="340"/>
      <c r="Y934" s="340"/>
      <c r="Z934" s="340"/>
    </row>
    <row r="935" spans="1:26" ht="14.25" customHeight="1">
      <c r="A935" s="340"/>
      <c r="B935" s="340"/>
      <c r="C935" s="340"/>
      <c r="D935" s="340"/>
      <c r="E935" s="340"/>
      <c r="F935" s="340"/>
      <c r="G935" s="340"/>
      <c r="H935" s="340"/>
      <c r="I935" s="340"/>
      <c r="J935" s="340"/>
      <c r="K935" s="340"/>
      <c r="L935" s="340"/>
      <c r="M935" s="340"/>
      <c r="N935" s="340"/>
      <c r="O935" s="340"/>
      <c r="P935" s="340"/>
      <c r="Q935" s="340"/>
      <c r="R935" s="340"/>
      <c r="S935" s="340"/>
      <c r="T935" s="340"/>
      <c r="U935" s="340"/>
      <c r="V935" s="340"/>
      <c r="W935" s="340"/>
      <c r="X935" s="340"/>
      <c r="Y935" s="340"/>
      <c r="Z935" s="340"/>
    </row>
    <row r="936" spans="1:26" ht="14.25" customHeight="1">
      <c r="A936" s="340"/>
      <c r="B936" s="340"/>
      <c r="C936" s="340"/>
      <c r="D936" s="340"/>
      <c r="E936" s="340"/>
      <c r="F936" s="340"/>
      <c r="G936" s="340"/>
      <c r="H936" s="340"/>
      <c r="I936" s="340"/>
      <c r="J936" s="340"/>
      <c r="K936" s="340"/>
      <c r="L936" s="340"/>
      <c r="M936" s="340"/>
      <c r="N936" s="340"/>
      <c r="O936" s="340"/>
      <c r="P936" s="340"/>
      <c r="Q936" s="340"/>
      <c r="R936" s="340"/>
      <c r="S936" s="340"/>
      <c r="T936" s="340"/>
      <c r="U936" s="340"/>
      <c r="V936" s="340"/>
      <c r="W936" s="340"/>
      <c r="X936" s="340"/>
      <c r="Y936" s="340"/>
      <c r="Z936" s="340"/>
    </row>
    <row r="937" spans="1:26" ht="14.25" customHeight="1">
      <c r="A937" s="340"/>
      <c r="B937" s="340"/>
      <c r="C937" s="340"/>
      <c r="D937" s="340"/>
      <c r="E937" s="340"/>
      <c r="F937" s="340"/>
      <c r="G937" s="340"/>
      <c r="H937" s="340"/>
      <c r="I937" s="340"/>
      <c r="J937" s="340"/>
      <c r="K937" s="340"/>
      <c r="L937" s="340"/>
      <c r="M937" s="340"/>
      <c r="N937" s="340"/>
      <c r="O937" s="340"/>
      <c r="P937" s="340"/>
      <c r="Q937" s="340"/>
      <c r="R937" s="340"/>
      <c r="S937" s="340"/>
      <c r="T937" s="340"/>
      <c r="U937" s="340"/>
      <c r="V937" s="340"/>
      <c r="W937" s="340"/>
      <c r="X937" s="340"/>
      <c r="Y937" s="340"/>
      <c r="Z937" s="340"/>
    </row>
    <row r="938" spans="1:26" ht="14.25" customHeight="1">
      <c r="A938" s="340"/>
      <c r="B938" s="340"/>
      <c r="C938" s="340"/>
      <c r="D938" s="340"/>
      <c r="E938" s="340"/>
      <c r="F938" s="340"/>
      <c r="G938" s="340"/>
      <c r="H938" s="340"/>
      <c r="I938" s="340"/>
      <c r="J938" s="340"/>
      <c r="K938" s="340"/>
      <c r="L938" s="340"/>
      <c r="M938" s="340"/>
      <c r="N938" s="340"/>
      <c r="O938" s="340"/>
      <c r="P938" s="340"/>
      <c r="Q938" s="340"/>
      <c r="R938" s="340"/>
      <c r="S938" s="340"/>
      <c r="T938" s="340"/>
      <c r="U938" s="340"/>
      <c r="V938" s="340"/>
      <c r="W938" s="340"/>
      <c r="X938" s="340"/>
      <c r="Y938" s="340"/>
      <c r="Z938" s="340"/>
    </row>
    <row r="939" spans="1:26" ht="14.25" customHeight="1">
      <c r="A939" s="340"/>
      <c r="B939" s="340"/>
      <c r="C939" s="340"/>
      <c r="D939" s="340"/>
      <c r="E939" s="340"/>
      <c r="F939" s="340"/>
      <c r="G939" s="340"/>
      <c r="H939" s="340"/>
      <c r="I939" s="340"/>
      <c r="J939" s="340"/>
      <c r="K939" s="340"/>
      <c r="L939" s="340"/>
      <c r="M939" s="340"/>
      <c r="N939" s="340"/>
      <c r="O939" s="340"/>
      <c r="P939" s="340"/>
      <c r="Q939" s="340"/>
      <c r="R939" s="340"/>
      <c r="S939" s="340"/>
      <c r="T939" s="340"/>
      <c r="U939" s="340"/>
      <c r="V939" s="340"/>
      <c r="W939" s="340"/>
      <c r="X939" s="340"/>
      <c r="Y939" s="340"/>
      <c r="Z939" s="340"/>
    </row>
    <row r="940" spans="1:26" ht="14.25" customHeight="1">
      <c r="A940" s="340"/>
      <c r="B940" s="340"/>
      <c r="C940" s="340"/>
      <c r="D940" s="340"/>
      <c r="E940" s="340"/>
      <c r="F940" s="340"/>
      <c r="G940" s="340"/>
      <c r="H940" s="340"/>
      <c r="I940" s="340"/>
      <c r="J940" s="340"/>
      <c r="K940" s="340"/>
      <c r="L940" s="340"/>
      <c r="M940" s="340"/>
      <c r="N940" s="340"/>
      <c r="O940" s="340"/>
      <c r="P940" s="340"/>
      <c r="Q940" s="340"/>
      <c r="R940" s="340"/>
      <c r="S940" s="340"/>
      <c r="T940" s="340"/>
      <c r="U940" s="340"/>
      <c r="V940" s="340"/>
      <c r="W940" s="340"/>
      <c r="X940" s="340"/>
      <c r="Y940" s="340"/>
      <c r="Z940" s="340"/>
    </row>
    <row r="941" spans="1:26" ht="14.25" customHeight="1">
      <c r="A941" s="340"/>
      <c r="B941" s="340"/>
      <c r="C941" s="340"/>
      <c r="D941" s="340"/>
      <c r="E941" s="340"/>
      <c r="F941" s="340"/>
      <c r="G941" s="340"/>
      <c r="H941" s="340"/>
      <c r="I941" s="340"/>
      <c r="J941" s="340"/>
      <c r="K941" s="340"/>
      <c r="L941" s="340"/>
      <c r="M941" s="340"/>
      <c r="N941" s="340"/>
      <c r="O941" s="340"/>
      <c r="P941" s="340"/>
      <c r="Q941" s="340"/>
      <c r="R941" s="340"/>
      <c r="S941" s="340"/>
      <c r="T941" s="340"/>
      <c r="U941" s="340"/>
      <c r="V941" s="340"/>
      <c r="W941" s="340"/>
      <c r="X941" s="340"/>
      <c r="Y941" s="340"/>
      <c r="Z941" s="340"/>
    </row>
    <row r="942" spans="1:26" ht="14.25" customHeight="1">
      <c r="A942" s="340"/>
      <c r="B942" s="340"/>
      <c r="C942" s="340"/>
      <c r="D942" s="340"/>
      <c r="E942" s="340"/>
      <c r="F942" s="340"/>
      <c r="G942" s="340"/>
      <c r="H942" s="340"/>
      <c r="I942" s="340"/>
      <c r="J942" s="340"/>
      <c r="K942" s="340"/>
      <c r="L942" s="340"/>
      <c r="M942" s="340"/>
      <c r="N942" s="340"/>
      <c r="O942" s="340"/>
      <c r="P942" s="340"/>
      <c r="Q942" s="340"/>
      <c r="R942" s="340"/>
      <c r="S942" s="340"/>
      <c r="T942" s="340"/>
      <c r="U942" s="340"/>
      <c r="V942" s="340"/>
      <c r="W942" s="340"/>
      <c r="X942" s="340"/>
      <c r="Y942" s="340"/>
      <c r="Z942" s="340"/>
    </row>
    <row r="943" spans="1:26" ht="14.25" customHeight="1">
      <c r="A943" s="340"/>
      <c r="B943" s="340"/>
      <c r="C943" s="340"/>
      <c r="D943" s="340"/>
      <c r="E943" s="340"/>
      <c r="F943" s="340"/>
      <c r="G943" s="340"/>
      <c r="H943" s="340"/>
      <c r="I943" s="340"/>
      <c r="J943" s="340"/>
      <c r="K943" s="340"/>
      <c r="L943" s="340"/>
      <c r="M943" s="340"/>
      <c r="N943" s="340"/>
      <c r="O943" s="340"/>
      <c r="P943" s="340"/>
      <c r="Q943" s="340"/>
      <c r="R943" s="340"/>
      <c r="S943" s="340"/>
      <c r="T943" s="340"/>
      <c r="U943" s="340"/>
      <c r="V943" s="340"/>
      <c r="W943" s="340"/>
      <c r="X943" s="340"/>
      <c r="Y943" s="340"/>
      <c r="Z943" s="340"/>
    </row>
    <row r="944" spans="1:26" ht="14.25" customHeight="1">
      <c r="A944" s="340"/>
      <c r="B944" s="340"/>
      <c r="C944" s="340"/>
      <c r="D944" s="340"/>
      <c r="E944" s="340"/>
      <c r="F944" s="340"/>
      <c r="G944" s="340"/>
      <c r="H944" s="340"/>
      <c r="I944" s="340"/>
      <c r="J944" s="340"/>
      <c r="K944" s="340"/>
      <c r="L944" s="340"/>
      <c r="M944" s="340"/>
      <c r="N944" s="340"/>
      <c r="O944" s="340"/>
      <c r="P944" s="340"/>
      <c r="Q944" s="340"/>
      <c r="R944" s="340"/>
      <c r="S944" s="340"/>
      <c r="T944" s="340"/>
      <c r="U944" s="340"/>
      <c r="V944" s="340"/>
      <c r="W944" s="340"/>
      <c r="X944" s="340"/>
      <c r="Y944" s="340"/>
      <c r="Z944" s="340"/>
    </row>
    <row r="945" spans="1:26" ht="14.25" customHeight="1">
      <c r="A945" s="340"/>
      <c r="B945" s="340"/>
      <c r="C945" s="340"/>
      <c r="D945" s="340"/>
      <c r="E945" s="340"/>
      <c r="F945" s="340"/>
      <c r="G945" s="340"/>
      <c r="H945" s="340"/>
      <c r="I945" s="340"/>
      <c r="J945" s="340"/>
      <c r="K945" s="340"/>
      <c r="L945" s="340"/>
      <c r="M945" s="340"/>
      <c r="N945" s="340"/>
      <c r="O945" s="340"/>
      <c r="P945" s="340"/>
      <c r="Q945" s="340"/>
      <c r="R945" s="340"/>
      <c r="S945" s="340"/>
      <c r="T945" s="340"/>
      <c r="U945" s="340"/>
      <c r="V945" s="340"/>
      <c r="W945" s="340"/>
      <c r="X945" s="340"/>
      <c r="Y945" s="340"/>
      <c r="Z945" s="340"/>
    </row>
    <row r="946" spans="1:26" ht="14.25" customHeight="1">
      <c r="A946" s="340"/>
      <c r="B946" s="340"/>
      <c r="C946" s="340"/>
      <c r="D946" s="340"/>
      <c r="E946" s="340"/>
      <c r="F946" s="340"/>
      <c r="G946" s="340"/>
      <c r="H946" s="340"/>
      <c r="I946" s="340"/>
      <c r="J946" s="340"/>
      <c r="K946" s="340"/>
      <c r="L946" s="340"/>
      <c r="M946" s="340"/>
      <c r="N946" s="340"/>
      <c r="O946" s="340"/>
      <c r="P946" s="340"/>
      <c r="Q946" s="340"/>
      <c r="R946" s="340"/>
      <c r="S946" s="340"/>
      <c r="T946" s="340"/>
      <c r="U946" s="340"/>
      <c r="V946" s="340"/>
      <c r="W946" s="340"/>
      <c r="X946" s="340"/>
      <c r="Y946" s="340"/>
      <c r="Z946" s="340"/>
    </row>
    <row r="947" spans="1:26" ht="14.25" customHeight="1">
      <c r="A947" s="340"/>
      <c r="B947" s="340"/>
      <c r="C947" s="340"/>
      <c r="D947" s="340"/>
      <c r="E947" s="340"/>
      <c r="F947" s="340"/>
      <c r="G947" s="340"/>
      <c r="H947" s="340"/>
      <c r="I947" s="340"/>
      <c r="J947" s="340"/>
      <c r="K947" s="340"/>
      <c r="L947" s="340"/>
      <c r="M947" s="340"/>
      <c r="N947" s="340"/>
      <c r="O947" s="340"/>
      <c r="P947" s="340"/>
      <c r="Q947" s="340"/>
      <c r="R947" s="340"/>
      <c r="S947" s="340"/>
      <c r="T947" s="340"/>
      <c r="U947" s="340"/>
      <c r="V947" s="340"/>
      <c r="W947" s="340"/>
      <c r="X947" s="340"/>
      <c r="Y947" s="340"/>
      <c r="Z947" s="340"/>
    </row>
    <row r="948" spans="1:26" ht="14.25" customHeight="1">
      <c r="A948" s="340"/>
      <c r="B948" s="340"/>
      <c r="C948" s="340"/>
      <c r="D948" s="340"/>
      <c r="E948" s="340"/>
      <c r="F948" s="340"/>
      <c r="G948" s="340"/>
      <c r="H948" s="340"/>
      <c r="I948" s="340"/>
      <c r="J948" s="340"/>
      <c r="K948" s="340"/>
      <c r="L948" s="340"/>
      <c r="M948" s="340"/>
      <c r="N948" s="340"/>
      <c r="O948" s="340"/>
      <c r="P948" s="340"/>
      <c r="Q948" s="340"/>
      <c r="R948" s="340"/>
      <c r="S948" s="340"/>
      <c r="T948" s="340"/>
      <c r="U948" s="340"/>
      <c r="V948" s="340"/>
      <c r="W948" s="340"/>
      <c r="X948" s="340"/>
      <c r="Y948" s="340"/>
      <c r="Z948" s="340"/>
    </row>
    <row r="949" spans="1:26" ht="14.25" customHeight="1">
      <c r="A949" s="340"/>
      <c r="B949" s="340"/>
      <c r="C949" s="340"/>
      <c r="D949" s="340"/>
      <c r="E949" s="340"/>
      <c r="F949" s="340"/>
      <c r="G949" s="340"/>
      <c r="H949" s="340"/>
      <c r="I949" s="340"/>
      <c r="J949" s="340"/>
      <c r="K949" s="340"/>
      <c r="L949" s="340"/>
      <c r="M949" s="340"/>
      <c r="N949" s="340"/>
      <c r="O949" s="340"/>
      <c r="P949" s="340"/>
      <c r="Q949" s="340"/>
      <c r="R949" s="340"/>
      <c r="S949" s="340"/>
      <c r="T949" s="340"/>
      <c r="U949" s="340"/>
      <c r="V949" s="340"/>
      <c r="W949" s="340"/>
      <c r="X949" s="340"/>
      <c r="Y949" s="340"/>
      <c r="Z949" s="340"/>
    </row>
    <row r="950" spans="1:26" ht="14.25" customHeight="1">
      <c r="A950" s="340"/>
      <c r="B950" s="340"/>
      <c r="C950" s="340"/>
      <c r="D950" s="340"/>
      <c r="E950" s="340"/>
      <c r="F950" s="340"/>
      <c r="G950" s="340"/>
      <c r="H950" s="340"/>
      <c r="I950" s="340"/>
      <c r="J950" s="340"/>
      <c r="K950" s="340"/>
      <c r="L950" s="340"/>
      <c r="M950" s="340"/>
      <c r="N950" s="340"/>
      <c r="O950" s="340"/>
      <c r="P950" s="340"/>
      <c r="Q950" s="340"/>
      <c r="R950" s="340"/>
      <c r="S950" s="340"/>
      <c r="T950" s="340"/>
      <c r="U950" s="340"/>
      <c r="V950" s="340"/>
      <c r="W950" s="340"/>
      <c r="X950" s="340"/>
      <c r="Y950" s="340"/>
      <c r="Z950" s="340"/>
    </row>
    <row r="951" spans="1:26" ht="14.25" customHeight="1">
      <c r="A951" s="340"/>
      <c r="B951" s="340"/>
      <c r="C951" s="340"/>
      <c r="D951" s="340"/>
      <c r="E951" s="340"/>
      <c r="F951" s="340"/>
      <c r="G951" s="340"/>
      <c r="H951" s="340"/>
      <c r="I951" s="340"/>
      <c r="J951" s="340"/>
      <c r="K951" s="340"/>
      <c r="L951" s="340"/>
      <c r="M951" s="340"/>
      <c r="N951" s="340"/>
      <c r="O951" s="340"/>
      <c r="P951" s="340"/>
      <c r="Q951" s="340"/>
      <c r="R951" s="340"/>
      <c r="S951" s="340"/>
      <c r="T951" s="340"/>
      <c r="U951" s="340"/>
      <c r="V951" s="340"/>
      <c r="W951" s="340"/>
      <c r="X951" s="340"/>
      <c r="Y951" s="340"/>
      <c r="Z951" s="340"/>
    </row>
    <row r="952" spans="1:26" ht="14.25" customHeight="1">
      <c r="A952" s="340"/>
      <c r="B952" s="340"/>
      <c r="C952" s="340"/>
      <c r="D952" s="340"/>
      <c r="E952" s="340"/>
      <c r="F952" s="340"/>
      <c r="G952" s="340"/>
      <c r="H952" s="340"/>
      <c r="I952" s="340"/>
      <c r="J952" s="340"/>
      <c r="K952" s="340"/>
      <c r="L952" s="340"/>
      <c r="M952" s="340"/>
      <c r="N952" s="340"/>
      <c r="O952" s="340"/>
      <c r="P952" s="340"/>
      <c r="Q952" s="340"/>
      <c r="R952" s="340"/>
      <c r="S952" s="340"/>
      <c r="T952" s="340"/>
      <c r="U952" s="340"/>
      <c r="V952" s="340"/>
      <c r="W952" s="340"/>
      <c r="X952" s="340"/>
      <c r="Y952" s="340"/>
      <c r="Z952" s="340"/>
    </row>
    <row r="953" spans="1:26" ht="14.25" customHeight="1">
      <c r="A953" s="340"/>
      <c r="B953" s="340"/>
      <c r="C953" s="340"/>
      <c r="D953" s="340"/>
      <c r="E953" s="340"/>
      <c r="F953" s="340"/>
      <c r="G953" s="340"/>
      <c r="H953" s="340"/>
      <c r="I953" s="340"/>
      <c r="J953" s="340"/>
      <c r="K953" s="340"/>
      <c r="L953" s="340"/>
      <c r="M953" s="340"/>
      <c r="N953" s="340"/>
      <c r="O953" s="340"/>
      <c r="P953" s="340"/>
      <c r="Q953" s="340"/>
      <c r="R953" s="340"/>
      <c r="S953" s="340"/>
      <c r="T953" s="340"/>
      <c r="U953" s="340"/>
      <c r="V953" s="340"/>
      <c r="W953" s="340"/>
      <c r="X953" s="340"/>
      <c r="Y953" s="340"/>
      <c r="Z953" s="340"/>
    </row>
    <row r="954" spans="1:26" ht="14.25" customHeight="1">
      <c r="A954" s="340"/>
      <c r="B954" s="340"/>
      <c r="C954" s="340"/>
      <c r="D954" s="340"/>
      <c r="E954" s="340"/>
      <c r="F954" s="340"/>
      <c r="G954" s="340"/>
      <c r="H954" s="340"/>
      <c r="I954" s="340"/>
      <c r="J954" s="340"/>
      <c r="K954" s="340"/>
      <c r="L954" s="340"/>
      <c r="M954" s="340"/>
      <c r="N954" s="340"/>
      <c r="O954" s="340"/>
      <c r="P954" s="340"/>
      <c r="Q954" s="340"/>
      <c r="R954" s="340"/>
      <c r="S954" s="340"/>
      <c r="T954" s="340"/>
      <c r="U954" s="340"/>
      <c r="V954" s="340"/>
      <c r="W954" s="340"/>
      <c r="X954" s="340"/>
      <c r="Y954" s="340"/>
      <c r="Z954" s="340"/>
    </row>
    <row r="955" spans="1:26" ht="14.25" customHeight="1">
      <c r="A955" s="340"/>
      <c r="B955" s="340"/>
      <c r="C955" s="340"/>
      <c r="D955" s="340"/>
      <c r="E955" s="340"/>
      <c r="F955" s="340"/>
      <c r="G955" s="340"/>
      <c r="H955" s="340"/>
      <c r="I955" s="340"/>
      <c r="J955" s="340"/>
      <c r="K955" s="340"/>
      <c r="L955" s="340"/>
      <c r="M955" s="340"/>
      <c r="N955" s="340"/>
      <c r="O955" s="340"/>
      <c r="P955" s="340"/>
      <c r="Q955" s="340"/>
      <c r="R955" s="340"/>
      <c r="S955" s="340"/>
      <c r="T955" s="340"/>
      <c r="U955" s="340"/>
      <c r="V955" s="340"/>
      <c r="W955" s="340"/>
      <c r="X955" s="340"/>
      <c r="Y955" s="340"/>
      <c r="Z955" s="340"/>
    </row>
    <row r="956" spans="1:26" ht="14.25" customHeight="1">
      <c r="A956" s="340"/>
      <c r="B956" s="340"/>
      <c r="C956" s="340"/>
      <c r="D956" s="340"/>
      <c r="E956" s="340"/>
      <c r="F956" s="340"/>
      <c r="G956" s="340"/>
      <c r="H956" s="340"/>
      <c r="I956" s="340"/>
      <c r="J956" s="340"/>
      <c r="K956" s="340"/>
      <c r="L956" s="340"/>
      <c r="M956" s="340"/>
      <c r="N956" s="340"/>
      <c r="O956" s="340"/>
      <c r="P956" s="340"/>
      <c r="Q956" s="340"/>
      <c r="R956" s="340"/>
      <c r="S956" s="340"/>
      <c r="T956" s="340"/>
      <c r="U956" s="340"/>
      <c r="V956" s="340"/>
      <c r="W956" s="340"/>
      <c r="X956" s="340"/>
      <c r="Y956" s="340"/>
      <c r="Z956" s="340"/>
    </row>
    <row r="957" spans="1:26" ht="14.25" customHeight="1">
      <c r="A957" s="340"/>
      <c r="B957" s="340"/>
      <c r="C957" s="340"/>
      <c r="D957" s="340"/>
      <c r="E957" s="340"/>
      <c r="F957" s="340"/>
      <c r="G957" s="340"/>
      <c r="H957" s="340"/>
      <c r="I957" s="340"/>
      <c r="J957" s="340"/>
      <c r="K957" s="340"/>
      <c r="L957" s="340"/>
      <c r="M957" s="340"/>
      <c r="N957" s="340"/>
      <c r="O957" s="340"/>
      <c r="P957" s="340"/>
      <c r="Q957" s="340"/>
      <c r="R957" s="340"/>
      <c r="S957" s="340"/>
      <c r="T957" s="340"/>
      <c r="U957" s="340"/>
      <c r="V957" s="340"/>
      <c r="W957" s="340"/>
      <c r="X957" s="340"/>
      <c r="Y957" s="340"/>
      <c r="Z957" s="340"/>
    </row>
    <row r="958" spans="1:26" ht="14.25" customHeight="1">
      <c r="A958" s="340"/>
      <c r="B958" s="340"/>
      <c r="C958" s="340"/>
      <c r="D958" s="340"/>
      <c r="E958" s="340"/>
      <c r="F958" s="340"/>
      <c r="G958" s="340"/>
      <c r="H958" s="340"/>
      <c r="I958" s="340"/>
      <c r="J958" s="340"/>
      <c r="K958" s="340"/>
      <c r="L958" s="340"/>
      <c r="M958" s="340"/>
      <c r="N958" s="340"/>
      <c r="O958" s="340"/>
      <c r="P958" s="340"/>
      <c r="Q958" s="340"/>
      <c r="R958" s="340"/>
      <c r="S958" s="340"/>
      <c r="T958" s="340"/>
      <c r="U958" s="340"/>
      <c r="V958" s="340"/>
      <c r="W958" s="340"/>
      <c r="X958" s="340"/>
      <c r="Y958" s="340"/>
      <c r="Z958" s="340"/>
    </row>
    <row r="959" spans="1:26" ht="14.25" customHeight="1">
      <c r="A959" s="340"/>
      <c r="B959" s="340"/>
      <c r="C959" s="340"/>
      <c r="D959" s="340"/>
      <c r="E959" s="340"/>
      <c r="F959" s="340"/>
      <c r="G959" s="340"/>
      <c r="H959" s="340"/>
      <c r="I959" s="340"/>
      <c r="J959" s="340"/>
      <c r="K959" s="340"/>
      <c r="L959" s="340"/>
      <c r="M959" s="340"/>
      <c r="N959" s="340"/>
      <c r="O959" s="340"/>
      <c r="P959" s="340"/>
      <c r="Q959" s="340"/>
      <c r="R959" s="340"/>
      <c r="S959" s="340"/>
      <c r="T959" s="340"/>
      <c r="U959" s="340"/>
      <c r="V959" s="340"/>
      <c r="W959" s="340"/>
      <c r="X959" s="340"/>
      <c r="Y959" s="340"/>
      <c r="Z959" s="340"/>
    </row>
    <row r="960" spans="1:26" ht="14.25" customHeight="1">
      <c r="A960" s="340"/>
      <c r="B960" s="340"/>
      <c r="C960" s="340"/>
      <c r="D960" s="340"/>
      <c r="E960" s="340"/>
      <c r="F960" s="340"/>
      <c r="G960" s="340"/>
      <c r="H960" s="340"/>
      <c r="I960" s="340"/>
      <c r="J960" s="340"/>
      <c r="K960" s="340"/>
      <c r="L960" s="340"/>
      <c r="M960" s="340"/>
      <c r="N960" s="340"/>
      <c r="O960" s="340"/>
      <c r="P960" s="340"/>
      <c r="Q960" s="340"/>
      <c r="R960" s="340"/>
      <c r="S960" s="340"/>
      <c r="T960" s="340"/>
      <c r="U960" s="340"/>
      <c r="V960" s="340"/>
      <c r="W960" s="340"/>
      <c r="X960" s="340"/>
      <c r="Y960" s="340"/>
      <c r="Z960" s="340"/>
    </row>
    <row r="961" spans="1:26" ht="14.25" customHeight="1">
      <c r="A961" s="340"/>
      <c r="B961" s="340"/>
      <c r="C961" s="340"/>
      <c r="D961" s="340"/>
      <c r="E961" s="340"/>
      <c r="F961" s="340"/>
      <c r="G961" s="340"/>
      <c r="H961" s="340"/>
      <c r="I961" s="340"/>
      <c r="J961" s="340"/>
      <c r="K961" s="340"/>
      <c r="L961" s="340"/>
      <c r="M961" s="340"/>
      <c r="N961" s="340"/>
      <c r="O961" s="340"/>
      <c r="P961" s="340"/>
      <c r="Q961" s="340"/>
      <c r="R961" s="340"/>
      <c r="S961" s="340"/>
      <c r="T961" s="340"/>
      <c r="U961" s="340"/>
      <c r="V961" s="340"/>
      <c r="W961" s="340"/>
      <c r="X961" s="340"/>
      <c r="Y961" s="340"/>
      <c r="Z961" s="340"/>
    </row>
    <row r="962" spans="1:26" ht="14.25" customHeight="1">
      <c r="A962" s="340"/>
      <c r="B962" s="340"/>
      <c r="C962" s="340"/>
      <c r="D962" s="340"/>
      <c r="E962" s="340"/>
      <c r="F962" s="340"/>
      <c r="G962" s="340"/>
      <c r="H962" s="340"/>
      <c r="I962" s="340"/>
      <c r="J962" s="340"/>
      <c r="K962" s="340"/>
      <c r="L962" s="340"/>
      <c r="M962" s="340"/>
      <c r="N962" s="340"/>
      <c r="O962" s="340"/>
      <c r="P962" s="340"/>
      <c r="Q962" s="340"/>
      <c r="R962" s="340"/>
      <c r="S962" s="340"/>
      <c r="T962" s="340"/>
      <c r="U962" s="340"/>
      <c r="V962" s="340"/>
      <c r="W962" s="340"/>
      <c r="X962" s="340"/>
      <c r="Y962" s="340"/>
      <c r="Z962" s="340"/>
    </row>
    <row r="963" spans="1:26" ht="14.25" customHeight="1">
      <c r="A963" s="340"/>
      <c r="B963" s="340"/>
      <c r="C963" s="340"/>
      <c r="D963" s="340"/>
      <c r="E963" s="340"/>
      <c r="F963" s="340"/>
      <c r="G963" s="340"/>
      <c r="H963" s="340"/>
      <c r="I963" s="340"/>
      <c r="J963" s="340"/>
      <c r="K963" s="340"/>
      <c r="L963" s="340"/>
      <c r="M963" s="340"/>
      <c r="N963" s="340"/>
      <c r="O963" s="340"/>
      <c r="P963" s="340"/>
      <c r="Q963" s="340"/>
      <c r="R963" s="340"/>
      <c r="S963" s="340"/>
      <c r="T963" s="340"/>
      <c r="U963" s="340"/>
      <c r="V963" s="340"/>
      <c r="W963" s="340"/>
      <c r="X963" s="340"/>
      <c r="Y963" s="340"/>
      <c r="Z963" s="340"/>
    </row>
    <row r="964" spans="1:26" ht="14.25" customHeight="1">
      <c r="A964" s="340"/>
      <c r="B964" s="340"/>
      <c r="C964" s="340"/>
      <c r="D964" s="340"/>
      <c r="E964" s="340"/>
      <c r="F964" s="340"/>
      <c r="G964" s="340"/>
      <c r="H964" s="340"/>
      <c r="I964" s="340"/>
      <c r="J964" s="340"/>
      <c r="K964" s="340"/>
      <c r="L964" s="340"/>
      <c r="M964" s="340"/>
      <c r="N964" s="340"/>
      <c r="O964" s="340"/>
      <c r="P964" s="340"/>
      <c r="Q964" s="340"/>
      <c r="R964" s="340"/>
      <c r="S964" s="340"/>
      <c r="T964" s="340"/>
      <c r="U964" s="340"/>
      <c r="V964" s="340"/>
      <c r="W964" s="340"/>
      <c r="X964" s="340"/>
      <c r="Y964" s="340"/>
      <c r="Z964" s="340"/>
    </row>
    <row r="965" spans="1:26" ht="14.25" customHeight="1">
      <c r="A965" s="340"/>
      <c r="B965" s="340"/>
      <c r="C965" s="340"/>
      <c r="D965" s="340"/>
      <c r="E965" s="340"/>
      <c r="F965" s="340"/>
      <c r="G965" s="340"/>
      <c r="H965" s="340"/>
      <c r="I965" s="340"/>
      <c r="J965" s="340"/>
      <c r="K965" s="340"/>
      <c r="L965" s="340"/>
      <c r="M965" s="340"/>
      <c r="N965" s="340"/>
      <c r="O965" s="340"/>
      <c r="P965" s="340"/>
      <c r="Q965" s="340"/>
      <c r="R965" s="340"/>
      <c r="S965" s="340"/>
      <c r="T965" s="340"/>
      <c r="U965" s="340"/>
      <c r="V965" s="340"/>
      <c r="W965" s="340"/>
      <c r="X965" s="340"/>
      <c r="Y965" s="340"/>
      <c r="Z965" s="340"/>
    </row>
    <row r="966" spans="1:26" ht="14.25" customHeight="1">
      <c r="A966" s="340"/>
      <c r="B966" s="340"/>
      <c r="C966" s="340"/>
      <c r="D966" s="340"/>
      <c r="E966" s="340"/>
      <c r="F966" s="340"/>
      <c r="G966" s="340"/>
      <c r="H966" s="340"/>
      <c r="I966" s="340"/>
      <c r="J966" s="340"/>
      <c r="K966" s="340"/>
      <c r="L966" s="340"/>
      <c r="M966" s="340"/>
      <c r="N966" s="340"/>
      <c r="O966" s="340"/>
      <c r="P966" s="340"/>
      <c r="Q966" s="340"/>
      <c r="R966" s="340"/>
      <c r="S966" s="340"/>
      <c r="T966" s="340"/>
      <c r="U966" s="340"/>
      <c r="V966" s="340"/>
      <c r="W966" s="340"/>
      <c r="X966" s="340"/>
      <c r="Y966" s="340"/>
      <c r="Z966" s="340"/>
    </row>
    <row r="967" spans="1:26" ht="14.25" customHeight="1">
      <c r="A967" s="340"/>
      <c r="B967" s="340"/>
      <c r="C967" s="340"/>
      <c r="D967" s="340"/>
      <c r="E967" s="340"/>
      <c r="F967" s="340"/>
      <c r="G967" s="340"/>
      <c r="H967" s="340"/>
      <c r="I967" s="340"/>
      <c r="J967" s="340"/>
      <c r="K967" s="340"/>
      <c r="L967" s="340"/>
      <c r="M967" s="340"/>
      <c r="N967" s="340"/>
      <c r="O967" s="340"/>
      <c r="P967" s="340"/>
      <c r="Q967" s="340"/>
      <c r="R967" s="340"/>
      <c r="S967" s="340"/>
      <c r="T967" s="340"/>
      <c r="U967" s="340"/>
      <c r="V967" s="340"/>
      <c r="W967" s="340"/>
      <c r="X967" s="340"/>
      <c r="Y967" s="340"/>
      <c r="Z967" s="340"/>
    </row>
    <row r="968" spans="1:26" ht="14.25" customHeight="1">
      <c r="A968" s="340"/>
      <c r="B968" s="340"/>
      <c r="C968" s="340"/>
      <c r="D968" s="340"/>
      <c r="E968" s="340"/>
      <c r="F968" s="340"/>
      <c r="G968" s="340"/>
      <c r="H968" s="340"/>
      <c r="I968" s="340"/>
      <c r="J968" s="340"/>
      <c r="K968" s="340"/>
      <c r="L968" s="340"/>
      <c r="M968" s="340"/>
      <c r="N968" s="340"/>
      <c r="O968" s="340"/>
      <c r="P968" s="340"/>
      <c r="Q968" s="340"/>
      <c r="R968" s="340"/>
      <c r="S968" s="340"/>
      <c r="T968" s="340"/>
      <c r="U968" s="340"/>
      <c r="V968" s="340"/>
      <c r="W968" s="340"/>
      <c r="X968" s="340"/>
      <c r="Y968" s="340"/>
      <c r="Z968" s="340"/>
    </row>
    <row r="969" spans="1:26" ht="14.25" customHeight="1">
      <c r="A969" s="340"/>
      <c r="B969" s="340"/>
      <c r="C969" s="340"/>
      <c r="D969" s="340"/>
      <c r="E969" s="340"/>
      <c r="F969" s="340"/>
      <c r="G969" s="340"/>
      <c r="H969" s="340"/>
      <c r="I969" s="340"/>
      <c r="J969" s="340"/>
      <c r="K969" s="340"/>
      <c r="L969" s="340"/>
      <c r="M969" s="340"/>
      <c r="N969" s="340"/>
      <c r="O969" s="340"/>
      <c r="P969" s="340"/>
      <c r="Q969" s="340"/>
      <c r="R969" s="340"/>
      <c r="S969" s="340"/>
      <c r="T969" s="340"/>
      <c r="U969" s="340"/>
      <c r="V969" s="340"/>
      <c r="W969" s="340"/>
      <c r="X969" s="340"/>
      <c r="Y969" s="340"/>
      <c r="Z969" s="340"/>
    </row>
    <row r="970" spans="1:26" ht="14.25" customHeight="1">
      <c r="A970" s="340"/>
      <c r="B970" s="340"/>
      <c r="C970" s="340"/>
      <c r="D970" s="340"/>
      <c r="E970" s="340"/>
      <c r="F970" s="340"/>
      <c r="G970" s="340"/>
      <c r="H970" s="340"/>
      <c r="I970" s="340"/>
      <c r="J970" s="340"/>
      <c r="K970" s="340"/>
      <c r="L970" s="340"/>
      <c r="M970" s="340"/>
      <c r="N970" s="340"/>
      <c r="O970" s="340"/>
      <c r="P970" s="340"/>
      <c r="Q970" s="340"/>
      <c r="R970" s="340"/>
      <c r="S970" s="340"/>
      <c r="T970" s="340"/>
      <c r="U970" s="340"/>
      <c r="V970" s="340"/>
      <c r="W970" s="340"/>
      <c r="X970" s="340"/>
      <c r="Y970" s="340"/>
      <c r="Z970" s="340"/>
    </row>
    <row r="971" spans="1:26" ht="14.25" customHeight="1">
      <c r="A971" s="340"/>
      <c r="B971" s="340"/>
      <c r="C971" s="340"/>
      <c r="D971" s="340"/>
      <c r="E971" s="340"/>
      <c r="F971" s="340"/>
      <c r="G971" s="340"/>
      <c r="H971" s="340"/>
      <c r="I971" s="340"/>
      <c r="J971" s="340"/>
      <c r="K971" s="340"/>
      <c r="L971" s="340"/>
      <c r="M971" s="340"/>
      <c r="N971" s="340"/>
      <c r="O971" s="340"/>
      <c r="P971" s="340"/>
      <c r="Q971" s="340"/>
      <c r="R971" s="340"/>
      <c r="S971" s="340"/>
      <c r="T971" s="340"/>
      <c r="U971" s="340"/>
      <c r="V971" s="340"/>
      <c r="W971" s="340"/>
      <c r="X971" s="340"/>
      <c r="Y971" s="340"/>
      <c r="Z971" s="340"/>
    </row>
    <row r="972" spans="1:26" ht="14.25" customHeight="1">
      <c r="A972" s="340"/>
      <c r="B972" s="340"/>
      <c r="C972" s="340"/>
      <c r="D972" s="340"/>
      <c r="E972" s="340"/>
      <c r="F972" s="340"/>
      <c r="G972" s="340"/>
      <c r="H972" s="340"/>
      <c r="I972" s="340"/>
      <c r="J972" s="340"/>
      <c r="K972" s="340"/>
      <c r="L972" s="340"/>
      <c r="M972" s="340"/>
      <c r="N972" s="340"/>
      <c r="O972" s="340"/>
      <c r="P972" s="340"/>
      <c r="Q972" s="340"/>
      <c r="R972" s="340"/>
      <c r="S972" s="340"/>
      <c r="T972" s="340"/>
      <c r="U972" s="340"/>
      <c r="V972" s="340"/>
      <c r="W972" s="340"/>
      <c r="X972" s="340"/>
      <c r="Y972" s="340"/>
      <c r="Z972" s="340"/>
    </row>
    <row r="973" spans="1:26" ht="14.25" customHeight="1">
      <c r="A973" s="340"/>
      <c r="B973" s="340"/>
      <c r="C973" s="340"/>
      <c r="D973" s="340"/>
      <c r="E973" s="340"/>
      <c r="F973" s="340"/>
      <c r="G973" s="340"/>
      <c r="H973" s="340"/>
      <c r="I973" s="340"/>
      <c r="J973" s="340"/>
      <c r="K973" s="340"/>
      <c r="L973" s="340"/>
      <c r="M973" s="340"/>
      <c r="N973" s="340"/>
      <c r="O973" s="340"/>
      <c r="P973" s="340"/>
      <c r="Q973" s="340"/>
      <c r="R973" s="340"/>
      <c r="S973" s="340"/>
      <c r="T973" s="340"/>
      <c r="U973" s="340"/>
      <c r="V973" s="340"/>
      <c r="W973" s="340"/>
      <c r="X973" s="340"/>
      <c r="Y973" s="340"/>
      <c r="Z973" s="340"/>
    </row>
    <row r="974" spans="1:26" ht="14.25" customHeight="1">
      <c r="A974" s="340"/>
      <c r="B974" s="340"/>
      <c r="C974" s="340"/>
      <c r="D974" s="340"/>
      <c r="E974" s="340"/>
      <c r="F974" s="340"/>
      <c r="G974" s="340"/>
      <c r="H974" s="340"/>
      <c r="I974" s="340"/>
      <c r="J974" s="340"/>
      <c r="K974" s="340"/>
      <c r="L974" s="340"/>
      <c r="M974" s="340"/>
      <c r="N974" s="340"/>
      <c r="O974" s="340"/>
      <c r="P974" s="340"/>
      <c r="Q974" s="340"/>
      <c r="R974" s="340"/>
      <c r="S974" s="340"/>
      <c r="T974" s="340"/>
      <c r="U974" s="340"/>
      <c r="V974" s="340"/>
      <c r="W974" s="340"/>
      <c r="X974" s="340"/>
      <c r="Y974" s="340"/>
      <c r="Z974" s="340"/>
    </row>
    <row r="975" spans="1:26" ht="14.25" customHeight="1">
      <c r="A975" s="340"/>
      <c r="B975" s="340"/>
      <c r="C975" s="340"/>
      <c r="D975" s="340"/>
      <c r="E975" s="340"/>
      <c r="F975" s="340"/>
      <c r="G975" s="340"/>
      <c r="H975" s="340"/>
      <c r="I975" s="340"/>
      <c r="J975" s="340"/>
      <c r="K975" s="340"/>
      <c r="L975" s="340"/>
      <c r="M975" s="340"/>
      <c r="N975" s="340"/>
      <c r="O975" s="340"/>
      <c r="P975" s="340"/>
      <c r="Q975" s="340"/>
      <c r="R975" s="340"/>
      <c r="S975" s="340"/>
      <c r="T975" s="340"/>
      <c r="U975" s="340"/>
      <c r="V975" s="340"/>
      <c r="W975" s="340"/>
      <c r="X975" s="340"/>
      <c r="Y975" s="340"/>
      <c r="Z975" s="340"/>
    </row>
    <row r="976" spans="1:26" ht="14.25" customHeight="1">
      <c r="A976" s="340"/>
      <c r="B976" s="340"/>
      <c r="C976" s="340"/>
      <c r="D976" s="340"/>
      <c r="E976" s="340"/>
      <c r="F976" s="340"/>
      <c r="G976" s="340"/>
      <c r="H976" s="340"/>
      <c r="I976" s="340"/>
      <c r="J976" s="340"/>
      <c r="K976" s="340"/>
      <c r="L976" s="340"/>
      <c r="M976" s="340"/>
      <c r="N976" s="340"/>
      <c r="O976" s="340"/>
      <c r="P976" s="340"/>
      <c r="Q976" s="340"/>
      <c r="R976" s="340"/>
      <c r="S976" s="340"/>
      <c r="T976" s="340"/>
      <c r="U976" s="340"/>
      <c r="V976" s="340"/>
      <c r="W976" s="340"/>
      <c r="X976" s="340"/>
      <c r="Y976" s="340"/>
      <c r="Z976" s="340"/>
    </row>
    <row r="977" spans="1:26" ht="14.25" customHeight="1">
      <c r="A977" s="340"/>
      <c r="B977" s="340"/>
      <c r="C977" s="340"/>
      <c r="D977" s="340"/>
      <c r="E977" s="340"/>
      <c r="F977" s="340"/>
      <c r="G977" s="340"/>
      <c r="H977" s="340"/>
      <c r="I977" s="340"/>
      <c r="J977" s="340"/>
      <c r="K977" s="340"/>
      <c r="L977" s="340"/>
      <c r="M977" s="340"/>
      <c r="N977" s="340"/>
      <c r="O977" s="340"/>
      <c r="P977" s="340"/>
      <c r="Q977" s="340"/>
      <c r="R977" s="340"/>
      <c r="S977" s="340"/>
      <c r="T977" s="340"/>
      <c r="U977" s="340"/>
      <c r="V977" s="340"/>
      <c r="W977" s="340"/>
      <c r="X977" s="340"/>
      <c r="Y977" s="340"/>
      <c r="Z977" s="340"/>
    </row>
    <row r="978" spans="1:26" ht="14.25" customHeight="1">
      <c r="A978" s="340"/>
      <c r="B978" s="340"/>
      <c r="C978" s="340"/>
      <c r="D978" s="340"/>
      <c r="E978" s="340"/>
      <c r="F978" s="340"/>
      <c r="G978" s="340"/>
      <c r="H978" s="340"/>
      <c r="I978" s="340"/>
      <c r="J978" s="340"/>
      <c r="K978" s="340"/>
      <c r="L978" s="340"/>
      <c r="M978" s="340"/>
      <c r="N978" s="340"/>
      <c r="O978" s="340"/>
      <c r="P978" s="340"/>
      <c r="Q978" s="340"/>
      <c r="R978" s="340"/>
      <c r="S978" s="340"/>
      <c r="T978" s="340"/>
      <c r="U978" s="340"/>
      <c r="V978" s="340"/>
      <c r="W978" s="340"/>
      <c r="X978" s="340"/>
      <c r="Y978" s="340"/>
      <c r="Z978" s="340"/>
    </row>
    <row r="979" spans="1:26" ht="14.25" customHeight="1">
      <c r="A979" s="340"/>
      <c r="B979" s="340"/>
      <c r="C979" s="340"/>
      <c r="D979" s="340"/>
      <c r="E979" s="340"/>
      <c r="F979" s="340"/>
      <c r="G979" s="340"/>
      <c r="H979" s="340"/>
      <c r="I979" s="340"/>
      <c r="J979" s="340"/>
      <c r="K979" s="340"/>
      <c r="L979" s="340"/>
      <c r="M979" s="340"/>
      <c r="N979" s="340"/>
      <c r="O979" s="340"/>
      <c r="P979" s="340"/>
      <c r="Q979" s="340"/>
      <c r="R979" s="340"/>
      <c r="S979" s="340"/>
      <c r="T979" s="340"/>
      <c r="U979" s="340"/>
      <c r="V979" s="340"/>
      <c r="W979" s="340"/>
      <c r="X979" s="340"/>
      <c r="Y979" s="340"/>
      <c r="Z979" s="340"/>
    </row>
    <row r="980" spans="1:26" ht="14.25" customHeight="1">
      <c r="A980" s="340"/>
      <c r="B980" s="340"/>
      <c r="C980" s="340"/>
      <c r="D980" s="340"/>
      <c r="E980" s="340"/>
      <c r="F980" s="340"/>
      <c r="G980" s="340"/>
      <c r="H980" s="340"/>
      <c r="I980" s="340"/>
      <c r="J980" s="340"/>
      <c r="K980" s="340"/>
      <c r="L980" s="340"/>
      <c r="M980" s="340"/>
      <c r="N980" s="340"/>
      <c r="O980" s="340"/>
      <c r="P980" s="340"/>
      <c r="Q980" s="340"/>
      <c r="R980" s="340"/>
      <c r="S980" s="340"/>
      <c r="T980" s="340"/>
      <c r="U980" s="340"/>
      <c r="V980" s="340"/>
      <c r="W980" s="340"/>
      <c r="X980" s="340"/>
      <c r="Y980" s="340"/>
      <c r="Z980" s="340"/>
    </row>
    <row r="981" spans="1:26" ht="14.25" customHeight="1">
      <c r="A981" s="340"/>
      <c r="B981" s="340"/>
      <c r="C981" s="340"/>
      <c r="D981" s="340"/>
      <c r="E981" s="340"/>
      <c r="F981" s="340"/>
      <c r="G981" s="340"/>
      <c r="H981" s="340"/>
      <c r="I981" s="340"/>
      <c r="J981" s="340"/>
      <c r="K981" s="340"/>
      <c r="L981" s="340"/>
      <c r="M981" s="340"/>
      <c r="N981" s="340"/>
      <c r="O981" s="340"/>
      <c r="P981" s="340"/>
      <c r="Q981" s="340"/>
      <c r="R981" s="340"/>
      <c r="S981" s="340"/>
      <c r="T981" s="340"/>
      <c r="U981" s="340"/>
      <c r="V981" s="340"/>
      <c r="W981" s="340"/>
      <c r="X981" s="340"/>
      <c r="Y981" s="340"/>
      <c r="Z981" s="340"/>
    </row>
    <row r="982" spans="1:26" ht="14.25" customHeight="1">
      <c r="A982" s="340"/>
      <c r="B982" s="340"/>
      <c r="C982" s="340"/>
      <c r="D982" s="340"/>
      <c r="E982" s="340"/>
      <c r="F982" s="340"/>
      <c r="G982" s="340"/>
      <c r="H982" s="340"/>
      <c r="I982" s="340"/>
      <c r="J982" s="340"/>
      <c r="K982" s="340"/>
      <c r="L982" s="340"/>
      <c r="M982" s="340"/>
      <c r="N982" s="340"/>
      <c r="O982" s="340"/>
      <c r="P982" s="340"/>
      <c r="Q982" s="340"/>
      <c r="R982" s="340"/>
      <c r="S982" s="340"/>
      <c r="T982" s="340"/>
      <c r="U982" s="340"/>
      <c r="V982" s="340"/>
      <c r="W982" s="340"/>
      <c r="X982" s="340"/>
      <c r="Y982" s="340"/>
      <c r="Z982" s="340"/>
    </row>
    <row r="983" spans="1:26" ht="14.25" customHeight="1">
      <c r="A983" s="340"/>
      <c r="B983" s="340"/>
      <c r="C983" s="340"/>
      <c r="D983" s="340"/>
      <c r="E983" s="340"/>
      <c r="F983" s="340"/>
      <c r="G983" s="340"/>
      <c r="H983" s="340"/>
      <c r="I983" s="340"/>
      <c r="J983" s="340"/>
      <c r="K983" s="340"/>
      <c r="L983" s="340"/>
      <c r="M983" s="340"/>
      <c r="N983" s="340"/>
      <c r="O983" s="340"/>
      <c r="P983" s="340"/>
      <c r="Q983" s="340"/>
      <c r="R983" s="340"/>
      <c r="S983" s="340"/>
      <c r="T983" s="340"/>
      <c r="U983" s="340"/>
      <c r="V983" s="340"/>
      <c r="W983" s="340"/>
      <c r="X983" s="340"/>
      <c r="Y983" s="340"/>
      <c r="Z983" s="340"/>
    </row>
    <row r="984" spans="1:26" ht="14.25" customHeight="1">
      <c r="A984" s="340"/>
      <c r="B984" s="340"/>
      <c r="C984" s="340"/>
      <c r="D984" s="340"/>
      <c r="E984" s="340"/>
      <c r="F984" s="340"/>
      <c r="G984" s="340"/>
      <c r="H984" s="340"/>
      <c r="I984" s="340"/>
      <c r="J984" s="340"/>
      <c r="K984" s="340"/>
      <c r="L984" s="340"/>
      <c r="M984" s="340"/>
      <c r="N984" s="340"/>
      <c r="O984" s="340"/>
      <c r="P984" s="340"/>
      <c r="Q984" s="340"/>
      <c r="R984" s="340"/>
      <c r="S984" s="340"/>
      <c r="T984" s="340"/>
      <c r="U984" s="340"/>
      <c r="V984" s="340"/>
      <c r="W984" s="340"/>
      <c r="X984" s="340"/>
      <c r="Y984" s="340"/>
      <c r="Z984" s="340"/>
    </row>
    <row r="985" spans="1:26" ht="14.25" customHeight="1">
      <c r="A985" s="340"/>
      <c r="B985" s="340"/>
      <c r="C985" s="340"/>
      <c r="D985" s="340"/>
      <c r="E985" s="340"/>
      <c r="F985" s="340"/>
      <c r="G985" s="340"/>
      <c r="H985" s="340"/>
      <c r="I985" s="340"/>
      <c r="J985" s="340"/>
      <c r="K985" s="340"/>
      <c r="L985" s="340"/>
      <c r="M985" s="340"/>
      <c r="N985" s="340"/>
      <c r="O985" s="340"/>
      <c r="P985" s="340"/>
      <c r="Q985" s="340"/>
      <c r="R985" s="340"/>
      <c r="S985" s="340"/>
      <c r="T985" s="340"/>
      <c r="U985" s="340"/>
      <c r="V985" s="340"/>
      <c r="W985" s="340"/>
      <c r="X985" s="340"/>
      <c r="Y985" s="340"/>
      <c r="Z985" s="340"/>
    </row>
    <row r="986" spans="1:26" ht="14.25" customHeight="1">
      <c r="A986" s="340"/>
      <c r="B986" s="340"/>
      <c r="C986" s="340"/>
      <c r="D986" s="340"/>
      <c r="E986" s="340"/>
      <c r="F986" s="340"/>
      <c r="G986" s="340"/>
      <c r="H986" s="340"/>
      <c r="I986" s="340"/>
      <c r="J986" s="340"/>
      <c r="K986" s="340"/>
      <c r="L986" s="340"/>
      <c r="M986" s="340"/>
      <c r="N986" s="340"/>
      <c r="O986" s="340"/>
      <c r="P986" s="340"/>
      <c r="Q986" s="340"/>
      <c r="R986" s="340"/>
      <c r="S986" s="340"/>
      <c r="T986" s="340"/>
      <c r="U986" s="340"/>
      <c r="V986" s="340"/>
      <c r="W986" s="340"/>
      <c r="X986" s="340"/>
      <c r="Y986" s="340"/>
      <c r="Z986" s="340"/>
    </row>
    <row r="987" spans="1:26" ht="14.25" customHeight="1">
      <c r="A987" s="340"/>
      <c r="B987" s="340"/>
      <c r="C987" s="340"/>
      <c r="D987" s="340"/>
      <c r="E987" s="340"/>
      <c r="F987" s="340"/>
      <c r="G987" s="340"/>
      <c r="H987" s="340"/>
      <c r="I987" s="340"/>
      <c r="J987" s="340"/>
      <c r="K987" s="340"/>
      <c r="L987" s="340"/>
      <c r="M987" s="340"/>
      <c r="N987" s="340"/>
      <c r="O987" s="340"/>
      <c r="P987" s="340"/>
      <c r="Q987" s="340"/>
      <c r="R987" s="340"/>
      <c r="S987" s="340"/>
      <c r="T987" s="340"/>
      <c r="U987" s="340"/>
      <c r="V987" s="340"/>
      <c r="W987" s="340"/>
      <c r="X987" s="340"/>
      <c r="Y987" s="340"/>
      <c r="Z987" s="340"/>
    </row>
    <row r="988" spans="1:26" ht="14.25" customHeight="1">
      <c r="A988" s="340"/>
      <c r="B988" s="340"/>
      <c r="C988" s="340"/>
      <c r="D988" s="340"/>
      <c r="E988" s="340"/>
      <c r="F988" s="340"/>
      <c r="G988" s="340"/>
      <c r="H988" s="340"/>
      <c r="I988" s="340"/>
      <c r="J988" s="340"/>
      <c r="K988" s="340"/>
      <c r="L988" s="340"/>
      <c r="M988" s="340"/>
      <c r="N988" s="340"/>
      <c r="O988" s="340"/>
      <c r="P988" s="340"/>
      <c r="Q988" s="340"/>
      <c r="R988" s="340"/>
      <c r="S988" s="340"/>
      <c r="T988" s="340"/>
      <c r="U988" s="340"/>
      <c r="V988" s="340"/>
      <c r="W988" s="340"/>
      <c r="X988" s="340"/>
      <c r="Y988" s="340"/>
      <c r="Z988" s="340"/>
    </row>
    <row r="989" spans="1:26" ht="14.25" customHeight="1">
      <c r="A989" s="340"/>
      <c r="B989" s="340"/>
      <c r="C989" s="340"/>
      <c r="D989" s="340"/>
      <c r="E989" s="340"/>
      <c r="F989" s="340"/>
      <c r="G989" s="340"/>
      <c r="H989" s="340"/>
      <c r="I989" s="340"/>
      <c r="J989" s="340"/>
      <c r="K989" s="340"/>
      <c r="L989" s="340"/>
      <c r="M989" s="340"/>
      <c r="N989" s="340"/>
      <c r="O989" s="340"/>
      <c r="P989" s="340"/>
      <c r="Q989" s="340"/>
      <c r="R989" s="340"/>
      <c r="S989" s="340"/>
      <c r="T989" s="340"/>
      <c r="U989" s="340"/>
      <c r="V989" s="340"/>
      <c r="W989" s="340"/>
      <c r="X989" s="340"/>
      <c r="Y989" s="340"/>
      <c r="Z989" s="340"/>
    </row>
    <row r="990" spans="1:26" ht="14.25" customHeight="1">
      <c r="A990" s="340"/>
      <c r="B990" s="340"/>
      <c r="C990" s="340"/>
      <c r="D990" s="340"/>
      <c r="E990" s="340"/>
      <c r="F990" s="340"/>
      <c r="G990" s="340"/>
      <c r="H990" s="340"/>
      <c r="I990" s="340"/>
      <c r="J990" s="340"/>
      <c r="K990" s="340"/>
      <c r="L990" s="340"/>
      <c r="M990" s="340"/>
      <c r="N990" s="340"/>
      <c r="O990" s="340"/>
      <c r="P990" s="340"/>
      <c r="Q990" s="340"/>
      <c r="R990" s="340"/>
      <c r="S990" s="340"/>
      <c r="T990" s="340"/>
      <c r="U990" s="340"/>
      <c r="V990" s="340"/>
      <c r="W990" s="340"/>
      <c r="X990" s="340"/>
      <c r="Y990" s="340"/>
      <c r="Z990" s="340"/>
    </row>
    <row r="991" spans="1:26" ht="14.25" customHeight="1">
      <c r="A991" s="340"/>
      <c r="B991" s="340"/>
      <c r="C991" s="340"/>
      <c r="D991" s="340"/>
      <c r="E991" s="340"/>
      <c r="F991" s="340"/>
      <c r="G991" s="340"/>
      <c r="H991" s="340"/>
      <c r="I991" s="340"/>
      <c r="J991" s="340"/>
      <c r="K991" s="340"/>
      <c r="L991" s="340"/>
      <c r="M991" s="340"/>
      <c r="N991" s="340"/>
      <c r="O991" s="340"/>
      <c r="P991" s="340"/>
      <c r="Q991" s="340"/>
      <c r="R991" s="340"/>
      <c r="S991" s="340"/>
      <c r="T991" s="340"/>
      <c r="U991" s="340"/>
      <c r="V991" s="340"/>
      <c r="W991" s="340"/>
      <c r="X991" s="340"/>
      <c r="Y991" s="340"/>
      <c r="Z991" s="340"/>
    </row>
    <row r="992" spans="1:26" ht="14.25" customHeight="1">
      <c r="A992" s="340"/>
      <c r="B992" s="340"/>
      <c r="C992" s="340"/>
      <c r="D992" s="340"/>
      <c r="E992" s="340"/>
      <c r="F992" s="340"/>
      <c r="G992" s="340"/>
      <c r="H992" s="340"/>
      <c r="I992" s="340"/>
      <c r="J992" s="340"/>
      <c r="K992" s="340"/>
      <c r="L992" s="340"/>
      <c r="M992" s="340"/>
      <c r="N992" s="340"/>
      <c r="O992" s="340"/>
      <c r="P992" s="340"/>
      <c r="Q992" s="340"/>
      <c r="R992" s="340"/>
      <c r="S992" s="340"/>
      <c r="T992" s="340"/>
      <c r="U992" s="340"/>
      <c r="V992" s="340"/>
      <c r="W992" s="340"/>
      <c r="X992" s="340"/>
      <c r="Y992" s="340"/>
      <c r="Z992" s="340"/>
    </row>
    <row r="993" spans="1:26" ht="14.25" customHeight="1">
      <c r="A993" s="340"/>
      <c r="B993" s="340"/>
      <c r="C993" s="340"/>
      <c r="D993" s="340"/>
      <c r="E993" s="340"/>
      <c r="F993" s="340"/>
      <c r="G993" s="340"/>
      <c r="H993" s="340"/>
      <c r="I993" s="340"/>
      <c r="J993" s="340"/>
      <c r="K993" s="340"/>
      <c r="L993" s="340"/>
      <c r="M993" s="340"/>
      <c r="N993" s="340"/>
      <c r="O993" s="340"/>
      <c r="P993" s="340"/>
      <c r="Q993" s="340"/>
      <c r="R993" s="340"/>
      <c r="S993" s="340"/>
      <c r="T993" s="340"/>
      <c r="U993" s="340"/>
      <c r="V993" s="340"/>
      <c r="W993" s="340"/>
      <c r="X993" s="340"/>
      <c r="Y993" s="340"/>
      <c r="Z993" s="340"/>
    </row>
    <row r="994" spans="1:26" ht="14.25" customHeight="1">
      <c r="A994" s="340"/>
      <c r="B994" s="340"/>
      <c r="C994" s="340"/>
      <c r="D994" s="340"/>
      <c r="E994" s="340"/>
      <c r="F994" s="340"/>
      <c r="G994" s="340"/>
      <c r="H994" s="340"/>
      <c r="I994" s="340"/>
      <c r="J994" s="340"/>
      <c r="K994" s="340"/>
      <c r="L994" s="340"/>
      <c r="M994" s="340"/>
      <c r="N994" s="340"/>
      <c r="O994" s="340"/>
      <c r="P994" s="340"/>
      <c r="Q994" s="340"/>
      <c r="R994" s="340"/>
      <c r="S994" s="340"/>
      <c r="T994" s="340"/>
      <c r="U994" s="340"/>
      <c r="V994" s="340"/>
      <c r="W994" s="340"/>
      <c r="X994" s="340"/>
      <c r="Y994" s="340"/>
      <c r="Z994" s="340"/>
    </row>
    <row r="995" spans="1:26" ht="14.25" customHeight="1">
      <c r="A995" s="340"/>
      <c r="B995" s="340"/>
      <c r="C995" s="340"/>
      <c r="D995" s="340"/>
      <c r="E995" s="340"/>
      <c r="F995" s="340"/>
      <c r="G995" s="340"/>
      <c r="H995" s="340"/>
      <c r="I995" s="340"/>
      <c r="J995" s="340"/>
      <c r="K995" s="340"/>
      <c r="L995" s="340"/>
      <c r="M995" s="340"/>
      <c r="N995" s="340"/>
      <c r="O995" s="340"/>
      <c r="P995" s="340"/>
      <c r="Q995" s="340"/>
      <c r="R995" s="340"/>
      <c r="S995" s="340"/>
      <c r="T995" s="340"/>
      <c r="U995" s="340"/>
      <c r="V995" s="340"/>
      <c r="W995" s="340"/>
      <c r="X995" s="340"/>
      <c r="Y995" s="340"/>
      <c r="Z995" s="340"/>
    </row>
    <row r="996" spans="1:26" ht="14.25" customHeight="1">
      <c r="A996" s="340"/>
      <c r="B996" s="340"/>
      <c r="C996" s="340"/>
      <c r="D996" s="340"/>
      <c r="E996" s="340"/>
      <c r="F996" s="340"/>
      <c r="G996" s="340"/>
      <c r="H996" s="340"/>
      <c r="I996" s="340"/>
      <c r="J996" s="340"/>
      <c r="K996" s="340"/>
      <c r="L996" s="340"/>
      <c r="M996" s="340"/>
      <c r="N996" s="340"/>
      <c r="O996" s="340"/>
      <c r="P996" s="340"/>
      <c r="Q996" s="340"/>
      <c r="R996" s="340"/>
      <c r="S996" s="340"/>
      <c r="T996" s="340"/>
      <c r="U996" s="340"/>
      <c r="V996" s="340"/>
      <c r="W996" s="340"/>
      <c r="X996" s="340"/>
      <c r="Y996" s="340"/>
      <c r="Z996" s="340"/>
    </row>
    <row r="997" spans="1:26" ht="14.25" customHeight="1">
      <c r="A997" s="340"/>
      <c r="B997" s="340"/>
      <c r="C997" s="340"/>
      <c r="D997" s="340"/>
      <c r="E997" s="340"/>
      <c r="F997" s="340"/>
      <c r="G997" s="340"/>
      <c r="H997" s="340"/>
      <c r="I997" s="340"/>
      <c r="J997" s="340"/>
      <c r="K997" s="340"/>
      <c r="L997" s="340"/>
      <c r="M997" s="340"/>
      <c r="N997" s="340"/>
      <c r="O997" s="340"/>
      <c r="P997" s="340"/>
      <c r="Q997" s="340"/>
      <c r="R997" s="340"/>
      <c r="S997" s="340"/>
      <c r="T997" s="340"/>
      <c r="U997" s="340"/>
      <c r="V997" s="340"/>
      <c r="W997" s="340"/>
      <c r="X997" s="340"/>
      <c r="Y997" s="340"/>
      <c r="Z997" s="340"/>
    </row>
    <row r="998" spans="1:26" ht="14.25" customHeight="1">
      <c r="A998" s="340"/>
      <c r="B998" s="340"/>
      <c r="C998" s="340"/>
      <c r="D998" s="340"/>
      <c r="E998" s="340"/>
      <c r="F998" s="340"/>
      <c r="G998" s="340"/>
      <c r="H998" s="340"/>
      <c r="I998" s="340"/>
      <c r="J998" s="340"/>
      <c r="K998" s="340"/>
      <c r="L998" s="340"/>
      <c r="M998" s="340"/>
      <c r="N998" s="340"/>
      <c r="O998" s="340"/>
      <c r="P998" s="340"/>
      <c r="Q998" s="340"/>
      <c r="R998" s="340"/>
      <c r="S998" s="340"/>
      <c r="T998" s="340"/>
      <c r="U998" s="340"/>
      <c r="V998" s="340"/>
      <c r="W998" s="340"/>
      <c r="X998" s="340"/>
      <c r="Y998" s="340"/>
      <c r="Z998" s="340"/>
    </row>
    <row r="999" spans="1:26" ht="14.25" customHeight="1">
      <c r="A999" s="340"/>
      <c r="B999" s="340"/>
      <c r="C999" s="340"/>
      <c r="D999" s="340"/>
      <c r="E999" s="340"/>
      <c r="F999" s="340"/>
      <c r="G999" s="340"/>
      <c r="H999" s="340"/>
      <c r="I999" s="340"/>
      <c r="J999" s="340"/>
      <c r="K999" s="340"/>
      <c r="L999" s="340"/>
      <c r="M999" s="340"/>
      <c r="N999" s="340"/>
      <c r="O999" s="340"/>
      <c r="P999" s="340"/>
      <c r="Q999" s="340"/>
      <c r="R999" s="340"/>
      <c r="S999" s="340"/>
      <c r="T999" s="340"/>
      <c r="U999" s="340"/>
      <c r="V999" s="340"/>
      <c r="W999" s="340"/>
      <c r="X999" s="340"/>
      <c r="Y999" s="340"/>
      <c r="Z999" s="340"/>
    </row>
    <row r="1000" spans="1:26" ht="14.25" customHeight="1">
      <c r="A1000" s="340"/>
      <c r="B1000" s="340"/>
      <c r="C1000" s="340"/>
      <c r="D1000" s="340"/>
      <c r="E1000" s="340"/>
      <c r="F1000" s="340"/>
      <c r="G1000" s="340"/>
      <c r="H1000" s="340"/>
      <c r="I1000" s="340"/>
      <c r="J1000" s="340"/>
      <c r="K1000" s="340"/>
      <c r="L1000" s="340"/>
      <c r="M1000" s="340"/>
      <c r="N1000" s="340"/>
      <c r="O1000" s="340"/>
      <c r="P1000" s="340"/>
      <c r="Q1000" s="340"/>
      <c r="R1000" s="340"/>
      <c r="S1000" s="340"/>
      <c r="T1000" s="340"/>
      <c r="U1000" s="340"/>
      <c r="V1000" s="340"/>
      <c r="W1000" s="340"/>
      <c r="X1000" s="340"/>
      <c r="Y1000" s="340"/>
      <c r="Z1000" s="340"/>
    </row>
  </sheetData>
  <mergeCells count="2">
    <mergeCell ref="M5:N5"/>
    <mergeCell ref="K42:Q44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/>
  <dimension ref="A1:X97"/>
  <sheetViews>
    <sheetView tabSelected="1" zoomScale="130" zoomScaleNormal="130" workbookViewId="0">
      <pane xSplit="1" ySplit="1" topLeftCell="S21" activePane="bottomRight" state="frozen"/>
      <selection pane="topRight" activeCell="B1" sqref="B1"/>
      <selection pane="bottomLeft" activeCell="A2" sqref="A2"/>
      <selection pane="bottomRight" activeCell="I34" sqref="I34"/>
    </sheetView>
  </sheetViews>
  <sheetFormatPr baseColWidth="10" defaultColWidth="8.83203125" defaultRowHeight="15"/>
  <cols>
    <col min="1" max="1" width="47.5" customWidth="1"/>
    <col min="2" max="2" width="6.6640625" customWidth="1"/>
    <col min="3" max="3" width="25.83203125" customWidth="1"/>
    <col min="4" max="4" width="21.33203125" hidden="1" customWidth="1"/>
    <col min="5" max="5" width="15.1640625" hidden="1" customWidth="1"/>
    <col min="6" max="6" width="15.5" hidden="1" customWidth="1"/>
    <col min="7" max="7" width="24.6640625" style="420" customWidth="1"/>
    <col min="8" max="8" width="20.33203125" style="437" customWidth="1"/>
    <col min="9" max="9" width="24.1640625" style="359" customWidth="1"/>
    <col min="10" max="10" width="26.33203125" style="130" customWidth="1"/>
    <col min="11" max="21" width="12.5" style="122" customWidth="1"/>
    <col min="22" max="22" width="17.83203125" style="122" customWidth="1"/>
    <col min="23" max="23" width="11.83203125" bestFit="1" customWidth="1"/>
  </cols>
  <sheetData>
    <row r="1" spans="1:23" s="1" customFormat="1">
      <c r="A1" s="120" t="s">
        <v>0</v>
      </c>
      <c r="B1" s="363"/>
      <c r="C1" s="121" t="s">
        <v>444</v>
      </c>
      <c r="D1" s="363" t="s">
        <v>1585</v>
      </c>
      <c r="E1" s="121" t="s">
        <v>138</v>
      </c>
      <c r="F1" s="121" t="s">
        <v>129</v>
      </c>
      <c r="G1" s="404" t="s">
        <v>1490</v>
      </c>
      <c r="H1" s="421" t="s">
        <v>1491</v>
      </c>
      <c r="I1" s="349" t="s">
        <v>117</v>
      </c>
      <c r="J1" s="158" t="s">
        <v>907</v>
      </c>
      <c r="K1" s="1" t="s">
        <v>21</v>
      </c>
      <c r="L1" s="1" t="s">
        <v>70</v>
      </c>
      <c r="M1" s="1" t="s">
        <v>67</v>
      </c>
      <c r="N1" s="1" t="s">
        <v>75</v>
      </c>
      <c r="O1" s="1" t="s">
        <v>81</v>
      </c>
      <c r="P1" s="1" t="s">
        <v>48</v>
      </c>
      <c r="Q1" s="1" t="s">
        <v>21</v>
      </c>
      <c r="R1" s="1" t="s">
        <v>70</v>
      </c>
      <c r="S1" s="1" t="s">
        <v>67</v>
      </c>
      <c r="T1" s="1" t="s">
        <v>75</v>
      </c>
      <c r="U1" s="1" t="s">
        <v>81</v>
      </c>
      <c r="V1" s="1" t="s">
        <v>48</v>
      </c>
    </row>
    <row r="2" spans="1:23" s="4" customFormat="1">
      <c r="A2" s="4" t="s">
        <v>381</v>
      </c>
      <c r="C2" s="124" t="s">
        <v>1511</v>
      </c>
      <c r="D2" s="364">
        <v>208375.3</v>
      </c>
      <c r="E2" s="4" t="s">
        <v>131</v>
      </c>
      <c r="F2" s="4" t="s">
        <v>130</v>
      </c>
      <c r="G2" s="405">
        <f t="array" ref="G2">IF(E2="Literature",INDEX(LiteratureCost!$I$2:$I$10,MATCH('Summary of unit costs'!A2,LiteratureCost!$A$2:$A$10,0)),INDEX(InterventionCosts!$L$1:$L$2363,MATCH(A2,IF(InterventionCosts!$F$1:$F$2363="Cost per intervention",InterventionCosts!$A$1:$A$2363),0)))</f>
        <v>5352.624756535216</v>
      </c>
      <c r="H2" s="422">
        <f t="shared" ref="H2:H35" si="0">G2/exrate</f>
        <v>286.84008764949715</v>
      </c>
      <c r="I2" s="124" t="str">
        <f t="array" ref="I2">IF(E2="Literature",INDEX(LiteratureCost!$G$2:$G$22,MATCH('Summary of unit costs'!A2,LiteratureCost!$A$2:$A$22,0)),INDEX(InterventionCosts!$L$1:$L$3432,MATCH(A2,IF(InterventionCosts!$F$1:$F$3432="Unit",InterventionCosts!$A$1:$A$3432),0)))</f>
        <v>per person per year</v>
      </c>
      <c r="J2" s="131">
        <f t="shared" ref="J2:J15" si="1">G2/SUM(Q2:V2)</f>
        <v>1</v>
      </c>
      <c r="K2" s="131">
        <f t="shared" ref="K2:P2" si="2">Q2/$G2</f>
        <v>0</v>
      </c>
      <c r="L2" s="131">
        <f t="shared" si="2"/>
        <v>0.24332171715399076</v>
      </c>
      <c r="M2" s="131">
        <f t="shared" si="2"/>
        <v>0</v>
      </c>
      <c r="N2" s="131">
        <f t="shared" si="2"/>
        <v>0.21593891022751829</v>
      </c>
      <c r="O2" s="131">
        <f t="shared" si="2"/>
        <v>0.12432271678731789</v>
      </c>
      <c r="P2" s="131">
        <f t="shared" si="2"/>
        <v>0.4164166558311731</v>
      </c>
      <c r="Q2" s="125">
        <f>SUMIFS(InterventionCosts!$K$2:$K$3432,InterventionCosts!$D$2:$D$3432,'Summary of unit costs'!Q$1,InterventionCosts!$A$2:$A$3432,'Summary of unit costs'!$A2)</f>
        <v>0</v>
      </c>
      <c r="R2" s="125">
        <f>SUMIFS(InterventionCosts!$K$2:$K$3432,InterventionCosts!$D$2:$D$3432,'Summary of unit costs'!R$1,InterventionCosts!$A$2:$A$3432,'Summary of unit costs'!$A2)</f>
        <v>1302.4098470411104</v>
      </c>
      <c r="S2" s="125">
        <f>SUMIFS(InterventionCosts!$K$2:$K$3432,InterventionCosts!$D$2:$D$3432,'Summary of unit costs'!S$1,InterventionCosts!$A$2:$A$3432,'Summary of unit costs'!$A2)</f>
        <v>0</v>
      </c>
      <c r="T2" s="125">
        <f>SUMIFS(InterventionCosts!$K$2:$K$3432,InterventionCosts!$D$2:$D$3432,'Summary of unit costs'!T$1,InterventionCosts!$A$2:$A$3432,'Summary of unit costs'!$A2)</f>
        <v>1155.83995678305</v>
      </c>
      <c r="U2" s="125">
        <f>SUMIFS(InterventionCosts!$K$2:$K$3432,InterventionCosts!$D$2:$D$3432,'Summary of unit costs'!U$1,InterventionCosts!$A$2:$A$3432,'Summary of unit costs'!$A2)</f>
        <v>665.45285167551401</v>
      </c>
      <c r="V2" s="125">
        <f>SUMIFS(InterventionCosts!$K$2:$K$3432,InterventionCosts!$D$2:$D$3432,'Summary of unit costs'!V$1,InterventionCosts!$A$2:$A$3432,'Summary of unit costs'!$A2)</f>
        <v>2228.9221010355418</v>
      </c>
      <c r="W2" s="126"/>
    </row>
    <row r="3" spans="1:23" s="4" customFormat="1">
      <c r="A3" s="4" t="s">
        <v>911</v>
      </c>
      <c r="C3" s="124" t="s">
        <v>1512</v>
      </c>
      <c r="D3" s="364">
        <f>5761850-D2</f>
        <v>5553474.7000000002</v>
      </c>
      <c r="E3" s="4" t="s">
        <v>131</v>
      </c>
      <c r="F3" s="4" t="s">
        <v>130</v>
      </c>
      <c r="G3" s="405">
        <f t="array" ref="G3">IF(E3="Literature",INDEX(LiteratureCost!$I$2:$I$10,MATCH('Summary of unit costs'!A3,LiteratureCost!$A$2:$A$10,0)),INDEX(InterventionCosts!$L$1:$L$2363,MATCH(A3,IF(InterventionCosts!$F$1:$F$2363="Cost per intervention",InterventionCosts!$A$1:$A$2363),0)))</f>
        <v>3346.5772749757316</v>
      </c>
      <c r="H3" s="422">
        <f t="shared" si="0"/>
        <v>179.33865393942239</v>
      </c>
      <c r="I3" s="124" t="str">
        <f t="array" ref="I3">IF(E3="Literature",INDEX(LiteratureCost!$G$2:$G$22,MATCH('Summary of unit costs'!A3,LiteratureCost!$A$2:$A$22,0)),INDEX(InterventionCosts!$L$1:$L$3432,MATCH(A3,IF(InterventionCosts!$F$1:$F$3432="Unit",InterventionCosts!$A$1:$A$3432),0)))</f>
        <v>per person per year</v>
      </c>
      <c r="J3" s="131">
        <f t="shared" si="1"/>
        <v>0.99999999999999978</v>
      </c>
      <c r="K3" s="131">
        <f t="shared" ref="K3:K15" si="3">Q3/$G3</f>
        <v>0</v>
      </c>
      <c r="L3" s="131">
        <f t="shared" ref="L3:L15" si="4">R3/$G3</f>
        <v>0.35555272873280125</v>
      </c>
      <c r="M3" s="131">
        <f t="shared" ref="M3:M15" si="5">S3/$G3</f>
        <v>0</v>
      </c>
      <c r="N3" s="131">
        <f t="shared" ref="N3:N15" si="6">T3/$G3</f>
        <v>0.18562701931139625</v>
      </c>
      <c r="O3" s="131">
        <f t="shared" ref="O3:O15" si="7">U3/$G3</f>
        <v>0.10548849062713231</v>
      </c>
      <c r="P3" s="131">
        <f t="shared" ref="P3:P15" si="8">V3/$G3</f>
        <v>0.35333176132867034</v>
      </c>
      <c r="Q3" s="125">
        <f>SUMIFS(InterventionCosts!$K$2:$K$3432,InterventionCosts!$D$2:$D$3432,'Summary of unit costs'!Q$1,InterventionCosts!$A$2:$A$3432,'Summary of unit costs'!$A3)</f>
        <v>0</v>
      </c>
      <c r="R3" s="125">
        <f>SUMIFS(InterventionCosts!$K$2:$K$3432,InterventionCosts!$D$2:$D$3432,'Summary of unit costs'!R$1,InterventionCosts!$A$2:$A$3432,'Summary of unit costs'!$A3)</f>
        <v>1189.8846820328035</v>
      </c>
      <c r="S3" s="125">
        <f>SUMIFS(InterventionCosts!$K$2:$K$3432,InterventionCosts!$D$2:$D$3432,'Summary of unit costs'!S$1,InterventionCosts!$A$2:$A$3432,'Summary of unit costs'!$A3)</f>
        <v>0</v>
      </c>
      <c r="T3" s="125">
        <f>SUMIFS(InterventionCosts!$K$2:$K$3432,InterventionCosts!$D$2:$D$3432,'Summary of unit costs'!T$1,InterventionCosts!$A$2:$A$3432,'Summary of unit costs'!$A3)</f>
        <v>621.21516444899999</v>
      </c>
      <c r="U3" s="125">
        <f>SUMIFS(InterventionCosts!$K$2:$K$3432,InterventionCosts!$D$2:$D$3432,'Summary of unit costs'!U$1,InterventionCosts!$A$2:$A$3432,'Summary of unit costs'!$A3)</f>
        <v>353.02538550425146</v>
      </c>
      <c r="V3" s="125">
        <f>SUMIFS(InterventionCosts!$K$2:$K$3432,InterventionCosts!$D$2:$D$3432,'Summary of unit costs'!V$1,InterventionCosts!$A$2:$A$3432,'Summary of unit costs'!$A3)</f>
        <v>1182.4520429896772</v>
      </c>
    </row>
    <row r="4" spans="1:23" s="4" customFormat="1">
      <c r="A4" s="4" t="s">
        <v>912</v>
      </c>
      <c r="C4" s="124" t="s">
        <v>1513</v>
      </c>
      <c r="D4" s="364">
        <v>577009</v>
      </c>
      <c r="E4" s="4" t="s">
        <v>131</v>
      </c>
      <c r="F4" s="4" t="s">
        <v>130</v>
      </c>
      <c r="G4" s="405">
        <f t="array" ref="G4">IF(E4="Literature",INDEX(LiteratureCost!$I$2:$I$10,MATCH('Summary of unit costs'!A4,LiteratureCost!$A$2:$A$10,0)),INDEX(InterventionCosts!$L$1:$L$2363,MATCH(A4,IF(InterventionCosts!$F$1:$F$2363="Cost per intervention",InterventionCosts!$A$1:$A$2363),0)))</f>
        <v>5882.5211210821844</v>
      </c>
      <c r="H4" s="422">
        <f t="shared" si="0"/>
        <v>315.23653361112099</v>
      </c>
      <c r="I4" s="124" t="str">
        <f t="array" ref="I4">IF(E4="Literature",INDEX(LiteratureCost!$G$2:$G$22,MATCH('Summary of unit costs'!A4,LiteratureCost!$A$2:$A$22,0)),INDEX(InterventionCosts!$L$1:$L$3432,MATCH(A4,IF(InterventionCosts!$F$1:$F$3432="Unit",InterventionCosts!$A$1:$A$3432),0)))</f>
        <v>per person per year</v>
      </c>
      <c r="J4" s="131">
        <f t="shared" si="1"/>
        <v>1.0000000000000002</v>
      </c>
      <c r="K4" s="131">
        <f t="shared" si="3"/>
        <v>0</v>
      </c>
      <c r="L4" s="131">
        <f t="shared" si="4"/>
        <v>0.48395471831641207</v>
      </c>
      <c r="M4" s="131">
        <f t="shared" si="5"/>
        <v>0</v>
      </c>
      <c r="N4" s="131">
        <f t="shared" si="6"/>
        <v>0.18976565665364553</v>
      </c>
      <c r="O4" s="131">
        <f t="shared" si="7"/>
        <v>7.5015749675563168E-2</v>
      </c>
      <c r="P4" s="131">
        <f t="shared" si="8"/>
        <v>0.25126387535437916</v>
      </c>
      <c r="Q4" s="125">
        <f>SUMIFS(InterventionCosts!$K$2:$K$3432,InterventionCosts!$D$2:$D$3432,'Summary of unit costs'!Q$1,InterventionCosts!$A$2:$A$3432,'Summary of unit costs'!$A4)</f>
        <v>0</v>
      </c>
      <c r="R4" s="125">
        <f>SUMIFS(InterventionCosts!$K$2:$K$3432,InterventionCosts!$D$2:$D$3432,'Summary of unit costs'!R$1,InterventionCosts!$A$2:$A$3432,'Summary of unit costs'!$A4)</f>
        <v>2846.873852143673</v>
      </c>
      <c r="S4" s="125">
        <f>SUMIFS(InterventionCosts!$K$2:$K$3432,InterventionCosts!$D$2:$D$3432,'Summary of unit costs'!S$1,InterventionCosts!$A$2:$A$3432,'Summary of unit costs'!$A4)</f>
        <v>0</v>
      </c>
      <c r="T4" s="125">
        <f>SUMIFS(InterventionCosts!$K$2:$K$3432,InterventionCosts!$D$2:$D$3432,'Summary of unit costs'!T$1,InterventionCosts!$A$2:$A$3432,'Summary of unit costs'!$A4)</f>
        <v>1116.3004833210998</v>
      </c>
      <c r="U4" s="125">
        <f>SUMIFS(InterventionCosts!$K$2:$K$3432,InterventionCosts!$D$2:$D$3432,'Summary of unit costs'!U$1,InterventionCosts!$A$2:$A$3432,'Summary of unit costs'!$A4)</f>
        <v>441.28173188031434</v>
      </c>
      <c r="V4" s="125">
        <f>SUMIFS(InterventionCosts!$K$2:$K$3432,InterventionCosts!$D$2:$D$3432,'Summary of unit costs'!V$1,InterventionCosts!$A$2:$A$3432,'Summary of unit costs'!$A4)</f>
        <v>1478.0650537370966</v>
      </c>
    </row>
    <row r="5" spans="1:23" s="365" customFormat="1">
      <c r="A5" s="365" t="s">
        <v>1582</v>
      </c>
      <c r="C5" s="366" t="s">
        <v>1583</v>
      </c>
      <c r="D5" s="367"/>
      <c r="E5" s="365" t="s">
        <v>131</v>
      </c>
      <c r="F5" s="365" t="s">
        <v>130</v>
      </c>
      <c r="G5" s="406">
        <f>SUMPRODUCT(G2:G4,$D$2:$D$4)/SUM($D$2:$D$4)</f>
        <v>3643.3614704409156</v>
      </c>
      <c r="H5" s="423">
        <f t="shared" si="0"/>
        <v>195.24292679850541</v>
      </c>
      <c r="I5" s="366" t="s">
        <v>937</v>
      </c>
      <c r="J5" s="368">
        <f t="shared" ref="J5" si="9">G5/SUM(Q5:V5)</f>
        <v>0.99999999999999989</v>
      </c>
      <c r="K5" s="368">
        <f t="shared" ref="K5" si="10">Q5/$G5</f>
        <v>0</v>
      </c>
      <c r="L5" s="368">
        <f t="shared" ref="L5" si="11">R5/$G5</f>
        <v>0.36900397882283975</v>
      </c>
      <c r="M5" s="368">
        <f t="shared" ref="M5" si="12">S5/$G5</f>
        <v>0</v>
      </c>
      <c r="N5" s="368">
        <f t="shared" ref="N5" si="13">T5/$G5</f>
        <v>0.18769918488329343</v>
      </c>
      <c r="O5" s="368">
        <f t="shared" ref="O5" si="14">U5/$G5</f>
        <v>0.10191946401905462</v>
      </c>
      <c r="P5" s="368">
        <f t="shared" ref="P5" si="15">V5/$G5</f>
        <v>0.34137737227481235</v>
      </c>
      <c r="Q5" s="369">
        <f t="shared" ref="Q5:V5" si="16">SUMPRODUCT(Q2:Q4,$D$2:$D$4)/SUM($D$2:$D$4)</f>
        <v>0</v>
      </c>
      <c r="R5" s="369">
        <f t="shared" si="16"/>
        <v>1344.4148788825298</v>
      </c>
      <c r="S5" s="369">
        <f t="shared" si="16"/>
        <v>0</v>
      </c>
      <c r="T5" s="369">
        <f t="shared" si="16"/>
        <v>683.85597823695718</v>
      </c>
      <c r="U5" s="369">
        <f t="shared" si="16"/>
        <v>371.32944829501281</v>
      </c>
      <c r="V5" s="369">
        <f t="shared" si="16"/>
        <v>1243.7611650264162</v>
      </c>
    </row>
    <row r="6" spans="1:23" s="4" customFormat="1">
      <c r="A6" s="4" t="s">
        <v>886</v>
      </c>
      <c r="C6" s="124" t="s">
        <v>1514</v>
      </c>
      <c r="D6" s="364"/>
      <c r="E6" s="4" t="s">
        <v>131</v>
      </c>
      <c r="F6" s="4" t="s">
        <v>130</v>
      </c>
      <c r="G6" s="405">
        <f t="array" ref="G6">IF(E6="Literature",INDEX(LiteratureCost!$I$2:$I$10,MATCH('Summary of unit costs'!A6,LiteratureCost!$A$2:$A$10,0)),INDEX(InterventionCosts!$L$1:$L$2363,MATCH(A6,IF(InterventionCosts!$F$1:$F$2363="Cost per intervention",InterventionCosts!$A$1:$A$2363),0)))</f>
        <v>1770.7361626239906</v>
      </c>
      <c r="H6" s="422">
        <f t="shared" si="0"/>
        <v>94.891411072869218</v>
      </c>
      <c r="I6" s="124" t="str">
        <f t="array" ref="I6">IF(E6="Literature",INDEX(LiteratureCost!$G$2:$G$22,MATCH('Summary of unit costs'!A6,LiteratureCost!$A$2:$A$22,0)),INDEX(InterventionCosts!$L$1:$L$3432,MATCH(A6,IF(InterventionCosts!$F$1:$F$3432="Unit",InterventionCosts!$A$1:$A$3432),0)))</f>
        <v>per person per year</v>
      </c>
      <c r="J6" s="131">
        <f t="shared" si="1"/>
        <v>0.99999999999999989</v>
      </c>
      <c r="K6" s="131">
        <f t="shared" si="3"/>
        <v>0</v>
      </c>
      <c r="L6" s="131">
        <f t="shared" si="4"/>
        <v>2.1150751341179309E-2</v>
      </c>
      <c r="M6" s="131">
        <f t="shared" si="5"/>
        <v>0</v>
      </c>
      <c r="N6" s="131">
        <f t="shared" si="6"/>
        <v>0.32849370971510827</v>
      </c>
      <c r="O6" s="131">
        <f t="shared" si="7"/>
        <v>0.14952483871783406</v>
      </c>
      <c r="P6" s="131">
        <f t="shared" si="8"/>
        <v>0.50083070022587839</v>
      </c>
      <c r="Q6" s="125">
        <f>SUMIFS(InterventionCosts!$K$2:$K$3432,InterventionCosts!$D$2:$D$3432,'Summary of unit costs'!Q$1,InterventionCosts!$A$2:$A$3432,'Summary of unit costs'!$A6)</f>
        <v>0</v>
      </c>
      <c r="R6" s="125">
        <f>SUMIFS(InterventionCosts!$K$2:$K$3432,InterventionCosts!$D$2:$D$3432,'Summary of unit costs'!R$1,InterventionCosts!$A$2:$A$3432,'Summary of unit costs'!$A6)</f>
        <v>37.452400266494074</v>
      </c>
      <c r="S6" s="125">
        <f>SUMIFS(InterventionCosts!$K$2:$K$3432,InterventionCosts!$D$2:$D$3432,'Summary of unit costs'!S$1,InterventionCosts!$A$2:$A$3432,'Summary of unit costs'!$A6)</f>
        <v>0</v>
      </c>
      <c r="T6" s="125">
        <f>SUMIFS(InterventionCosts!$K$2:$K$3432,InterventionCosts!$D$2:$D$3432,'Summary of unit costs'!T$1,InterventionCosts!$A$2:$A$3432,'Summary of unit costs'!$A6)</f>
        <v>581.67569098704996</v>
      </c>
      <c r="U6" s="125">
        <f>SUMIFS(InterventionCosts!$K$2:$K$3432,InterventionCosts!$D$2:$D$3432,'Summary of unit costs'!U$1,InterventionCosts!$A$2:$A$3432,'Summary of unit costs'!$A6)</f>
        <v>264.76903912818858</v>
      </c>
      <c r="V6" s="125">
        <f>SUMIFS(InterventionCosts!$K$2:$K$3432,InterventionCosts!$D$2:$D$3432,'Summary of unit costs'!V$1,InterventionCosts!$A$2:$A$3432,'Summary of unit costs'!$A6)</f>
        <v>886.8390322422581</v>
      </c>
    </row>
    <row r="7" spans="1:23" s="4" customFormat="1">
      <c r="A7" s="4" t="s">
        <v>1452</v>
      </c>
      <c r="C7" s="124" t="s">
        <v>1516</v>
      </c>
      <c r="D7" s="364">
        <v>702</v>
      </c>
      <c r="E7" s="4" t="s">
        <v>131</v>
      </c>
      <c r="F7" s="4" t="s">
        <v>130</v>
      </c>
      <c r="G7" s="405">
        <f t="array" ref="G7">IF(E7="Literature",INDEX(LiteratureCost!$I$2:$I$10,MATCH('Summary of unit costs'!A7,LiteratureCost!$A$2:$A$10,0)),INDEX(InterventionCosts!$L$1:$L$2363,MATCH(A7,IF(InterventionCosts!$F$1:$F$2363="Cost per intervention",InterventionCosts!$A$1:$A$2363),0)))</f>
        <v>5584.316802824098</v>
      </c>
      <c r="H7" s="422">
        <f t="shared" si="0"/>
        <v>299.25615824814179</v>
      </c>
      <c r="I7" s="124" t="str">
        <f t="array" ref="I7">IF(E7="Literature",INDEX(LiteratureCost!$G$2:$G$22,MATCH('Summary of unit costs'!A7,LiteratureCost!$A$2:$A$22,0)),INDEX(InterventionCosts!$L$1:$L$3432,MATCH(A7,IF(InterventionCosts!$F$1:$F$3432="Unit",InterventionCosts!$A$1:$A$3432),0)))</f>
        <v>per person per year</v>
      </c>
      <c r="J7" s="131">
        <f t="shared" si="1"/>
        <v>1</v>
      </c>
      <c r="K7" s="131">
        <f t="shared" si="3"/>
        <v>0</v>
      </c>
      <c r="L7" s="131">
        <f t="shared" si="4"/>
        <v>0.37753340893192183</v>
      </c>
      <c r="M7" s="131">
        <f t="shared" si="5"/>
        <v>0</v>
      </c>
      <c r="N7" s="131">
        <f t="shared" si="6"/>
        <v>0.10416237321866934</v>
      </c>
      <c r="O7" s="131">
        <f t="shared" si="7"/>
        <v>0.11916459527134662</v>
      </c>
      <c r="P7" s="131">
        <f t="shared" si="8"/>
        <v>0.39913962257806224</v>
      </c>
      <c r="Q7" s="125">
        <f>SUMIFS(InterventionCosts!$K$2:$K$3432,InterventionCosts!$D$2:$D$3432,'Summary of unit costs'!Q$1,InterventionCosts!$A$2:$A$3432,'Summary of unit costs'!$A7)</f>
        <v>0</v>
      </c>
      <c r="R7" s="125">
        <f>SUMIFS(InterventionCosts!$K$2:$K$3432,InterventionCosts!$D$2:$D$3432,'Summary of unit costs'!R$1,InterventionCosts!$A$2:$A$3432,'Summary of unit costs'!$A7)</f>
        <v>2108.2661591259925</v>
      </c>
      <c r="S7" s="125">
        <f>SUMIFS(InterventionCosts!$K$2:$K$3432,InterventionCosts!$D$2:$D$3432,'Summary of unit costs'!S$1,InterventionCosts!$A$2:$A$3432,'Summary of unit costs'!$A7)</f>
        <v>0</v>
      </c>
      <c r="T7" s="125">
        <f>SUMIFS(InterventionCosts!$K$2:$K$3432,InterventionCosts!$D$2:$D$3432,'Summary of unit costs'!T$1,InterventionCosts!$A$2:$A$3432,'Summary of unit costs'!$A7)</f>
        <v>581.67569098704996</v>
      </c>
      <c r="U7" s="125">
        <f>SUMIFS(InterventionCosts!$K$2:$K$3432,InterventionCosts!$D$2:$D$3432,'Summary of unit costs'!U$1,InterventionCosts!$A$2:$A$3432,'Summary of unit costs'!$A7)</f>
        <v>665.45285167551401</v>
      </c>
      <c r="V7" s="125">
        <f>SUMIFS(InterventionCosts!$K$2:$K$3432,InterventionCosts!$D$2:$D$3432,'Summary of unit costs'!V$1,InterventionCosts!$A$2:$A$3432,'Summary of unit costs'!$A7)</f>
        <v>2228.9221010355418</v>
      </c>
    </row>
    <row r="8" spans="1:23" s="4" customFormat="1">
      <c r="A8" s="4" t="s">
        <v>1453</v>
      </c>
      <c r="C8" s="124" t="s">
        <v>1515</v>
      </c>
      <c r="D8" s="364">
        <v>397</v>
      </c>
      <c r="E8" s="4" t="s">
        <v>131</v>
      </c>
      <c r="F8" s="4" t="s">
        <v>130</v>
      </c>
      <c r="G8" s="405">
        <f t="array" ref="G8">IF(E8="Literature",INDEX(LiteratureCost!$I$2:$I$10,MATCH('Summary of unit costs'!A8,LiteratureCost!$A$2:$A$10,0)),INDEX(InterventionCosts!$L$1:$L$2363,MATCH(A8,IF(InterventionCosts!$F$1:$F$2363="Cost per intervention",InterventionCosts!$A$1:$A$2363),0)))</f>
        <v>7995.9599898751985</v>
      </c>
      <c r="H8" s="422">
        <f t="shared" si="0"/>
        <v>428.49292985415809</v>
      </c>
      <c r="I8" s="124" t="str">
        <f t="array" ref="I8">IF(E8="Literature",INDEX(LiteratureCost!$G$2:$G$22,MATCH('Summary of unit costs'!A8,LiteratureCost!$A$2:$A$22,0)),INDEX(InterventionCosts!$L$1:$L$3432,MATCH(A8,IF(InterventionCosts!$F$1:$F$3432="Unit",InterventionCosts!$A$1:$A$3432),0)))</f>
        <v>per person per year</v>
      </c>
      <c r="J8" s="131">
        <f t="shared" si="1"/>
        <v>0.99999999999999978</v>
      </c>
      <c r="K8" s="131">
        <f t="shared" si="3"/>
        <v>0</v>
      </c>
      <c r="L8" s="131">
        <f t="shared" si="4"/>
        <v>0.50335719943588852</v>
      </c>
      <c r="M8" s="131">
        <f t="shared" si="5"/>
        <v>0</v>
      </c>
      <c r="N8" s="131">
        <f t="shared" si="6"/>
        <v>0.13466313128412191</v>
      </c>
      <c r="O8" s="131">
        <f t="shared" si="7"/>
        <v>8.32236345001897E-2</v>
      </c>
      <c r="P8" s="131">
        <f t="shared" si="8"/>
        <v>0.27875603477980021</v>
      </c>
      <c r="Q8" s="125">
        <f>SUMIFS(InterventionCosts!$K$2:$K$3432,InterventionCosts!$D$2:$D$3432,'Summary of unit costs'!Q$1,InterventionCosts!$A$2:$A$3432,'Summary of unit costs'!$A8)</f>
        <v>0</v>
      </c>
      <c r="R8" s="125">
        <f>SUMIFS(InterventionCosts!$K$2:$K$3432,InterventionCosts!$D$2:$D$3432,'Summary of unit costs'!R$1,InterventionCosts!$A$2:$A$3432,'Summary of unit costs'!$A8)</f>
        <v>4024.8240273049951</v>
      </c>
      <c r="S8" s="125">
        <f>SUMIFS(InterventionCosts!$K$2:$K$3432,InterventionCosts!$D$2:$D$3432,'Summary of unit costs'!S$1,InterventionCosts!$A$2:$A$3432,'Summary of unit costs'!$A8)</f>
        <v>0</v>
      </c>
      <c r="T8" s="125">
        <f>SUMIFS(InterventionCosts!$K$2:$K$3432,InterventionCosts!$D$2:$D$3432,'Summary of unit costs'!T$1,InterventionCosts!$A$2:$A$3432,'Summary of unit costs'!$A8)</f>
        <v>1076.7610098591499</v>
      </c>
      <c r="U8" s="125">
        <f>SUMIFS(InterventionCosts!$K$2:$K$3432,InterventionCosts!$D$2:$D$3432,'Summary of unit costs'!U$1,InterventionCosts!$A$2:$A$3432,'Summary of unit costs'!$A8)</f>
        <v>665.45285167551401</v>
      </c>
      <c r="V8" s="125">
        <f>SUMIFS(InterventionCosts!$K$2:$K$3432,InterventionCosts!$D$2:$D$3432,'Summary of unit costs'!V$1,InterventionCosts!$A$2:$A$3432,'Summary of unit costs'!$A8)</f>
        <v>2228.9221010355418</v>
      </c>
    </row>
    <row r="9" spans="1:23" s="4" customFormat="1">
      <c r="A9" s="4" t="s">
        <v>1454</v>
      </c>
      <c r="C9" s="124" t="s">
        <v>1517</v>
      </c>
      <c r="D9" s="364">
        <v>2795</v>
      </c>
      <c r="E9" s="4" t="s">
        <v>131</v>
      </c>
      <c r="F9" s="4" t="s">
        <v>130</v>
      </c>
      <c r="G9" s="405">
        <f t="array" ref="G9">IF(E9="Literature",INDEX(LiteratureCost!$I$2:$I$10,MATCH('Summary of unit costs'!A9,LiteratureCost!$A$2:$A$10,0)),INDEX(InterventionCosts!$L$1:$L$2363,MATCH(A9,IF(InterventionCosts!$F$1:$F$2363="Cost per intervention",InterventionCosts!$A$1:$A$2363),0)))</f>
        <v>6141.9771467859728</v>
      </c>
      <c r="H9" s="422">
        <f t="shared" si="0"/>
        <v>329.14043917879599</v>
      </c>
      <c r="I9" s="124" t="str">
        <f t="array" ref="I9">IF(E9="Literature",INDEX(LiteratureCost!$G$2:$G$22,MATCH('Summary of unit costs'!A9,LiteratureCost!$A$2:$A$22,0)),INDEX(InterventionCosts!$L$1:$L$3432,MATCH(A9,IF(InterventionCosts!$F$1:$F$3432="Unit",InterventionCosts!$A$1:$A$3432),0)))</f>
        <v>per person per year</v>
      </c>
      <c r="J9" s="131">
        <f t="shared" si="1"/>
        <v>0.99999999999999989</v>
      </c>
      <c r="K9" s="131">
        <f t="shared" si="3"/>
        <v>0</v>
      </c>
      <c r="L9" s="131">
        <f t="shared" si="4"/>
        <v>0.65529778622037693</v>
      </c>
      <c r="M9" s="131">
        <f t="shared" si="5"/>
        <v>0</v>
      </c>
      <c r="N9" s="131">
        <f t="shared" si="6"/>
        <v>9.4704958531380126E-2</v>
      </c>
      <c r="O9" s="131">
        <f t="shared" si="7"/>
        <v>5.7477482749831728E-2</v>
      </c>
      <c r="P9" s="131">
        <f t="shared" si="8"/>
        <v>0.19251977249841137</v>
      </c>
      <c r="Q9" s="125">
        <f>SUMIFS(InterventionCosts!$K$2:$K$3432,InterventionCosts!$D$2:$D$3432,'Summary of unit costs'!Q$1,InterventionCosts!$A$2:$A$3432,'Summary of unit costs'!$A9)</f>
        <v>0</v>
      </c>
      <c r="R9" s="125">
        <f>SUMIFS(InterventionCosts!$K$2:$K$3432,InterventionCosts!$D$2:$D$3432,'Summary of unit costs'!R$1,InterventionCosts!$A$2:$A$3432,'Summary of unit costs'!$A9)</f>
        <v>4024.8240273049951</v>
      </c>
      <c r="S9" s="125">
        <f>SUMIFS(InterventionCosts!$K$2:$K$3432,InterventionCosts!$D$2:$D$3432,'Summary of unit costs'!S$1,InterventionCosts!$A$2:$A$3432,'Summary of unit costs'!$A9)</f>
        <v>0</v>
      </c>
      <c r="T9" s="125">
        <f>SUMIFS(InterventionCosts!$K$2:$K$3432,InterventionCosts!$D$2:$D$3432,'Summary of unit costs'!T$1,InterventionCosts!$A$2:$A$3432,'Summary of unit costs'!$A9)</f>
        <v>581.67569098704996</v>
      </c>
      <c r="U9" s="125">
        <f>SUMIFS(InterventionCosts!$K$2:$K$3432,InterventionCosts!$D$2:$D$3432,'Summary of unit costs'!U$1,InterventionCosts!$A$2:$A$3432,'Summary of unit costs'!$A9)</f>
        <v>353.02538550425146</v>
      </c>
      <c r="V9" s="125">
        <f>SUMIFS(InterventionCosts!$K$2:$K$3432,InterventionCosts!$D$2:$D$3432,'Summary of unit costs'!V$1,InterventionCosts!$A$2:$A$3432,'Summary of unit costs'!$A9)</f>
        <v>1182.4520429896772</v>
      </c>
    </row>
    <row r="10" spans="1:23" s="4" customFormat="1">
      <c r="A10" s="4" t="s">
        <v>1455</v>
      </c>
      <c r="C10" s="124" t="s">
        <v>1519</v>
      </c>
      <c r="D10" s="364">
        <v>710</v>
      </c>
      <c r="E10" s="4" t="s">
        <v>131</v>
      </c>
      <c r="F10" s="4" t="s">
        <v>130</v>
      </c>
      <c r="G10" s="405">
        <f t="array" ref="G10">IF(E10="Literature",INDEX(LiteratureCost!$I$2:$I$10,MATCH('Summary of unit costs'!A10,LiteratureCost!$A$2:$A$10,0)),INDEX(InterventionCosts!$L$1:$L$2363,MATCH(A10,IF(InterventionCosts!$F$1:$F$2363="Cost per intervention",InterventionCosts!$A$1:$A$2363),0)))</f>
        <v>9186.2243404402798</v>
      </c>
      <c r="H10" s="422">
        <f t="shared" si="0"/>
        <v>492.27762356453127</v>
      </c>
      <c r="I10" s="124" t="str">
        <f t="array" ref="I10">IF(E10="Literature",INDEX(LiteratureCost!$G$2:$G$22,MATCH('Summary of unit costs'!A10,LiteratureCost!$A$2:$A$22,0)),INDEX(InterventionCosts!$L$1:$L$3432,MATCH(A10,IF(InterventionCosts!$F$1:$F$3432="Unit",InterventionCosts!$A$1:$A$3432),0)))</f>
        <v>per person per year</v>
      </c>
      <c r="J10" s="131">
        <f t="shared" si="1"/>
        <v>1</v>
      </c>
      <c r="K10" s="131">
        <f t="shared" si="3"/>
        <v>0</v>
      </c>
      <c r="L10" s="131">
        <f t="shared" si="4"/>
        <v>0.56770749163090051</v>
      </c>
      <c r="M10" s="131">
        <f t="shared" si="5"/>
        <v>0</v>
      </c>
      <c r="N10" s="131">
        <f t="shared" si="6"/>
        <v>0.11721475221533101</v>
      </c>
      <c r="O10" s="131">
        <f t="shared" si="7"/>
        <v>7.2440300499303945E-2</v>
      </c>
      <c r="P10" s="131">
        <f t="shared" si="8"/>
        <v>0.24263745565446462</v>
      </c>
      <c r="Q10" s="125">
        <f>SUMIFS(InterventionCosts!$K$2:$K$3432,InterventionCosts!$D$2:$D$3432,'Summary of unit costs'!Q$1,InterventionCosts!$A$2:$A$3432,'Summary of unit costs'!$A10)</f>
        <v>0</v>
      </c>
      <c r="R10" s="125">
        <f>SUMIFS(InterventionCosts!$K$2:$K$3432,InterventionCosts!$D$2:$D$3432,'Summary of unit costs'!R$1,InterventionCosts!$A$2:$A$3432,'Summary of unit costs'!$A10)</f>
        <v>5215.0883778700745</v>
      </c>
      <c r="S10" s="125">
        <f>SUMIFS(InterventionCosts!$K$2:$K$3432,InterventionCosts!$D$2:$D$3432,'Summary of unit costs'!S$1,InterventionCosts!$A$2:$A$3432,'Summary of unit costs'!$A10)</f>
        <v>0</v>
      </c>
      <c r="T10" s="125">
        <f>SUMIFS(InterventionCosts!$K$2:$K$3432,InterventionCosts!$D$2:$D$3432,'Summary of unit costs'!T$1,InterventionCosts!$A$2:$A$3432,'Summary of unit costs'!$A10)</f>
        <v>1076.7610098591499</v>
      </c>
      <c r="U10" s="125">
        <f>SUMIFS(InterventionCosts!$K$2:$K$3432,InterventionCosts!$D$2:$D$3432,'Summary of unit costs'!U$1,InterventionCosts!$A$2:$A$3432,'Summary of unit costs'!$A10)</f>
        <v>665.45285167551401</v>
      </c>
      <c r="V10" s="125">
        <f>SUMIFS(InterventionCosts!$K$2:$K$3432,InterventionCosts!$D$2:$D$3432,'Summary of unit costs'!V$1,InterventionCosts!$A$2:$A$3432,'Summary of unit costs'!$A10)</f>
        <v>2228.9221010355418</v>
      </c>
    </row>
    <row r="11" spans="1:23" s="4" customFormat="1">
      <c r="A11" s="4" t="s">
        <v>1456</v>
      </c>
      <c r="C11" s="124" t="s">
        <v>1518</v>
      </c>
      <c r="D11" s="364">
        <v>5887</v>
      </c>
      <c r="E11" s="4" t="s">
        <v>131</v>
      </c>
      <c r="F11" s="4" t="s">
        <v>130</v>
      </c>
      <c r="G11" s="405">
        <f t="array" ref="G11">IF(E11="Literature",INDEX(LiteratureCost!$I$2:$I$10,MATCH('Summary of unit costs'!A11,LiteratureCost!$A$2:$A$10,0)),INDEX(InterventionCosts!$L$1:$L$2363,MATCH(A11,IF(InterventionCosts!$F$1:$F$2363="Cost per intervention",InterventionCosts!$A$1:$A$2363),0)))</f>
        <v>7332.2414973510522</v>
      </c>
      <c r="H11" s="422">
        <f t="shared" si="0"/>
        <v>392.92513288916911</v>
      </c>
      <c r="I11" s="124" t="str">
        <f t="array" ref="I11">IF(E11="Literature",INDEX(LiteratureCost!$G$2:$G$22,MATCH('Summary of unit costs'!A11,LiteratureCost!$A$2:$A$22,0)),INDEX(InterventionCosts!$L$1:$L$3432,MATCH(A11,IF(InterventionCosts!$F$1:$F$3432="Unit",InterventionCosts!$A$1:$A$3432),0)))</f>
        <v>per person per year</v>
      </c>
      <c r="J11" s="131">
        <f t="shared" si="1"/>
        <v>0.99999999999999989</v>
      </c>
      <c r="K11" s="131">
        <f t="shared" si="3"/>
        <v>0</v>
      </c>
      <c r="L11" s="131">
        <f t="shared" si="4"/>
        <v>0.71125431148907881</v>
      </c>
      <c r="M11" s="131">
        <f t="shared" si="5"/>
        <v>0</v>
      </c>
      <c r="N11" s="131">
        <f t="shared" si="6"/>
        <v>7.933122377341148E-2</v>
      </c>
      <c r="O11" s="131">
        <f t="shared" si="7"/>
        <v>4.8146993744244561E-2</v>
      </c>
      <c r="P11" s="131">
        <f t="shared" si="8"/>
        <v>0.16126747099326533</v>
      </c>
      <c r="Q11" s="125">
        <f>SUMIFS(InterventionCosts!$K$2:$K$3432,InterventionCosts!$D$2:$D$3432,'Summary of unit costs'!Q$1,InterventionCosts!$A$2:$A$3432,'Summary of unit costs'!$A11)</f>
        <v>0</v>
      </c>
      <c r="R11" s="125">
        <f>SUMIFS(InterventionCosts!$K$2:$K$3432,InterventionCosts!$D$2:$D$3432,'Summary of unit costs'!R$1,InterventionCosts!$A$2:$A$3432,'Summary of unit costs'!$A11)</f>
        <v>5215.0883778700745</v>
      </c>
      <c r="S11" s="125">
        <f>SUMIFS(InterventionCosts!$K$2:$K$3432,InterventionCosts!$D$2:$D$3432,'Summary of unit costs'!S$1,InterventionCosts!$A$2:$A$3432,'Summary of unit costs'!$A11)</f>
        <v>0</v>
      </c>
      <c r="T11" s="125">
        <f>SUMIFS(InterventionCosts!$K$2:$K$3432,InterventionCosts!$D$2:$D$3432,'Summary of unit costs'!T$1,InterventionCosts!$A$2:$A$3432,'Summary of unit costs'!$A11)</f>
        <v>581.67569098704996</v>
      </c>
      <c r="U11" s="125">
        <f>SUMIFS(InterventionCosts!$K$2:$K$3432,InterventionCosts!$D$2:$D$3432,'Summary of unit costs'!U$1,InterventionCosts!$A$2:$A$3432,'Summary of unit costs'!$A11)</f>
        <v>353.02538550425146</v>
      </c>
      <c r="V11" s="125">
        <f>SUMIFS(InterventionCosts!$K$2:$K$3432,InterventionCosts!$D$2:$D$3432,'Summary of unit costs'!V$1,InterventionCosts!$A$2:$A$3432,'Summary of unit costs'!$A11)</f>
        <v>1182.4520429896772</v>
      </c>
    </row>
    <row r="12" spans="1:23" s="4" customFormat="1">
      <c r="A12" s="4" t="s">
        <v>1457</v>
      </c>
      <c r="C12" s="124" t="s">
        <v>1520</v>
      </c>
      <c r="D12" s="364">
        <v>1121</v>
      </c>
      <c r="E12" s="4" t="s">
        <v>131</v>
      </c>
      <c r="F12" s="4" t="s">
        <v>130</v>
      </c>
      <c r="G12" s="405">
        <f t="array" ref="G12">IF(E12="Literature",INDEX(LiteratureCost!$I$2:$I$10,MATCH('Summary of unit costs'!A12,LiteratureCost!$A$2:$A$10,0)),INDEX(InterventionCosts!$L$1:$L$2363,MATCH(A12,IF(InterventionCosts!$F$1:$F$2363="Cost per intervention",InterventionCosts!$A$1:$A$2363),0)))</f>
        <v>6812.4825302428526</v>
      </c>
      <c r="H12" s="422">
        <f t="shared" si="0"/>
        <v>365.07193666055218</v>
      </c>
      <c r="I12" s="124" t="str">
        <f t="array" ref="I12">IF(E12="Literature",INDEX(LiteratureCost!$G$2:$G$22,MATCH('Summary of unit costs'!A12,LiteratureCost!$A$2:$A$22,0)),INDEX(InterventionCosts!$L$1:$L$3432,MATCH(A12,IF(InterventionCosts!$F$1:$F$3432="Unit",InterventionCosts!$A$1:$A$3432),0)))</f>
        <v>per person per year</v>
      </c>
      <c r="J12" s="131">
        <f t="shared" si="1"/>
        <v>1</v>
      </c>
      <c r="K12" s="131">
        <f t="shared" si="3"/>
        <v>0</v>
      </c>
      <c r="L12" s="131">
        <f t="shared" si="4"/>
        <v>0.41707946479994246</v>
      </c>
      <c r="M12" s="131">
        <f t="shared" si="5"/>
        <v>0</v>
      </c>
      <c r="N12" s="131">
        <f t="shared" si="6"/>
        <v>0.15805706731416239</v>
      </c>
      <c r="O12" s="131">
        <f t="shared" si="7"/>
        <v>9.7681403030591238E-2</v>
      </c>
      <c r="P12" s="131">
        <f t="shared" si="8"/>
        <v>0.32718206485530388</v>
      </c>
      <c r="Q12" s="125">
        <f>SUMIFS(InterventionCosts!$K$2:$K$3432,InterventionCosts!$D$2:$D$3432,'Summary of unit costs'!Q$1,InterventionCosts!$A$2:$A$3432,'Summary of unit costs'!$A12)</f>
        <v>0</v>
      </c>
      <c r="R12" s="125">
        <f>SUMIFS(InterventionCosts!$K$2:$K$3432,InterventionCosts!$D$2:$D$3432,'Summary of unit costs'!R$1,InterventionCosts!$A$2:$A$3432,'Summary of unit costs'!$A12)</f>
        <v>2841.3465676726469</v>
      </c>
      <c r="S12" s="125">
        <f>SUMIFS(InterventionCosts!$K$2:$K$3432,InterventionCosts!$D$2:$D$3432,'Summary of unit costs'!S$1,InterventionCosts!$A$2:$A$3432,'Summary of unit costs'!$A12)</f>
        <v>0</v>
      </c>
      <c r="T12" s="125">
        <f>SUMIFS(InterventionCosts!$K$2:$K$3432,InterventionCosts!$D$2:$D$3432,'Summary of unit costs'!T$1,InterventionCosts!$A$2:$A$3432,'Summary of unit costs'!$A12)</f>
        <v>1076.7610098591499</v>
      </c>
      <c r="U12" s="125">
        <f>SUMIFS(InterventionCosts!$K$2:$K$3432,InterventionCosts!$D$2:$D$3432,'Summary of unit costs'!U$1,InterventionCosts!$A$2:$A$3432,'Summary of unit costs'!$A12)</f>
        <v>665.45285167551401</v>
      </c>
      <c r="V12" s="125">
        <f>SUMIFS(InterventionCosts!$K$2:$K$3432,InterventionCosts!$D$2:$D$3432,'Summary of unit costs'!V$1,InterventionCosts!$A$2:$A$3432,'Summary of unit costs'!$A12)</f>
        <v>2228.9221010355418</v>
      </c>
    </row>
    <row r="13" spans="1:23" s="4" customFormat="1">
      <c r="A13" s="4" t="s">
        <v>1458</v>
      </c>
      <c r="C13" s="124" t="s">
        <v>1521</v>
      </c>
      <c r="D13" s="364">
        <v>14081</v>
      </c>
      <c r="E13" s="4" t="s">
        <v>131</v>
      </c>
      <c r="F13" s="4" t="s">
        <v>130</v>
      </c>
      <c r="G13" s="405">
        <f t="array" ref="G13">IF(E13="Literature",INDEX(LiteratureCost!$I$2:$I$10,MATCH('Summary of unit costs'!A13,LiteratureCost!$A$2:$A$10,0)),INDEX(InterventionCosts!$L$1:$L$2363,MATCH(A13,IF(InterventionCosts!$F$1:$F$2363="Cost per intervention",InterventionCosts!$A$1:$A$2363),0)))</f>
        <v>4958.4996871536241</v>
      </c>
      <c r="H13" s="422">
        <f t="shared" si="0"/>
        <v>265.71944598518991</v>
      </c>
      <c r="I13" s="124" t="str">
        <f t="array" ref="I13">IF(E13="Literature",INDEX(LiteratureCost!$G$2:$G$22,MATCH('Summary of unit costs'!A13,LiteratureCost!$A$2:$A$22,0)),INDEX(InterventionCosts!$L$1:$L$3432,MATCH(A13,IF(InterventionCosts!$F$1:$F$3432="Unit",InterventionCosts!$A$1:$A$3432),0)))</f>
        <v>per person per year</v>
      </c>
      <c r="J13" s="131">
        <f t="shared" si="1"/>
        <v>0.99999999999999967</v>
      </c>
      <c r="K13" s="131">
        <f t="shared" si="3"/>
        <v>0</v>
      </c>
      <c r="L13" s="131">
        <f t="shared" si="4"/>
        <v>0.5730254607122286</v>
      </c>
      <c r="M13" s="131">
        <f t="shared" si="5"/>
        <v>0</v>
      </c>
      <c r="N13" s="131">
        <f t="shared" si="6"/>
        <v>0.11730880864912485</v>
      </c>
      <c r="O13" s="131">
        <f t="shared" si="7"/>
        <v>7.1196008425464294E-2</v>
      </c>
      <c r="P13" s="131">
        <f t="shared" si="8"/>
        <v>0.23846972221318252</v>
      </c>
      <c r="Q13" s="125">
        <f>SUMIFS(InterventionCosts!$K$2:$K$3432,InterventionCosts!$D$2:$D$3432,'Summary of unit costs'!Q$1,InterventionCosts!$A$2:$A$3432,'Summary of unit costs'!$A13)</f>
        <v>0</v>
      </c>
      <c r="R13" s="125">
        <f>SUMIFS(InterventionCosts!$K$2:$K$3432,InterventionCosts!$D$2:$D$3432,'Summary of unit costs'!R$1,InterventionCosts!$A$2:$A$3432,'Summary of unit costs'!$A13)</f>
        <v>2841.3465676726469</v>
      </c>
      <c r="S13" s="125">
        <f>SUMIFS(InterventionCosts!$K$2:$K$3432,InterventionCosts!$D$2:$D$3432,'Summary of unit costs'!S$1,InterventionCosts!$A$2:$A$3432,'Summary of unit costs'!$A13)</f>
        <v>0</v>
      </c>
      <c r="T13" s="125">
        <f>SUMIFS(InterventionCosts!$K$2:$K$3432,InterventionCosts!$D$2:$D$3432,'Summary of unit costs'!T$1,InterventionCosts!$A$2:$A$3432,'Summary of unit costs'!$A13)</f>
        <v>581.67569098704996</v>
      </c>
      <c r="U13" s="125">
        <f>SUMIFS(InterventionCosts!$K$2:$K$3432,InterventionCosts!$D$2:$D$3432,'Summary of unit costs'!U$1,InterventionCosts!$A$2:$A$3432,'Summary of unit costs'!$A13)</f>
        <v>353.02538550425146</v>
      </c>
      <c r="V13" s="125">
        <f>SUMIFS(InterventionCosts!$K$2:$K$3432,InterventionCosts!$D$2:$D$3432,'Summary of unit costs'!V$1,InterventionCosts!$A$2:$A$3432,'Summary of unit costs'!$A13)</f>
        <v>1182.4520429896772</v>
      </c>
    </row>
    <row r="14" spans="1:23" s="4" customFormat="1">
      <c r="A14" s="4" t="s">
        <v>1459</v>
      </c>
      <c r="C14" s="124" t="s">
        <v>1523</v>
      </c>
      <c r="D14" s="364">
        <v>1196</v>
      </c>
      <c r="E14" s="4" t="s">
        <v>131</v>
      </c>
      <c r="F14" s="4" t="s">
        <v>130</v>
      </c>
      <c r="G14" s="405">
        <f t="array" ref="G14">IF(E14="Literature",INDEX(LiteratureCost!$I$2:$I$10,MATCH('Summary of unit costs'!A14,LiteratureCost!$A$2:$A$10,0)),INDEX(InterventionCosts!$L$1:$L$2363,MATCH(A14,IF(InterventionCosts!$F$1:$F$2363="Cost per intervention",InterventionCosts!$A$1:$A$2363),0)))</f>
        <v>5584.7475503045225</v>
      </c>
      <c r="H14" s="422">
        <f t="shared" si="0"/>
        <v>299.27924143642036</v>
      </c>
      <c r="I14" s="124" t="str">
        <f t="array" ref="I14">IF(E14="Literature",INDEX(LiteratureCost!$G$2:$G$22,MATCH('Summary of unit costs'!A14,LiteratureCost!$A$2:$A$22,0)),INDEX(InterventionCosts!$L$1:$L$3432,MATCH(A14,IF(InterventionCosts!$F$1:$F$3432="Unit",InterventionCosts!$A$1:$A$3432),0)))</f>
        <v>per person per year</v>
      </c>
      <c r="J14" s="131">
        <f t="shared" si="1"/>
        <v>0.99999999999999989</v>
      </c>
      <c r="K14" s="131">
        <f t="shared" si="3"/>
        <v>0</v>
      </c>
      <c r="L14" s="131">
        <f t="shared" si="4"/>
        <v>0.28893187618593996</v>
      </c>
      <c r="M14" s="131">
        <f t="shared" si="5"/>
        <v>0</v>
      </c>
      <c r="N14" s="131">
        <f t="shared" si="6"/>
        <v>0.19280388238863846</v>
      </c>
      <c r="O14" s="131">
        <f t="shared" si="7"/>
        <v>0.11915540419355723</v>
      </c>
      <c r="P14" s="131">
        <f t="shared" si="8"/>
        <v>0.39910883723186452</v>
      </c>
      <c r="Q14" s="125">
        <f>SUMIFS(InterventionCosts!$K$2:$K$3432,InterventionCosts!$D$2:$D$3432,'Summary of unit costs'!Q$1,InterventionCosts!$A$2:$A$3432,'Summary of unit costs'!$A14)</f>
        <v>0</v>
      </c>
      <c r="R14" s="125">
        <f>SUMIFS(InterventionCosts!$K$2:$K$3432,InterventionCosts!$D$2:$D$3432,'Summary of unit costs'!R$1,InterventionCosts!$A$2:$A$3432,'Summary of unit costs'!$A14)</f>
        <v>1613.6115877343177</v>
      </c>
      <c r="S14" s="125">
        <f>SUMIFS(InterventionCosts!$K$2:$K$3432,InterventionCosts!$D$2:$D$3432,'Summary of unit costs'!S$1,InterventionCosts!$A$2:$A$3432,'Summary of unit costs'!$A14)</f>
        <v>0</v>
      </c>
      <c r="T14" s="125">
        <f>SUMIFS(InterventionCosts!$K$2:$K$3432,InterventionCosts!$D$2:$D$3432,'Summary of unit costs'!T$1,InterventionCosts!$A$2:$A$3432,'Summary of unit costs'!$A14)</f>
        <v>1076.7610098591499</v>
      </c>
      <c r="U14" s="125">
        <f>SUMIFS(InterventionCosts!$K$2:$K$3432,InterventionCosts!$D$2:$D$3432,'Summary of unit costs'!U$1,InterventionCosts!$A$2:$A$3432,'Summary of unit costs'!$A14)</f>
        <v>665.45285167551401</v>
      </c>
      <c r="V14" s="125">
        <f>SUMIFS(InterventionCosts!$K$2:$K$3432,InterventionCosts!$D$2:$D$3432,'Summary of unit costs'!V$1,InterventionCosts!$A$2:$A$3432,'Summary of unit costs'!$A14)</f>
        <v>2228.9221010355418</v>
      </c>
    </row>
    <row r="15" spans="1:23" s="4" customFormat="1">
      <c r="A15" s="4" t="s">
        <v>1460</v>
      </c>
      <c r="C15" s="124" t="s">
        <v>1522</v>
      </c>
      <c r="D15" s="364">
        <v>40359</v>
      </c>
      <c r="E15" s="4" t="s">
        <v>131</v>
      </c>
      <c r="F15" s="4" t="s">
        <v>130</v>
      </c>
      <c r="G15" s="405">
        <f t="array" ref="G15">IF(E15="Literature",INDEX(LiteratureCost!$I$2:$I$10,MATCH('Summary of unit costs'!A15,LiteratureCost!$A$2:$A$10,0)),INDEX(InterventionCosts!$L$1:$L$2363,MATCH(A15,IF(InterventionCosts!$F$1:$F$2363="Cost per intervention",InterventionCosts!$A$1:$A$2363),0)))</f>
        <v>3730.7647072152963</v>
      </c>
      <c r="H15" s="422">
        <f t="shared" si="0"/>
        <v>199.92675076105823</v>
      </c>
      <c r="I15" s="124" t="str">
        <f t="array" ref="I15">IF(E15="Literature",INDEX(LiteratureCost!$G$2:$G$22,MATCH('Summary of unit costs'!A15,LiteratureCost!$A$2:$A$22,0)),INDEX(InterventionCosts!$L$1:$L$3432,MATCH(A15,IF(InterventionCosts!$F$1:$F$3432="Unit",InterventionCosts!$A$1:$A$3432),0)))</f>
        <v>per person per year</v>
      </c>
      <c r="J15" s="131">
        <f t="shared" si="1"/>
        <v>0.99999999999999989</v>
      </c>
      <c r="K15" s="131">
        <f t="shared" si="3"/>
        <v>0</v>
      </c>
      <c r="L15" s="131">
        <f t="shared" si="4"/>
        <v>0.43251497062079364</v>
      </c>
      <c r="M15" s="131">
        <f t="shared" si="5"/>
        <v>0</v>
      </c>
      <c r="N15" s="131">
        <f t="shared" si="6"/>
        <v>0.15591326085563359</v>
      </c>
      <c r="O15" s="131">
        <f t="shared" si="7"/>
        <v>9.4625475796289327E-2</v>
      </c>
      <c r="P15" s="131">
        <f t="shared" si="8"/>
        <v>0.31694629272728347</v>
      </c>
      <c r="Q15" s="125">
        <f>SUMIFS(InterventionCosts!$K$2:$K$3432,InterventionCosts!$D$2:$D$3432,'Summary of unit costs'!Q$1,InterventionCosts!$A$2:$A$3432,'Summary of unit costs'!$A15)</f>
        <v>0</v>
      </c>
      <c r="R15" s="125">
        <f>SUMIFS(InterventionCosts!$K$2:$K$3432,InterventionCosts!$D$2:$D$3432,'Summary of unit costs'!R$1,InterventionCosts!$A$2:$A$3432,'Summary of unit costs'!$A15)</f>
        <v>1613.6115877343177</v>
      </c>
      <c r="S15" s="125">
        <f>SUMIFS(InterventionCosts!$K$2:$K$3432,InterventionCosts!$D$2:$D$3432,'Summary of unit costs'!S$1,InterventionCosts!$A$2:$A$3432,'Summary of unit costs'!$A15)</f>
        <v>0</v>
      </c>
      <c r="T15" s="125">
        <f>SUMIFS(InterventionCosts!$K$2:$K$3432,InterventionCosts!$D$2:$D$3432,'Summary of unit costs'!T$1,InterventionCosts!$A$2:$A$3432,'Summary of unit costs'!$A15)</f>
        <v>581.67569098704996</v>
      </c>
      <c r="U15" s="125">
        <f>SUMIFS(InterventionCosts!$K$2:$K$3432,InterventionCosts!$D$2:$D$3432,'Summary of unit costs'!U$1,InterventionCosts!$A$2:$A$3432,'Summary of unit costs'!$A15)</f>
        <v>353.02538550425146</v>
      </c>
      <c r="V15" s="125">
        <f>SUMIFS(InterventionCosts!$K$2:$K$3432,InterventionCosts!$D$2:$D$3432,'Summary of unit costs'!V$1,InterventionCosts!$A$2:$A$3432,'Summary of unit costs'!$A15)</f>
        <v>1182.4520429896772</v>
      </c>
    </row>
    <row r="16" spans="1:23" s="365" customFormat="1">
      <c r="A16" s="365" t="s">
        <v>1584</v>
      </c>
      <c r="C16" s="366" t="s">
        <v>1583</v>
      </c>
      <c r="D16" s="367"/>
      <c r="E16" s="365" t="s">
        <v>131</v>
      </c>
      <c r="F16" s="365" t="s">
        <v>130</v>
      </c>
      <c r="G16" s="406">
        <f>SUMPRODUCT(G7:G15,$D$7:$D$15)/SUM($D$7:$D$15)</f>
        <v>4589.8057267625318</v>
      </c>
      <c r="H16" s="423">
        <f t="shared" si="0"/>
        <v>245.9616238465654</v>
      </c>
      <c r="I16" s="366" t="s">
        <v>937</v>
      </c>
      <c r="J16" s="131">
        <f t="shared" ref="J16" si="17">G16/SUM(Q16:V16)</f>
        <v>1</v>
      </c>
      <c r="K16" s="131">
        <f t="shared" ref="K16" si="18">Q16/$G16</f>
        <v>0</v>
      </c>
      <c r="L16" s="131">
        <f t="shared" ref="L16" si="19">R16/$G16</f>
        <v>0.51506966551835631</v>
      </c>
      <c r="M16" s="131">
        <f t="shared" ref="M16" si="20">S16/$G16</f>
        <v>0</v>
      </c>
      <c r="N16" s="131">
        <f t="shared" ref="N16" si="21">T16/$G16</f>
        <v>0.13222421543233073</v>
      </c>
      <c r="O16" s="131">
        <f t="shared" ref="O16" si="22">U16/$G16</f>
        <v>8.1091529798143491E-2</v>
      </c>
      <c r="P16" s="131">
        <f t="shared" ref="P16" si="23">V16/$G16</f>
        <v>0.2716145892511696</v>
      </c>
      <c r="Q16" s="125">
        <f t="shared" ref="Q16:V16" si="24">SUMPRODUCT(Q7:Q15,$D$7:$D$15)/SUM($D$7:$D$15)</f>
        <v>0</v>
      </c>
      <c r="R16" s="125">
        <f t="shared" si="24"/>
        <v>2364.0697004778135</v>
      </c>
      <c r="S16" s="125">
        <f t="shared" si="24"/>
        <v>0</v>
      </c>
      <c r="T16" s="125">
        <f t="shared" si="24"/>
        <v>606.88346120799429</v>
      </c>
      <c r="U16" s="125">
        <f t="shared" si="24"/>
        <v>372.19436785945351</v>
      </c>
      <c r="V16" s="125">
        <f t="shared" si="24"/>
        <v>1246.658197217271</v>
      </c>
    </row>
    <row r="17" spans="1:24" s="127" customFormat="1">
      <c r="A17" s="127" t="s">
        <v>1146</v>
      </c>
      <c r="C17" s="127" t="s">
        <v>1498</v>
      </c>
      <c r="E17" s="127" t="s">
        <v>131</v>
      </c>
      <c r="F17" s="127" t="s">
        <v>130</v>
      </c>
      <c r="G17" s="407">
        <f t="array" ref="G17">IF(E17="Literature",INDEX(LiteratureCost!$I$2:$I$42,MATCH('Summary of unit costs'!A17,LiteratureCost!$A$2:$A$42,0)),INDEX(InterventionCosts!$L$1:$L$3432,MATCH(A17,IF(InterventionCosts!$F$1:$F$3432="Cost per intervention",InterventionCosts!$A$1:$A$3432),0)))</f>
        <v>564.88178854004855</v>
      </c>
      <c r="H17" s="424">
        <f t="shared" si="0"/>
        <v>30.271268603053663</v>
      </c>
      <c r="I17" s="350" t="str">
        <f t="array" ref="I17">IF(E17="Literature",INDEX(LiteratureCost!$G$2:$G$22,MATCH('Summary of unit costs'!A17,LiteratureCost!$A$2:$A$22,0)),INDEX(InterventionCosts!$L$1:$L$3432,MATCH(A17,IF(InterventionCosts!$F$1:$F$3432="Unit",InterventionCosts!$A$1:$A$3432),0)))</f>
        <v>per test</v>
      </c>
      <c r="J17" s="277"/>
      <c r="K17" s="277">
        <f t="shared" ref="K17:P29" si="25">Q17/$G17</f>
        <v>0.57243639259642098</v>
      </c>
      <c r="L17" s="277">
        <f t="shared" si="25"/>
        <v>0</v>
      </c>
      <c r="M17" s="277">
        <f t="shared" si="25"/>
        <v>0.13921976536834285</v>
      </c>
      <c r="N17" s="277">
        <f t="shared" si="25"/>
        <v>0</v>
      </c>
      <c r="O17" s="277">
        <f t="shared" si="25"/>
        <v>8.4028751718307454E-2</v>
      </c>
      <c r="P17" s="277">
        <f t="shared" si="25"/>
        <v>0.20431509031692868</v>
      </c>
      <c r="Q17" s="276">
        <f>SUMIFS(InterventionCosts!$K$2:$K$3432,InterventionCosts!$D$2:$D$3432,'Summary of unit costs'!Q$1,InterventionCosts!$A$2:$A$3432,'Summary of unit costs'!$A17)</f>
        <v>323.35889327527968</v>
      </c>
      <c r="R17" s="276">
        <f>SUMIFS(InterventionCosts!$K$2:$K$3432,InterventionCosts!$D$2:$D$3432,'Summary of unit costs'!R$1,InterventionCosts!$A$2:$A$3432,'Summary of unit costs'!$A17)</f>
        <v>0</v>
      </c>
      <c r="S17" s="276">
        <f>SUMIFS(InterventionCosts!$K$2:$K$3432,InterventionCosts!$D$2:$D$3432,'Summary of unit costs'!S$1,InterventionCosts!$A$2:$A$3432,'Summary of unit costs'!$A17)</f>
        <v>78.64271006139542</v>
      </c>
      <c r="T17" s="276">
        <f>SUMIFS(InterventionCosts!$K$2:$K$3432,InterventionCosts!$D$2:$D$3432,'Summary of unit costs'!T$1,InterventionCosts!$A$2:$A$3432,'Summary of unit costs'!$A17)</f>
        <v>0</v>
      </c>
      <c r="U17" s="276">
        <f>SUMIFS(InterventionCosts!$K$2:$K$3432,InterventionCosts!$D$2:$D$3432,'Summary of unit costs'!U$1,InterventionCosts!$A$2:$A$3432,'Summary of unit costs'!$A17)</f>
        <v>47.466311559425193</v>
      </c>
      <c r="V17" s="276">
        <f>SUMIFS(InterventionCosts!$K$2:$K$3432,InterventionCosts!$D$2:$D$3432,'Summary of unit costs'!V$1,InterventionCosts!$A$2:$A$3432,'Summary of unit costs'!$A17)</f>
        <v>115.41387364394824</v>
      </c>
      <c r="X17" s="278"/>
    </row>
    <row r="18" spans="1:24" s="201" customFormat="1">
      <c r="A18" s="201" t="s">
        <v>1435</v>
      </c>
      <c r="C18" s="322" t="s">
        <v>1524</v>
      </c>
      <c r="D18" s="322"/>
      <c r="E18" s="201" t="s">
        <v>131</v>
      </c>
      <c r="F18" s="201" t="s">
        <v>130</v>
      </c>
      <c r="G18" s="408">
        <f t="array" ref="G18">IF(E18="Literature",INDEX(LiteratureCost!$I$2:$I$10,MATCH('Summary of unit costs'!A18,LiteratureCost!$A$2:$A$10,0)),INDEX(InterventionCosts!$L$1:$L$2363,MATCH(A18,IF(InterventionCosts!$F$1:$F$2363="Cost per intervention",InterventionCosts!$A$1:$A$2363),0)))</f>
        <v>5484.0978809027783</v>
      </c>
      <c r="H18" s="425">
        <f t="shared" si="0"/>
        <v>293.88555865343801</v>
      </c>
      <c r="I18" s="322" t="s">
        <v>937</v>
      </c>
      <c r="J18" s="203">
        <f t="shared" ref="J18:J29" si="26">G18/SUM(Q18:V18)</f>
        <v>1.0000000000000002</v>
      </c>
      <c r="K18" s="203">
        <f t="shared" si="25"/>
        <v>0.11792601091286473</v>
      </c>
      <c r="L18" s="203">
        <f t="shared" si="25"/>
        <v>0.23748843936146358</v>
      </c>
      <c r="M18" s="203">
        <f t="shared" si="25"/>
        <v>2.8680272223168071E-2</v>
      </c>
      <c r="N18" s="203">
        <f t="shared" si="25"/>
        <v>3.0209037591352753E-2</v>
      </c>
      <c r="O18" s="203">
        <f t="shared" si="25"/>
        <v>0.13865279054231464</v>
      </c>
      <c r="P18" s="203">
        <f t="shared" si="25"/>
        <v>0.44704344936883611</v>
      </c>
      <c r="Q18" s="202">
        <f>SUMIFS(InterventionCosts!$K$2:$K$3432,InterventionCosts!$D$2:$D$3432,'Summary of unit costs'!Q$1,InterventionCosts!$A$2:$A$3432,'Summary of unit costs'!$A18)</f>
        <v>646.71778655055937</v>
      </c>
      <c r="R18" s="202">
        <f>SUMIFS(InterventionCosts!$K$2:$K$3432,InterventionCosts!$D$2:$D$3432,'Summary of unit costs'!R$1,InterventionCosts!$A$2:$A$3432,'Summary of unit costs'!$A18)</f>
        <v>1302.4098470411104</v>
      </c>
      <c r="S18" s="202">
        <f>SUMIFS(InterventionCosts!$K$2:$K$3432,InterventionCosts!$D$2:$D$3432,'Summary of unit costs'!S$1,InterventionCosts!$A$2:$A$3432,'Summary of unit costs'!$A18)</f>
        <v>157.28542012279084</v>
      </c>
      <c r="T18" s="202">
        <f>SUMIFS(InterventionCosts!$K$2:$K$3432,InterventionCosts!$D$2:$D$3432,'Summary of unit costs'!T$1,InterventionCosts!$A$2:$A$3432,'Summary of unit costs'!$A18)</f>
        <v>165.66931903885001</v>
      </c>
      <c r="U18" s="202">
        <f>SUMIFS(InterventionCosts!$K$2:$K$3432,InterventionCosts!$D$2:$D$3432,'Summary of unit costs'!U$1,InterventionCosts!$A$2:$A$3432,'Summary of unit costs'!$A18)</f>
        <v>760.38547479436443</v>
      </c>
      <c r="V18" s="202">
        <f>SUMIFS(InterventionCosts!$K$2:$K$3432,InterventionCosts!$D$2:$D$3432,'Summary of unit costs'!V$1,InterventionCosts!$A$2:$A$3432,'Summary of unit costs'!$A18)</f>
        <v>2451.6300333551026</v>
      </c>
    </row>
    <row r="19" spans="1:24" s="201" customFormat="1">
      <c r="A19" s="201" t="s">
        <v>1436</v>
      </c>
      <c r="C19" s="322" t="s">
        <v>1524</v>
      </c>
      <c r="D19" s="322"/>
      <c r="E19" s="201" t="s">
        <v>131</v>
      </c>
      <c r="F19" s="201" t="s">
        <v>130</v>
      </c>
      <c r="G19" s="408">
        <f t="array" ref="G19">IF(E19="Literature",INDEX(LiteratureCost!$I$2:$I$10,MATCH('Summary of unit costs'!A19,LiteratureCost!$A$2:$A$10,0)),INDEX(InterventionCosts!$L$1:$L$2363,MATCH(A19,IF(InterventionCosts!$F$1:$F$2363="Cost per intervention",InterventionCosts!$A$1:$A$2363),0)))</f>
        <v>3416.3737446436808</v>
      </c>
      <c r="H19" s="425">
        <f t="shared" si="0"/>
        <v>183.07895451863567</v>
      </c>
      <c r="I19" s="322" t="s">
        <v>937</v>
      </c>
      <c r="J19" s="203">
        <f t="shared" si="26"/>
        <v>1</v>
      </c>
      <c r="K19" s="203">
        <f t="shared" si="25"/>
        <v>9.4649741932437553E-2</v>
      </c>
      <c r="L19" s="203">
        <f t="shared" si="25"/>
        <v>0.34828879126540224</v>
      </c>
      <c r="M19" s="203">
        <f t="shared" si="25"/>
        <v>2.3019352078997333E-2</v>
      </c>
      <c r="N19" s="203">
        <f t="shared" si="25"/>
        <v>3.6919217569404139E-2</v>
      </c>
      <c r="O19" s="203">
        <f t="shared" si="25"/>
        <v>0.11722713233339374</v>
      </c>
      <c r="P19" s="203">
        <f t="shared" si="25"/>
        <v>0.37989576482036513</v>
      </c>
      <c r="Q19" s="202">
        <f>SUMIFS(InterventionCosts!$K$2:$K$3432,InterventionCosts!$D$2:$D$3432,'Summary of unit costs'!Q$1,InterventionCosts!$A$2:$A$3432,'Summary of unit costs'!$A19)</f>
        <v>323.35889327527968</v>
      </c>
      <c r="R19" s="202">
        <f>SUMIFS(InterventionCosts!$K$2:$K$3432,InterventionCosts!$D$2:$D$3432,'Summary of unit costs'!R$1,InterventionCosts!$A$2:$A$3432,'Summary of unit costs'!$A19)</f>
        <v>1189.8846820328035</v>
      </c>
      <c r="S19" s="202">
        <f>SUMIFS(InterventionCosts!$K$2:$K$3432,InterventionCosts!$D$2:$D$3432,'Summary of unit costs'!S$1,InterventionCosts!$A$2:$A$3432,'Summary of unit costs'!$A19)</f>
        <v>78.64271006139542</v>
      </c>
      <c r="T19" s="202">
        <f>SUMIFS(InterventionCosts!$K$2:$K$3432,InterventionCosts!$D$2:$D$3432,'Summary of unit costs'!T$1,InterventionCosts!$A$2:$A$3432,'Summary of unit costs'!$A19)</f>
        <v>126.1298455769</v>
      </c>
      <c r="U19" s="202">
        <f>SUMIFS(InterventionCosts!$K$2:$K$3432,InterventionCosts!$D$2:$D$3432,'Summary of unit costs'!U$1,InterventionCosts!$A$2:$A$3432,'Summary of unit costs'!$A19)</f>
        <v>400.49169706367667</v>
      </c>
      <c r="V19" s="202">
        <f>SUMIFS(InterventionCosts!$K$2:$K$3432,InterventionCosts!$D$2:$D$3432,'Summary of unit costs'!V$1,InterventionCosts!$A$2:$A$3432,'Summary of unit costs'!$A19)</f>
        <v>1297.8659166336258</v>
      </c>
    </row>
    <row r="20" spans="1:24" s="201" customFormat="1">
      <c r="A20" s="201" t="s">
        <v>1437</v>
      </c>
      <c r="C20" s="322" t="s">
        <v>1524</v>
      </c>
      <c r="D20" s="322"/>
      <c r="E20" s="201" t="s">
        <v>131</v>
      </c>
      <c r="F20" s="201" t="s">
        <v>130</v>
      </c>
      <c r="G20" s="408">
        <f t="array" ref="G20">IF(E20="Literature",INDEX(LiteratureCost!$I$2:$I$10,MATCH('Summary of unit costs'!A20,LiteratureCost!$A$2:$A$10,0)),INDEX(InterventionCosts!$L$1:$L$2363,MATCH(A20,IF(InterventionCosts!$F$1:$F$2363="Cost per intervention",InterventionCosts!$A$1:$A$2363),0)))</f>
        <v>6022.1140604180819</v>
      </c>
      <c r="H20" s="425">
        <f t="shared" si="0"/>
        <v>322.7171347695475</v>
      </c>
      <c r="I20" s="322" t="s">
        <v>937</v>
      </c>
      <c r="J20" s="203">
        <f t="shared" si="26"/>
        <v>1</v>
      </c>
      <c r="K20" s="203">
        <f t="shared" si="25"/>
        <v>0.10739049112358748</v>
      </c>
      <c r="L20" s="203">
        <f t="shared" si="25"/>
        <v>0.47273662099087349</v>
      </c>
      <c r="M20" s="203">
        <f t="shared" si="25"/>
        <v>2.6117974276938783E-2</v>
      </c>
      <c r="N20" s="203">
        <f t="shared" si="25"/>
        <v>2.094444647037182E-2</v>
      </c>
      <c r="O20" s="203">
        <f t="shared" si="25"/>
        <v>8.9040883254532438E-2</v>
      </c>
      <c r="P20" s="203">
        <f t="shared" si="25"/>
        <v>0.28376958388369589</v>
      </c>
      <c r="Q20" s="202">
        <f>SUMIFS(InterventionCosts!$K$2:$K$3432,InterventionCosts!$D$2:$D$3432,'Summary of unit costs'!Q$1,InterventionCosts!$A$2:$A$3432,'Summary of unit costs'!$A20)</f>
        <v>646.71778655055937</v>
      </c>
      <c r="R20" s="202">
        <f>SUMIFS(InterventionCosts!$K$2:$K$3432,InterventionCosts!$D$2:$D$3432,'Summary of unit costs'!R$1,InterventionCosts!$A$2:$A$3432,'Summary of unit costs'!$A20)</f>
        <v>2846.873852143673</v>
      </c>
      <c r="S20" s="202">
        <f>SUMIFS(InterventionCosts!$K$2:$K$3432,InterventionCosts!$D$2:$D$3432,'Summary of unit costs'!S$1,InterventionCosts!$A$2:$A$3432,'Summary of unit costs'!$A20)</f>
        <v>157.28542012279084</v>
      </c>
      <c r="T20" s="202">
        <f>SUMIFS(InterventionCosts!$K$2:$K$3432,InterventionCosts!$D$2:$D$3432,'Summary of unit costs'!T$1,InterventionCosts!$A$2:$A$3432,'Summary of unit costs'!$A20)</f>
        <v>126.1298455769</v>
      </c>
      <c r="U20" s="202">
        <f>SUMIFS(InterventionCosts!$K$2:$K$3432,InterventionCosts!$D$2:$D$3432,'Summary of unit costs'!U$1,InterventionCosts!$A$2:$A$3432,'Summary of unit costs'!$A20)</f>
        <v>536.2143549991647</v>
      </c>
      <c r="V20" s="202">
        <f>SUMIFS(InterventionCosts!$K$2:$K$3432,InterventionCosts!$D$2:$D$3432,'Summary of unit costs'!V$1,InterventionCosts!$A$2:$A$3432,'Summary of unit costs'!$A20)</f>
        <v>1708.8928010249933</v>
      </c>
    </row>
    <row r="21" spans="1:24" s="201" customFormat="1">
      <c r="A21" s="201" t="s">
        <v>1445</v>
      </c>
      <c r="C21" s="322" t="s">
        <v>1524</v>
      </c>
      <c r="D21" s="322"/>
      <c r="E21" s="201" t="s">
        <v>131</v>
      </c>
      <c r="F21" s="201" t="s">
        <v>130</v>
      </c>
      <c r="G21" s="408">
        <f t="array" ref="G21">IF(E21="Literature",INDEX(LiteratureCost!$I$2:$I$10,MATCH('Summary of unit costs'!A21,LiteratureCost!$A$2:$A$10,0)),INDEX(InterventionCosts!$L$1:$L$2363,MATCH(A21,IF(InterventionCosts!$F$1:$F$2363="Cost per intervention",InterventionCosts!$A$1:$A$2363),0)))</f>
        <v>5654.1132724920462</v>
      </c>
      <c r="H21" s="425">
        <f t="shared" si="0"/>
        <v>302.99645882735501</v>
      </c>
      <c r="I21" s="322" t="s">
        <v>937</v>
      </c>
      <c r="J21" s="203">
        <f t="shared" si="26"/>
        <v>1</v>
      </c>
      <c r="K21" s="203">
        <f t="shared" si="25"/>
        <v>5.7190027452838681E-2</v>
      </c>
      <c r="L21" s="203">
        <f t="shared" si="25"/>
        <v>0.37287299661698781</v>
      </c>
      <c r="M21" s="203">
        <f t="shared" si="25"/>
        <v>1.3908937842473344E-2</v>
      </c>
      <c r="N21" s="203">
        <f t="shared" si="25"/>
        <v>1.531458036686721E-2</v>
      </c>
      <c r="O21" s="203">
        <f t="shared" si="25"/>
        <v>0.12608858876304765</v>
      </c>
      <c r="P21" s="203">
        <f t="shared" si="25"/>
        <v>0.41462486895778544</v>
      </c>
      <c r="Q21" s="202">
        <f>SUMIFS(InterventionCosts!$K$2:$K$3432,InterventionCosts!$D$2:$D$3432,'Summary of unit costs'!Q$1,InterventionCosts!$A$2:$A$3432,'Summary of unit costs'!$A21)</f>
        <v>323.35889327527968</v>
      </c>
      <c r="R21" s="202">
        <f>SUMIFS(InterventionCosts!$K$2:$K$3432,InterventionCosts!$D$2:$D$3432,'Summary of unit costs'!R$1,InterventionCosts!$A$2:$A$3432,'Summary of unit costs'!$A21)</f>
        <v>2108.2661591259925</v>
      </c>
      <c r="S21" s="202">
        <f>SUMIFS(InterventionCosts!$K$2:$K$3432,InterventionCosts!$D$2:$D$3432,'Summary of unit costs'!S$1,InterventionCosts!$A$2:$A$3432,'Summary of unit costs'!$A21)</f>
        <v>78.64271006139542</v>
      </c>
      <c r="T21" s="202">
        <f>SUMIFS(InterventionCosts!$K$2:$K$3432,InterventionCosts!$D$2:$D$3432,'Summary of unit costs'!T$1,InterventionCosts!$A$2:$A$3432,'Summary of unit costs'!$A21)</f>
        <v>86.59037211495</v>
      </c>
      <c r="U21" s="202">
        <f>SUMIFS(InterventionCosts!$K$2:$K$3432,InterventionCosts!$D$2:$D$3432,'Summary of unit costs'!U$1,InterventionCosts!$A$2:$A$3432,'Summary of unit costs'!$A21)</f>
        <v>712.91916323493922</v>
      </c>
      <c r="V21" s="202">
        <f>SUMIFS(InterventionCosts!$K$2:$K$3432,InterventionCosts!$D$2:$D$3432,'Summary of unit costs'!V$1,InterventionCosts!$A$2:$A$3432,'Summary of unit costs'!$A21)</f>
        <v>2344.3359746794899</v>
      </c>
    </row>
    <row r="22" spans="1:24" s="201" customFormat="1">
      <c r="A22" s="201" t="s">
        <v>1446</v>
      </c>
      <c r="C22" s="322" t="s">
        <v>1524</v>
      </c>
      <c r="D22" s="322"/>
      <c r="E22" s="201" t="s">
        <v>131</v>
      </c>
      <c r="F22" s="201" t="s">
        <v>130</v>
      </c>
      <c r="G22" s="408">
        <f t="array" ref="G22">IF(E22="Literature",INDEX(LiteratureCost!$I$2:$I$10,MATCH('Summary of unit costs'!A22,LiteratureCost!$A$2:$A$10,0)),INDEX(InterventionCosts!$L$1:$L$2363,MATCH(A22,IF(InterventionCosts!$F$1:$F$2363="Cost per intervention",InterventionCosts!$A$1:$A$2363),0)))</f>
        <v>8135.5529292110969</v>
      </c>
      <c r="H22" s="425">
        <f t="shared" si="0"/>
        <v>435.97353101258466</v>
      </c>
      <c r="I22" s="322" t="s">
        <v>937</v>
      </c>
      <c r="J22" s="203">
        <f t="shared" si="26"/>
        <v>1</v>
      </c>
      <c r="K22" s="203">
        <f t="shared" si="25"/>
        <v>7.9492788280989213E-2</v>
      </c>
      <c r="L22" s="203">
        <f t="shared" si="25"/>
        <v>0.49472040343486295</v>
      </c>
      <c r="M22" s="203">
        <f t="shared" si="25"/>
        <v>1.9333095302969502E-2</v>
      </c>
      <c r="N22" s="203">
        <f t="shared" si="25"/>
        <v>1.0643452616974941E-2</v>
      </c>
      <c r="O22" s="203">
        <f t="shared" si="25"/>
        <v>9.346451082189676E-2</v>
      </c>
      <c r="P22" s="203">
        <f t="shared" si="25"/>
        <v>0.3023457495423067</v>
      </c>
      <c r="Q22" s="202">
        <f>SUMIFS(InterventionCosts!$K$2:$K$3432,InterventionCosts!$D$2:$D$3432,'Summary of unit costs'!Q$1,InterventionCosts!$A$2:$A$3432,'Summary of unit costs'!$A22)</f>
        <v>646.71778655055937</v>
      </c>
      <c r="R22" s="202">
        <f>SUMIFS(InterventionCosts!$K$2:$K$3432,InterventionCosts!$D$2:$D$3432,'Summary of unit costs'!R$1,InterventionCosts!$A$2:$A$3432,'Summary of unit costs'!$A22)</f>
        <v>4024.8240273049951</v>
      </c>
      <c r="S22" s="202">
        <f>SUMIFS(InterventionCosts!$K$2:$K$3432,InterventionCosts!$D$2:$D$3432,'Summary of unit costs'!S$1,InterventionCosts!$A$2:$A$3432,'Summary of unit costs'!$A22)</f>
        <v>157.28542012279084</v>
      </c>
      <c r="T22" s="202">
        <f>SUMIFS(InterventionCosts!$K$2:$K$3432,InterventionCosts!$D$2:$D$3432,'Summary of unit costs'!T$1,InterventionCosts!$A$2:$A$3432,'Summary of unit costs'!$A22)</f>
        <v>86.59037211495</v>
      </c>
      <c r="U22" s="202">
        <f>SUMIFS(InterventionCosts!$K$2:$K$3432,InterventionCosts!$D$2:$D$3432,'Summary of unit costs'!U$1,InterventionCosts!$A$2:$A$3432,'Summary of unit costs'!$A22)</f>
        <v>760.38547479436443</v>
      </c>
      <c r="V22" s="202">
        <f>SUMIFS(InterventionCosts!$K$2:$K$3432,InterventionCosts!$D$2:$D$3432,'Summary of unit costs'!V$1,InterventionCosts!$A$2:$A$3432,'Summary of unit costs'!$A22)</f>
        <v>2459.7498483234381</v>
      </c>
    </row>
    <row r="23" spans="1:24" s="201" customFormat="1">
      <c r="A23" s="201" t="s">
        <v>1447</v>
      </c>
      <c r="C23" s="322" t="s">
        <v>1524</v>
      </c>
      <c r="D23" s="322"/>
      <c r="E23" s="201" t="s">
        <v>131</v>
      </c>
      <c r="F23" s="201" t="s">
        <v>130</v>
      </c>
      <c r="G23" s="408">
        <f t="array" ref="G23">IF(E23="Literature",INDEX(LiteratureCost!$I$2:$I$10,MATCH('Summary of unit costs'!A23,LiteratureCost!$A$2:$A$10,0)),INDEX(InterventionCosts!$L$1:$L$2363,MATCH(A23,IF(InterventionCosts!$F$1:$F$2363="Cost per intervention",InterventionCosts!$A$1:$A$2363),0)))</f>
        <v>6211.773616453921</v>
      </c>
      <c r="H23" s="425">
        <f t="shared" si="0"/>
        <v>332.88073975800921</v>
      </c>
      <c r="I23" s="322" t="s">
        <v>937</v>
      </c>
      <c r="J23" s="203">
        <f t="shared" si="26"/>
        <v>0.99999999999999967</v>
      </c>
      <c r="K23" s="203">
        <f t="shared" si="25"/>
        <v>5.2055807767810075E-2</v>
      </c>
      <c r="L23" s="203">
        <f t="shared" si="25"/>
        <v>0.64793475677283663</v>
      </c>
      <c r="M23" s="203">
        <f t="shared" si="25"/>
        <v>1.2660266602936784E-2</v>
      </c>
      <c r="N23" s="203">
        <f t="shared" si="25"/>
        <v>1.3939717939106309E-2</v>
      </c>
      <c r="O23" s="203">
        <f t="shared" si="25"/>
        <v>6.4473002686840197E-2</v>
      </c>
      <c r="P23" s="203">
        <f t="shared" si="25"/>
        <v>0.20893644823047028</v>
      </c>
      <c r="Q23" s="202">
        <f>SUMIFS(InterventionCosts!$K$2:$K$3432,InterventionCosts!$D$2:$D$3432,'Summary of unit costs'!Q$1,InterventionCosts!$A$2:$A$3432,'Summary of unit costs'!$A23)</f>
        <v>323.35889327527968</v>
      </c>
      <c r="R23" s="202">
        <f>SUMIFS(InterventionCosts!$K$2:$K$3432,InterventionCosts!$D$2:$D$3432,'Summary of unit costs'!R$1,InterventionCosts!$A$2:$A$3432,'Summary of unit costs'!$A23)</f>
        <v>4024.8240273049951</v>
      </c>
      <c r="S23" s="202">
        <f>SUMIFS(InterventionCosts!$K$2:$K$3432,InterventionCosts!$D$2:$D$3432,'Summary of unit costs'!S$1,InterventionCosts!$A$2:$A$3432,'Summary of unit costs'!$A23)</f>
        <v>78.64271006139542</v>
      </c>
      <c r="T23" s="202">
        <f>SUMIFS(InterventionCosts!$K$2:$K$3432,InterventionCosts!$D$2:$D$3432,'Summary of unit costs'!T$1,InterventionCosts!$A$2:$A$3432,'Summary of unit costs'!$A23)</f>
        <v>86.59037211495</v>
      </c>
      <c r="U23" s="202">
        <f>SUMIFS(InterventionCosts!$K$2:$K$3432,InterventionCosts!$D$2:$D$3432,'Summary of unit costs'!U$1,InterventionCosts!$A$2:$A$3432,'Summary of unit costs'!$A23)</f>
        <v>400.49169706367667</v>
      </c>
      <c r="V23" s="202">
        <f>SUMIFS(InterventionCosts!$K$2:$K$3432,InterventionCosts!$D$2:$D$3432,'Summary of unit costs'!V$1,InterventionCosts!$A$2:$A$3432,'Summary of unit costs'!$A23)</f>
        <v>1297.8659166336258</v>
      </c>
    </row>
    <row r="24" spans="1:24" s="201" customFormat="1">
      <c r="A24" s="201" t="s">
        <v>1448</v>
      </c>
      <c r="C24" s="322" t="s">
        <v>1524</v>
      </c>
      <c r="D24" s="322"/>
      <c r="E24" s="201" t="s">
        <v>131</v>
      </c>
      <c r="F24" s="201" t="s">
        <v>130</v>
      </c>
      <c r="G24" s="408">
        <f t="array" ref="G24">IF(E24="Literature",INDEX(LiteratureCost!$I$2:$I$10,MATCH('Summary of unit costs'!A24,LiteratureCost!$A$2:$A$10,0)),INDEX(InterventionCosts!$L$1:$L$2363,MATCH(A24,IF(InterventionCosts!$F$1:$F$2363="Cost per intervention",InterventionCosts!$A$1:$A$2363),0)))</f>
        <v>9325.8172797761781</v>
      </c>
      <c r="H24" s="425">
        <f t="shared" si="0"/>
        <v>499.75822472295783</v>
      </c>
      <c r="I24" s="322" t="s">
        <v>937</v>
      </c>
      <c r="J24" s="203">
        <f t="shared" si="26"/>
        <v>1.0000000000000002</v>
      </c>
      <c r="K24" s="203">
        <f t="shared" si="25"/>
        <v>6.9347035991475139E-2</v>
      </c>
      <c r="L24" s="203">
        <f t="shared" si="25"/>
        <v>0.55920979592635101</v>
      </c>
      <c r="M24" s="203">
        <f t="shared" si="25"/>
        <v>1.6865591015157198E-2</v>
      </c>
      <c r="N24" s="203">
        <f t="shared" si="25"/>
        <v>9.2850170142973459E-3</v>
      </c>
      <c r="O24" s="203">
        <f t="shared" si="25"/>
        <v>8.1535532166529201E-2</v>
      </c>
      <c r="P24" s="203">
        <f t="shared" si="25"/>
        <v>0.26375702788618999</v>
      </c>
      <c r="Q24" s="202">
        <f>SUMIFS(InterventionCosts!$K$2:$K$3432,InterventionCosts!$D$2:$D$3432,'Summary of unit costs'!Q$1,InterventionCosts!$A$2:$A$3432,'Summary of unit costs'!$A24)</f>
        <v>646.71778655055937</v>
      </c>
      <c r="R24" s="202">
        <f>SUMIFS(InterventionCosts!$K$2:$K$3432,InterventionCosts!$D$2:$D$3432,'Summary of unit costs'!R$1,InterventionCosts!$A$2:$A$3432,'Summary of unit costs'!$A24)</f>
        <v>5215.0883778700745</v>
      </c>
      <c r="S24" s="202">
        <f>SUMIFS(InterventionCosts!$K$2:$K$3432,InterventionCosts!$D$2:$D$3432,'Summary of unit costs'!S$1,InterventionCosts!$A$2:$A$3432,'Summary of unit costs'!$A24)</f>
        <v>157.28542012279084</v>
      </c>
      <c r="T24" s="202">
        <f>SUMIFS(InterventionCosts!$K$2:$K$3432,InterventionCosts!$D$2:$D$3432,'Summary of unit costs'!T$1,InterventionCosts!$A$2:$A$3432,'Summary of unit costs'!$A24)</f>
        <v>86.59037211495</v>
      </c>
      <c r="U24" s="202">
        <f>SUMIFS(InterventionCosts!$K$2:$K$3432,InterventionCosts!$D$2:$D$3432,'Summary of unit costs'!U$1,InterventionCosts!$A$2:$A$3432,'Summary of unit costs'!$A24)</f>
        <v>760.38547479436443</v>
      </c>
      <c r="V24" s="202">
        <f>SUMIFS(InterventionCosts!$K$2:$K$3432,InterventionCosts!$D$2:$D$3432,'Summary of unit costs'!V$1,InterventionCosts!$A$2:$A$3432,'Summary of unit costs'!$A24)</f>
        <v>2459.7498483234381</v>
      </c>
    </row>
    <row r="25" spans="1:24" s="201" customFormat="1">
      <c r="A25" s="201" t="s">
        <v>1449</v>
      </c>
      <c r="C25" s="322" t="s">
        <v>1524</v>
      </c>
      <c r="D25" s="322"/>
      <c r="E25" s="201" t="s">
        <v>131</v>
      </c>
      <c r="F25" s="201" t="s">
        <v>130</v>
      </c>
      <c r="G25" s="408">
        <f t="array" ref="G25">IF(E25="Literature",INDEX(LiteratureCost!$I$2:$I$10,MATCH('Summary of unit costs'!A25,LiteratureCost!$A$2:$A$10,0)),INDEX(InterventionCosts!$L$1:$L$2363,MATCH(A25,IF(InterventionCosts!$F$1:$F$2363="Cost per intervention",InterventionCosts!$A$1:$A$2363),0)))</f>
        <v>7402.0379670190005</v>
      </c>
      <c r="H25" s="425">
        <f t="shared" si="0"/>
        <v>396.66543346838233</v>
      </c>
      <c r="I25" s="322" t="s">
        <v>937</v>
      </c>
      <c r="J25" s="203">
        <f t="shared" si="26"/>
        <v>0.99999999999999978</v>
      </c>
      <c r="K25" s="203">
        <f t="shared" si="25"/>
        <v>4.3685116817295248E-2</v>
      </c>
      <c r="L25" s="203">
        <f t="shared" si="25"/>
        <v>0.70454763959692723</v>
      </c>
      <c r="M25" s="203">
        <f t="shared" si="25"/>
        <v>1.0624467263178191E-2</v>
      </c>
      <c r="N25" s="203">
        <f t="shared" si="25"/>
        <v>1.1698179947302037E-2</v>
      </c>
      <c r="O25" s="203">
        <f t="shared" si="25"/>
        <v>5.4105598869950873E-2</v>
      </c>
      <c r="P25" s="203">
        <f t="shared" si="25"/>
        <v>0.17533899750534668</v>
      </c>
      <c r="Q25" s="202">
        <f>SUMIFS(InterventionCosts!$K$2:$K$3432,InterventionCosts!$D$2:$D$3432,'Summary of unit costs'!Q$1,InterventionCosts!$A$2:$A$3432,'Summary of unit costs'!$A25)</f>
        <v>323.35889327527968</v>
      </c>
      <c r="R25" s="202">
        <f>SUMIFS(InterventionCosts!$K$2:$K$3432,InterventionCosts!$D$2:$D$3432,'Summary of unit costs'!R$1,InterventionCosts!$A$2:$A$3432,'Summary of unit costs'!$A25)</f>
        <v>5215.0883778700745</v>
      </c>
      <c r="S25" s="202">
        <f>SUMIFS(InterventionCosts!$K$2:$K$3432,InterventionCosts!$D$2:$D$3432,'Summary of unit costs'!S$1,InterventionCosts!$A$2:$A$3432,'Summary of unit costs'!$A25)</f>
        <v>78.64271006139542</v>
      </c>
      <c r="T25" s="202">
        <f>SUMIFS(InterventionCosts!$K$2:$K$3432,InterventionCosts!$D$2:$D$3432,'Summary of unit costs'!T$1,InterventionCosts!$A$2:$A$3432,'Summary of unit costs'!$A25)</f>
        <v>86.59037211495</v>
      </c>
      <c r="U25" s="202">
        <f>SUMIFS(InterventionCosts!$K$2:$K$3432,InterventionCosts!$D$2:$D$3432,'Summary of unit costs'!U$1,InterventionCosts!$A$2:$A$3432,'Summary of unit costs'!$A25)</f>
        <v>400.49169706367667</v>
      </c>
      <c r="V25" s="202">
        <f>SUMIFS(InterventionCosts!$K$2:$K$3432,InterventionCosts!$D$2:$D$3432,'Summary of unit costs'!V$1,InterventionCosts!$A$2:$A$3432,'Summary of unit costs'!$A25)</f>
        <v>1297.8659166336258</v>
      </c>
    </row>
    <row r="26" spans="1:24" s="201" customFormat="1">
      <c r="A26" s="201" t="s">
        <v>1450</v>
      </c>
      <c r="C26" s="322" t="s">
        <v>1524</v>
      </c>
      <c r="D26" s="322"/>
      <c r="E26" s="201" t="s">
        <v>131</v>
      </c>
      <c r="F26" s="201" t="s">
        <v>130</v>
      </c>
      <c r="G26" s="408">
        <f t="array" ref="G26">IF(E26="Literature",INDEX(LiteratureCost!$I$2:$I$10,MATCH('Summary of unit costs'!A26,LiteratureCost!$A$2:$A$10,0)),INDEX(InterventionCosts!$L$1:$L$2363,MATCH(A26,IF(InterventionCosts!$F$1:$F$2363="Cost per intervention",InterventionCosts!$A$1:$A$2363),0)))</f>
        <v>6952.0754695787473</v>
      </c>
      <c r="H26" s="425">
        <f t="shared" si="0"/>
        <v>372.55253781897858</v>
      </c>
      <c r="I26" s="322" t="s">
        <v>937</v>
      </c>
      <c r="J26" s="203">
        <f t="shared" si="26"/>
        <v>0.99999999999999978</v>
      </c>
      <c r="K26" s="203">
        <f t="shared" si="25"/>
        <v>9.3025138950303496E-2</v>
      </c>
      <c r="L26" s="203">
        <f t="shared" si="25"/>
        <v>0.40870479328165504</v>
      </c>
      <c r="M26" s="203">
        <f t="shared" si="25"/>
        <v>2.2624239453534208E-2</v>
      </c>
      <c r="N26" s="203">
        <f t="shared" si="25"/>
        <v>1.2455326829211888E-2</v>
      </c>
      <c r="O26" s="203">
        <f t="shared" si="25"/>
        <v>0.10937531937357393</v>
      </c>
      <c r="P26" s="203">
        <f t="shared" si="25"/>
        <v>0.35381518211172175</v>
      </c>
      <c r="Q26" s="202">
        <f>SUMIFS(InterventionCosts!$K$2:$K$3432,InterventionCosts!$D$2:$D$3432,'Summary of unit costs'!Q$1,InterventionCosts!$A$2:$A$3432,'Summary of unit costs'!$A26)</f>
        <v>646.71778655055937</v>
      </c>
      <c r="R26" s="202">
        <f>SUMIFS(InterventionCosts!$K$2:$K$3432,InterventionCosts!$D$2:$D$3432,'Summary of unit costs'!R$1,InterventionCosts!$A$2:$A$3432,'Summary of unit costs'!$A26)</f>
        <v>2841.3465676726469</v>
      </c>
      <c r="S26" s="202">
        <f>SUMIFS(InterventionCosts!$K$2:$K$3432,InterventionCosts!$D$2:$D$3432,'Summary of unit costs'!S$1,InterventionCosts!$A$2:$A$3432,'Summary of unit costs'!$A26)</f>
        <v>157.28542012279084</v>
      </c>
      <c r="T26" s="202">
        <f>SUMIFS(InterventionCosts!$K$2:$K$3432,InterventionCosts!$D$2:$D$3432,'Summary of unit costs'!T$1,InterventionCosts!$A$2:$A$3432,'Summary of unit costs'!$A26)</f>
        <v>86.59037211495</v>
      </c>
      <c r="U26" s="202">
        <f>SUMIFS(InterventionCosts!$K$2:$K$3432,InterventionCosts!$D$2:$D$3432,'Summary of unit costs'!U$1,InterventionCosts!$A$2:$A$3432,'Summary of unit costs'!$A26)</f>
        <v>760.38547479436443</v>
      </c>
      <c r="V26" s="202">
        <f>SUMIFS(InterventionCosts!$K$2:$K$3432,InterventionCosts!$D$2:$D$3432,'Summary of unit costs'!V$1,InterventionCosts!$A$2:$A$3432,'Summary of unit costs'!$A26)</f>
        <v>2459.7498483234381</v>
      </c>
    </row>
    <row r="27" spans="1:24" s="201" customFormat="1">
      <c r="A27" s="201" t="s">
        <v>1451</v>
      </c>
      <c r="C27" s="322" t="s">
        <v>1524</v>
      </c>
      <c r="D27" s="322"/>
      <c r="E27" s="201" t="s">
        <v>131</v>
      </c>
      <c r="F27" s="201" t="s">
        <v>130</v>
      </c>
      <c r="G27" s="408">
        <f t="array" ref="G27">IF(E27="Literature",INDEX(LiteratureCost!$I$2:$I$10,MATCH('Summary of unit costs'!A27,LiteratureCost!$A$2:$A$10,0)),INDEX(InterventionCosts!$L$1:$L$2363,MATCH(A27,IF(InterventionCosts!$F$1:$F$2363="Cost per intervention",InterventionCosts!$A$1:$A$2363),0)))</f>
        <v>5028.2961568215733</v>
      </c>
      <c r="H27" s="425">
        <f t="shared" si="0"/>
        <v>269.45974656440319</v>
      </c>
      <c r="I27" s="322" t="s">
        <v>937</v>
      </c>
      <c r="J27" s="203">
        <f t="shared" si="26"/>
        <v>0.99999999999999978</v>
      </c>
      <c r="K27" s="203">
        <f t="shared" si="25"/>
        <v>6.4307845677824479E-2</v>
      </c>
      <c r="L27" s="203">
        <f t="shared" si="25"/>
        <v>0.56507144349840466</v>
      </c>
      <c r="M27" s="203">
        <f t="shared" si="25"/>
        <v>1.5640031455725973E-2</v>
      </c>
      <c r="N27" s="203">
        <f t="shared" si="25"/>
        <v>1.7220618956080836E-2</v>
      </c>
      <c r="O27" s="203">
        <f t="shared" si="25"/>
        <v>7.964759524364029E-2</v>
      </c>
      <c r="P27" s="203">
        <f t="shared" si="25"/>
        <v>0.25811246516832403</v>
      </c>
      <c r="Q27" s="202">
        <f>SUMIFS(InterventionCosts!$K$2:$K$3432,InterventionCosts!$D$2:$D$3432,'Summary of unit costs'!Q$1,InterventionCosts!$A$2:$A$3432,'Summary of unit costs'!$A27)</f>
        <v>323.35889327527968</v>
      </c>
      <c r="R27" s="202">
        <f>SUMIFS(InterventionCosts!$K$2:$K$3432,InterventionCosts!$D$2:$D$3432,'Summary of unit costs'!R$1,InterventionCosts!$A$2:$A$3432,'Summary of unit costs'!$A27)</f>
        <v>2841.3465676726469</v>
      </c>
      <c r="S27" s="202">
        <f>SUMIFS(InterventionCosts!$K$2:$K$3432,InterventionCosts!$D$2:$D$3432,'Summary of unit costs'!S$1,InterventionCosts!$A$2:$A$3432,'Summary of unit costs'!$A27)</f>
        <v>78.64271006139542</v>
      </c>
      <c r="T27" s="202">
        <f>SUMIFS(InterventionCosts!$K$2:$K$3432,InterventionCosts!$D$2:$D$3432,'Summary of unit costs'!T$1,InterventionCosts!$A$2:$A$3432,'Summary of unit costs'!$A27)</f>
        <v>86.59037211495</v>
      </c>
      <c r="U27" s="202">
        <f>SUMIFS(InterventionCosts!$K$2:$K$3432,InterventionCosts!$D$2:$D$3432,'Summary of unit costs'!U$1,InterventionCosts!$A$2:$A$3432,'Summary of unit costs'!$A27)</f>
        <v>400.49169706367667</v>
      </c>
      <c r="V27" s="202">
        <f>SUMIFS(InterventionCosts!$K$2:$K$3432,InterventionCosts!$D$2:$D$3432,'Summary of unit costs'!V$1,InterventionCosts!$A$2:$A$3432,'Summary of unit costs'!$A27)</f>
        <v>1297.8659166336258</v>
      </c>
    </row>
    <row r="28" spans="1:24" s="201" customFormat="1">
      <c r="A28" s="201" t="s">
        <v>1443</v>
      </c>
      <c r="C28" s="322" t="s">
        <v>1524</v>
      </c>
      <c r="D28" s="322"/>
      <c r="E28" s="201" t="s">
        <v>131</v>
      </c>
      <c r="F28" s="201" t="s">
        <v>130</v>
      </c>
      <c r="G28" s="408">
        <f t="array" ref="G28">IF(E28="Literature",INDEX(LiteratureCost!$I$2:$I$10,MATCH('Summary of unit costs'!A28,LiteratureCost!$A$2:$A$10,0)),INDEX(InterventionCosts!$L$1:$L$2363,MATCH(A28,IF(InterventionCosts!$F$1:$F$2363="Cost per intervention",InterventionCosts!$A$1:$A$2363),0)))</f>
        <v>5724.340489640419</v>
      </c>
      <c r="H28" s="425">
        <f t="shared" si="0"/>
        <v>306.75984259484682</v>
      </c>
      <c r="I28" s="322" t="s">
        <v>937</v>
      </c>
      <c r="J28" s="203">
        <f t="shared" si="26"/>
        <v>0.99999999999999967</v>
      </c>
      <c r="K28" s="203">
        <f t="shared" si="25"/>
        <v>0.11297682025046411</v>
      </c>
      <c r="L28" s="203">
        <f t="shared" si="25"/>
        <v>0.28188602523811063</v>
      </c>
      <c r="M28" s="203">
        <f t="shared" si="25"/>
        <v>2.7476601087485435E-2</v>
      </c>
      <c r="N28" s="203">
        <f t="shared" si="25"/>
        <v>1.5126698398122239E-2</v>
      </c>
      <c r="O28" s="203">
        <f t="shared" si="25"/>
        <v>0.1328337257663946</v>
      </c>
      <c r="P28" s="203">
        <f t="shared" si="25"/>
        <v>0.42970012925942325</v>
      </c>
      <c r="Q28" s="202">
        <f>SUMIFS(InterventionCosts!$K$2:$K$3432,InterventionCosts!$D$2:$D$3432,'Summary of unit costs'!Q$1,InterventionCosts!$A$2:$A$3432,'Summary of unit costs'!$A28)</f>
        <v>646.71778655055937</v>
      </c>
      <c r="R28" s="202">
        <f>SUMIFS(InterventionCosts!$K$2:$K$3432,InterventionCosts!$D$2:$D$3432,'Summary of unit costs'!R$1,InterventionCosts!$A$2:$A$3432,'Summary of unit costs'!$A28)</f>
        <v>1613.6115877343177</v>
      </c>
      <c r="S28" s="202">
        <f>SUMIFS(InterventionCosts!$K$2:$K$3432,InterventionCosts!$D$2:$D$3432,'Summary of unit costs'!S$1,InterventionCosts!$A$2:$A$3432,'Summary of unit costs'!$A28)</f>
        <v>157.28542012279084</v>
      </c>
      <c r="T28" s="202">
        <f>SUMIFS(InterventionCosts!$K$2:$K$3432,InterventionCosts!$D$2:$D$3432,'Summary of unit costs'!T$1,InterventionCosts!$A$2:$A$3432,'Summary of unit costs'!$A28)</f>
        <v>86.59037211495</v>
      </c>
      <c r="U28" s="202">
        <f>SUMIFS(InterventionCosts!$K$2:$K$3432,InterventionCosts!$D$2:$D$3432,'Summary of unit costs'!U$1,InterventionCosts!$A$2:$A$3432,'Summary of unit costs'!$A28)</f>
        <v>760.38547479436443</v>
      </c>
      <c r="V28" s="202">
        <f>SUMIFS(InterventionCosts!$K$2:$K$3432,InterventionCosts!$D$2:$D$3432,'Summary of unit costs'!V$1,InterventionCosts!$A$2:$A$3432,'Summary of unit costs'!$A28)</f>
        <v>2459.7498483234381</v>
      </c>
    </row>
    <row r="29" spans="1:24" s="201" customFormat="1">
      <c r="A29" s="201" t="s">
        <v>1444</v>
      </c>
      <c r="C29" s="322" t="s">
        <v>1524</v>
      </c>
      <c r="D29" s="322"/>
      <c r="E29" s="201" t="s">
        <v>131</v>
      </c>
      <c r="F29" s="201" t="s">
        <v>130</v>
      </c>
      <c r="G29" s="408">
        <f t="array" ref="G29">IF(E29="Literature",INDEX(LiteratureCost!$I$2:$I$10,MATCH('Summary of unit costs'!A29,LiteratureCost!$A$2:$A$10,0)),INDEX(InterventionCosts!$L$1:$L$2363,MATCH(A29,IF(InterventionCosts!$F$1:$F$2363="Cost per intervention",InterventionCosts!$A$1:$A$2363),0)))</f>
        <v>3800.5611768832446</v>
      </c>
      <c r="H29" s="425">
        <f t="shared" si="0"/>
        <v>203.66705134027148</v>
      </c>
      <c r="I29" s="322" t="s">
        <v>937</v>
      </c>
      <c r="J29" s="203">
        <f t="shared" si="26"/>
        <v>0.99999999999999989</v>
      </c>
      <c r="K29" s="203">
        <f t="shared" si="25"/>
        <v>8.5081880865935461E-2</v>
      </c>
      <c r="L29" s="203">
        <f t="shared" si="25"/>
        <v>0.42457192836390667</v>
      </c>
      <c r="M29" s="203">
        <f t="shared" si="25"/>
        <v>2.0692394202134264E-2</v>
      </c>
      <c r="N29" s="203">
        <f t="shared" si="25"/>
        <v>2.2783575394505512E-2</v>
      </c>
      <c r="O29" s="203">
        <f t="shared" si="25"/>
        <v>0.10537698998233491</v>
      </c>
      <c r="P29" s="203">
        <f t="shared" si="25"/>
        <v>0.34149323119118336</v>
      </c>
      <c r="Q29" s="202">
        <f>SUMIFS(InterventionCosts!$K$2:$K$3432,InterventionCosts!$D$2:$D$3432,'Summary of unit costs'!Q$1,InterventionCosts!$A$2:$A$3432,'Summary of unit costs'!$A29)</f>
        <v>323.35889327527968</v>
      </c>
      <c r="R29" s="202">
        <f>SUMIFS(InterventionCosts!$K$2:$K$3432,InterventionCosts!$D$2:$D$3432,'Summary of unit costs'!R$1,InterventionCosts!$A$2:$A$3432,'Summary of unit costs'!$A29)</f>
        <v>1613.6115877343177</v>
      </c>
      <c r="S29" s="202">
        <f>SUMIFS(InterventionCosts!$K$2:$K$3432,InterventionCosts!$D$2:$D$3432,'Summary of unit costs'!S$1,InterventionCosts!$A$2:$A$3432,'Summary of unit costs'!$A29)</f>
        <v>78.64271006139542</v>
      </c>
      <c r="T29" s="202">
        <f>SUMIFS(InterventionCosts!$K$2:$K$3432,InterventionCosts!$D$2:$D$3432,'Summary of unit costs'!T$1,InterventionCosts!$A$2:$A$3432,'Summary of unit costs'!$A29)</f>
        <v>86.59037211495</v>
      </c>
      <c r="U29" s="202">
        <f>SUMIFS(InterventionCosts!$K$2:$K$3432,InterventionCosts!$D$2:$D$3432,'Summary of unit costs'!U$1,InterventionCosts!$A$2:$A$3432,'Summary of unit costs'!$A29)</f>
        <v>400.49169706367667</v>
      </c>
      <c r="V29" s="202">
        <f>SUMIFS(InterventionCosts!$K$2:$K$3432,InterventionCosts!$D$2:$D$3432,'Summary of unit costs'!V$1,InterventionCosts!$A$2:$A$3432,'Summary of unit costs'!$A29)</f>
        <v>1297.8659166336258</v>
      </c>
    </row>
    <row r="30" spans="1:24" s="181" customFormat="1">
      <c r="A30" s="181" t="s">
        <v>380</v>
      </c>
      <c r="C30" s="184" t="s">
        <v>1286</v>
      </c>
      <c r="D30" s="184"/>
      <c r="E30" s="181" t="s">
        <v>131</v>
      </c>
      <c r="F30" s="181" t="s">
        <v>112</v>
      </c>
      <c r="G30" s="409">
        <f t="array" ref="G30">IF(E30="Literature",INDEX(LiteratureCost!$I$2:$I$10,MATCH('Summary of unit costs'!A30,LiteratureCost!$A$2:$A$10,0)),INDEX(InterventionCosts!$L$1:$L$2363,MATCH(A30,IF(InterventionCosts!$F$1:$F$2363="Cost per intervention",InterventionCosts!$A$1:$A$2363),0)))</f>
        <v>1481.1539936751751</v>
      </c>
      <c r="H30" s="426">
        <f t="shared" si="0"/>
        <v>79.373085297912908</v>
      </c>
      <c r="I30" s="182" t="str">
        <f t="array" ref="I30">IF(E30="Literature",INDEX(LiteratureCost!$G$2:$G$22,MATCH('Summary of unit costs'!A30,LiteratureCost!$A$2:$A$22,0)),INDEX(InterventionCosts!$L$1:$L$3432,MATCH(A30,IF(InterventionCosts!$F$1:$F$3432="Unit",InterventionCosts!$A$1:$A$3432),0)))</f>
        <v>per circumcision</v>
      </c>
      <c r="J30" s="183"/>
      <c r="K30" s="182" t="s">
        <v>1143</v>
      </c>
      <c r="L30" s="185"/>
      <c r="M30" s="185"/>
      <c r="N30" s="185"/>
      <c r="O30" s="185"/>
      <c r="P30" s="185"/>
      <c r="Q30" s="185"/>
      <c r="R30" s="185"/>
      <c r="S30" s="185"/>
      <c r="T30" s="185"/>
      <c r="U30" s="185"/>
      <c r="V30" s="185"/>
      <c r="X30" s="186"/>
    </row>
    <row r="31" spans="1:24" s="181" customFormat="1">
      <c r="A31" s="181" t="s">
        <v>1</v>
      </c>
      <c r="C31" s="181" t="s">
        <v>1577</v>
      </c>
      <c r="E31" s="181" t="s">
        <v>131</v>
      </c>
      <c r="F31" s="181" t="s">
        <v>112</v>
      </c>
      <c r="G31" s="409">
        <f t="array" ref="G31">IF(E31="Literature",INDEX(LiteratureCost!$I$2:$I$10,MATCH('Summary of unit costs'!A31,LiteratureCost!$A$2:$A$10,0)),INDEX(InterventionCosts!$L$1:$L$2363,MATCH(A31,IF(InterventionCosts!$F$1:$F$2363="Cost per intervention",InterventionCosts!$A$1:$A$2363),0)))</f>
        <v>740.57699683758756</v>
      </c>
      <c r="H31" s="426">
        <f t="shared" si="0"/>
        <v>39.686542648956454</v>
      </c>
      <c r="I31" s="182" t="str">
        <f t="array" ref="I31">IF(E31="Literature",INDEX(LiteratureCost!$G$2:$G$22,MATCH('Summary of unit costs'!A31,LiteratureCost!$A$2:$A$22,0)),INDEX(InterventionCosts!$L$1:$L$3432,MATCH(A31,IF(InterventionCosts!$F$1:$F$3432="Unit",InterventionCosts!$A$1:$A$3432),0)))</f>
        <v>per circumcision</v>
      </c>
      <c r="J31" s="183"/>
      <c r="K31" s="182" t="s">
        <v>457</v>
      </c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X31" s="186"/>
    </row>
    <row r="32" spans="1:24" s="141" customFormat="1">
      <c r="A32" s="141" t="s">
        <v>1576</v>
      </c>
      <c r="C32" s="141" t="s">
        <v>1574</v>
      </c>
      <c r="E32" s="196" t="s">
        <v>131</v>
      </c>
      <c r="F32" s="141" t="s">
        <v>133</v>
      </c>
      <c r="G32" s="410">
        <f t="array" ref="G32">IF(E32="Literature",INDEX(LiteratureCost!$I$2:$I$10,MATCH('Summary of unit costs'!A32,LiteratureCost!$A$2:$A$10,0)),INDEX(InterventionCosts!$L$1:$L$2363,MATCH(A32,IF(InterventionCosts!$F$1:$F$2363="Cost per intervention",InterventionCosts!$A$1:$A$2363),0)))</f>
        <v>0.9492071351995911</v>
      </c>
      <c r="H32" s="427">
        <f t="shared" si="0"/>
        <v>5.0866756076213555E-2</v>
      </c>
      <c r="I32" s="351" t="str">
        <f t="array" ref="I32">IF(E32="Literature",INDEX(LiteratureCost!$G$2:$G$22,MATCH('Summary of unit costs'!A32,LiteratureCost!$A$2:$A$22,0)),INDEX(InterventionCosts!$L$1:$L$3432,MATCH(A32,IF(InterventionCosts!$F$1:$F$3432="Unit",InterventionCosts!$A$1:$A$3432),0)))</f>
        <v>per condom distributed</v>
      </c>
      <c r="J32" s="198">
        <f t="shared" ref="J32:J58" si="27">G32/SUM(Q32:V32)</f>
        <v>1</v>
      </c>
      <c r="K32" s="198">
        <f t="shared" ref="K32:P32" si="28">Q32/$G32</f>
        <v>0.82385895534684472</v>
      </c>
      <c r="L32" s="198">
        <f t="shared" si="28"/>
        <v>0</v>
      </c>
      <c r="M32" s="198">
        <f t="shared" si="28"/>
        <v>0</v>
      </c>
      <c r="N32" s="198">
        <f t="shared" si="28"/>
        <v>0</v>
      </c>
      <c r="O32" s="198">
        <f t="shared" si="28"/>
        <v>0.17614104465315528</v>
      </c>
      <c r="P32" s="198">
        <f t="shared" si="28"/>
        <v>0</v>
      </c>
      <c r="Q32" s="197">
        <f>SUMIFS(InterventionCosts!$K$2:$K$3432,InterventionCosts!$D$2:$D$3432,'Summary of unit costs'!Q$1,InterventionCosts!$A$2:$A$3432,'Summary of unit costs'!$A32)</f>
        <v>0.78201279881330632</v>
      </c>
      <c r="R32" s="197">
        <f>SUMIFS(InterventionCosts!$K$2:$K$3432,InterventionCosts!$D$2:$D$3432,'Summary of unit costs'!R$1,InterventionCosts!$A$2:$A$3432,'Summary of unit costs'!$A32)</f>
        <v>0</v>
      </c>
      <c r="S32" s="197">
        <f>SUMIFS(InterventionCosts!$K$2:$K$3432,InterventionCosts!$D$2:$D$3432,'Summary of unit costs'!S$1,InterventionCosts!$A$2:$A$3432,'Summary of unit costs'!$A32)</f>
        <v>0</v>
      </c>
      <c r="T32" s="197">
        <f>SUMIFS(InterventionCosts!$K$2:$K$3432,InterventionCosts!$D$2:$D$3432,'Summary of unit costs'!T$1,InterventionCosts!$A$2:$A$3432,'Summary of unit costs'!$A32)</f>
        <v>0</v>
      </c>
      <c r="U32" s="197">
        <f>SUMIFS(InterventionCosts!$K$2:$K$3432,InterventionCosts!$D$2:$D$3432,'Summary of unit costs'!U$1,InterventionCosts!$A$2:$A$3432,'Summary of unit costs'!$A32)</f>
        <v>0.16719433638628478</v>
      </c>
      <c r="V32" s="197">
        <f>SUMIFS(InterventionCosts!$K$2:$K$3432,InterventionCosts!$D$2:$D$3432,'Summary of unit costs'!V$1,InterventionCosts!$A$2:$A$3432,'Summary of unit costs'!$A32)</f>
        <v>0</v>
      </c>
    </row>
    <row r="33" spans="1:24" s="141" customFormat="1">
      <c r="A33" s="141" t="s">
        <v>2</v>
      </c>
      <c r="C33" s="141" t="s">
        <v>1575</v>
      </c>
      <c r="E33" s="196" t="s">
        <v>131</v>
      </c>
      <c r="F33" s="141" t="s">
        <v>133</v>
      </c>
      <c r="G33" s="410">
        <f t="array" ref="G33">IF(E33="Literature",INDEX(LiteratureCost!$I$2:$I$10,MATCH('Summary of unit costs'!A33,LiteratureCost!$A$2:$A$10,0)),INDEX(InterventionCosts!$L$1:$L$2363,MATCH(A33,IF(InterventionCosts!$F$1:$F$2363="Cost per intervention",InterventionCosts!$A$1:$A$2363),0)))</f>
        <v>1.1164014715858754</v>
      </c>
      <c r="H33" s="427">
        <f t="shared" si="0"/>
        <v>5.9826479629595024E-2</v>
      </c>
      <c r="I33" s="351" t="str">
        <f t="array" ref="I33">IF(E33="Literature",INDEX(LiteratureCost!$G$2:$G$22,MATCH('Summary of unit costs'!A33,LiteratureCost!$A$2:$A$22,0)),INDEX(InterventionCosts!$L$1:$L$3432,MATCH(A33,IF(InterventionCosts!$F$1:$F$3432="Unit",InterventionCosts!$A$1:$A$3432),0)))</f>
        <v>per condom distributed</v>
      </c>
      <c r="J33" s="198">
        <f t="shared" si="27"/>
        <v>1</v>
      </c>
      <c r="K33" s="198">
        <f t="shared" ref="K33:P33" si="29">Q33/$G33</f>
        <v>0.70047632390025216</v>
      </c>
      <c r="L33" s="198">
        <f t="shared" si="29"/>
        <v>0</v>
      </c>
      <c r="M33" s="198">
        <f t="shared" si="29"/>
        <v>0</v>
      </c>
      <c r="N33" s="198">
        <f t="shared" si="29"/>
        <v>0</v>
      </c>
      <c r="O33" s="198">
        <f t="shared" si="29"/>
        <v>0.29952367609974778</v>
      </c>
      <c r="P33" s="198">
        <f t="shared" si="29"/>
        <v>0</v>
      </c>
      <c r="Q33" s="197">
        <f>SUMIFS(InterventionCosts!$K$2:$K$3432,InterventionCosts!$D$2:$D$3432,'Summary of unit costs'!Q$1,InterventionCosts!$A$2:$A$3432,'Summary of unit costs'!$A33)</f>
        <v>0.78201279881330588</v>
      </c>
      <c r="R33" s="197">
        <f>SUMIFS(InterventionCosts!$K$2:$K$3432,InterventionCosts!$D$2:$D$3432,'Summary of unit costs'!R$1,InterventionCosts!$A$2:$A$3432,'Summary of unit costs'!$A33)</f>
        <v>0</v>
      </c>
      <c r="S33" s="197">
        <f>SUMIFS(InterventionCosts!$K$2:$K$3432,InterventionCosts!$D$2:$D$3432,'Summary of unit costs'!S$1,InterventionCosts!$A$2:$A$3432,'Summary of unit costs'!$A33)</f>
        <v>0</v>
      </c>
      <c r="T33" s="197">
        <f>SUMIFS(InterventionCosts!$K$2:$K$3432,InterventionCosts!$D$2:$D$3432,'Summary of unit costs'!T$1,InterventionCosts!$A$2:$A$3432,'Summary of unit costs'!$A33)</f>
        <v>0</v>
      </c>
      <c r="U33" s="197">
        <f>SUMIFS(InterventionCosts!$K$2:$K$3432,InterventionCosts!$D$2:$D$3432,'Summary of unit costs'!U$1,InterventionCosts!$A$2:$A$3432,'Summary of unit costs'!$A33)</f>
        <v>0.33438867277256956</v>
      </c>
      <c r="V33" s="197">
        <f>SUMIFS(InterventionCosts!$K$2:$K$3432,InterventionCosts!$D$2:$D$3432,'Summary of unit costs'!V$1,InterventionCosts!$A$2:$A$3432,'Summary of unit costs'!$A33)</f>
        <v>0</v>
      </c>
      <c r="X33" s="199"/>
    </row>
    <row r="34" spans="1:24" s="201" customFormat="1">
      <c r="A34" s="200" t="s">
        <v>445</v>
      </c>
      <c r="B34" s="200">
        <v>6</v>
      </c>
      <c r="C34" s="201" t="str">
        <f t="shared" ref="C34" si="30">"Numbers initiating oral PrEP; average "&amp;B34&amp;" months PrEP use"</f>
        <v>Numbers initiating oral PrEP; average 6 months PrEP use</v>
      </c>
      <c r="E34" s="201" t="s">
        <v>131</v>
      </c>
      <c r="F34" s="201" t="s">
        <v>133</v>
      </c>
      <c r="G34" s="408">
        <f t="array" ref="G34">IF(E34="Literature",INDEX(LiteratureCost!$I$2:$I$10,MATCH('Summary of unit costs'!A34,LiteratureCost!$A$2:$A$10,0)),INDEX(InterventionCosts!$L$1:$L$2363,MATCH(A34,IF(InterventionCosts!$F$1:$F$2363="Cost per intervention",InterventionCosts!$A$1:$A$2363),0)))</f>
        <v>1332.6379560097521</v>
      </c>
      <c r="H34" s="428">
        <f t="shared" si="0"/>
        <v>71.414307091147407</v>
      </c>
      <c r="I34" s="322" t="str">
        <f t="array" ref="I34">IF(E34="Literature",INDEX(LiteratureCost!$G$2:$G$22,MATCH('Summary of unit costs'!A34,LiteratureCost!$A$2:$A$22,0)),INDEX(InterventionCosts!$L$1:$L$3432,MATCH(A34,IF(InterventionCosts!$F$1:$F$3432="Unit",InterventionCosts!$A$1:$A$3432),0)))</f>
        <v>per user initiated</v>
      </c>
      <c r="J34" s="203">
        <f t="shared" si="27"/>
        <v>0.99999999999999967</v>
      </c>
      <c r="K34" s="203">
        <f t="shared" ref="K34:K43" si="31">Q34/$G34</f>
        <v>4.2346274126224236E-2</v>
      </c>
      <c r="L34" s="203">
        <f t="shared" ref="L34:L43" si="32">R34/$G34</f>
        <v>0.34083976051226195</v>
      </c>
      <c r="M34" s="203">
        <f t="shared" ref="M34:M43" si="33">S34/$G34</f>
        <v>0</v>
      </c>
      <c r="N34" s="203">
        <f t="shared" ref="N34:N43" si="34">T34/$G34</f>
        <v>0.18828641108149782</v>
      </c>
      <c r="O34" s="203">
        <f t="shared" ref="O34:O43" si="35">U34/$G34</f>
        <v>0.12780879396584513</v>
      </c>
      <c r="P34" s="203">
        <f t="shared" ref="P34:P43" si="36">V34/$G34</f>
        <v>0.30071876031417105</v>
      </c>
      <c r="Q34" s="202">
        <f>SUMIFS(InterventionCosts!$K$2:$K$3432,InterventionCosts!$D$2:$D$3432,'Summary of unit costs'!Q$1,InterventionCosts!$A$2:$A$3432,'Summary of unit costs'!$A34)</f>
        <v>56.432252196200118</v>
      </c>
      <c r="R34" s="202">
        <f>SUMIFS(InterventionCosts!$K$2:$K$3432,InterventionCosts!$D$2:$D$3432,'Summary of unit costs'!R$1,InterventionCosts!$A$2:$A$3432,'Summary of unit costs'!$A34)</f>
        <v>454.21600177591421</v>
      </c>
      <c r="S34" s="202">
        <f>SUMIFS(InterventionCosts!$K$2:$K$3432,InterventionCosts!$D$2:$D$3432,'Summary of unit costs'!S$1,InterventionCosts!$A$2:$A$3432,'Summary of unit costs'!$A34)</f>
        <v>0</v>
      </c>
      <c r="T34" s="202">
        <f>SUMIFS(InterventionCosts!$K$2:$K$3432,InterventionCosts!$D$2:$D$3432,'Summary of unit costs'!T$1,InterventionCosts!$A$2:$A$3432,'Summary of unit costs'!$A34)</f>
        <v>250.91761800805921</v>
      </c>
      <c r="U34" s="202">
        <f>SUMIFS(InterventionCosts!$K$2:$K$3432,InterventionCosts!$D$2:$D$3432,'Summary of unit costs'!U$1,InterventionCosts!$A$2:$A$3432,'Summary of unit costs'!$A34)</f>
        <v>170.32284995071541</v>
      </c>
      <c r="V34" s="202">
        <f>SUMIFS(InterventionCosts!$K$2:$K$3432,InterventionCosts!$D$2:$D$3432,'Summary of unit costs'!V$1,InterventionCosts!$A$2:$A$3432,'Summary of unit costs'!$A34)</f>
        <v>400.74923407886348</v>
      </c>
    </row>
    <row r="35" spans="1:24" s="201" customFormat="1">
      <c r="A35" s="200" t="s">
        <v>446</v>
      </c>
      <c r="B35" s="200">
        <v>3</v>
      </c>
      <c r="C35" s="201" t="str">
        <f>"Numbers initiating oral PrEP; average "&amp;B35&amp;" months PrEP use"</f>
        <v>Numbers initiating oral PrEP; average 3 months PrEP use</v>
      </c>
      <c r="E35" s="201" t="s">
        <v>131</v>
      </c>
      <c r="F35" s="201" t="s">
        <v>133</v>
      </c>
      <c r="G35" s="408">
        <f t="array" ref="G35">IF(E35="Literature",INDEX(LiteratureCost!$I$2:$I$10,MATCH('Summary of unit costs'!A35,LiteratureCost!$A$2:$A$10,0)),INDEX(InterventionCosts!$L$1:$L$2363,MATCH(A35,IF(InterventionCosts!$F$1:$F$2363="Cost per intervention",InterventionCosts!$A$1:$A$2363),0)))</f>
        <v>1081.2212128865096</v>
      </c>
      <c r="H35" s="428">
        <f t="shared" si="0"/>
        <v>57.941216053713404</v>
      </c>
      <c r="I35" s="322" t="str">
        <f t="array" ref="I35">IF(E35="Literature",INDEX(LiteratureCost!$G$2:$G$22,MATCH('Summary of unit costs'!A35,LiteratureCost!$A$2:$A$22,0)),INDEX(InterventionCosts!$L$1:$L$3432,MATCH(A35,IF(InterventionCosts!$F$1:$F$3432="Unit",InterventionCosts!$A$1:$A$3432),0)))</f>
        <v>per user initiated</v>
      </c>
      <c r="J35" s="203">
        <f t="shared" si="27"/>
        <v>0.99999999999999978</v>
      </c>
      <c r="K35" s="203">
        <f t="shared" si="31"/>
        <v>6.4612666925640522E-2</v>
      </c>
      <c r="L35" s="203">
        <f t="shared" si="32"/>
        <v>0.24005448461549189</v>
      </c>
      <c r="M35" s="203">
        <f t="shared" si="33"/>
        <v>0</v>
      </c>
      <c r="N35" s="203">
        <f t="shared" si="34"/>
        <v>0.20395002243641289</v>
      </c>
      <c r="O35" s="203">
        <f t="shared" si="35"/>
        <v>0.14231595144479756</v>
      </c>
      <c r="P35" s="203">
        <f t="shared" si="36"/>
        <v>0.34906687457765745</v>
      </c>
      <c r="Q35" s="202">
        <f>SUMIFS(InterventionCosts!$K$2:$K$3432,InterventionCosts!$D$2:$D$3432,'Summary of unit costs'!Q$1,InterventionCosts!$A$2:$A$3432,'Summary of unit costs'!$A35)</f>
        <v>69.860586101173112</v>
      </c>
      <c r="R35" s="202">
        <f>SUMIFS(InterventionCosts!$K$2:$K$3432,InterventionCosts!$D$2:$D$3432,'Summary of unit costs'!R$1,InterventionCosts!$A$2:$A$3432,'Summary of unit costs'!$A35)</f>
        <v>259.55200101480813</v>
      </c>
      <c r="S35" s="202">
        <f>SUMIFS(InterventionCosts!$K$2:$K$3432,InterventionCosts!$D$2:$D$3432,'Summary of unit costs'!S$1,InterventionCosts!$A$2:$A$3432,'Summary of unit costs'!$A35)</f>
        <v>0</v>
      </c>
      <c r="T35" s="202">
        <f>SUMIFS(InterventionCosts!$K$2:$K$3432,InterventionCosts!$D$2:$D$3432,'Summary of unit costs'!T$1,InterventionCosts!$A$2:$A$3432,'Summary of unit costs'!$A35)</f>
        <v>220.51509062692921</v>
      </c>
      <c r="U35" s="202">
        <f>SUMIFS(InterventionCosts!$K$2:$K$3432,InterventionCosts!$D$2:$D$3432,'Summary of unit costs'!U$1,InterventionCosts!$A$2:$A$3432,'Summary of unit costs'!$A35)</f>
        <v>153.87502563424164</v>
      </c>
      <c r="V35" s="202">
        <f>SUMIFS(InterventionCosts!$K$2:$K$3432,InterventionCosts!$D$2:$D$3432,'Summary of unit costs'!V$1,InterventionCosts!$A$2:$A$3432,'Summary of unit costs'!$A35)</f>
        <v>377.41850950935793</v>
      </c>
    </row>
    <row r="36" spans="1:24" s="201" customFormat="1">
      <c r="A36" s="200" t="s">
        <v>447</v>
      </c>
      <c r="B36" s="200">
        <v>3</v>
      </c>
      <c r="C36" s="201" t="str">
        <f t="shared" ref="C36:C37" si="37">"Numbers initiating oral PrEP; average "&amp;B36&amp;" months PrEP use"</f>
        <v>Numbers initiating oral PrEP; average 3 months PrEP use</v>
      </c>
      <c r="E36" s="201" t="s">
        <v>131</v>
      </c>
      <c r="F36" s="201" t="s">
        <v>133</v>
      </c>
      <c r="G36" s="408">
        <f t="array" ref="G36">IF(E36="Literature",INDEX(LiteratureCost!$I$2:$I$10,MATCH('Summary of unit costs'!A36,LiteratureCost!$A$2:$A$10,0)),INDEX(InterventionCosts!$L$1:$L$2363,MATCH(A36,IF(InterventionCosts!$F$1:$F$2363="Cost per intervention",InterventionCosts!$A$1:$A$2363),0)))</f>
        <v>1048.753447637109</v>
      </c>
      <c r="H36" s="428">
        <f t="shared" ref="H36:H66" si="38">G36/exrate</f>
        <v>56.201311417478493</v>
      </c>
      <c r="I36" s="322" t="str">
        <f t="array" ref="I36">IF(E36="Literature",INDEX(LiteratureCost!$G$2:$G$22,MATCH('Summary of unit costs'!A36,LiteratureCost!$A$2:$A$22,0)),INDEX(InterventionCosts!$L$1:$L$3432,MATCH(A36,IF(InterventionCosts!$F$1:$F$3432="Unit",InterventionCosts!$A$1:$A$3432),0)))</f>
        <v>per user initiated</v>
      </c>
      <c r="J36" s="203">
        <f t="shared" si="27"/>
        <v>1</v>
      </c>
      <c r="K36" s="203">
        <f t="shared" si="31"/>
        <v>2.9030924676044796E-2</v>
      </c>
      <c r="L36" s="203">
        <f t="shared" si="32"/>
        <v>0.24748619573036068</v>
      </c>
      <c r="M36" s="203">
        <f t="shared" si="33"/>
        <v>0</v>
      </c>
      <c r="N36" s="203">
        <f t="shared" si="34"/>
        <v>0.23788223965810934</v>
      </c>
      <c r="O36" s="203">
        <f t="shared" si="35"/>
        <v>0.14469651238554151</v>
      </c>
      <c r="P36" s="203">
        <f t="shared" si="36"/>
        <v>0.3409041275499437</v>
      </c>
      <c r="Q36" s="202">
        <f>SUMIFS(InterventionCosts!$K$2:$K$3432,InterventionCosts!$D$2:$D$3432,'Summary of unit costs'!Q$1,InterventionCosts!$A$2:$A$3432,'Summary of unit costs'!$A36)</f>
        <v>30.446282342095202</v>
      </c>
      <c r="R36" s="202">
        <f>SUMIFS(InterventionCosts!$K$2:$K$3432,InterventionCosts!$D$2:$D$3432,'Summary of unit costs'!R$1,InterventionCosts!$A$2:$A$3432,'Summary of unit costs'!$A36)</f>
        <v>259.55200101480813</v>
      </c>
      <c r="S36" s="202">
        <f>SUMIFS(InterventionCosts!$K$2:$K$3432,InterventionCosts!$D$2:$D$3432,'Summary of unit costs'!S$1,InterventionCosts!$A$2:$A$3432,'Summary of unit costs'!$A36)</f>
        <v>0</v>
      </c>
      <c r="T36" s="202">
        <f>SUMIFS(InterventionCosts!$K$2:$K$3432,InterventionCosts!$D$2:$D$3432,'Summary of unit costs'!T$1,InterventionCosts!$A$2:$A$3432,'Summary of unit costs'!$A36)</f>
        <v>249.4798189730792</v>
      </c>
      <c r="U36" s="202">
        <f>SUMIFS(InterventionCosts!$K$2:$K$3432,InterventionCosts!$D$2:$D$3432,'Summary of unit costs'!U$1,InterventionCosts!$A$2:$A$3432,'Summary of unit costs'!$A36)</f>
        <v>151.75096622540232</v>
      </c>
      <c r="V36" s="202">
        <f>SUMIFS(InterventionCosts!$K$2:$K$3432,InterventionCosts!$D$2:$D$3432,'Summary of unit costs'!V$1,InterventionCosts!$A$2:$A$3432,'Summary of unit costs'!$A36)</f>
        <v>357.52437908172425</v>
      </c>
      <c r="W36" s="318"/>
    </row>
    <row r="37" spans="1:24" s="201" customFormat="1">
      <c r="A37" s="200" t="s">
        <v>448</v>
      </c>
      <c r="B37" s="200">
        <v>6</v>
      </c>
      <c r="C37" s="201" t="str">
        <f t="shared" si="37"/>
        <v>Numbers initiating oral PrEP; average 6 months PrEP use</v>
      </c>
      <c r="E37" s="201" t="s">
        <v>131</v>
      </c>
      <c r="F37" s="201" t="s">
        <v>133</v>
      </c>
      <c r="G37" s="408">
        <f t="array" ref="G37">IF(E37="Literature",INDEX(LiteratureCost!$I$2:$I$10,MATCH('Summary of unit costs'!A37,LiteratureCost!$A$2:$A$10,0)),INDEX(InterventionCosts!$L$1:$L$2363,MATCH(A37,IF(InterventionCosts!$F$1:$F$2363="Cost per intervention",InterventionCosts!$A$1:$A$2363),0)))</f>
        <v>1289.3426018019911</v>
      </c>
      <c r="H37" s="428">
        <f t="shared" si="38"/>
        <v>69.094166270401928</v>
      </c>
      <c r="I37" s="322" t="str">
        <f t="array" ref="I37">IF(E37="Literature",INDEX(LiteratureCost!$G$2:$G$22,MATCH('Summary of unit costs'!A37,LiteratureCost!$A$2:$A$22,0)),INDEX(InterventionCosts!$L$1:$L$3432,MATCH(A37,IF(InterventionCosts!$F$1:$F$3432="Unit",InterventionCosts!$A$1:$A$3432),0)))</f>
        <v>per user initiated</v>
      </c>
      <c r="J37" s="203">
        <f t="shared" si="27"/>
        <v>0.99999999999999967</v>
      </c>
      <c r="K37" s="203">
        <f t="shared" si="31"/>
        <v>3.5564300533161897E-2</v>
      </c>
      <c r="L37" s="203">
        <f t="shared" si="32"/>
        <v>0.35228495602417842</v>
      </c>
      <c r="M37" s="203">
        <f t="shared" si="33"/>
        <v>0</v>
      </c>
      <c r="N37" s="203">
        <f t="shared" si="34"/>
        <v>0.17214423020825251</v>
      </c>
      <c r="O37" s="203">
        <f t="shared" si="35"/>
        <v>0.12990375356138048</v>
      </c>
      <c r="P37" s="203">
        <f t="shared" si="36"/>
        <v>0.31010275967302703</v>
      </c>
      <c r="Q37" s="202">
        <f>SUMIFS(InterventionCosts!$K$2:$K$3432,InterventionCosts!$D$2:$D$3432,'Summary of unit costs'!Q$1,InterventionCosts!$A$2:$A$3432,'Summary of unit costs'!$A37)</f>
        <v>45.8545677806949</v>
      </c>
      <c r="R37" s="202">
        <f>SUMIFS(InterventionCosts!$K$2:$K$3432,InterventionCosts!$D$2:$D$3432,'Summary of unit costs'!R$1,InterventionCosts!$A$2:$A$3432,'Summary of unit costs'!$A37)</f>
        <v>454.21600177591421</v>
      </c>
      <c r="S37" s="202">
        <f>SUMIFS(InterventionCosts!$K$2:$K$3432,InterventionCosts!$D$2:$D$3432,'Summary of unit costs'!S$1,InterventionCosts!$A$2:$A$3432,'Summary of unit costs'!$A37)</f>
        <v>0</v>
      </c>
      <c r="T37" s="202">
        <f>SUMIFS(InterventionCosts!$K$2:$K$3432,InterventionCosts!$D$2:$D$3432,'Summary of unit costs'!T$1,InterventionCosts!$A$2:$A$3432,'Summary of unit costs'!$A37)</f>
        <v>221.95288966190921</v>
      </c>
      <c r="U37" s="202">
        <f>SUMIFS(InterventionCosts!$K$2:$K$3432,InterventionCosts!$D$2:$D$3432,'Summary of unit costs'!U$1,InterventionCosts!$A$2:$A$3432,'Summary of unit costs'!$A37)</f>
        <v>167.49044360067498</v>
      </c>
      <c r="V37" s="202">
        <f>SUMIFS(InterventionCosts!$K$2:$K$3432,InterventionCosts!$D$2:$D$3432,'Summary of unit costs'!V$1,InterventionCosts!$A$2:$A$3432,'Summary of unit costs'!$A37)</f>
        <v>399.82869898279824</v>
      </c>
      <c r="W37" s="318"/>
    </row>
    <row r="38" spans="1:24" s="201" customFormat="1">
      <c r="A38" s="200" t="s">
        <v>1370</v>
      </c>
      <c r="B38" s="200">
        <v>12</v>
      </c>
      <c r="C38" s="201" t="str">
        <f>"Numbers initiating CAB-LA; average "&amp;B38&amp;" months PrEP use"</f>
        <v>Numbers initiating CAB-LA; average 12 months PrEP use</v>
      </c>
      <c r="E38" s="201" t="s">
        <v>131</v>
      </c>
      <c r="F38" s="201" t="s">
        <v>133</v>
      </c>
      <c r="G38" s="408">
        <f t="array" ref="G38">IF(E38="Literature",INDEX(LiteratureCost!$I$2:$I$10,MATCH('Summary of unit costs'!A38,LiteratureCost!$A$2:$A$10,0)),INDEX(InterventionCosts!$L$1:$L$2363,MATCH(A38,IF(InterventionCosts!$F$1:$F$2363="Cost per intervention",InterventionCosts!$A$1:$A$2363),0)))</f>
        <v>5021.9471330724282</v>
      </c>
      <c r="H38" s="428">
        <f t="shared" si="38"/>
        <v>269.11951077139906</v>
      </c>
      <c r="I38" s="322" t="str">
        <f t="array" ref="I38">IF(E38="Literature",INDEX(LiteratureCost!$G$2:$G$22,MATCH('Summary of unit costs'!A38,LiteratureCost!$A$2:$A$22,0)),INDEX(InterventionCosts!$L$1:$L$3432,MATCH(A38,IF(InterventionCosts!$F$1:$F$3432="Unit",InterventionCosts!$A$1:$A$3432),0)))</f>
        <v>per user initiated</v>
      </c>
      <c r="J38" s="203">
        <f t="shared" si="27"/>
        <v>1</v>
      </c>
      <c r="K38" s="203">
        <f t="shared" si="31"/>
        <v>2.3836362793397844E-2</v>
      </c>
      <c r="L38" s="203">
        <f t="shared" si="32"/>
        <v>0.74572816896384064</v>
      </c>
      <c r="M38" s="203">
        <f t="shared" si="33"/>
        <v>0</v>
      </c>
      <c r="N38" s="203">
        <f t="shared" si="34"/>
        <v>2.1938331769296437E-2</v>
      </c>
      <c r="O38" s="203">
        <f t="shared" si="35"/>
        <v>6.6687550276779695E-2</v>
      </c>
      <c r="P38" s="203">
        <f t="shared" si="36"/>
        <v>0.14180958619668552</v>
      </c>
      <c r="Q38" s="202">
        <f>SUMIFS(InterventionCosts!$K$2:$K$3432,InterventionCosts!$D$2:$D$3432,'Summary of unit costs'!Q$1,InterventionCosts!$A$2:$A$3432,'Summary of unit costs'!$A38)</f>
        <v>119.70495379317859</v>
      </c>
      <c r="R38" s="202">
        <f>SUMIFS(InterventionCosts!$K$2:$K$3432,InterventionCosts!$D$2:$D$3432,'Summary of unit costs'!R$1,InterventionCosts!$A$2:$A$3432,'Summary of unit costs'!$A38)</f>
        <v>3745.0074401793108</v>
      </c>
      <c r="S38" s="202">
        <f>SUMIFS(InterventionCosts!$K$2:$K$3432,InterventionCosts!$D$2:$D$3432,'Summary of unit costs'!S$1,InterventionCosts!$A$2:$A$3432,'Summary of unit costs'!$A38)</f>
        <v>0</v>
      </c>
      <c r="T38" s="202">
        <f>SUMIFS(InterventionCosts!$K$2:$K$3432,InterventionCosts!$D$2:$D$3432,'Summary of unit costs'!T$1,InterventionCosts!$A$2:$A$3432,'Summary of unit costs'!$A38)</f>
        <v>110.17314233321001</v>
      </c>
      <c r="U38" s="202">
        <f>SUMIFS(InterventionCosts!$K$2:$K$3432,InterventionCosts!$D$2:$D$3432,'Summary of unit costs'!U$1,InterventionCosts!$A$2:$A$3432,'Summary of unit costs'!$A38)</f>
        <v>334.90135192409718</v>
      </c>
      <c r="V38" s="202">
        <f>SUMIFS(InterventionCosts!$K$2:$K$3432,InterventionCosts!$D$2:$D$3432,'Summary of unit costs'!V$1,InterventionCosts!$A$2:$A$3432,'Summary of unit costs'!$A38)</f>
        <v>712.16024484263221</v>
      </c>
    </row>
    <row r="39" spans="1:24" s="201" customFormat="1">
      <c r="A39" s="200" t="s">
        <v>1371</v>
      </c>
      <c r="B39" s="200">
        <v>12</v>
      </c>
      <c r="C39" s="201" t="str">
        <f t="shared" ref="C39:C41" si="39">"Numbers initiating CAB-LA; average "&amp;B39&amp;" months PrEP use"</f>
        <v>Numbers initiating CAB-LA; average 12 months PrEP use</v>
      </c>
      <c r="E39" s="201" t="s">
        <v>131</v>
      </c>
      <c r="F39" s="201" t="s">
        <v>133</v>
      </c>
      <c r="G39" s="408">
        <f t="array" ref="G39">IF(E39="Literature",INDEX(LiteratureCost!$I$2:$I$10,MATCH('Summary of unit costs'!A39,LiteratureCost!$A$2:$A$10,0)),INDEX(InterventionCosts!$L$1:$L$2363,MATCH(A39,IF(InterventionCosts!$F$1:$F$2363="Cost per intervention",InterventionCosts!$A$1:$A$2363),0)))</f>
        <v>5053.739127348932</v>
      </c>
      <c r="H39" s="428">
        <f t="shared" si="38"/>
        <v>270.82320173417213</v>
      </c>
      <c r="I39" s="322" t="str">
        <f t="array" ref="I39">IF(E39="Literature",INDEX(LiteratureCost!$G$2:$G$22,MATCH('Summary of unit costs'!A39,LiteratureCost!$A$2:$A$22,0)),INDEX(InterventionCosts!$L$1:$L$3432,MATCH(A39,IF(InterventionCosts!$F$1:$F$3432="Unit",InterventionCosts!$A$1:$A$3432),0)))</f>
        <v>per user initiated</v>
      </c>
      <c r="J39" s="203">
        <f t="shared" si="27"/>
        <v>0.99999999999999978</v>
      </c>
      <c r="K39" s="203">
        <f t="shared" si="31"/>
        <v>3.0713024681025606E-2</v>
      </c>
      <c r="L39" s="203">
        <f t="shared" si="32"/>
        <v>0.74103695220688015</v>
      </c>
      <c r="M39" s="203">
        <f t="shared" si="33"/>
        <v>0</v>
      </c>
      <c r="N39" s="203">
        <f t="shared" si="34"/>
        <v>1.6068976245249913E-2</v>
      </c>
      <c r="O39" s="203">
        <f t="shared" si="35"/>
        <v>6.6679579916054083E-2</v>
      </c>
      <c r="P39" s="203">
        <f t="shared" si="36"/>
        <v>0.14550146695079041</v>
      </c>
      <c r="Q39" s="202">
        <f>SUMIFS(InterventionCosts!$K$2:$K$3432,InterventionCosts!$D$2:$D$3432,'Summary of unit costs'!Q$1,InterventionCosts!$A$2:$A$3432,'Summary of unit costs'!$A39)</f>
        <v>155.21561454973255</v>
      </c>
      <c r="R39" s="202">
        <f>SUMIFS(InterventionCosts!$K$2:$K$3432,InterventionCosts!$D$2:$D$3432,'Summary of unit costs'!R$1,InterventionCosts!$A$2:$A$3432,'Summary of unit costs'!$A39)</f>
        <v>3745.0074401793108</v>
      </c>
      <c r="S39" s="202">
        <f>SUMIFS(InterventionCosts!$K$2:$K$3432,InterventionCosts!$D$2:$D$3432,'Summary of unit costs'!S$1,InterventionCosts!$A$2:$A$3432,'Summary of unit costs'!$A39)</f>
        <v>0</v>
      </c>
      <c r="T39" s="202">
        <f>SUMIFS(InterventionCosts!$K$2:$K$3432,InterventionCosts!$D$2:$D$3432,'Summary of unit costs'!T$1,InterventionCosts!$A$2:$A$3432,'Summary of unit costs'!$A39)</f>
        <v>81.208413987060013</v>
      </c>
      <c r="U39" s="202">
        <f>SUMIFS(InterventionCosts!$K$2:$K$3432,InterventionCosts!$D$2:$D$3432,'Summary of unit costs'!U$1,InterventionCosts!$A$2:$A$3432,'Summary of unit costs'!$A39)</f>
        <v>336.98120201695252</v>
      </c>
      <c r="V39" s="202">
        <f>SUMIFS(InterventionCosts!$K$2:$K$3432,InterventionCosts!$D$2:$D$3432,'Summary of unit costs'!V$1,InterventionCosts!$A$2:$A$3432,'Summary of unit costs'!$A39)</f>
        <v>735.32645661587696</v>
      </c>
    </row>
    <row r="40" spans="1:24" s="201" customFormat="1">
      <c r="A40" s="200" t="s">
        <v>1372</v>
      </c>
      <c r="B40" s="200">
        <v>12</v>
      </c>
      <c r="C40" s="201" t="str">
        <f t="shared" si="39"/>
        <v>Numbers initiating CAB-LA; average 12 months PrEP use</v>
      </c>
      <c r="E40" s="201" t="s">
        <v>131</v>
      </c>
      <c r="F40" s="201" t="s">
        <v>133</v>
      </c>
      <c r="G40" s="408">
        <f t="array" ref="G40">IF(E40="Literature",INDEX(LiteratureCost!$I$2:$I$10,MATCH('Summary of unit costs'!A40,LiteratureCost!$A$2:$A$10,0)),INDEX(InterventionCosts!$L$1:$L$2363,MATCH(A40,IF(InterventionCosts!$F$1:$F$2363="Cost per intervention",InterventionCosts!$A$1:$A$2363),0)))</f>
        <v>4980.7324399097733</v>
      </c>
      <c r="H40" s="428">
        <f t="shared" si="38"/>
        <v>266.91086982663842</v>
      </c>
      <c r="I40" s="322" t="str">
        <f t="array" ref="I40">IF(E40="Literature",INDEX(LiteratureCost!$G$2:$G$22,MATCH('Summary of unit costs'!A40,LiteratureCost!$A$2:$A$22,0)),INDEX(InterventionCosts!$L$1:$L$3432,MATCH(A40,IF(InterventionCosts!$F$1:$F$3432="Unit",InterventionCosts!$A$1:$A$3432),0)))</f>
        <v>per user initiated</v>
      </c>
      <c r="J40" s="203">
        <f t="shared" si="27"/>
        <v>1</v>
      </c>
      <c r="K40" s="203">
        <f t="shared" si="31"/>
        <v>1.6775258537505392E-2</v>
      </c>
      <c r="L40" s="203">
        <f t="shared" si="32"/>
        <v>0.75189893963610543</v>
      </c>
      <c r="M40" s="203">
        <f t="shared" si="33"/>
        <v>0</v>
      </c>
      <c r="N40" s="203">
        <f t="shared" si="34"/>
        <v>2.2119867642439714E-2</v>
      </c>
      <c r="O40" s="203">
        <f t="shared" si="35"/>
        <v>6.6698034394389455E-2</v>
      </c>
      <c r="P40" s="203">
        <f t="shared" si="36"/>
        <v>0.14250789978956008</v>
      </c>
      <c r="Q40" s="202">
        <f>SUMIFS(InterventionCosts!$K$2:$K$3432,InterventionCosts!$D$2:$D$3432,'Summary of unit costs'!Q$1,InterventionCosts!$A$2:$A$3432,'Summary of unit costs'!$A40)</f>
        <v>83.553074385626488</v>
      </c>
      <c r="R40" s="202">
        <f>SUMIFS(InterventionCosts!$K$2:$K$3432,InterventionCosts!$D$2:$D$3432,'Summary of unit costs'!R$1,InterventionCosts!$A$2:$A$3432,'Summary of unit costs'!$A40)</f>
        <v>3745.0074401793108</v>
      </c>
      <c r="S40" s="202">
        <f>SUMIFS(InterventionCosts!$K$2:$K$3432,InterventionCosts!$D$2:$D$3432,'Summary of unit costs'!S$1,InterventionCosts!$A$2:$A$3432,'Summary of unit costs'!$A40)</f>
        <v>0</v>
      </c>
      <c r="T40" s="202">
        <f>SUMIFS(InterventionCosts!$K$2:$K$3432,InterventionCosts!$D$2:$D$3432,'Summary of unit costs'!T$1,InterventionCosts!$A$2:$A$3432,'Summary of unit costs'!$A40)</f>
        <v>110.17314233321001</v>
      </c>
      <c r="U40" s="202">
        <f>SUMIFS(InterventionCosts!$K$2:$K$3432,InterventionCosts!$D$2:$D$3432,'Summary of unit costs'!U$1,InterventionCosts!$A$2:$A$3432,'Summary of unit costs'!$A40)</f>
        <v>332.20506358635339</v>
      </c>
      <c r="V40" s="202">
        <f>SUMIFS(InterventionCosts!$K$2:$K$3432,InterventionCosts!$D$2:$D$3432,'Summary of unit costs'!V$1,InterventionCosts!$A$2:$A$3432,'Summary of unit costs'!$A40)</f>
        <v>709.79371942527303</v>
      </c>
    </row>
    <row r="41" spans="1:24" s="201" customFormat="1">
      <c r="A41" s="200" t="s">
        <v>1373</v>
      </c>
      <c r="B41" s="200">
        <v>18</v>
      </c>
      <c r="C41" s="201" t="str">
        <f t="shared" si="39"/>
        <v>Numbers initiating CAB-LA; average 18 months PrEP use</v>
      </c>
      <c r="E41" s="201" t="s">
        <v>131</v>
      </c>
      <c r="F41" s="201" t="s">
        <v>133</v>
      </c>
      <c r="G41" s="408">
        <f t="array" ref="G41">IF(E41="Literature",INDEX(LiteratureCost!$I$2:$I$10,MATCH('Summary of unit costs'!A41,LiteratureCost!$A$2:$A$10,0)),INDEX(InterventionCosts!$L$1:$L$2363,MATCH(A41,IF(InterventionCosts!$F$1:$F$2363="Cost per intervention",InterventionCosts!$A$1:$A$2363),0)))</f>
        <v>6911.0630972137778</v>
      </c>
      <c r="H41" s="428">
        <f t="shared" si="38"/>
        <v>370.35473897841558</v>
      </c>
      <c r="I41" s="322" t="str">
        <f t="array" ref="I41">IF(E41="Literature",INDEX(LiteratureCost!$G$2:$G$22,MATCH('Summary of unit costs'!A41,LiteratureCost!$A$2:$A$22,0)),INDEX(InterventionCosts!$L$1:$L$3432,MATCH(A41,IF(InterventionCosts!$F$1:$F$3432="Unit",InterventionCosts!$A$1:$A$3432),0)))</f>
        <v>per user initiated</v>
      </c>
      <c r="J41" s="203">
        <f t="shared" si="27"/>
        <v>0.99999999999999989</v>
      </c>
      <c r="K41" s="203">
        <f t="shared" si="31"/>
        <v>1.7248955342559668E-2</v>
      </c>
      <c r="L41" s="203">
        <f t="shared" si="32"/>
        <v>0.77412267166023474</v>
      </c>
      <c r="M41" s="203">
        <f t="shared" si="33"/>
        <v>0</v>
      </c>
      <c r="N41" s="203">
        <f t="shared" si="34"/>
        <v>1.237462455327292E-2</v>
      </c>
      <c r="O41" s="203">
        <f t="shared" si="35"/>
        <v>6.6341222930004606E-2</v>
      </c>
      <c r="P41" s="203">
        <f t="shared" si="36"/>
        <v>0.12991252551392826</v>
      </c>
      <c r="Q41" s="202">
        <f>SUMIFS(InterventionCosts!$K$2:$K$3432,InterventionCosts!$D$2:$D$3432,'Summary of unit costs'!Q$1,InterventionCosts!$A$2:$A$3432,'Summary of unit costs'!$A41)</f>
        <v>119.20861873345257</v>
      </c>
      <c r="R41" s="202">
        <f>SUMIFS(InterventionCosts!$K$2:$K$3432,InterventionCosts!$D$2:$D$3432,'Summary of unit costs'!R$1,InterventionCosts!$A$2:$A$3432,'Summary of unit costs'!$A41)</f>
        <v>5350.0106288275865</v>
      </c>
      <c r="S41" s="202">
        <f>SUMIFS(InterventionCosts!$K$2:$K$3432,InterventionCosts!$D$2:$D$3432,'Summary of unit costs'!S$1,InterventionCosts!$A$2:$A$3432,'Summary of unit costs'!$A41)</f>
        <v>0</v>
      </c>
      <c r="T41" s="202">
        <f>SUMIFS(InterventionCosts!$K$2:$K$3432,InterventionCosts!$D$2:$D$3432,'Summary of unit costs'!T$1,InterventionCosts!$A$2:$A$3432,'Summary of unit costs'!$A41)</f>
        <v>85.521811092000007</v>
      </c>
      <c r="U41" s="202">
        <f>SUMIFS(InterventionCosts!$K$2:$K$3432,InterventionCosts!$D$2:$D$3432,'Summary of unit costs'!U$1,InterventionCosts!$A$2:$A$3432,'Summary of unit costs'!$A41)</f>
        <v>458.4883776155873</v>
      </c>
      <c r="V41" s="202">
        <f>SUMIFS(InterventionCosts!$K$2:$K$3432,InterventionCosts!$D$2:$D$3432,'Summary of unit costs'!V$1,InterventionCosts!$A$2:$A$3432,'Summary of unit costs'!$A41)</f>
        <v>897.83366094515293</v>
      </c>
    </row>
    <row r="42" spans="1:24" s="201" customFormat="1">
      <c r="A42" s="200" t="s">
        <v>939</v>
      </c>
      <c r="B42" s="200">
        <v>6</v>
      </c>
      <c r="C42" s="201" t="str">
        <f>"Numbers initiating DVR; average "&amp;B42&amp;" months PrEP use"</f>
        <v>Numbers initiating DVR; average 6 months PrEP use</v>
      </c>
      <c r="E42" s="201" t="s">
        <v>131</v>
      </c>
      <c r="F42" s="201" t="s">
        <v>133</v>
      </c>
      <c r="G42" s="408">
        <f t="array" ref="G42">IF(E42="Literature",INDEX(LiteratureCost!$I$2:$I$10,MATCH('Summary of unit costs'!A42,LiteratureCost!$A$2:$A$10,0)),INDEX(InterventionCosts!$L$1:$L$2363,MATCH(A42,IF(InterventionCosts!$F$1:$F$2363="Cost per intervention",InterventionCosts!$A$1:$A$2363),0)))</f>
        <v>2551.3166407759259</v>
      </c>
      <c r="H42" s="428">
        <f t="shared" si="38"/>
        <v>136.72168742415232</v>
      </c>
      <c r="I42" s="322" t="str">
        <f t="array" ref="I42">IF(E42="Literature",INDEX(LiteratureCost!$G$2:$G$22,MATCH('Summary of unit costs'!A42,LiteratureCost!$A$2:$A$22,0)),INDEX(InterventionCosts!$L$1:$L$3432,MATCH(A42,IF(InterventionCosts!$F$1:$F$3432="Unit",InterventionCosts!$A$1:$A$3432),0)))</f>
        <v>per user initiated</v>
      </c>
      <c r="J42" s="203">
        <f t="shared" si="27"/>
        <v>0.99999999999999978</v>
      </c>
      <c r="K42" s="203">
        <f t="shared" ref="K42:P42" si="40">Q42/$G42</f>
        <v>1.360861971988103E-2</v>
      </c>
      <c r="L42" s="203">
        <f t="shared" si="40"/>
        <v>0.72198830968028482</v>
      </c>
      <c r="M42" s="203">
        <f t="shared" si="40"/>
        <v>0</v>
      </c>
      <c r="N42" s="203">
        <f t="shared" si="40"/>
        <v>1.7167734383133688E-2</v>
      </c>
      <c r="O42" s="203">
        <f t="shared" si="40"/>
        <v>6.7914470884761408E-2</v>
      </c>
      <c r="P42" s="203">
        <f t="shared" si="40"/>
        <v>0.17932086533193914</v>
      </c>
      <c r="Q42" s="202">
        <f>SUMIFS(InterventionCosts!$K$2:$K$3432,InterventionCosts!$D$2:$D$3432,'Summary of unit costs'!Q$1,InterventionCosts!$A$2:$A$3432,'Summary of unit costs'!$A42)</f>
        <v>34.719897949323894</v>
      </c>
      <c r="R42" s="202">
        <f>SUMIFS(InterventionCosts!$K$2:$K$3432,InterventionCosts!$D$2:$D$3432,'Summary of unit costs'!R$1,InterventionCosts!$A$2:$A$3432,'Summary of unit costs'!$A42)</f>
        <v>1842.0207889329931</v>
      </c>
      <c r="S42" s="202">
        <f>SUMIFS(InterventionCosts!$K$2:$K$3432,InterventionCosts!$D$2:$D$3432,'Summary of unit costs'!S$1,InterventionCosts!$A$2:$A$3432,'Summary of unit costs'!$A42)</f>
        <v>0</v>
      </c>
      <c r="T42" s="202">
        <f>SUMIFS(InterventionCosts!$K$2:$K$3432,InterventionCosts!$D$2:$D$3432,'Summary of unit costs'!T$1,InterventionCosts!$A$2:$A$3432,'Summary of unit costs'!$A42)</f>
        <v>43.800326416110003</v>
      </c>
      <c r="U42" s="202">
        <f>SUMIFS(InterventionCosts!$K$2:$K$3432,InterventionCosts!$D$2:$D$3432,'Summary of unit costs'!U$1,InterventionCosts!$A$2:$A$3432,'Summary of unit costs'!$A42)</f>
        <v>173.27131971778388</v>
      </c>
      <c r="V42" s="202">
        <f>SUMIFS(InterventionCosts!$K$2:$K$3432,InterventionCosts!$D$2:$D$3432,'Summary of unit costs'!V$1,InterventionCosts!$A$2:$A$3432,'Summary of unit costs'!$A42)</f>
        <v>457.50430775971512</v>
      </c>
    </row>
    <row r="43" spans="1:24" s="235" customFormat="1">
      <c r="A43" s="235" t="s">
        <v>239</v>
      </c>
      <c r="C43" s="235" t="s">
        <v>1526</v>
      </c>
      <c r="E43" s="235" t="s">
        <v>131</v>
      </c>
      <c r="F43" s="235" t="s">
        <v>133</v>
      </c>
      <c r="G43" s="411">
        <f t="array" ref="G43">IF(E43="Literature",0,INDEX(InterventionCosts!$L$1:$L$3432,MATCH(A43,IF(InterventionCosts!$F$1:$F$3432="Cost per intervention",InterventionCosts!$A$1:$A$3432),0)))</f>
        <v>262.94033036620368</v>
      </c>
      <c r="H43" s="429">
        <f t="shared" si="38"/>
        <v>14.090624850311864</v>
      </c>
      <c r="I43" s="352" t="str">
        <f t="array" ref="I43">IF(E43="Literature",INDEX(LiteratureCost!$G$2:$G$22,MATCH('Summary of unit costs'!A43,LiteratureCost!$A$2:$A$22,0)),INDEX(InterventionCosts!$L$1:$L$3432,MATCH(A43,IF(InterventionCosts!$F$1:$F$3432="Unit",InterventionCosts!$A$1:$A$3432),0)))</f>
        <v>per mother-baby pair</v>
      </c>
      <c r="J43" s="237">
        <f t="shared" si="27"/>
        <v>1</v>
      </c>
      <c r="K43" s="237">
        <f t="shared" si="31"/>
        <v>0</v>
      </c>
      <c r="L43" s="237">
        <f t="shared" si="32"/>
        <v>1</v>
      </c>
      <c r="M43" s="237">
        <f t="shared" si="33"/>
        <v>0</v>
      </c>
      <c r="N43" s="237">
        <f t="shared" si="34"/>
        <v>0</v>
      </c>
      <c r="O43" s="237">
        <f t="shared" si="35"/>
        <v>0</v>
      </c>
      <c r="P43" s="237">
        <f t="shared" si="36"/>
        <v>0</v>
      </c>
      <c r="Q43" s="236">
        <f>SUMIFS(InterventionCosts!$K$2:$K$3432,InterventionCosts!$D$2:$D$3432,'Summary of unit costs'!Q$1,InterventionCosts!$A$2:$A$3432,'Summary of unit costs'!$A43)</f>
        <v>0</v>
      </c>
      <c r="R43" s="236">
        <f>SUMIFS(InterventionCosts!$K$2:$K$3432,InterventionCosts!$D$2:$D$3432,'Summary of unit costs'!R$1,InterventionCosts!$A$2:$A$3432,'Summary of unit costs'!$A43)</f>
        <v>262.94033036620368</v>
      </c>
      <c r="S43" s="236">
        <f>SUMIFS(InterventionCosts!$K$2:$K$3432,InterventionCosts!$D$2:$D$3432,'Summary of unit costs'!S$1,InterventionCosts!$A$2:$A$3432,'Summary of unit costs'!$A43)</f>
        <v>0</v>
      </c>
      <c r="T43" s="236">
        <f>SUMIFS(InterventionCosts!$K$2:$K$3432,InterventionCosts!$D$2:$D$3432,'Summary of unit costs'!T$1,InterventionCosts!$A$2:$A$3432,'Summary of unit costs'!$A43)</f>
        <v>0</v>
      </c>
      <c r="U43" s="236">
        <f>SUMIFS(InterventionCosts!$K$2:$K$3432,InterventionCosts!$D$2:$D$3432,'Summary of unit costs'!U$1,InterventionCosts!$A$2:$A$3432,'Summary of unit costs'!$A43)</f>
        <v>0</v>
      </c>
      <c r="V43" s="236">
        <f>SUMIFS(InterventionCosts!$K$2:$K$3432,InterventionCosts!$D$2:$D$3432,'Summary of unit costs'!V$1,InterventionCosts!$A$2:$A$3432,'Summary of unit costs'!$A43)</f>
        <v>0</v>
      </c>
    </row>
    <row r="44" spans="1:24" s="204" customFormat="1">
      <c r="A44" s="204" t="s">
        <v>240</v>
      </c>
      <c r="C44" s="204" t="s">
        <v>1527</v>
      </c>
      <c r="E44" s="205" t="s">
        <v>131</v>
      </c>
      <c r="F44" s="204" t="s">
        <v>134</v>
      </c>
      <c r="G44" s="412">
        <f t="array" ref="G44">IF(E44="Literature",0,INDEX(InterventionCosts!$L$1:$L$3432,MATCH(A44,IF(InterventionCosts!$F$1:$F$3432="Cost per intervention",InterventionCosts!$A$1:$A$3432),0)))</f>
        <v>573.37584450737654</v>
      </c>
      <c r="H44" s="430">
        <f t="shared" si="38"/>
        <v>30.726453838146664</v>
      </c>
      <c r="I44" s="353" t="str">
        <f t="array" ref="I44">IF(E44="Literature",INDEX(LiteratureCost!$G$2:$G$22,MATCH('Summary of unit costs'!A44,LiteratureCost!$A$2:$A$22,0)),INDEX(InterventionCosts!$L$1:$L$3432,MATCH(A44,IF(InterventionCosts!$F$1:$F$3432="Unit",InterventionCosts!$A$1:$A$3432),0)))</f>
        <v>per client tested</v>
      </c>
      <c r="J44" s="207">
        <f t="shared" si="27"/>
        <v>1</v>
      </c>
      <c r="K44" s="207">
        <f>Q44/$G44</f>
        <v>1.8514906237671865E-3</v>
      </c>
      <c r="L44" s="207">
        <f t="shared" ref="L44:L52" si="41">R44/$G44</f>
        <v>0</v>
      </c>
      <c r="M44" s="207">
        <f t="shared" ref="M44:M52" si="42">S44/$G44</f>
        <v>0</v>
      </c>
      <c r="N44" s="207">
        <f t="shared" ref="N44:N52" si="43">T44/$G44</f>
        <v>0.86345688192961645</v>
      </c>
      <c r="O44" s="207">
        <f t="shared" ref="O44:O52" si="44">U44/$G44</f>
        <v>0</v>
      </c>
      <c r="P44" s="207">
        <f t="shared" ref="P44:P52" si="45">V44/$G44</f>
        <v>0.13469162744661628</v>
      </c>
      <c r="Q44" s="206">
        <f>SUMIFS(InterventionCosts!$K$2:$K$3432,InterventionCosts!$D$2:$D$3432,'Summary of unit costs'!Q$1,InterventionCosts!$A$2:$A$3432,'Summary of unit costs'!$A44)</f>
        <v>1.0615999999999999</v>
      </c>
      <c r="R44" s="206">
        <f>SUMIFS(InterventionCosts!$K$2:$K$3432,InterventionCosts!$D$2:$D$3432,'Summary of unit costs'!R$1,InterventionCosts!$A$2:$A$3432,'Summary of unit costs'!$A44)</f>
        <v>0</v>
      </c>
      <c r="S44" s="206">
        <f>SUMIFS(InterventionCosts!$K$2:$K$3432,InterventionCosts!$D$2:$D$3432,'Summary of unit costs'!S$1,InterventionCosts!$A$2:$A$3432,'Summary of unit costs'!$A44)</f>
        <v>0</v>
      </c>
      <c r="T44" s="206">
        <f>SUMIFS(InterventionCosts!$K$2:$K$3432,InterventionCosts!$D$2:$D$3432,'Summary of unit costs'!T$1,InterventionCosts!$A$2:$A$3432,'Summary of unit costs'!$A44)</f>
        <v>495.08531887209995</v>
      </c>
      <c r="U44" s="206">
        <f>SUMIFS(InterventionCosts!$K$2:$K$3432,InterventionCosts!$D$2:$D$3432,'Summary of unit costs'!U$1,InterventionCosts!$A$2:$A$3432,'Summary of unit costs'!$A44)</f>
        <v>0</v>
      </c>
      <c r="V44" s="206">
        <f>SUMIFS(InterventionCosts!$K$2:$K$3432,InterventionCosts!$D$2:$D$3432,'Summary of unit costs'!V$1,InterventionCosts!$A$2:$A$3432,'Summary of unit costs'!$A44)</f>
        <v>77.228925635276539</v>
      </c>
      <c r="X44" s="208"/>
    </row>
    <row r="45" spans="1:24" s="204" customFormat="1">
      <c r="A45" s="204" t="s">
        <v>1528</v>
      </c>
      <c r="C45" s="204" t="s">
        <v>1529</v>
      </c>
      <c r="E45" s="205" t="s">
        <v>131</v>
      </c>
      <c r="F45" s="204" t="s">
        <v>134</v>
      </c>
      <c r="G45" s="412">
        <f t="array" ref="G45">IF(E45="Literature",0,INDEX(InterventionCosts!$L$1:$L$3432,MATCH(A45,IF(InterventionCosts!$F$1:$F$3432="Cost per intervention",InterventionCosts!$A$1:$A$3432),0)))</f>
        <v>540.98356498570229</v>
      </c>
      <c r="H45" s="430">
        <f t="shared" si="38"/>
        <v>28.99059438231243</v>
      </c>
      <c r="I45" s="353" t="str">
        <f t="array" ref="I45">IF(E45="Literature",INDEX(LiteratureCost!$G$2:$G$22,MATCH('Summary of unit costs'!A45,LiteratureCost!$A$2:$A$22,0)),INDEX(InterventionCosts!$L$1:$L$3432,MATCH(A45,IF(InterventionCosts!$F$1:$F$3432="Unit",InterventionCosts!$A$1:$A$3432),0)))</f>
        <v>per client tested</v>
      </c>
      <c r="J45" s="207">
        <f t="shared" si="27"/>
        <v>1</v>
      </c>
      <c r="K45" s="207">
        <f t="shared" ref="K45:K52" si="46">Q45/$G45</f>
        <v>1.9623516659476653E-3</v>
      </c>
      <c r="L45" s="207">
        <f t="shared" si="41"/>
        <v>0</v>
      </c>
      <c r="M45" s="207">
        <f t="shared" si="42"/>
        <v>0</v>
      </c>
      <c r="N45" s="207">
        <f t="shared" si="43"/>
        <v>0.91515778096731015</v>
      </c>
      <c r="O45" s="207">
        <f t="shared" si="44"/>
        <v>0</v>
      </c>
      <c r="P45" s="207">
        <f t="shared" si="45"/>
        <v>8.2879867366742244E-2</v>
      </c>
      <c r="Q45" s="206">
        <f>SUMIFS(InterventionCosts!$K$2:$K$3432,InterventionCosts!$D$2:$D$3432,'Summary of unit costs'!Q$1,InterventionCosts!$A$2:$A$3432,'Summary of unit costs'!$A45)</f>
        <v>1.0615999999999999</v>
      </c>
      <c r="R45" s="206">
        <f>SUMIFS(InterventionCosts!$K$2:$K$3432,InterventionCosts!$D$2:$D$3432,'Summary of unit costs'!R$1,InterventionCosts!$A$2:$A$3432,'Summary of unit costs'!$A45)</f>
        <v>0</v>
      </c>
      <c r="S45" s="206">
        <f>SUMIFS(InterventionCosts!$K$2:$K$3432,InterventionCosts!$D$2:$D$3432,'Summary of unit costs'!S$1,InterventionCosts!$A$2:$A$3432,'Summary of unit costs'!$A45)</f>
        <v>0</v>
      </c>
      <c r="T45" s="206">
        <f>SUMIFS(InterventionCosts!$K$2:$K$3432,InterventionCosts!$D$2:$D$3432,'Summary of unit costs'!T$1,InterventionCosts!$A$2:$A$3432,'Summary of unit costs'!$A45)</f>
        <v>495.08531887209995</v>
      </c>
      <c r="U45" s="206">
        <f>SUMIFS(InterventionCosts!$K$2:$K$3432,InterventionCosts!$D$2:$D$3432,'Summary of unit costs'!U$1,InterventionCosts!$A$2:$A$3432,'Summary of unit costs'!$A45)</f>
        <v>0</v>
      </c>
      <c r="V45" s="206">
        <f>SUMIFS(InterventionCosts!$K$2:$K$3432,InterventionCosts!$D$2:$D$3432,'Summary of unit costs'!V$1,InterventionCosts!$A$2:$A$3432,'Summary of unit costs'!$A45)</f>
        <v>44.836646113602391</v>
      </c>
      <c r="X45" s="208"/>
    </row>
    <row r="46" spans="1:24" s="204" customFormat="1">
      <c r="A46" s="204" t="s">
        <v>1124</v>
      </c>
      <c r="C46" s="204" t="s">
        <v>1530</v>
      </c>
      <c r="E46" s="205" t="s">
        <v>131</v>
      </c>
      <c r="F46" s="204" t="s">
        <v>134</v>
      </c>
      <c r="G46" s="412">
        <f t="array" ref="G46">IF(E46="Literature",0,INDEX(InterventionCosts!$L$1:$L$3432,MATCH(A46,IF(InterventionCosts!$F$1:$F$3432="Cost per intervention",InterventionCosts!$A$1:$A$3432),0)))</f>
        <v>540.98356498570229</v>
      </c>
      <c r="H46" s="430">
        <f t="shared" si="38"/>
        <v>28.99059438231243</v>
      </c>
      <c r="I46" s="353" t="str">
        <f t="array" ref="I46">IF(E46="Literature",INDEX(LiteratureCost!$G$2:$G$22,MATCH('Summary of unit costs'!A46,LiteratureCost!$A$2:$A$22,0)),INDEX(InterventionCosts!$L$1:$L$3432,MATCH(A46,IF(InterventionCosts!$F$1:$F$3432="Unit",InterventionCosts!$A$1:$A$3432),0)))</f>
        <v>per client tested</v>
      </c>
      <c r="J46" s="207">
        <f t="shared" si="27"/>
        <v>1</v>
      </c>
      <c r="K46" s="207">
        <f t="shared" ref="K46" si="47">Q46/$G46</f>
        <v>1.9623516659476653E-3</v>
      </c>
      <c r="L46" s="207">
        <f t="shared" ref="L46" si="48">R46/$G46</f>
        <v>0</v>
      </c>
      <c r="M46" s="207">
        <f t="shared" ref="M46" si="49">S46/$G46</f>
        <v>0</v>
      </c>
      <c r="N46" s="207">
        <f t="shared" ref="N46" si="50">T46/$G46</f>
        <v>0.91515778096731015</v>
      </c>
      <c r="O46" s="207">
        <f t="shared" ref="O46" si="51">U46/$G46</f>
        <v>0</v>
      </c>
      <c r="P46" s="207">
        <f t="shared" ref="P46" si="52">V46/$G46</f>
        <v>8.2879867366742244E-2</v>
      </c>
      <c r="Q46" s="206">
        <f>SUMIFS(InterventionCosts!$K$2:$K$3432,InterventionCosts!$D$2:$D$3432,'Summary of unit costs'!Q$1,InterventionCosts!$A$2:$A$3432,'Summary of unit costs'!$A46)</f>
        <v>1.0615999999999999</v>
      </c>
      <c r="R46" s="206">
        <f>SUMIFS(InterventionCosts!$K$2:$K$3432,InterventionCosts!$D$2:$D$3432,'Summary of unit costs'!R$1,InterventionCosts!$A$2:$A$3432,'Summary of unit costs'!$A46)</f>
        <v>0</v>
      </c>
      <c r="S46" s="206">
        <f>SUMIFS(InterventionCosts!$K$2:$K$3432,InterventionCosts!$D$2:$D$3432,'Summary of unit costs'!S$1,InterventionCosts!$A$2:$A$3432,'Summary of unit costs'!$A46)</f>
        <v>0</v>
      </c>
      <c r="T46" s="206">
        <f>SUMIFS(InterventionCosts!$K$2:$K$3432,InterventionCosts!$D$2:$D$3432,'Summary of unit costs'!T$1,InterventionCosts!$A$2:$A$3432,'Summary of unit costs'!$A46)</f>
        <v>495.08531887209995</v>
      </c>
      <c r="U46" s="206">
        <f>SUMIFS(InterventionCosts!$K$2:$K$3432,InterventionCosts!$D$2:$D$3432,'Summary of unit costs'!U$1,InterventionCosts!$A$2:$A$3432,'Summary of unit costs'!$A46)</f>
        <v>0</v>
      </c>
      <c r="V46" s="206">
        <f>SUMIFS(InterventionCosts!$K$2:$K$3432,InterventionCosts!$D$2:$D$3432,'Summary of unit costs'!V$1,InterventionCosts!$A$2:$A$3432,'Summary of unit costs'!$A46)</f>
        <v>44.836646113602391</v>
      </c>
      <c r="X46" s="208"/>
    </row>
    <row r="47" spans="1:24" s="191" customFormat="1">
      <c r="A47" s="191" t="s">
        <v>1531</v>
      </c>
      <c r="C47" s="191" t="s">
        <v>1535</v>
      </c>
      <c r="E47" s="192" t="s">
        <v>131</v>
      </c>
      <c r="F47" s="191" t="s">
        <v>1126</v>
      </c>
      <c r="G47" s="413">
        <f t="array" ref="G47">IF(E47="Literature",0,INDEX(InterventionCosts!$L$1:$L$3432,MATCH(A47,IF(InterventionCosts!$F$1:$F$3432="Cost per intervention",InterventionCosts!$A$1:$A$3432),0)))</f>
        <v>72.369908576957812</v>
      </c>
      <c r="H47" s="431">
        <f t="shared" si="38"/>
        <v>3.8782077697592658</v>
      </c>
      <c r="I47" s="354" t="str">
        <f t="array" ref="I47">IF(E47="Literature",INDEX(LiteratureCost!$G$2:$G$22,MATCH('Summary of unit costs'!A47,LiteratureCost!$A$2:$A$22,0)),INDEX(InterventionCosts!$L$1:$L$3432,MATCH(A47,IF(InterventionCosts!$F$1:$F$3432="Unit",InterventionCosts!$A$1:$A$3432),0)))</f>
        <v>per client tested</v>
      </c>
      <c r="J47" s="194">
        <f t="shared" si="27"/>
        <v>1</v>
      </c>
      <c r="K47" s="194">
        <f t="shared" si="46"/>
        <v>0.46829132075670621</v>
      </c>
      <c r="L47" s="194">
        <f t="shared" si="41"/>
        <v>0</v>
      </c>
      <c r="M47" s="194">
        <f t="shared" si="42"/>
        <v>1.9927329301149353E-2</v>
      </c>
      <c r="N47" s="194">
        <f t="shared" si="43"/>
        <v>0</v>
      </c>
      <c r="O47" s="194">
        <f t="shared" si="44"/>
        <v>5.9188505631849055E-2</v>
      </c>
      <c r="P47" s="194">
        <f t="shared" si="45"/>
        <v>0.45259284431029539</v>
      </c>
      <c r="Q47" s="193">
        <f>SUMIFS(InterventionCosts!$K$2:$K$3432,InterventionCosts!$D$2:$D$3432,'Summary of unit costs'!Q$1,InterventionCosts!$A$2:$A$3432,'Summary of unit costs'!$A47)</f>
        <v>33.890200070545653</v>
      </c>
      <c r="R47" s="193">
        <f>SUMIFS(InterventionCosts!$K$2:$K$3432,InterventionCosts!$D$2:$D$3432,'Summary of unit costs'!R$1,InterventionCosts!$A$2:$A$3432,'Summary of unit costs'!$A47)</f>
        <v>0</v>
      </c>
      <c r="S47" s="193">
        <f>SUMIFS(InterventionCosts!$K$2:$K$3432,InterventionCosts!$D$2:$D$3432,'Summary of unit costs'!S$1,InterventionCosts!$A$2:$A$3432,'Summary of unit costs'!$A47)</f>
        <v>1.4421389997071112</v>
      </c>
      <c r="T47" s="193">
        <f>SUMIFS(InterventionCosts!$K$2:$K$3432,InterventionCosts!$D$2:$D$3432,'Summary of unit costs'!T$1,InterventionCosts!$A$2:$A$3432,'Summary of unit costs'!$A47)</f>
        <v>0</v>
      </c>
      <c r="U47" s="193">
        <f>SUMIFS(InterventionCosts!$K$2:$K$3432,InterventionCosts!$D$2:$D$3432,'Summary of unit costs'!U$1,InterventionCosts!$A$2:$A$3432,'Summary of unit costs'!$A47)</f>
        <v>4.2834667413836689</v>
      </c>
      <c r="V47" s="193">
        <f>SUMIFS(InterventionCosts!$K$2:$K$3432,InterventionCosts!$D$2:$D$3432,'Summary of unit costs'!V$1,InterventionCosts!$A$2:$A$3432,'Summary of unit costs'!$A47)</f>
        <v>32.754102765321377</v>
      </c>
      <c r="X47" s="195"/>
    </row>
    <row r="48" spans="1:24" s="191" customFormat="1">
      <c r="A48" s="191" t="s">
        <v>1532</v>
      </c>
      <c r="C48" s="191" t="s">
        <v>1536</v>
      </c>
      <c r="E48" s="192" t="s">
        <v>131</v>
      </c>
      <c r="F48" s="191" t="s">
        <v>1126</v>
      </c>
      <c r="G48" s="413">
        <f t="array" ref="G48">IF(E48="Literature",0,INDEX(InterventionCosts!$L$1:$L$3432,MATCH(A48,IF(InterventionCosts!$F$1:$F$3432="Cost per intervention",InterventionCosts!$A$1:$A$3432),0)))</f>
        <v>105.44739130273362</v>
      </c>
      <c r="H48" s="431">
        <f t="shared" si="38"/>
        <v>5.650786359861641</v>
      </c>
      <c r="I48" s="354" t="str">
        <f t="array" ref="I48">IF(E48="Literature",INDEX(LiteratureCost!$G$2:$G$22,MATCH('Summary of unit costs'!A48,LiteratureCost!$A$2:$A$22,0)),INDEX(InterventionCosts!$L$1:$L$3432,MATCH(A48,IF(InterventionCosts!$F$1:$F$3432="Unit",InterventionCosts!$A$1:$A$3432),0)))</f>
        <v>per client tested</v>
      </c>
      <c r="J48" s="194">
        <f t="shared" si="27"/>
        <v>1</v>
      </c>
      <c r="K48" s="194">
        <f t="shared" si="46"/>
        <v>0.39823547602032544</v>
      </c>
      <c r="L48" s="194">
        <f t="shared" si="41"/>
        <v>0</v>
      </c>
      <c r="M48" s="194">
        <f t="shared" si="42"/>
        <v>1.3676383852558382E-2</v>
      </c>
      <c r="N48" s="194">
        <f t="shared" si="43"/>
        <v>1.3635226222450192E-4</v>
      </c>
      <c r="O48" s="194">
        <f t="shared" si="44"/>
        <v>4.0621836998186833E-2</v>
      </c>
      <c r="P48" s="194">
        <f t="shared" si="45"/>
        <v>0.54732995086670477</v>
      </c>
      <c r="Q48" s="193">
        <f>SUMIFS(InterventionCosts!$K$2:$K$3432,InterventionCosts!$D$2:$D$3432,'Summary of unit costs'!Q$1,InterventionCosts!$A$2:$A$3432,'Summary of unit costs'!$A48)</f>
        <v>41.992892070545651</v>
      </c>
      <c r="R48" s="193">
        <f>SUMIFS(InterventionCosts!$K$2:$K$3432,InterventionCosts!$D$2:$D$3432,'Summary of unit costs'!R$1,InterventionCosts!$A$2:$A$3432,'Summary of unit costs'!$A48)</f>
        <v>0</v>
      </c>
      <c r="S48" s="193">
        <f>SUMIFS(InterventionCosts!$K$2:$K$3432,InterventionCosts!$D$2:$D$3432,'Summary of unit costs'!S$1,InterventionCosts!$A$2:$A$3432,'Summary of unit costs'!$A48)</f>
        <v>1.4421389997071112</v>
      </c>
      <c r="T48" s="193">
        <f>SUMIFS(InterventionCosts!$K$2:$K$3432,InterventionCosts!$D$2:$D$3432,'Summary of unit costs'!T$1,InterventionCosts!$A$2:$A$3432,'Summary of unit costs'!$A48)</f>
        <v>1.4377990349799998E-2</v>
      </c>
      <c r="U48" s="193">
        <f>SUMIFS(InterventionCosts!$K$2:$K$3432,InterventionCosts!$D$2:$D$3432,'Summary of unit costs'!U$1,InterventionCosts!$A$2:$A$3432,'Summary of unit costs'!$A48)</f>
        <v>4.2834667413836689</v>
      </c>
      <c r="V48" s="193">
        <f>SUMIFS(InterventionCosts!$K$2:$K$3432,InterventionCosts!$D$2:$D$3432,'Summary of unit costs'!V$1,InterventionCosts!$A$2:$A$3432,'Summary of unit costs'!$A48)</f>
        <v>57.714515500747389</v>
      </c>
      <c r="X48" s="195"/>
    </row>
    <row r="49" spans="1:24" s="191" customFormat="1">
      <c r="A49" s="191" t="s">
        <v>278</v>
      </c>
      <c r="C49" s="191" t="s">
        <v>1538</v>
      </c>
      <c r="E49" s="192" t="s">
        <v>131</v>
      </c>
      <c r="F49" s="191" t="s">
        <v>1126</v>
      </c>
      <c r="G49" s="413">
        <f t="array" ref="G49">IF(E49="Literature",0,INDEX(InterventionCosts!$L$1:$L$3432,MATCH(A49,IF(InterventionCosts!$F$1:$F$3432="Cost per intervention",InterventionCosts!$A$1:$A$3432),0)))</f>
        <v>62.820224504847666</v>
      </c>
      <c r="H49" s="431">
        <f t="shared" si="38"/>
        <v>3.3664528194566783</v>
      </c>
      <c r="I49" s="354" t="str">
        <f t="array" ref="I49">IF(E49="Literature",INDEX(LiteratureCost!$G$2:$G$22,MATCH('Summary of unit costs'!A49,LiteratureCost!$A$2:$A$22,0)),INDEX(InterventionCosts!$L$1:$L$3432,MATCH(A49,IF(InterventionCosts!$F$1:$F$3432="Unit",InterventionCosts!$A$1:$A$3432),0)))</f>
        <v>per client tested</v>
      </c>
      <c r="J49" s="194">
        <f t="shared" si="27"/>
        <v>0.99999999999999989</v>
      </c>
      <c r="K49" s="194">
        <f t="shared" si="46"/>
        <v>0.58135195870652956</v>
      </c>
      <c r="L49" s="194">
        <f>R49/$G49</f>
        <v>0</v>
      </c>
      <c r="M49" s="194">
        <f t="shared" si="42"/>
        <v>2.2956603722354179E-2</v>
      </c>
      <c r="N49" s="194">
        <f t="shared" si="43"/>
        <v>0</v>
      </c>
      <c r="O49" s="194">
        <f t="shared" si="44"/>
        <v>7.2392112656639543E-2</v>
      </c>
      <c r="P49" s="194">
        <f t="shared" si="45"/>
        <v>0.32329932491447683</v>
      </c>
      <c r="Q49" s="193">
        <f>SUMIFS(InterventionCosts!$K$2:$K$3432,InterventionCosts!$D$2:$D$3432,'Summary of unit costs'!Q$1,InterventionCosts!$A$2:$A$3432,'Summary of unit costs'!$A49)</f>
        <v>36.520660562277115</v>
      </c>
      <c r="R49" s="193">
        <f>SUMIFS(InterventionCosts!$K$2:$K$3432,InterventionCosts!$D$2:$D$3432,'Summary of unit costs'!R$1,InterventionCosts!$A$2:$A$3432,'Summary of unit costs'!$A49)</f>
        <v>0</v>
      </c>
      <c r="S49" s="193">
        <f>SUMIFS(InterventionCosts!$K$2:$K$3432,InterventionCosts!$D$2:$D$3432,'Summary of unit costs'!S$1,InterventionCosts!$A$2:$A$3432,'Summary of unit costs'!$A49)</f>
        <v>1.4421389997071112</v>
      </c>
      <c r="T49" s="193">
        <f>SUMIFS(InterventionCosts!$K$2:$K$3432,InterventionCosts!$D$2:$D$3432,'Summary of unit costs'!T$1,InterventionCosts!$A$2:$A$3432,'Summary of unit costs'!$A49)</f>
        <v>0</v>
      </c>
      <c r="U49" s="193">
        <f>SUMIFS(InterventionCosts!$K$2:$K$3432,InterventionCosts!$D$2:$D$3432,'Summary of unit costs'!U$1,InterventionCosts!$A$2:$A$3432,'Summary of unit costs'!$A49)</f>
        <v>4.5476887694703203</v>
      </c>
      <c r="V49" s="193">
        <f>SUMIFS(InterventionCosts!$K$2:$K$3432,InterventionCosts!$D$2:$D$3432,'Summary of unit costs'!V$1,InterventionCosts!$A$2:$A$3432,'Summary of unit costs'!$A49)</f>
        <v>20.309736173393123</v>
      </c>
      <c r="X49" s="195"/>
    </row>
    <row r="50" spans="1:24" s="191" customFormat="1">
      <c r="A50" s="191" t="s">
        <v>279</v>
      </c>
      <c r="C50" s="191" t="s">
        <v>1537</v>
      </c>
      <c r="E50" s="192" t="s">
        <v>131</v>
      </c>
      <c r="F50" s="191" t="s">
        <v>1126</v>
      </c>
      <c r="G50" s="413">
        <f t="array" ref="G50">IF(E50="Literature",0,INDEX(InterventionCosts!$L$1:$L$3432,MATCH(A50,IF(InterventionCosts!$F$1:$F$3432="Cost per intervention",InterventionCosts!$A$1:$A$3432),0)))</f>
        <v>95.530107309101325</v>
      </c>
      <c r="H50" s="431">
        <f t="shared" si="38"/>
        <v>5.1193322155177325</v>
      </c>
      <c r="I50" s="354" t="str">
        <f t="array" ref="I50">IF(E50="Literature",INDEX(LiteratureCost!$G$2:$G$22,MATCH('Summary of unit costs'!A50,LiteratureCost!$A$2:$A$22,0)),INDEX(InterventionCosts!$L$1:$L$3432,MATCH(A50,IF(InterventionCosts!$F$1:$F$3432="Unit",InterventionCosts!$A$1:$A$3432),0)))</f>
        <v>per client tested</v>
      </c>
      <c r="J50" s="194">
        <f t="shared" si="27"/>
        <v>1</v>
      </c>
      <c r="K50" s="194">
        <f>Q50/$G50</f>
        <v>0.46415776845575518</v>
      </c>
      <c r="L50" s="194">
        <f t="shared" si="41"/>
        <v>0</v>
      </c>
      <c r="M50" s="194">
        <f t="shared" si="42"/>
        <v>1.509617271799836E-2</v>
      </c>
      <c r="N50" s="194">
        <f t="shared" si="43"/>
        <v>1.5050742383527273E-4</v>
      </c>
      <c r="O50" s="194">
        <f t="shared" si="44"/>
        <v>4.4838918975814608E-2</v>
      </c>
      <c r="P50" s="194">
        <f t="shared" si="45"/>
        <v>0.47575663242659655</v>
      </c>
      <c r="Q50" s="193">
        <f>SUMIFS(InterventionCosts!$K$2:$K$3432,InterventionCosts!$D$2:$D$3432,'Summary of unit costs'!Q$1,InterventionCosts!$A$2:$A$3432,'Summary of unit costs'!$A50)</f>
        <v>44.341041428931298</v>
      </c>
      <c r="R50" s="193">
        <f>SUMIFS(InterventionCosts!$K$2:$K$3432,InterventionCosts!$D$2:$D$3432,'Summary of unit costs'!R$1,InterventionCosts!$A$2:$A$3432,'Summary of unit costs'!$A50)</f>
        <v>0</v>
      </c>
      <c r="S50" s="193">
        <f>SUMIFS(InterventionCosts!$K$2:$K$3432,InterventionCosts!$D$2:$D$3432,'Summary of unit costs'!S$1,InterventionCosts!$A$2:$A$3432,'Summary of unit costs'!$A50)</f>
        <v>1.4421389997071112</v>
      </c>
      <c r="T50" s="193">
        <f>SUMIFS(InterventionCosts!$K$2:$K$3432,InterventionCosts!$D$2:$D$3432,'Summary of unit costs'!T$1,InterventionCosts!$A$2:$A$3432,'Summary of unit costs'!$A50)</f>
        <v>1.4377990349799998E-2</v>
      </c>
      <c r="U50" s="193">
        <f>SUMIFS(InterventionCosts!$K$2:$K$3432,InterventionCosts!$D$2:$D$3432,'Summary of unit costs'!U$1,InterventionCosts!$A$2:$A$3432,'Summary of unit costs'!$A50)</f>
        <v>4.2834667413836689</v>
      </c>
      <c r="V50" s="193">
        <f>SUMIFS(InterventionCosts!$K$2:$K$3432,InterventionCosts!$D$2:$D$3432,'Summary of unit costs'!V$1,InterventionCosts!$A$2:$A$3432,'Summary of unit costs'!$A50)</f>
        <v>45.449082148729445</v>
      </c>
      <c r="X50" s="195"/>
    </row>
    <row r="51" spans="1:24" s="191" customFormat="1">
      <c r="A51" s="191" t="s">
        <v>281</v>
      </c>
      <c r="C51" s="191" t="s">
        <v>1540</v>
      </c>
      <c r="E51" s="191" t="s">
        <v>131</v>
      </c>
      <c r="F51" s="191" t="s">
        <v>1126</v>
      </c>
      <c r="G51" s="413">
        <f t="array" ref="G51">IF(E51="Literature",0,INDEX(InterventionCosts!$L$1:$L$3432,MATCH(A51,IF(InterventionCosts!$F$1:$F$3432="Cost per intervention",InterventionCosts!$A$1:$A$3432),0)))</f>
        <v>66.395867099125056</v>
      </c>
      <c r="H51" s="431">
        <f t="shared" si="38"/>
        <v>3.5580667811665037</v>
      </c>
      <c r="I51" s="354" t="str">
        <f t="array" ref="I51">IF(E51="Literature",INDEX(LiteratureCost!$G$2:$G$22,MATCH('Summary of unit costs'!A51,LiteratureCost!$A$2:$A$22,0)),INDEX(InterventionCosts!$L$1:$L$3432,MATCH(A51,IF(InterventionCosts!$F$1:$F$3432="Unit",InterventionCosts!$A$1:$A$3432),0)))</f>
        <v>per client tested</v>
      </c>
      <c r="J51" s="194">
        <f t="shared" si="27"/>
        <v>0.99999999999999978</v>
      </c>
      <c r="K51" s="194">
        <f t="shared" si="46"/>
        <v>0.61102984199047583</v>
      </c>
      <c r="L51" s="194">
        <f t="shared" si="41"/>
        <v>0</v>
      </c>
      <c r="M51" s="194">
        <f t="shared" si="42"/>
        <v>2.1720312765161783E-2</v>
      </c>
      <c r="N51" s="194">
        <f t="shared" si="43"/>
        <v>0</v>
      </c>
      <c r="O51" s="194">
        <f t="shared" si="44"/>
        <v>6.4514056800985958E-2</v>
      </c>
      <c r="P51" s="194">
        <f t="shared" si="45"/>
        <v>0.30273578844337662</v>
      </c>
      <c r="Q51" s="193">
        <f>SUMIFS(InterventionCosts!$K$2:$K$3432,InterventionCosts!$D$2:$D$3432,'Summary of unit costs'!Q$1,InterventionCosts!$A$2:$A$3432,'Summary of unit costs'!$A51)</f>
        <v>40.569856182399015</v>
      </c>
      <c r="R51" s="193">
        <f>SUMIFS(InterventionCosts!$K$2:$K$3432,InterventionCosts!$D$2:$D$3432,'Summary of unit costs'!R$1,InterventionCosts!$A$2:$A$3432,'Summary of unit costs'!$A51)</f>
        <v>0</v>
      </c>
      <c r="S51" s="193">
        <f>SUMIFS(InterventionCosts!$K$2:$K$3432,InterventionCosts!$D$2:$D$3432,'Summary of unit costs'!S$1,InterventionCosts!$A$2:$A$3432,'Summary of unit costs'!$A51)</f>
        <v>1.4421389997071112</v>
      </c>
      <c r="T51" s="193">
        <f>SUMIFS(InterventionCosts!$K$2:$K$3432,InterventionCosts!$D$2:$D$3432,'Summary of unit costs'!T$1,InterventionCosts!$A$2:$A$3432,'Summary of unit costs'!$A51)</f>
        <v>0</v>
      </c>
      <c r="U51" s="193">
        <f>SUMIFS(InterventionCosts!$K$2:$K$3432,InterventionCosts!$D$2:$D$3432,'Summary of unit costs'!U$1,InterventionCosts!$A$2:$A$3432,'Summary of unit costs'!$A51)</f>
        <v>4.2834667413836689</v>
      </c>
      <c r="V51" s="193">
        <f>SUMIFS(InterventionCosts!$K$2:$K$3432,InterventionCosts!$D$2:$D$3432,'Summary of unit costs'!V$1,InterventionCosts!$A$2:$A$3432,'Summary of unit costs'!$A51)</f>
        <v>20.100405175635274</v>
      </c>
      <c r="X51" s="195"/>
    </row>
    <row r="52" spans="1:24" s="191" customFormat="1">
      <c r="A52" s="191" t="s">
        <v>283</v>
      </c>
      <c r="C52" s="191" t="s">
        <v>1541</v>
      </c>
      <c r="E52" s="191" t="s">
        <v>131</v>
      </c>
      <c r="F52" s="191" t="s">
        <v>1126</v>
      </c>
      <c r="G52" s="413">
        <f t="array" ref="G52">IF(E52="Literature",0,INDEX(InterventionCosts!$L$1:$L$3432,MATCH(A52,IF(InterventionCosts!$F$1:$F$3432="Cost per intervention",InterventionCosts!$A$1:$A$3432),0)))</f>
        <v>105.79478889562019</v>
      </c>
      <c r="H52" s="431">
        <f t="shared" si="38"/>
        <v>5.6694029378070958</v>
      </c>
      <c r="I52" s="354" t="str">
        <f t="array" ref="I52">IF(E52="Literature",INDEX(LiteratureCost!$G$2:$G$22,MATCH('Summary of unit costs'!A52,LiteratureCost!$A$2:$A$22,0)),INDEX(InterventionCosts!$L$1:$L$3432,MATCH(A52,IF(InterventionCosts!$F$1:$F$3432="Unit",InterventionCosts!$A$1:$A$3432),0)))</f>
        <v>per client tested</v>
      </c>
      <c r="J52" s="194">
        <f t="shared" si="27"/>
        <v>1.0000000000000002</v>
      </c>
      <c r="K52" s="194">
        <f t="shared" si="46"/>
        <v>0.51615776514616762</v>
      </c>
      <c r="L52" s="194">
        <f t="shared" si="41"/>
        <v>0</v>
      </c>
      <c r="M52" s="194">
        <f t="shared" si="42"/>
        <v>1.3631474808555666E-2</v>
      </c>
      <c r="N52" s="194">
        <f t="shared" si="43"/>
        <v>1.5629020176583121E-4</v>
      </c>
      <c r="O52" s="194">
        <f t="shared" si="44"/>
        <v>4.0488447362089314E-2</v>
      </c>
      <c r="P52" s="194">
        <f t="shared" si="45"/>
        <v>0.42956602248142139</v>
      </c>
      <c r="Q52" s="193">
        <f>SUMIFS(InterventionCosts!$K$2:$K$3432,InterventionCosts!$D$2:$D$3432,'Summary of unit costs'!Q$1,InterventionCosts!$A$2:$A$3432,'Summary of unit costs'!$A52)</f>
        <v>54.60680180047391</v>
      </c>
      <c r="R52" s="193">
        <f>SUMIFS(InterventionCosts!$K$2:$K$3432,InterventionCosts!$D$2:$D$3432,'Summary of unit costs'!R$1,InterventionCosts!$A$2:$A$3432,'Summary of unit costs'!$A52)</f>
        <v>0</v>
      </c>
      <c r="S52" s="193">
        <f>SUMIFS(InterventionCosts!$K$2:$K$3432,InterventionCosts!$D$2:$D$3432,'Summary of unit costs'!S$1,InterventionCosts!$A$2:$A$3432,'Summary of unit costs'!$A52)</f>
        <v>1.4421389997071112</v>
      </c>
      <c r="T52" s="193">
        <f>SUMIFS(InterventionCosts!$K$2:$K$3432,InterventionCosts!$D$2:$D$3432,'Summary of unit costs'!T$1,InterventionCosts!$A$2:$A$3432,'Summary of unit costs'!$A52)</f>
        <v>1.6534688902269997E-2</v>
      </c>
      <c r="U52" s="193">
        <f>SUMIFS(InterventionCosts!$K$2:$K$3432,InterventionCosts!$D$2:$D$3432,'Summary of unit costs'!U$1,InterventionCosts!$A$2:$A$3432,'Summary of unit costs'!$A52)</f>
        <v>4.2834667413836689</v>
      </c>
      <c r="V52" s="193">
        <f>SUMIFS(InterventionCosts!$K$2:$K$3432,InterventionCosts!$D$2:$D$3432,'Summary of unit costs'!V$1,InterventionCosts!$A$2:$A$3432,'Summary of unit costs'!$A52)</f>
        <v>45.445846665153212</v>
      </c>
      <c r="X52" s="195"/>
    </row>
    <row r="53" spans="1:24" s="191" customFormat="1">
      <c r="A53" s="191" t="s">
        <v>339</v>
      </c>
      <c r="C53" s="191" t="s">
        <v>1542</v>
      </c>
      <c r="E53" s="192" t="s">
        <v>131</v>
      </c>
      <c r="F53" s="191" t="s">
        <v>1126</v>
      </c>
      <c r="G53" s="413">
        <f t="array" ref="G53">IF(E53="Literature",0,INDEX(InterventionCosts!$L$1:$L$3432,MATCH(A53,IF(InterventionCosts!$F$1:$F$3432="Cost per intervention",InterventionCosts!$A$1:$A$3432),0)))</f>
        <v>72.369908576957812</v>
      </c>
      <c r="H53" s="431">
        <f t="shared" si="38"/>
        <v>3.8782077697592658</v>
      </c>
      <c r="I53" s="354" t="str">
        <f t="array" ref="I53">IF(E53="Literature",INDEX(LiteratureCost!$G$2:$G$22,MATCH('Summary of unit costs'!A53,LiteratureCost!$A$2:$A$22,0)),INDEX(InterventionCosts!$L$1:$L$3432,MATCH(A53,IF(InterventionCosts!$F$1:$F$3432="Unit",InterventionCosts!$A$1:$A$3432),0)))</f>
        <v>per client tested</v>
      </c>
      <c r="J53" s="194">
        <f t="shared" si="27"/>
        <v>1</v>
      </c>
      <c r="K53" s="194">
        <f t="shared" ref="K53:K54" si="53">Q53/$G53</f>
        <v>0.46829132075670621</v>
      </c>
      <c r="L53" s="194">
        <f t="shared" ref="L53:L54" si="54">R53/$G53</f>
        <v>0</v>
      </c>
      <c r="M53" s="194">
        <f t="shared" ref="M53:M54" si="55">S53/$G53</f>
        <v>1.9927329301149353E-2</v>
      </c>
      <c r="N53" s="194">
        <f t="shared" ref="N53:N54" si="56">T53/$G53</f>
        <v>0</v>
      </c>
      <c r="O53" s="194">
        <f t="shared" ref="O53:O54" si="57">U53/$G53</f>
        <v>5.9188505631849055E-2</v>
      </c>
      <c r="P53" s="194">
        <f t="shared" ref="P53:P54" si="58">V53/$G53</f>
        <v>0.45259284431029539</v>
      </c>
      <c r="Q53" s="193">
        <f>SUMIFS(InterventionCosts!$K$2:$K$3432,InterventionCosts!$D$2:$D$3432,'Summary of unit costs'!Q$1,InterventionCosts!$A$2:$A$3432,'Summary of unit costs'!$A53)</f>
        <v>33.890200070545653</v>
      </c>
      <c r="R53" s="193">
        <f>SUMIFS(InterventionCosts!$K$2:$K$3432,InterventionCosts!$D$2:$D$3432,'Summary of unit costs'!R$1,InterventionCosts!$A$2:$A$3432,'Summary of unit costs'!$A53)</f>
        <v>0</v>
      </c>
      <c r="S53" s="193">
        <f>SUMIFS(InterventionCosts!$K$2:$K$3432,InterventionCosts!$D$2:$D$3432,'Summary of unit costs'!S$1,InterventionCosts!$A$2:$A$3432,'Summary of unit costs'!$A53)</f>
        <v>1.4421389997071112</v>
      </c>
      <c r="T53" s="193">
        <f>SUMIFS(InterventionCosts!$K$2:$K$3432,InterventionCosts!$D$2:$D$3432,'Summary of unit costs'!T$1,InterventionCosts!$A$2:$A$3432,'Summary of unit costs'!$A53)</f>
        <v>0</v>
      </c>
      <c r="U53" s="193">
        <f>SUMIFS(InterventionCosts!$K$2:$K$3432,InterventionCosts!$D$2:$D$3432,'Summary of unit costs'!U$1,InterventionCosts!$A$2:$A$3432,'Summary of unit costs'!$A53)</f>
        <v>4.2834667413836689</v>
      </c>
      <c r="V53" s="193">
        <f>SUMIFS(InterventionCosts!$K$2:$K$3432,InterventionCosts!$D$2:$D$3432,'Summary of unit costs'!V$1,InterventionCosts!$A$2:$A$3432,'Summary of unit costs'!$A53)</f>
        <v>32.754102765321377</v>
      </c>
      <c r="X53" s="195"/>
    </row>
    <row r="54" spans="1:24" s="191" customFormat="1">
      <c r="A54" s="191" t="s">
        <v>340</v>
      </c>
      <c r="C54" s="191" t="s">
        <v>1543</v>
      </c>
      <c r="E54" s="192" t="s">
        <v>131</v>
      </c>
      <c r="F54" s="191" t="s">
        <v>1126</v>
      </c>
      <c r="G54" s="413">
        <f t="array" ref="G54">IF(E54="Literature",0,INDEX(InterventionCosts!$L$1:$L$3432,MATCH(A54,IF(InterventionCosts!$F$1:$F$3432="Cost per intervention",InterventionCosts!$A$1:$A$3432),0)))</f>
        <v>105.44739130273362</v>
      </c>
      <c r="H54" s="431">
        <f t="shared" si="38"/>
        <v>5.650786359861641</v>
      </c>
      <c r="I54" s="354" t="str">
        <f t="array" ref="I54">IF(E54="Literature",INDEX(LiteratureCost!$G$2:$G$22,MATCH('Summary of unit costs'!A54,LiteratureCost!$A$2:$A$22,0)),INDEX(InterventionCosts!$L$1:$L$3432,MATCH(A54,IF(InterventionCosts!$F$1:$F$3432="Unit",InterventionCosts!$A$1:$A$3432),0)))</f>
        <v>per client tested</v>
      </c>
      <c r="J54" s="194">
        <f t="shared" si="27"/>
        <v>1</v>
      </c>
      <c r="K54" s="194">
        <f t="shared" si="53"/>
        <v>0.39823547602032544</v>
      </c>
      <c r="L54" s="194">
        <f t="shared" si="54"/>
        <v>0</v>
      </c>
      <c r="M54" s="194">
        <f t="shared" si="55"/>
        <v>1.3676383852558382E-2</v>
      </c>
      <c r="N54" s="194">
        <f t="shared" si="56"/>
        <v>1.3635226222450192E-4</v>
      </c>
      <c r="O54" s="194">
        <f t="shared" si="57"/>
        <v>4.0621836998186833E-2</v>
      </c>
      <c r="P54" s="194">
        <f t="shared" si="58"/>
        <v>0.54732995086670477</v>
      </c>
      <c r="Q54" s="193">
        <f>SUMIFS(InterventionCosts!$K$2:$K$3432,InterventionCosts!$D$2:$D$3432,'Summary of unit costs'!Q$1,InterventionCosts!$A$2:$A$3432,'Summary of unit costs'!$A54)</f>
        <v>41.992892070545651</v>
      </c>
      <c r="R54" s="193">
        <f>SUMIFS(InterventionCosts!$K$2:$K$3432,InterventionCosts!$D$2:$D$3432,'Summary of unit costs'!R$1,InterventionCosts!$A$2:$A$3432,'Summary of unit costs'!$A54)</f>
        <v>0</v>
      </c>
      <c r="S54" s="193">
        <f>SUMIFS(InterventionCosts!$K$2:$K$3432,InterventionCosts!$D$2:$D$3432,'Summary of unit costs'!S$1,InterventionCosts!$A$2:$A$3432,'Summary of unit costs'!$A54)</f>
        <v>1.4421389997071112</v>
      </c>
      <c r="T54" s="193">
        <f>SUMIFS(InterventionCosts!$K$2:$K$3432,InterventionCosts!$D$2:$D$3432,'Summary of unit costs'!T$1,InterventionCosts!$A$2:$A$3432,'Summary of unit costs'!$A54)</f>
        <v>1.4377990349799998E-2</v>
      </c>
      <c r="U54" s="193">
        <f>SUMIFS(InterventionCosts!$K$2:$K$3432,InterventionCosts!$D$2:$D$3432,'Summary of unit costs'!U$1,InterventionCosts!$A$2:$A$3432,'Summary of unit costs'!$A54)</f>
        <v>4.2834667413836689</v>
      </c>
      <c r="V54" s="193">
        <f>SUMIFS(InterventionCosts!$K$2:$K$3432,InterventionCosts!$D$2:$D$3432,'Summary of unit costs'!V$1,InterventionCosts!$A$2:$A$3432,'Summary of unit costs'!$A54)</f>
        <v>57.714515500747389</v>
      </c>
      <c r="X54" s="195"/>
    </row>
    <row r="55" spans="1:24" s="191" customFormat="1">
      <c r="A55" s="191" t="s">
        <v>332</v>
      </c>
      <c r="C55" s="191" t="s">
        <v>1544</v>
      </c>
      <c r="E55" s="192" t="s">
        <v>131</v>
      </c>
      <c r="F55" s="191" t="s">
        <v>1126</v>
      </c>
      <c r="G55" s="413">
        <f t="array" ref="G55">IF(E55="Literature",0,INDEX(InterventionCosts!$L$1:$L$3432,MATCH(A55,IF(InterventionCosts!$F$1:$F$3432="Cost per intervention",InterventionCosts!$A$1:$A$3432),0)))</f>
        <v>101.35812159481227</v>
      </c>
      <c r="H55" s="431">
        <f t="shared" si="38"/>
        <v>5.4316477998476076</v>
      </c>
      <c r="I55" s="354" t="str">
        <f t="array" ref="I55">IF(E55="Literature",INDEX(LiteratureCost!$G$2:$G$22,MATCH('Summary of unit costs'!A55,LiteratureCost!$A$2:$A$22,0)),INDEX(InterventionCosts!$L$1:$L$3432,MATCH(A55,IF(InterventionCosts!$F$1:$F$3432="Unit",InterventionCosts!$A$1:$A$3432),0)))</f>
        <v>per client tested</v>
      </c>
      <c r="J55" s="194">
        <f t="shared" si="27"/>
        <v>0.99999999999999989</v>
      </c>
      <c r="K55" s="194">
        <f t="shared" ref="K55:P58" si="59">Q55/$G55</f>
        <v>0.13328285121546132</v>
      </c>
      <c r="L55" s="194">
        <f t="shared" si="59"/>
        <v>0</v>
      </c>
      <c r="M55" s="194">
        <f t="shared" si="59"/>
        <v>5.6697039791749138E-3</v>
      </c>
      <c r="N55" s="194">
        <f t="shared" si="59"/>
        <v>0</v>
      </c>
      <c r="O55" s="194">
        <f t="shared" si="59"/>
        <v>2.6472926627888428E-3</v>
      </c>
      <c r="P55" s="194">
        <f t="shared" si="59"/>
        <v>0.85840015214257503</v>
      </c>
      <c r="Q55" s="193">
        <f>SUMIFS(InterventionCosts!$K$2:$K$3432,InterventionCosts!$D$2:$D$3432,'Summary of unit costs'!Q$1,InterventionCosts!$A$2:$A$3432,'Summary of unit costs'!$A55)</f>
        <v>13.509299440000001</v>
      </c>
      <c r="R55" s="193">
        <f>SUMIFS(InterventionCosts!$K$2:$K$3432,InterventionCosts!$D$2:$D$3432,'Summary of unit costs'!R$1,InterventionCosts!$A$2:$A$3432,'Summary of unit costs'!$A55)</f>
        <v>0</v>
      </c>
      <c r="S55" s="193">
        <f>SUMIFS(InterventionCosts!$K$2:$K$3432,InterventionCosts!$D$2:$D$3432,'Summary of unit costs'!S$1,InterventionCosts!$A$2:$A$3432,'Summary of unit costs'!$A55)</f>
        <v>0.57467054532780193</v>
      </c>
      <c r="T55" s="193">
        <f>SUMIFS(InterventionCosts!$K$2:$K$3432,InterventionCosts!$D$2:$D$3432,'Summary of unit costs'!T$1,InterventionCosts!$A$2:$A$3432,'Summary of unit costs'!$A55)</f>
        <v>0</v>
      </c>
      <c r="U55" s="193">
        <f>SUMIFS(InterventionCosts!$K$2:$K$3432,InterventionCosts!$D$2:$D$3432,'Summary of unit costs'!U$1,InterventionCosts!$A$2:$A$3432,'Summary of unit costs'!$A55)</f>
        <v>0.26832461161200588</v>
      </c>
      <c r="V55" s="193">
        <f>SUMIFS(InterventionCosts!$K$2:$K$3432,InterventionCosts!$D$2:$D$3432,'Summary of unit costs'!V$1,InterventionCosts!$A$2:$A$3432,'Summary of unit costs'!$A55)</f>
        <v>87.005826997872475</v>
      </c>
      <c r="X55" s="195"/>
    </row>
    <row r="56" spans="1:24" s="191" customFormat="1">
      <c r="A56" s="191" t="s">
        <v>331</v>
      </c>
      <c r="C56" s="191" t="s">
        <v>1545</v>
      </c>
      <c r="E56" s="192" t="s">
        <v>131</v>
      </c>
      <c r="F56" s="191" t="s">
        <v>1126</v>
      </c>
      <c r="G56" s="413">
        <f t="array" ref="G56">IF(E56="Literature",0,INDEX(InterventionCosts!$L$1:$L$3432,MATCH(A56,IF(InterventionCosts!$F$1:$F$3432="Cost per intervention",InterventionCosts!$A$1:$A$3432),0)))</f>
        <v>117.40516062435978</v>
      </c>
      <c r="H56" s="431">
        <f t="shared" si="38"/>
        <v>6.2915874165992616</v>
      </c>
      <c r="I56" s="354" t="str">
        <f t="array" ref="I56">IF(E56="Literature",INDEX(LiteratureCost!$G$2:$G$22,MATCH('Summary of unit costs'!A56,LiteratureCost!$A$2:$A$22,0)),INDEX(InterventionCosts!$L$1:$L$3432,MATCH(A56,IF(InterventionCosts!$F$1:$F$3432="Unit",InterventionCosts!$A$1:$A$3432),0)))</f>
        <v>per client tested</v>
      </c>
      <c r="J56" s="194">
        <f t="shared" si="27"/>
        <v>1</v>
      </c>
      <c r="K56" s="194">
        <f t="shared" si="59"/>
        <v>0.25175664327837693</v>
      </c>
      <c r="L56" s="194">
        <f t="shared" si="59"/>
        <v>0</v>
      </c>
      <c r="M56" s="194">
        <f t="shared" si="59"/>
        <v>4.8947639292149358E-3</v>
      </c>
      <c r="N56" s="194">
        <f t="shared" si="59"/>
        <v>0</v>
      </c>
      <c r="O56" s="194">
        <f t="shared" si="59"/>
        <v>2.2854584090261244E-3</v>
      </c>
      <c r="P56" s="194">
        <f t="shared" si="59"/>
        <v>0.74106313438338201</v>
      </c>
      <c r="Q56" s="193">
        <f>SUMIFS(InterventionCosts!$K$2:$K$3432,InterventionCosts!$D$2:$D$3432,'Summary of unit costs'!Q$1,InterventionCosts!$A$2:$A$3432,'Summary of unit costs'!$A56)</f>
        <v>29.557529142347491</v>
      </c>
      <c r="R56" s="193">
        <f>SUMIFS(InterventionCosts!$K$2:$K$3432,InterventionCosts!$D$2:$D$3432,'Summary of unit costs'!R$1,InterventionCosts!$A$2:$A$3432,'Summary of unit costs'!$A56)</f>
        <v>0</v>
      </c>
      <c r="S56" s="193">
        <f>SUMIFS(InterventionCosts!$K$2:$K$3432,InterventionCosts!$D$2:$D$3432,'Summary of unit costs'!S$1,InterventionCosts!$A$2:$A$3432,'Summary of unit costs'!$A56)</f>
        <v>0.57467054532780193</v>
      </c>
      <c r="T56" s="193">
        <f>SUMIFS(InterventionCosts!$K$2:$K$3432,InterventionCosts!$D$2:$D$3432,'Summary of unit costs'!T$1,InterventionCosts!$A$2:$A$3432,'Summary of unit costs'!$A56)</f>
        <v>0</v>
      </c>
      <c r="U56" s="193">
        <f>SUMIFS(InterventionCosts!$K$2:$K$3432,InterventionCosts!$D$2:$D$3432,'Summary of unit costs'!U$1,InterventionCosts!$A$2:$A$3432,'Summary of unit costs'!$A56)</f>
        <v>0.26832461161200588</v>
      </c>
      <c r="V56" s="193">
        <f>SUMIFS(InterventionCosts!$K$2:$K$3432,InterventionCosts!$D$2:$D$3432,'Summary of unit costs'!V$1,InterventionCosts!$A$2:$A$3432,'Summary of unit costs'!$A56)</f>
        <v>87.004636325072482</v>
      </c>
      <c r="X56" s="195"/>
    </row>
    <row r="57" spans="1:24" s="191" customFormat="1">
      <c r="A57" s="191" t="s">
        <v>334</v>
      </c>
      <c r="C57" s="191" t="s">
        <v>1546</v>
      </c>
      <c r="E57" s="192" t="s">
        <v>131</v>
      </c>
      <c r="F57" s="191" t="s">
        <v>1126</v>
      </c>
      <c r="G57" s="413">
        <f t="array" ref="G57">IF(E57="Literature",0,INDEX(InterventionCosts!$L$1:$L$3432,MATCH(A57,IF(InterventionCosts!$F$1:$F$3432="Cost per intervention",InterventionCosts!$A$1:$A$3432),0)))</f>
        <v>102.17673465523842</v>
      </c>
      <c r="H57" s="431">
        <f t="shared" si="38"/>
        <v>5.4755161920260376</v>
      </c>
      <c r="I57" s="354" t="str">
        <f t="array" ref="I57">IF(E57="Literature",INDEX(LiteratureCost!$G$2:$G$22,MATCH('Summary of unit costs'!A57,LiteratureCost!$A$2:$A$22,0)),INDEX(InterventionCosts!$L$1:$L$3432,MATCH(A57,IF(InterventionCosts!$F$1:$F$3432="Unit",InterventionCosts!$A$1:$A$3432),0)))</f>
        <v>per client tested</v>
      </c>
      <c r="J57" s="194">
        <f t="shared" si="27"/>
        <v>1.0000000000000002</v>
      </c>
      <c r="K57" s="194">
        <f t="shared" si="59"/>
        <v>0.20500592264471648</v>
      </c>
      <c r="L57" s="194">
        <f t="shared" si="59"/>
        <v>0</v>
      </c>
      <c r="M57" s="194">
        <f t="shared" si="59"/>
        <v>4.6413691536124249E-2</v>
      </c>
      <c r="N57" s="194">
        <f t="shared" si="59"/>
        <v>0</v>
      </c>
      <c r="O57" s="194">
        <f t="shared" si="59"/>
        <v>8.8739744826367255E-3</v>
      </c>
      <c r="P57" s="194">
        <f t="shared" si="59"/>
        <v>0.73970641133652248</v>
      </c>
      <c r="Q57" s="193">
        <f>SUMIFS(InterventionCosts!$K$2:$K$3432,InterventionCosts!$D$2:$D$3432,'Summary of unit costs'!Q$1,InterventionCosts!$A$2:$A$3432,'Summary of unit costs'!$A57)</f>
        <v>20.946835760821529</v>
      </c>
      <c r="R57" s="193">
        <f>SUMIFS(InterventionCosts!$K$2:$K$3432,InterventionCosts!$D$2:$D$3432,'Summary of unit costs'!R$1,InterventionCosts!$A$2:$A$3432,'Summary of unit costs'!$A57)</f>
        <v>0</v>
      </c>
      <c r="S57" s="193">
        <f>SUMIFS(InterventionCosts!$K$2:$K$3432,InterventionCosts!$D$2:$D$3432,'Summary of unit costs'!S$1,InterventionCosts!$A$2:$A$3432,'Summary of unit costs'!$A57)</f>
        <v>4.7423994444566526</v>
      </c>
      <c r="T57" s="193">
        <f>SUMIFS(InterventionCosts!$K$2:$K$3432,InterventionCosts!$D$2:$D$3432,'Summary of unit costs'!T$1,InterventionCosts!$A$2:$A$3432,'Summary of unit costs'!$A57)</f>
        <v>0</v>
      </c>
      <c r="U57" s="193">
        <f>SUMIFS(InterventionCosts!$K$2:$K$3432,InterventionCosts!$D$2:$D$3432,'Summary of unit costs'!U$1,InterventionCosts!$A$2:$A$3432,'Summary of unit costs'!$A57)</f>
        <v>0.90671373604972927</v>
      </c>
      <c r="V57" s="193">
        <f>SUMIFS(InterventionCosts!$K$2:$K$3432,InterventionCosts!$D$2:$D$3432,'Summary of unit costs'!V$1,InterventionCosts!$A$2:$A$3432,'Summary of unit costs'!$A57)</f>
        <v>75.580785713910501</v>
      </c>
      <c r="X57" s="195"/>
    </row>
    <row r="58" spans="1:24" s="191" customFormat="1">
      <c r="A58" s="191" t="s">
        <v>333</v>
      </c>
      <c r="C58" s="191" t="s">
        <v>1547</v>
      </c>
      <c r="E58" s="192" t="s">
        <v>131</v>
      </c>
      <c r="F58" s="191" t="s">
        <v>1126</v>
      </c>
      <c r="G58" s="413">
        <f t="array" ref="G58">IF(E58="Literature",0,INDEX(InterventionCosts!$L$1:$L$3432,MATCH(A58,IF(InterventionCosts!$F$1:$F$3432="Cost per intervention",InterventionCosts!$A$1:$A$3432),0)))</f>
        <v>110.79281074650785</v>
      </c>
      <c r="H58" s="431">
        <f t="shared" si="38"/>
        <v>5.9372403243215048</v>
      </c>
      <c r="I58" s="354" t="str">
        <f t="array" ref="I58">IF(E58="Literature",INDEX(LiteratureCost!$G$2:$G$22,MATCH('Summary of unit costs'!A58,LiteratureCost!$A$2:$A$22,0)),INDEX(InterventionCosts!$L$1:$L$3432,MATCH(A58,IF(InterventionCosts!$F$1:$F$3432="Unit",InterventionCosts!$A$1:$A$3432),0)))</f>
        <v>per client tested</v>
      </c>
      <c r="J58" s="194">
        <f t="shared" si="27"/>
        <v>1.0000000000000002</v>
      </c>
      <c r="K58" s="194">
        <f t="shared" si="59"/>
        <v>0.26683059715607732</v>
      </c>
      <c r="L58" s="194">
        <f t="shared" si="59"/>
        <v>0</v>
      </c>
      <c r="M58" s="194">
        <f t="shared" si="59"/>
        <v>4.2804216379230466E-2</v>
      </c>
      <c r="N58" s="194">
        <f t="shared" si="59"/>
        <v>0</v>
      </c>
      <c r="O58" s="194">
        <f t="shared" si="59"/>
        <v>8.1838679778986345E-3</v>
      </c>
      <c r="P58" s="194">
        <f t="shared" si="59"/>
        <v>0.68218131848679342</v>
      </c>
      <c r="Q58" s="193">
        <f>SUMIFS(InterventionCosts!$K$2:$K$3432,InterventionCosts!$D$2:$D$3432,'Summary of unit costs'!Q$1,InterventionCosts!$A$2:$A$3432,'Summary of unit costs'!$A58)</f>
        <v>29.562911852090949</v>
      </c>
      <c r="R58" s="193">
        <f>SUMIFS(InterventionCosts!$K$2:$K$3432,InterventionCosts!$D$2:$D$3432,'Summary of unit costs'!R$1,InterventionCosts!$A$2:$A$3432,'Summary of unit costs'!$A58)</f>
        <v>0</v>
      </c>
      <c r="S58" s="193">
        <f>SUMIFS(InterventionCosts!$K$2:$K$3432,InterventionCosts!$D$2:$D$3432,'Summary of unit costs'!S$1,InterventionCosts!$A$2:$A$3432,'Summary of unit costs'!$A58)</f>
        <v>4.7423994444566526</v>
      </c>
      <c r="T58" s="193">
        <f>SUMIFS(InterventionCosts!$K$2:$K$3432,InterventionCosts!$D$2:$D$3432,'Summary of unit costs'!T$1,InterventionCosts!$A$2:$A$3432,'Summary of unit costs'!$A58)</f>
        <v>0</v>
      </c>
      <c r="U58" s="193">
        <f>SUMIFS(InterventionCosts!$K$2:$K$3432,InterventionCosts!$D$2:$D$3432,'Summary of unit costs'!U$1,InterventionCosts!$A$2:$A$3432,'Summary of unit costs'!$A58)</f>
        <v>0.90671373604972927</v>
      </c>
      <c r="V58" s="193">
        <f>SUMIFS(InterventionCosts!$K$2:$K$3432,InterventionCosts!$D$2:$D$3432,'Summary of unit costs'!V$1,InterventionCosts!$A$2:$A$3432,'Summary of unit costs'!$A58)</f>
        <v>75.580785713910501</v>
      </c>
      <c r="X58" s="195"/>
    </row>
    <row r="59" spans="1:24" s="141" customFormat="1">
      <c r="A59" s="231" t="s">
        <v>926</v>
      </c>
      <c r="B59" s="231"/>
      <c r="C59" s="141" t="s">
        <v>1548</v>
      </c>
      <c r="E59" s="141" t="s">
        <v>132</v>
      </c>
      <c r="F59" s="141" t="s">
        <v>1126</v>
      </c>
      <c r="G59" s="410">
        <f t="array" ref="G59">IF(E59="Literature",INDEX(LiteratureCost!$I$2:$I$42,MATCH('Summary of unit costs'!A59,LiteratureCost!$A$2:$A$42,0)),INDEX(InterventionCosts!$L$1:$L$3432,MATCH(A59,IF(InterventionCosts!$F$1:$F$3432="Cost per intervention",InterventionCosts!$A$1:$A$3432),0)))</f>
        <v>145.34677205717944</v>
      </c>
      <c r="H59" s="427">
        <f t="shared" si="38"/>
        <v>7.7889414507434731</v>
      </c>
      <c r="I59" s="351" t="str">
        <f t="array" ref="I59">IF(E59="Literature",INDEX(LiteratureCost!$G$2:$G$22,MATCH('Summary of unit costs'!A59,LiteratureCost!$A$2:$A$22,0)),INDEX(InterventionCosts!$L$1:$L$3432,MATCH(A59,IF(InterventionCosts!$F$1:$F$3432="Unit",InterventionCosts!$A$1:$A$3432),0)))</f>
        <v>per test kit distributed</v>
      </c>
      <c r="J59" s="198"/>
      <c r="K59" s="232" t="s">
        <v>908</v>
      </c>
      <c r="L59" s="198"/>
      <c r="M59" s="198"/>
      <c r="N59" s="198"/>
      <c r="O59" s="198"/>
      <c r="P59" s="198"/>
      <c r="Q59" s="197"/>
      <c r="R59" s="197"/>
      <c r="S59" s="197"/>
      <c r="T59" s="197"/>
      <c r="U59" s="197"/>
      <c r="V59" s="197"/>
      <c r="X59" s="199"/>
    </row>
    <row r="60" spans="1:24" s="141" customFormat="1">
      <c r="A60" s="231" t="s">
        <v>928</v>
      </c>
      <c r="B60" s="231"/>
      <c r="C60" s="141" t="s">
        <v>1549</v>
      </c>
      <c r="E60" s="141" t="s">
        <v>132</v>
      </c>
      <c r="F60" s="141" t="s">
        <v>1126</v>
      </c>
      <c r="G60" s="410">
        <f t="array" ref="G60">IF(E60="Literature",INDEX(LiteratureCost!$I$2:$I$42,MATCH('Summary of unit costs'!A60,LiteratureCost!$A$2:$A$42,0)),INDEX(InterventionCosts!$L$1:$L$3432,MATCH(A60,IF(InterventionCosts!$F$1:$F$3432="Cost per intervention",InterventionCosts!$A$1:$A$3432),0)))</f>
        <v>130.48239516304997</v>
      </c>
      <c r="H60" s="427">
        <f t="shared" si="38"/>
        <v>6.9923791350381643</v>
      </c>
      <c r="I60" s="351" t="str">
        <f t="array" ref="I60">IF(E60="Literature",INDEX(LiteratureCost!$G$2:$G$22,MATCH('Summary of unit costs'!A60,LiteratureCost!$A$2:$A$22,0)),INDEX(InterventionCosts!$L$1:$L$3432,MATCH(A60,IF(InterventionCosts!$F$1:$F$3432="Unit",InterventionCosts!$A$1:$A$3432),0)))</f>
        <v>per test kit distributed</v>
      </c>
      <c r="J60" s="198"/>
      <c r="K60" s="232" t="s">
        <v>908</v>
      </c>
      <c r="L60" s="198"/>
      <c r="M60" s="198"/>
      <c r="N60" s="198"/>
      <c r="O60" s="198"/>
      <c r="P60" s="198"/>
      <c r="Q60" s="197"/>
      <c r="R60" s="197"/>
      <c r="S60" s="197"/>
      <c r="T60" s="197"/>
      <c r="U60" s="197"/>
      <c r="V60" s="197"/>
      <c r="X60" s="199"/>
    </row>
    <row r="61" spans="1:24" s="141" customFormat="1">
      <c r="A61" s="231" t="s">
        <v>925</v>
      </c>
      <c r="B61" s="231"/>
      <c r="C61" s="141" t="s">
        <v>1550</v>
      </c>
      <c r="E61" s="141" t="s">
        <v>132</v>
      </c>
      <c r="F61" s="141" t="s">
        <v>1126</v>
      </c>
      <c r="G61" s="410">
        <f t="array" ref="G61">IF(E61="Literature",INDEX(LiteratureCost!$I$2:$I$42,MATCH('Summary of unit costs'!A61,LiteratureCost!$A$2:$A$42,0)),INDEX(InterventionCosts!$L$1:$L$3432,MATCH(A61,IF(InterventionCosts!$F$1:$F$3432="Cost per intervention",InterventionCosts!$A$1:$A$3432),0)))</f>
        <v>281.82215671056269</v>
      </c>
      <c r="H61" s="427">
        <f t="shared" si="38"/>
        <v>15.102476973326063</v>
      </c>
      <c r="I61" s="351" t="str">
        <f t="array" ref="I61">IF(E61="Literature",INDEX(LiteratureCost!$G$2:$G$22,MATCH('Summary of unit costs'!A61,LiteratureCost!$A$2:$A$22,0)),INDEX(InterventionCosts!$L$1:$L$3432,MATCH(A61,IF(InterventionCosts!$F$1:$F$3432="Unit",InterventionCosts!$A$1:$A$3432),0)))</f>
        <v>per test kit distributed</v>
      </c>
      <c r="J61" s="198"/>
      <c r="K61" s="232" t="s">
        <v>908</v>
      </c>
      <c r="L61" s="198"/>
      <c r="M61" s="198"/>
      <c r="N61" s="198"/>
      <c r="O61" s="198"/>
      <c r="P61" s="198"/>
      <c r="Q61" s="197"/>
      <c r="R61" s="197"/>
      <c r="S61" s="197"/>
      <c r="T61" s="197"/>
      <c r="U61" s="197"/>
      <c r="V61" s="197"/>
      <c r="X61" s="199"/>
    </row>
    <row r="62" spans="1:24" s="141" customFormat="1">
      <c r="A62" s="231" t="s">
        <v>924</v>
      </c>
      <c r="B62" s="231"/>
      <c r="C62" s="141" t="s">
        <v>1551</v>
      </c>
      <c r="E62" s="141" t="s">
        <v>132</v>
      </c>
      <c r="F62" s="141" t="s">
        <v>1126</v>
      </c>
      <c r="G62" s="410">
        <f t="array" ref="G62">IF(E62="Literature",INDEX(LiteratureCost!$I$2:$I$42,MATCH('Summary of unit costs'!A62,LiteratureCost!$A$2:$A$42,0)),INDEX(InterventionCosts!$L$1:$L$3432,MATCH(A62,IF(InterventionCosts!$F$1:$F$3432="Cost per intervention",InterventionCosts!$A$1:$A$3432),0)))</f>
        <v>268.33730152731999</v>
      </c>
      <c r="H62" s="427">
        <f t="shared" si="38"/>
        <v>14.379841403182736</v>
      </c>
      <c r="I62" s="351" t="str">
        <f t="array" ref="I62">IF(E62="Literature",INDEX(LiteratureCost!$G$2:$G$22,MATCH('Summary of unit costs'!A62,LiteratureCost!$A$2:$A$22,0)),INDEX(InterventionCosts!$L$1:$L$3432,MATCH(A62,IF(InterventionCosts!$F$1:$F$3432="Unit",InterventionCosts!$A$1:$A$3432),0)))</f>
        <v>per test kit distributed</v>
      </c>
      <c r="J62" s="198"/>
      <c r="K62" s="232" t="s">
        <v>908</v>
      </c>
      <c r="L62" s="198"/>
      <c r="M62" s="198"/>
      <c r="N62" s="198"/>
      <c r="O62" s="198"/>
      <c r="P62" s="198"/>
      <c r="Q62" s="197"/>
      <c r="R62" s="197"/>
      <c r="S62" s="197"/>
      <c r="T62" s="197"/>
      <c r="U62" s="197"/>
      <c r="V62" s="197"/>
      <c r="X62" s="199"/>
    </row>
    <row r="63" spans="1:24" s="141" customFormat="1">
      <c r="A63" s="231" t="s">
        <v>927</v>
      </c>
      <c r="B63" s="231"/>
      <c r="C63" s="141" t="s">
        <v>1552</v>
      </c>
      <c r="E63" s="141" t="s">
        <v>132</v>
      </c>
      <c r="F63" s="141" t="s">
        <v>1126</v>
      </c>
      <c r="G63" s="410">
        <f t="array" ref="G63">IF(E63="Literature",INDEX(LiteratureCost!$I$2:$I$42,MATCH('Summary of unit costs'!A63,LiteratureCost!$A$2:$A$42,0)),INDEX(InterventionCosts!$L$1:$L$3432,MATCH(A63,IF(InterventionCosts!$F$1:$F$3432="Cost per intervention",InterventionCosts!$A$1:$A$3432),0)))</f>
        <v>139.90430401252161</v>
      </c>
      <c r="H63" s="427">
        <f t="shared" si="38"/>
        <v>7.4972867800039982</v>
      </c>
      <c r="I63" s="351" t="str">
        <f t="array" ref="I63">IF(E63="Literature",INDEX(LiteratureCost!$G$2:$G$22,MATCH('Summary of unit costs'!A63,LiteratureCost!$A$2:$A$22,0)),INDEX(InterventionCosts!$L$1:$L$3432,MATCH(A63,IF(InterventionCosts!$F$1:$F$3432="Unit",InterventionCosts!$A$1:$A$3432),0)))</f>
        <v>per test kit distributed</v>
      </c>
      <c r="J63" s="198"/>
      <c r="K63" s="232" t="s">
        <v>908</v>
      </c>
      <c r="L63" s="198"/>
      <c r="M63" s="198"/>
      <c r="N63" s="198"/>
      <c r="O63" s="198"/>
      <c r="P63" s="198"/>
      <c r="Q63" s="197"/>
      <c r="R63" s="197"/>
      <c r="S63" s="197"/>
      <c r="T63" s="197"/>
      <c r="U63" s="197"/>
      <c r="V63" s="197"/>
      <c r="X63" s="199"/>
    </row>
    <row r="64" spans="1:24" s="141" customFormat="1">
      <c r="A64" s="231" t="s">
        <v>931</v>
      </c>
      <c r="B64" s="231"/>
      <c r="C64" s="141" t="s">
        <v>1553</v>
      </c>
      <c r="E64" s="141" t="s">
        <v>131</v>
      </c>
      <c r="F64" s="141" t="s">
        <v>1126</v>
      </c>
      <c r="G64" s="410">
        <f t="array" ref="G64">IF(E64="Literature",INDEX(LiteratureCost!$I$2:$I$42,MATCH('Summary of unit costs'!A64,LiteratureCost!$A$2:$A$42,0)),INDEX(InterventionCosts!$L$1:$L$3432,MATCH(A64,IF(InterventionCosts!$F$1:$F$3432="Cost per intervention",InterventionCosts!$A$1:$A$3432),0)))</f>
        <v>141.12936301108857</v>
      </c>
      <c r="H64" s="427">
        <f t="shared" si="38"/>
        <v>7.5629360729225272</v>
      </c>
      <c r="I64" s="351" t="str">
        <f t="array" ref="I64">IF(E64="Literature",INDEX(LiteratureCost!$G$2:$G$22,MATCH('Summary of unit costs'!A64,LiteratureCost!$A$2:$A$22,0)),INDEX(InterventionCosts!$L$1:$L$3432,MATCH(A64,IF(InterventionCosts!$F$1:$F$3432="Unit",InterventionCosts!$A$1:$A$3432),0)))</f>
        <v>per client tested</v>
      </c>
      <c r="J64" s="198"/>
      <c r="K64" s="232" t="s">
        <v>908</v>
      </c>
      <c r="L64" s="198"/>
      <c r="M64" s="198"/>
      <c r="N64" s="198"/>
      <c r="O64" s="198"/>
      <c r="P64" s="198"/>
      <c r="Q64" s="197"/>
      <c r="R64" s="197"/>
      <c r="S64" s="197"/>
      <c r="T64" s="197"/>
      <c r="U64" s="197"/>
      <c r="V64" s="197"/>
      <c r="X64" s="199"/>
    </row>
    <row r="65" spans="1:24" s="238" customFormat="1">
      <c r="A65" s="238" t="s">
        <v>3</v>
      </c>
      <c r="C65" s="238" t="s">
        <v>1554</v>
      </c>
      <c r="E65" s="239" t="s">
        <v>131</v>
      </c>
      <c r="F65" s="238" t="s">
        <v>133</v>
      </c>
      <c r="G65" s="414">
        <f t="array" ref="G65">IF(E65="Literature",INDEX(LiteratureCost!$I$2:$I$10,MATCH('Summary of unit costs'!A65,LiteratureCost!$A$2:$A$10,0)),INDEX(InterventionCosts!$L$1:$L$3432,MATCH(A65,IF(InterventionCosts!$F$1:$F$3432="Cost per intervention",InterventionCosts!$A$1:$A$3432),0)))</f>
        <v>1290.5294082910877</v>
      </c>
      <c r="H65" s="432">
        <f t="shared" si="38"/>
        <v>69.157765661885477</v>
      </c>
      <c r="I65" s="355" t="str">
        <f t="array" ref="I65">IF(E65="Literature",INDEX(LiteratureCost!$G$2:$G$22,MATCH('Summary of unit costs'!A65,LiteratureCost!$A$2:$A$22,0)),INDEX(InterventionCosts!$L$1:$L$3432,MATCH(A65,IF(InterventionCosts!$F$1:$F$3432="Unit",InterventionCosts!$A$1:$A$3432),0)))</f>
        <v>per person</v>
      </c>
      <c r="J65" s="241">
        <f>G65/SUM(Q65:V65)</f>
        <v>1</v>
      </c>
      <c r="K65" s="241">
        <f t="shared" ref="K65:P66" si="60">Q65/$G65</f>
        <v>0.42541610944534675</v>
      </c>
      <c r="L65" s="241">
        <f t="shared" si="60"/>
        <v>0.25511933087956068</v>
      </c>
      <c r="M65" s="241">
        <f t="shared" si="60"/>
        <v>4.6492547643258807E-5</v>
      </c>
      <c r="N65" s="241">
        <f t="shared" si="60"/>
        <v>0</v>
      </c>
      <c r="O65" s="241">
        <f t="shared" si="60"/>
        <v>1.5670578785376137E-2</v>
      </c>
      <c r="P65" s="241">
        <f t="shared" si="60"/>
        <v>0.30374748834207332</v>
      </c>
      <c r="Q65" s="240">
        <f>SUMIFS(InterventionCosts!$K$2:$K$3432,InterventionCosts!$D$2:$D$3432,'Summary of unit costs'!Q$1,InterventionCosts!$A$2:$A$3432,'Summary of unit costs'!$A65)</f>
        <v>549.01199999999994</v>
      </c>
      <c r="R65" s="240">
        <f>SUMIFS(InterventionCosts!$K$2:$K$3432,InterventionCosts!$D$2:$D$3432,'Summary of unit costs'!R$1,InterventionCosts!$A$2:$A$3432,'Summary of unit costs'!$A65)</f>
        <v>329.23899912361765</v>
      </c>
      <c r="S65" s="240">
        <f>SUMIFS(InterventionCosts!$K$2:$K$3432,InterventionCosts!$D$2:$D$3432,'Summary of unit costs'!S$1,InterventionCosts!$A$2:$A$3432,'Summary of unit costs'!$A65)</f>
        <v>0.06</v>
      </c>
      <c r="T65" s="240">
        <f>SUMIFS(InterventionCosts!$K$2:$K$3432,InterventionCosts!$D$2:$D$3432,'Summary of unit costs'!T$1,InterventionCosts!$A$2:$A$3432,'Summary of unit costs'!$A65)</f>
        <v>0</v>
      </c>
      <c r="U65" s="240">
        <f>SUMIFS(InterventionCosts!$K$2:$K$3432,InterventionCosts!$D$2:$D$3432,'Summary of unit costs'!U$1,InterventionCosts!$A$2:$A$3432,'Summary of unit costs'!$A65)</f>
        <v>20.223342767470339</v>
      </c>
      <c r="V65" s="240">
        <f>SUMIFS(InterventionCosts!$K$2:$K$3432,InterventionCosts!$D$2:$D$3432,'Summary of unit costs'!V$1,InterventionCosts!$A$2:$A$3432,'Summary of unit costs'!$A65)</f>
        <v>391.99506639999998</v>
      </c>
    </row>
    <row r="66" spans="1:24" s="187" customFormat="1">
      <c r="A66" s="187" t="s">
        <v>1499</v>
      </c>
      <c r="C66" s="187" t="s">
        <v>1565</v>
      </c>
      <c r="E66" s="228" t="s">
        <v>131</v>
      </c>
      <c r="F66" s="187" t="s">
        <v>135</v>
      </c>
      <c r="G66" s="415">
        <f t="array" ref="G66">IF(E66="Literature",0,INDEX(InterventionCosts!$L$1:$L$3432,MATCH(A66,IF(InterventionCosts!$F$1:$F$3432="Cost per intervention",InterventionCosts!$A$1:$A$3432),0)))</f>
        <v>1118.1469111617159</v>
      </c>
      <c r="H66" s="433">
        <f t="shared" si="38"/>
        <v>59.920015430009521</v>
      </c>
      <c r="I66" s="356" t="str">
        <f t="array" ref="I66">IF(E66="Literature",INDEX(LiteratureCost!$G$2:$G$22,MATCH('Summary of unit costs'!A66,LiteratureCost!$A$2:$A$22,0)),INDEX(InterventionCosts!$L$1:$L$3432,MATCH(A66,IF(InterventionCosts!$F$1:$F$3432="Unit",InterventionCosts!$A$1:$A$3432),0)))</f>
        <v>per client tested</v>
      </c>
      <c r="J66" s="189">
        <f>G66/SUM(Q66:V66)</f>
        <v>1.0000000000000004</v>
      </c>
      <c r="K66" s="189">
        <f>Q66/$G66</f>
        <v>0.12246231421531109</v>
      </c>
      <c r="L66" s="189">
        <f t="shared" si="60"/>
        <v>0</v>
      </c>
      <c r="M66" s="189">
        <f t="shared" si="60"/>
        <v>4.2928169385299882E-4</v>
      </c>
      <c r="N66" s="189">
        <f t="shared" si="60"/>
        <v>0</v>
      </c>
      <c r="O66" s="189">
        <f t="shared" si="60"/>
        <v>0.302351910650691</v>
      </c>
      <c r="P66" s="189">
        <f t="shared" si="60"/>
        <v>0.57475649344014457</v>
      </c>
      <c r="Q66" s="188">
        <f>SUMIFS(InterventionCosts!$K$2:$K$3432,InterventionCosts!$D$2:$D$3432,'Summary of unit costs'!Q$1,InterventionCosts!$A$2:$A$3432,'Summary of unit costs'!$A66)</f>
        <v>136.9308583735656</v>
      </c>
      <c r="R66" s="188">
        <f>SUMIFS(InterventionCosts!$K$2:$K$3432,InterventionCosts!$D$2:$D$3432,'Summary of unit costs'!R$1,InterventionCosts!$A$2:$A$3432,'Summary of unit costs'!$A66)</f>
        <v>0</v>
      </c>
      <c r="S66" s="188">
        <f>SUMIFS(InterventionCosts!$K$2:$K$3432,InterventionCosts!$D$2:$D$3432,'Summary of unit costs'!S$1,InterventionCosts!$A$2:$A$3432,'Summary of unit costs'!$A66)</f>
        <v>0.48</v>
      </c>
      <c r="T66" s="188">
        <f>SUMIFS(InterventionCosts!$K$2:$K$3432,InterventionCosts!$D$2:$D$3432,'Summary of unit costs'!T$1,InterventionCosts!$A$2:$A$3432,'Summary of unit costs'!$A66)</f>
        <v>0</v>
      </c>
      <c r="U66" s="188">
        <f>SUMIFS(InterventionCosts!$K$2:$K$3432,InterventionCosts!$D$2:$D$3432,'Summary of unit costs'!U$1,InterventionCosts!$A$2:$A$3432,'Summary of unit costs'!$A66)</f>
        <v>338.07385497791324</v>
      </c>
      <c r="V66" s="188">
        <f>SUMIFS(InterventionCosts!$K$2:$K$3432,InterventionCosts!$D$2:$D$3432,'Summary of unit costs'!V$1,InterventionCosts!$A$2:$A$3432,'Summary of unit costs'!$A66)</f>
        <v>642.66219781023665</v>
      </c>
      <c r="X66" s="190"/>
    </row>
    <row r="67" spans="1:24" s="4" customFormat="1">
      <c r="A67" s="246" t="s">
        <v>1566</v>
      </c>
      <c r="B67" s="246"/>
      <c r="C67" s="4" t="s">
        <v>1569</v>
      </c>
      <c r="E67" s="247" t="s">
        <v>132</v>
      </c>
      <c r="F67" s="4" t="s">
        <v>137</v>
      </c>
      <c r="G67" s="405">
        <f t="array" ref="G67">IF(E67="Literature",INDEX(LiteratureCost!$I$2:$I$42,MATCH('Summary of unit costs'!A67,LiteratureCost!$A$2:$A$42,0)),INDEX(InterventionCosts!$L$1:$L$3432,MATCH(A67,IF(InterventionCosts!$F$1:$F$3432="Cost per intervention",InterventionCosts!$A$1:$A$3432),0)))</f>
        <v>189.29584826173979</v>
      </c>
      <c r="H67" s="422">
        <f t="shared" ref="H67:H92" si="61">G67/exrate</f>
        <v>10.144114369457597</v>
      </c>
      <c r="I67" s="124" t="str">
        <f t="array" ref="I67">IF(E67="Literature",INDEX(LiteratureCost!$G$2:$G$22,MATCH('Summary of unit costs'!A67,LiteratureCost!$A$2:$A$22,0)),INDEX(InterventionCosts!$L$1:$L$3432,MATCH(A67,IF(InterventionCosts!$F$1:$F$3432="Unit",InterventionCosts!$A$1:$A$3432),0)))</f>
        <v>per person tested</v>
      </c>
      <c r="J67" s="131"/>
      <c r="K67" s="249" t="s">
        <v>908</v>
      </c>
      <c r="L67" s="131"/>
      <c r="M67" s="131"/>
      <c r="N67" s="131"/>
      <c r="O67" s="131"/>
      <c r="P67" s="131"/>
      <c r="Q67" s="125"/>
      <c r="R67" s="125"/>
      <c r="S67" s="125"/>
      <c r="T67" s="125"/>
      <c r="U67" s="125"/>
      <c r="V67" s="125"/>
      <c r="X67" s="248"/>
    </row>
    <row r="68" spans="1:24" s="4" customFormat="1">
      <c r="A68" s="246" t="s">
        <v>1567</v>
      </c>
      <c r="B68" s="246"/>
      <c r="C68" s="4" t="s">
        <v>1570</v>
      </c>
      <c r="E68" s="247" t="s">
        <v>132</v>
      </c>
      <c r="F68" s="4" t="s">
        <v>137</v>
      </c>
      <c r="G68" s="405">
        <f t="array" ref="G68">IF(E68="Literature",INDEX(LiteratureCost!$I$2:$I$42,MATCH('Summary of unit costs'!A68,LiteratureCost!$A$2:$A$42,0)),INDEX(InterventionCosts!$L$1:$L$3432,MATCH(A68,IF(InterventionCosts!$F$1:$F$3432="Cost per intervention",InterventionCosts!$A$1:$A$3432),0)))</f>
        <v>42.065744058164398</v>
      </c>
      <c r="H68" s="422">
        <f t="shared" si="61"/>
        <v>2.2542476376572438</v>
      </c>
      <c r="I68" s="124" t="s">
        <v>1568</v>
      </c>
      <c r="J68" s="131"/>
      <c r="K68" s="249"/>
      <c r="L68" s="131"/>
      <c r="M68" s="131"/>
      <c r="N68" s="131"/>
      <c r="O68" s="131"/>
      <c r="P68" s="131"/>
      <c r="Q68" s="125"/>
      <c r="R68" s="125"/>
      <c r="S68" s="125"/>
      <c r="T68" s="125"/>
      <c r="U68" s="125"/>
      <c r="V68" s="125"/>
      <c r="X68" s="248"/>
    </row>
    <row r="69" spans="1:24" s="177" customFormat="1">
      <c r="A69" s="177" t="s">
        <v>4</v>
      </c>
      <c r="C69" s="177" t="s">
        <v>1492</v>
      </c>
      <c r="E69" s="177" t="s">
        <v>132</v>
      </c>
      <c r="F69" s="177" t="s">
        <v>136</v>
      </c>
      <c r="G69" s="416">
        <f t="array" ref="G69">IF(E69="Literature",INDEX(LiteratureCost!$I$2:$I$42,MATCH('Summary of unit costs'!A69,LiteratureCost!$A$2:$A$42,0)),INDEX(InterventionCosts!$L$1:$L$3432,MATCH(A69,IF(InterventionCosts!$F$1:$F$3432="Cost per intervention",InterventionCosts!$A$1:$A$3432),0)))</f>
        <v>1274.5184019169574</v>
      </c>
      <c r="H69" s="434">
        <f t="shared" si="61"/>
        <v>68.299756987523438</v>
      </c>
      <c r="I69" s="357" t="str">
        <f t="array" ref="I69">IF(E69="Literature",INDEX(LiteratureCost!$G$2:$G$22,MATCH('Summary of unit costs'!A69,LiteratureCost!$A$2:$A$22,0)),INDEX(InterventionCosts!$L$1:$L$3432,MATCH(A69,IF(InterventionCosts!$F$1:$F$3432="Unit",InterventionCosts!$A$1:$A$3432),0)))</f>
        <v>per patient</v>
      </c>
      <c r="J69" s="210"/>
      <c r="K69" s="215" t="s">
        <v>1143</v>
      </c>
      <c r="L69" s="209"/>
      <c r="M69" s="209"/>
      <c r="N69" s="209"/>
      <c r="O69" s="209"/>
      <c r="P69" s="209"/>
      <c r="Q69" s="209"/>
      <c r="R69" s="209"/>
      <c r="S69" s="209"/>
      <c r="T69" s="209"/>
      <c r="U69" s="209"/>
      <c r="V69" s="209"/>
    </row>
    <row r="70" spans="1:24" s="177" customFormat="1">
      <c r="A70" s="177" t="s">
        <v>9</v>
      </c>
      <c r="C70" s="177" t="s">
        <v>13</v>
      </c>
      <c r="E70" s="177" t="s">
        <v>131</v>
      </c>
      <c r="F70" s="177" t="s">
        <v>136</v>
      </c>
      <c r="G70" s="416">
        <f t="array" ref="G70">IF(E70="Literature",INDEX(LiteratureCost!$I$2:$I$42,MATCH('Summary of unit costs'!A70,LiteratureCost!$A$2:$A$42,0)),INDEX(InterventionCosts!$L$1:$L$3432,MATCH(A70,IF(InterventionCosts!$F$1:$F$3432="Cost per intervention",InterventionCosts!$A$1:$A$3432),0)))</f>
        <v>8028.4905265364605</v>
      </c>
      <c r="H70" s="434">
        <f t="shared" si="61"/>
        <v>430.23619832740741</v>
      </c>
      <c r="I70" s="357" t="str">
        <f t="array" ref="I70">IF(E70="Literature",INDEX(LiteratureCost!$G$2:$G$22,MATCH('Summary of unit costs'!A70,LiteratureCost!$A$2:$A$22,0)),INDEX(InterventionCosts!$L$1:$L$3432,MATCH(A70,IF(InterventionCosts!$F$1:$F$3432="Unit",InterventionCosts!$A$1:$A$3432),0)))</f>
        <v>per patient year in cohort</v>
      </c>
      <c r="J70" s="210"/>
      <c r="K70" s="215" t="s">
        <v>1143</v>
      </c>
      <c r="L70" s="209"/>
      <c r="M70" s="209"/>
      <c r="N70" s="209"/>
      <c r="O70" s="209"/>
      <c r="P70" s="209"/>
      <c r="Q70" s="209"/>
      <c r="R70" s="209"/>
      <c r="S70" s="209"/>
      <c r="T70" s="209"/>
      <c r="U70" s="209"/>
      <c r="V70" s="209"/>
    </row>
    <row r="71" spans="1:24" s="177" customFormat="1">
      <c r="A71" s="177" t="s">
        <v>10</v>
      </c>
      <c r="C71" s="177" t="s">
        <v>14</v>
      </c>
      <c r="E71" s="177" t="s">
        <v>131</v>
      </c>
      <c r="F71" s="177" t="s">
        <v>136</v>
      </c>
      <c r="G71" s="416">
        <f t="array" ref="G71">IF(E71="Literature",INDEX(LiteratureCost!$I$2:$I$42,MATCH('Summary of unit costs'!A71,LiteratureCost!$A$2:$A$42,0)),INDEX(InterventionCosts!$L$1:$L$3432,MATCH(A71,IF(InterventionCosts!$F$1:$F$3432="Cost per intervention",InterventionCosts!$A$1:$A$3432),0)))</f>
        <v>2534.5933950073031</v>
      </c>
      <c r="H71" s="434">
        <f t="shared" si="61"/>
        <v>135.82551078180521</v>
      </c>
      <c r="I71" s="357" t="str">
        <f t="array" ref="I71">IF(E71="Literature",INDEX(LiteratureCost!$G$2:$G$22,MATCH('Summary of unit costs'!A71,LiteratureCost!$A$2:$A$22,0)),INDEX(InterventionCosts!$L$1:$L$3432,MATCH(A71,IF(InterventionCosts!$F$1:$F$3432="Unit",InterventionCosts!$A$1:$A$3432),0)))</f>
        <v>per patient year in cohort</v>
      </c>
      <c r="J71" s="210"/>
      <c r="K71" s="215" t="s">
        <v>1143</v>
      </c>
      <c r="L71" s="209"/>
      <c r="M71" s="209"/>
      <c r="N71" s="209"/>
      <c r="O71" s="209"/>
      <c r="P71" s="209"/>
      <c r="Q71" s="209"/>
      <c r="R71" s="209"/>
      <c r="S71" s="209"/>
      <c r="T71" s="209"/>
      <c r="U71" s="209"/>
      <c r="V71" s="209"/>
    </row>
    <row r="72" spans="1:24" s="177" customFormat="1">
      <c r="A72" s="177" t="s">
        <v>11</v>
      </c>
      <c r="C72" s="177" t="s">
        <v>15</v>
      </c>
      <c r="E72" s="177" t="s">
        <v>131</v>
      </c>
      <c r="F72" s="177" t="s">
        <v>136</v>
      </c>
      <c r="G72" s="416">
        <f t="array" ref="G72">IF(E72="Literature",INDEX(LiteratureCost!$I$2:$I$42,MATCH('Summary of unit costs'!A72,LiteratureCost!$A$2:$A$42,0)),INDEX(InterventionCosts!$L$1:$L$3432,MATCH(A72,IF(InterventionCosts!$F$1:$F$3432="Cost per intervention",InterventionCosts!$A$1:$A$3432),0)))</f>
        <v>747.33794612757481</v>
      </c>
      <c r="H72" s="434">
        <f t="shared" si="61"/>
        <v>40.04885298736864</v>
      </c>
      <c r="I72" s="357" t="str">
        <f t="array" ref="I72">IF(E72="Literature",INDEX(LiteratureCost!$G$2:$G$22,MATCH('Summary of unit costs'!A72,LiteratureCost!$A$2:$A$22,0)),INDEX(InterventionCosts!$L$1:$L$3432,MATCH(A72,IF(InterventionCosts!$F$1:$F$3432="Unit",InterventionCosts!$A$1:$A$3432),0)))</f>
        <v>per patient year in cohort</v>
      </c>
      <c r="J72" s="210"/>
      <c r="K72" s="215" t="s">
        <v>1143</v>
      </c>
      <c r="L72" s="209"/>
      <c r="M72" s="209"/>
      <c r="N72" s="209"/>
      <c r="O72" s="209"/>
      <c r="P72" s="209"/>
      <c r="Q72" s="209"/>
      <c r="R72" s="209"/>
      <c r="S72" s="209"/>
      <c r="T72" s="209"/>
      <c r="U72" s="209"/>
      <c r="V72" s="209"/>
    </row>
    <row r="73" spans="1:24" s="177" customFormat="1">
      <c r="A73" s="177" t="s">
        <v>12</v>
      </c>
      <c r="C73" s="177" t="s">
        <v>16</v>
      </c>
      <c r="E73" s="177" t="s">
        <v>131</v>
      </c>
      <c r="F73" s="177" t="s">
        <v>136</v>
      </c>
      <c r="G73" s="416">
        <f t="array" ref="G73">IF(E73="Literature",INDEX(LiteratureCost!$I$2:$I$42,MATCH('Summary of unit costs'!A73,LiteratureCost!$A$2:$A$42,0)),INDEX(InterventionCosts!$L$1:$L$3432,MATCH(A73,IF(InterventionCosts!$F$1:$F$3432="Cost per intervention",InterventionCosts!$A$1:$A$3432),0)))</f>
        <v>747.33794612757481</v>
      </c>
      <c r="H73" s="434">
        <f t="shared" si="61"/>
        <v>40.04885298736864</v>
      </c>
      <c r="I73" s="357" t="str">
        <f t="array" ref="I73">IF(E73="Literature",INDEX(LiteratureCost!$G$2:$G$22,MATCH('Summary of unit costs'!A73,LiteratureCost!$A$2:$A$22,0)),INDEX(InterventionCosts!$L$1:$L$3432,MATCH(A73,IF(InterventionCosts!$F$1:$F$3432="Unit",InterventionCosts!$A$1:$A$3432),0)))</f>
        <v>per patient year in cohort</v>
      </c>
      <c r="J73" s="210"/>
      <c r="K73" s="215" t="s">
        <v>1143</v>
      </c>
      <c r="L73" s="209"/>
      <c r="M73" s="209"/>
      <c r="N73" s="209"/>
      <c r="O73" s="209"/>
      <c r="P73" s="209"/>
      <c r="Q73" s="209"/>
      <c r="R73" s="209"/>
      <c r="S73" s="209"/>
      <c r="T73" s="209"/>
      <c r="U73" s="209"/>
      <c r="V73" s="209"/>
    </row>
    <row r="74" spans="1:24" s="177" customFormat="1">
      <c r="A74" s="177" t="s">
        <v>5</v>
      </c>
      <c r="C74" s="177" t="s">
        <v>1557</v>
      </c>
      <c r="E74" s="177" t="s">
        <v>131</v>
      </c>
      <c r="F74" s="177" t="s">
        <v>136</v>
      </c>
      <c r="G74" s="416">
        <f t="array" ref="G74">IF(E74="Literature",INDEX(LiteratureCost!$I$2:$I$42,MATCH('Summary of unit costs'!A74,LiteratureCost!$A$2:$A$42,0)),INDEX(InterventionCosts!$L$1:$L$3432,MATCH(A74,IF(InterventionCosts!$F$1:$F$3432="Cost per intervention",InterventionCosts!$A$1:$A$3432),0)))</f>
        <v>3125.1665029772721</v>
      </c>
      <c r="H74" s="434">
        <f t="shared" si="61"/>
        <v>167.47354324414343</v>
      </c>
      <c r="I74" s="357" t="str">
        <f t="array" ref="I74">IF(E74="Literature",INDEX(LiteratureCost!$G$2:$G$22,MATCH('Summary of unit costs'!A74,LiteratureCost!$A$2:$A$22,0)),INDEX(InterventionCosts!$L$1:$L$3432,MATCH(A74,IF(InterventionCosts!$F$1:$F$3432="Unit",InterventionCosts!$A$1:$A$3432),0)))</f>
        <v>per patient year in cohort</v>
      </c>
      <c r="J74" s="210"/>
      <c r="K74" s="215" t="s">
        <v>1143</v>
      </c>
      <c r="L74" s="209"/>
      <c r="M74" s="209"/>
      <c r="N74" s="209"/>
      <c r="O74" s="209"/>
      <c r="P74" s="209"/>
      <c r="Q74" s="209"/>
      <c r="R74" s="209"/>
      <c r="S74" s="209"/>
      <c r="T74" s="209"/>
      <c r="U74" s="209"/>
      <c r="V74" s="209"/>
    </row>
    <row r="75" spans="1:24" s="177" customFormat="1">
      <c r="A75" s="177" t="s">
        <v>6</v>
      </c>
      <c r="C75" s="177" t="s">
        <v>1558</v>
      </c>
      <c r="E75" s="177" t="s">
        <v>131</v>
      </c>
      <c r="F75" s="177" t="s">
        <v>136</v>
      </c>
      <c r="G75" s="416">
        <f t="array" ref="G75">IF(E75="Literature",INDEX(LiteratureCost!$I$2:$I$42,MATCH('Summary of unit costs'!A75,LiteratureCost!$A$2:$A$42,0)),INDEX(InterventionCosts!$L$1:$L$3432,MATCH(A75,IF(InterventionCosts!$F$1:$F$3432="Cost per intervention",InterventionCosts!$A$1:$A$3432),0)))</f>
        <v>1676.0139633663375</v>
      </c>
      <c r="H75" s="434">
        <f t="shared" si="61"/>
        <v>89.815373582244575</v>
      </c>
      <c r="I75" s="357" t="str">
        <f t="array" ref="I75">IF(E75="Literature",INDEX(LiteratureCost!$G$2:$G$22,MATCH('Summary of unit costs'!A75,LiteratureCost!$A$2:$A$22,0)),INDEX(InterventionCosts!$L$1:$L$3432,MATCH(A75,IF(InterventionCosts!$F$1:$F$3432="Unit",InterventionCosts!$A$1:$A$3432),0)))</f>
        <v>per patient year in cohort</v>
      </c>
      <c r="J75" s="210"/>
      <c r="K75" s="215" t="s">
        <v>1143</v>
      </c>
      <c r="L75" s="209"/>
      <c r="M75" s="209"/>
      <c r="N75" s="209"/>
      <c r="O75" s="209"/>
      <c r="P75" s="209"/>
      <c r="Q75" s="209"/>
      <c r="R75" s="209"/>
      <c r="S75" s="209"/>
      <c r="T75" s="209"/>
      <c r="U75" s="209"/>
      <c r="V75" s="209"/>
    </row>
    <row r="76" spans="1:24" s="177" customFormat="1">
      <c r="A76" s="177" t="s">
        <v>7</v>
      </c>
      <c r="C76" s="177" t="s">
        <v>1559</v>
      </c>
      <c r="E76" s="177" t="s">
        <v>131</v>
      </c>
      <c r="F76" s="177" t="s">
        <v>136</v>
      </c>
      <c r="G76" s="416">
        <f t="array" ref="G76">IF(E76="Literature",INDEX(LiteratureCost!$I$2:$I$42,MATCH('Summary of unit costs'!A76,LiteratureCost!$A$2:$A$42,0)),INDEX(InterventionCosts!$L$1:$L$3432,MATCH(A76,IF(InterventionCosts!$F$1:$F$3432="Cost per intervention",InterventionCosts!$A$1:$A$3432),0)))</f>
        <v>935.60931961447568</v>
      </c>
      <c r="H76" s="434">
        <f t="shared" si="61"/>
        <v>50.138067107401746</v>
      </c>
      <c r="I76" s="357" t="str">
        <f t="array" ref="I76">IF(E76="Literature",INDEX(LiteratureCost!$G$2:$G$22,MATCH('Summary of unit costs'!A76,LiteratureCost!$A$2:$A$22,0)),INDEX(InterventionCosts!$L$1:$L$3432,MATCH(A76,IF(InterventionCosts!$F$1:$F$3432="Unit",InterventionCosts!$A$1:$A$3432),0)))</f>
        <v>per patient year in cohort</v>
      </c>
      <c r="J76" s="210"/>
      <c r="K76" s="215" t="s">
        <v>1143</v>
      </c>
      <c r="L76" s="209"/>
      <c r="M76" s="209"/>
      <c r="N76" s="209"/>
      <c r="O76" s="209"/>
      <c r="P76" s="209"/>
      <c r="Q76" s="209"/>
      <c r="R76" s="209"/>
      <c r="S76" s="209"/>
      <c r="T76" s="209"/>
      <c r="U76" s="209"/>
      <c r="V76" s="209"/>
    </row>
    <row r="77" spans="1:24" s="177" customFormat="1">
      <c r="A77" s="177" t="s">
        <v>8</v>
      </c>
      <c r="C77" s="177" t="s">
        <v>1560</v>
      </c>
      <c r="E77" s="177" t="s">
        <v>131</v>
      </c>
      <c r="F77" s="177" t="s">
        <v>136</v>
      </c>
      <c r="G77" s="416">
        <f t="array" ref="G77">IF(E77="Literature",INDEX(LiteratureCost!$I$2:$I$42,MATCH('Summary of unit costs'!A77,LiteratureCost!$A$2:$A$42,0)),INDEX(InterventionCosts!$L$1:$L$3432,MATCH(A77,IF(InterventionCosts!$F$1:$F$3432="Cost per intervention",InterventionCosts!$A$1:$A$3432),0)))</f>
        <v>935.60931961447568</v>
      </c>
      <c r="H77" s="434">
        <f t="shared" si="61"/>
        <v>50.138067107401746</v>
      </c>
      <c r="I77" s="357" t="str">
        <f t="array" ref="I77">IF(E77="Literature",INDEX(LiteratureCost!$G$2:$G$22,MATCH('Summary of unit costs'!A77,LiteratureCost!$A$2:$A$22,0)),INDEX(InterventionCosts!$L$1:$L$3432,MATCH(A77,IF(InterventionCosts!$F$1:$F$3432="Unit",InterventionCosts!$A$1:$A$3432),0)))</f>
        <v>per patient year in cohort</v>
      </c>
      <c r="J77" s="210"/>
      <c r="K77" s="215" t="s">
        <v>1143</v>
      </c>
      <c r="L77" s="209"/>
      <c r="M77" s="209"/>
      <c r="N77" s="209"/>
      <c r="O77" s="209"/>
      <c r="P77" s="209"/>
      <c r="Q77" s="209"/>
      <c r="R77" s="209"/>
      <c r="S77" s="209"/>
      <c r="T77" s="209"/>
      <c r="U77" s="209"/>
      <c r="V77" s="209"/>
    </row>
    <row r="78" spans="1:24" s="399" customFormat="1">
      <c r="A78" s="399" t="s">
        <v>8208</v>
      </c>
      <c r="C78" s="399" t="s">
        <v>8212</v>
      </c>
      <c r="E78" s="399" t="s">
        <v>131</v>
      </c>
      <c r="F78" s="399" t="s">
        <v>136</v>
      </c>
      <c r="G78" s="417">
        <f t="array" ref="G78">IF(E78="Literature",INDEX(LiteratureCost!$I$2:$I$42,MATCH('Summary of unit costs'!A78,LiteratureCost!$A$2:$A$42,0)),INDEX(InterventionCosts!$L$1:$L$3432,MATCH(A78,IF(InterventionCosts!$F$1:$F$3432="Cost per intervention",InterventionCosts!$A$1:$A$3432),0)))</f>
        <v>52992.268219672114</v>
      </c>
      <c r="H78" s="435">
        <f t="shared" ref="H78:H85" si="62">G78/exrate</f>
        <v>2839.7856289697497</v>
      </c>
      <c r="I78" s="400" t="str">
        <f t="array" ref="I78">IF(E78="Literature",INDEX(LiteratureCost!$G$2:$G$22,MATCH('Summary of unit costs'!A78,LiteratureCost!$A$2:$A$22,0)),INDEX(InterventionCosts!$L$1:$L$3432,MATCH(A78,IF(InterventionCosts!$F$1:$F$3432="Unit",InterventionCosts!$A$1:$A$3432),0)))</f>
        <v>per patient admitted</v>
      </c>
      <c r="J78" s="401"/>
      <c r="K78" s="402" t="s">
        <v>1143</v>
      </c>
      <c r="L78" s="403"/>
      <c r="M78" s="403"/>
      <c r="N78" s="403"/>
      <c r="O78" s="403"/>
      <c r="P78" s="403"/>
      <c r="Q78" s="403"/>
      <c r="R78" s="403"/>
      <c r="S78" s="403"/>
      <c r="T78" s="403"/>
      <c r="U78" s="403"/>
      <c r="V78" s="403"/>
    </row>
    <row r="79" spans="1:24" s="399" customFormat="1">
      <c r="A79" s="399" t="s">
        <v>8206</v>
      </c>
      <c r="C79" s="399" t="s">
        <v>8213</v>
      </c>
      <c r="E79" s="399" t="s">
        <v>131</v>
      </c>
      <c r="F79" s="399" t="s">
        <v>136</v>
      </c>
      <c r="G79" s="417">
        <f t="array" ref="G79">IF(E79="Literature",INDEX(LiteratureCost!$I$2:$I$42,MATCH('Summary of unit costs'!A79,LiteratureCost!$A$2:$A$42,0)),INDEX(InterventionCosts!$L$1:$L$3432,MATCH(A79,IF(InterventionCosts!$F$1:$F$3432="Cost per intervention",InterventionCosts!$A$1:$A$3432),0)))</f>
        <v>37609.451099999998</v>
      </c>
      <c r="H79" s="435">
        <f t="shared" si="62"/>
        <v>2015.4407866537133</v>
      </c>
      <c r="I79" s="400" t="str">
        <f t="array" ref="I79">IF(E79="Literature",INDEX(LiteratureCost!$G$2:$G$22,MATCH('Summary of unit costs'!A79,LiteratureCost!$A$2:$A$22,0)),INDEX(InterventionCosts!$L$1:$L$3432,MATCH(A79,IF(InterventionCosts!$F$1:$F$3432="Unit",InterventionCosts!$A$1:$A$3432),0)))</f>
        <v>per patient admitted</v>
      </c>
      <c r="J79" s="401"/>
      <c r="K79" s="402" t="s">
        <v>1143</v>
      </c>
      <c r="L79" s="403"/>
      <c r="M79" s="403"/>
      <c r="N79" s="403"/>
      <c r="O79" s="403"/>
      <c r="P79" s="403"/>
      <c r="Q79" s="403"/>
      <c r="R79" s="403"/>
      <c r="S79" s="403"/>
      <c r="T79" s="403"/>
      <c r="U79" s="403"/>
      <c r="V79" s="403"/>
    </row>
    <row r="80" spans="1:24" s="399" customFormat="1">
      <c r="A80" s="399" t="s">
        <v>8209</v>
      </c>
      <c r="C80" s="399" t="s">
        <v>8214</v>
      </c>
      <c r="E80" s="399" t="s">
        <v>131</v>
      </c>
      <c r="F80" s="399" t="s">
        <v>136</v>
      </c>
      <c r="G80" s="417">
        <f t="array" ref="G80">IF(E80="Literature",INDEX(LiteratureCost!$I$2:$I$42,MATCH('Summary of unit costs'!A80,LiteratureCost!$A$2:$A$42,0)),INDEX(InterventionCosts!$L$1:$L$3432,MATCH(A80,IF(InterventionCosts!$F$1:$F$3432="Cost per intervention",InterventionCosts!$A$1:$A$3432),0)))</f>
        <v>27903.7863</v>
      </c>
      <c r="H80" s="435">
        <f t="shared" si="62"/>
        <v>1495.3270352592067</v>
      </c>
      <c r="I80" s="400" t="str">
        <f t="array" ref="I80">IF(E80="Literature",INDEX(LiteratureCost!$G$2:$G$22,MATCH('Summary of unit costs'!A80,LiteratureCost!$A$2:$A$22,0)),INDEX(InterventionCosts!$L$1:$L$3432,MATCH(A80,IF(InterventionCosts!$F$1:$F$3432="Unit",InterventionCosts!$A$1:$A$3432),0)))</f>
        <v>per patient admitted</v>
      </c>
      <c r="J80" s="401"/>
      <c r="K80" s="402" t="s">
        <v>1143</v>
      </c>
      <c r="L80" s="403"/>
      <c r="M80" s="403"/>
      <c r="N80" s="403"/>
      <c r="O80" s="403"/>
      <c r="P80" s="403"/>
      <c r="Q80" s="403"/>
      <c r="R80" s="403"/>
      <c r="S80" s="403"/>
      <c r="T80" s="403"/>
      <c r="U80" s="403"/>
      <c r="V80" s="403"/>
    </row>
    <row r="81" spans="1:22" s="399" customFormat="1">
      <c r="A81" s="399" t="s">
        <v>8210</v>
      </c>
      <c r="C81" s="399" t="s">
        <v>8215</v>
      </c>
      <c r="E81" s="399" t="s">
        <v>131</v>
      </c>
      <c r="F81" s="399" t="s">
        <v>136</v>
      </c>
      <c r="G81" s="417">
        <f t="array" ref="G81">IF(E81="Literature",INDEX(LiteratureCost!$I$2:$I$42,MATCH('Summary of unit costs'!A81,LiteratureCost!$A$2:$A$42,0)),INDEX(InterventionCosts!$L$1:$L$3432,MATCH(A81,IF(InterventionCosts!$F$1:$F$3432="Cost per intervention",InterventionCosts!$A$1:$A$3432),0)))</f>
        <v>27903.7863</v>
      </c>
      <c r="H81" s="435">
        <f t="shared" si="62"/>
        <v>1495.3270352592067</v>
      </c>
      <c r="I81" s="400" t="str">
        <f t="array" ref="I81">IF(E81="Literature",INDEX(LiteratureCost!$G$2:$G$22,MATCH('Summary of unit costs'!A81,LiteratureCost!$A$2:$A$22,0)),INDEX(InterventionCosts!$L$1:$L$3432,MATCH(A81,IF(InterventionCosts!$F$1:$F$3432="Unit",InterventionCosts!$A$1:$A$3432),0)))</f>
        <v>per patient admitted</v>
      </c>
      <c r="J81" s="401"/>
      <c r="K81" s="402" t="s">
        <v>1143</v>
      </c>
      <c r="L81" s="403"/>
      <c r="M81" s="403"/>
      <c r="N81" s="403"/>
      <c r="O81" s="403"/>
      <c r="P81" s="403"/>
      <c r="Q81" s="403"/>
      <c r="R81" s="403"/>
      <c r="S81" s="403"/>
      <c r="T81" s="403"/>
      <c r="U81" s="403"/>
      <c r="V81" s="403"/>
    </row>
    <row r="82" spans="1:22" s="399" customFormat="1">
      <c r="A82" s="399" t="s">
        <v>8201</v>
      </c>
      <c r="C82" s="399" t="s">
        <v>8216</v>
      </c>
      <c r="E82" s="399" t="s">
        <v>131</v>
      </c>
      <c r="F82" s="399" t="s">
        <v>136</v>
      </c>
      <c r="G82" s="417">
        <f t="array" ref="G82">IF(E82="Literature",INDEX(LiteratureCost!$I$2:$I$42,MATCH('Summary of unit costs'!A82,LiteratureCost!$A$2:$A$42,0)),INDEX(InterventionCosts!$L$1:$L$3432,MATCH(A82,IF(InterventionCosts!$F$1:$F$3432="Cost per intervention",InterventionCosts!$A$1:$A$3432),0)))</f>
        <v>37167.662012206674</v>
      </c>
      <c r="H82" s="435">
        <f t="shared" si="62"/>
        <v>1991.7658932268002</v>
      </c>
      <c r="I82" s="400" t="str">
        <f t="array" ref="I82">IF(E82="Literature",INDEX(LiteratureCost!$G$2:$G$22,MATCH('Summary of unit costs'!A82,LiteratureCost!$A$2:$A$22,0)),INDEX(InterventionCosts!$L$1:$L$3432,MATCH(A82,IF(InterventionCosts!$F$1:$F$3432="Unit",InterventionCosts!$A$1:$A$3432),0)))</f>
        <v>per patient admitted</v>
      </c>
      <c r="J82" s="401"/>
      <c r="K82" s="402" t="s">
        <v>1143</v>
      </c>
      <c r="L82" s="403"/>
      <c r="M82" s="403"/>
      <c r="N82" s="403"/>
      <c r="O82" s="403"/>
      <c r="P82" s="403"/>
      <c r="Q82" s="403"/>
      <c r="R82" s="403"/>
      <c r="S82" s="403"/>
      <c r="T82" s="403"/>
      <c r="U82" s="403"/>
      <c r="V82" s="403"/>
    </row>
    <row r="83" spans="1:22" s="399" customFormat="1">
      <c r="A83" s="399" t="s">
        <v>8199</v>
      </c>
      <c r="C83" s="399" t="s">
        <v>8217</v>
      </c>
      <c r="E83" s="399" t="s">
        <v>131</v>
      </c>
      <c r="F83" s="399" t="s">
        <v>136</v>
      </c>
      <c r="G83" s="417">
        <f t="array" ref="G83">IF(E83="Literature",INDEX(LiteratureCost!$I$2:$I$42,MATCH('Summary of unit costs'!A83,LiteratureCost!$A$2:$A$42,0)),INDEX(InterventionCosts!$L$1:$L$3432,MATCH(A83,IF(InterventionCosts!$F$1:$F$3432="Cost per intervention",InterventionCosts!$A$1:$A$3432),0)))</f>
        <v>35183.034899999991</v>
      </c>
      <c r="H83" s="435">
        <f t="shared" si="62"/>
        <v>1885.4123488050864</v>
      </c>
      <c r="I83" s="400" t="str">
        <f t="array" ref="I83">IF(E83="Literature",INDEX(LiteratureCost!$G$2:$G$22,MATCH('Summary of unit costs'!A83,LiteratureCost!$A$2:$A$22,0)),INDEX(InterventionCosts!$L$1:$L$3432,MATCH(A83,IF(InterventionCosts!$F$1:$F$3432="Unit",InterventionCosts!$A$1:$A$3432),0)))</f>
        <v>per patient admitted</v>
      </c>
      <c r="J83" s="401"/>
      <c r="K83" s="402" t="s">
        <v>1143</v>
      </c>
      <c r="L83" s="403"/>
      <c r="M83" s="403"/>
      <c r="N83" s="403"/>
      <c r="O83" s="403"/>
      <c r="P83" s="403"/>
      <c r="Q83" s="403"/>
      <c r="R83" s="403"/>
      <c r="S83" s="403"/>
      <c r="T83" s="403"/>
      <c r="U83" s="403"/>
      <c r="V83" s="403"/>
    </row>
    <row r="84" spans="1:22" s="399" customFormat="1">
      <c r="A84" s="399" t="s">
        <v>8202</v>
      </c>
      <c r="C84" s="399" t="s">
        <v>8218</v>
      </c>
      <c r="E84" s="399" t="s">
        <v>131</v>
      </c>
      <c r="F84" s="399" t="s">
        <v>136</v>
      </c>
      <c r="G84" s="417">
        <f t="array" ref="G84">IF(E84="Literature",INDEX(LiteratureCost!$I$2:$I$42,MATCH('Summary of unit costs'!A84,LiteratureCost!$A$2:$A$42,0)),INDEX(InterventionCosts!$L$1:$L$3432,MATCH(A84,IF(InterventionCosts!$F$1:$F$3432="Cost per intervention",InterventionCosts!$A$1:$A$3432),0)))</f>
        <v>31543.410599999996</v>
      </c>
      <c r="H84" s="435">
        <f t="shared" si="62"/>
        <v>1690.3696920321465</v>
      </c>
      <c r="I84" s="400" t="str">
        <f t="array" ref="I84">IF(E84="Literature",INDEX(LiteratureCost!$G$2:$G$22,MATCH('Summary of unit costs'!A84,LiteratureCost!$A$2:$A$22,0)),INDEX(InterventionCosts!$L$1:$L$3432,MATCH(A84,IF(InterventionCosts!$F$1:$F$3432="Unit",InterventionCosts!$A$1:$A$3432),0)))</f>
        <v>per patient admitted</v>
      </c>
      <c r="J84" s="401"/>
      <c r="K84" s="402" t="s">
        <v>1143</v>
      </c>
      <c r="L84" s="403"/>
      <c r="M84" s="403"/>
      <c r="N84" s="403"/>
      <c r="O84" s="403"/>
      <c r="P84" s="403"/>
      <c r="Q84" s="403"/>
      <c r="R84" s="403"/>
      <c r="S84" s="403"/>
      <c r="T84" s="403"/>
      <c r="U84" s="403"/>
      <c r="V84" s="403"/>
    </row>
    <row r="85" spans="1:22" s="399" customFormat="1">
      <c r="A85" s="399" t="s">
        <v>8203</v>
      </c>
      <c r="C85" s="399" t="s">
        <v>8219</v>
      </c>
      <c r="E85" s="399" t="s">
        <v>131</v>
      </c>
      <c r="F85" s="399" t="s">
        <v>136</v>
      </c>
      <c r="G85" s="417">
        <f t="array" ref="G85">IF(E85="Literature",INDEX(LiteratureCost!$I$2:$I$42,MATCH('Summary of unit costs'!A85,LiteratureCost!$A$2:$A$42,0)),INDEX(InterventionCosts!$L$1:$L$3432,MATCH(A85,IF(InterventionCosts!$F$1:$F$3432="Cost per intervention",InterventionCosts!$A$1:$A$3432),0)))</f>
        <v>31543.410599999996</v>
      </c>
      <c r="H85" s="435">
        <f t="shared" si="62"/>
        <v>1690.3696920321465</v>
      </c>
      <c r="I85" s="400" t="str">
        <f t="array" ref="I85">IF(E85="Literature",INDEX(LiteratureCost!$G$2:$G$22,MATCH('Summary of unit costs'!A85,LiteratureCost!$A$2:$A$22,0)),INDEX(InterventionCosts!$L$1:$L$3432,MATCH(A85,IF(InterventionCosts!$F$1:$F$3432="Unit",InterventionCosts!$A$1:$A$3432),0)))</f>
        <v>per patient admitted</v>
      </c>
      <c r="J85" s="401"/>
      <c r="K85" s="402" t="s">
        <v>1143</v>
      </c>
      <c r="L85" s="403"/>
      <c r="M85" s="403"/>
      <c r="N85" s="403"/>
      <c r="O85" s="403"/>
      <c r="P85" s="403"/>
      <c r="Q85" s="403"/>
      <c r="R85" s="403"/>
      <c r="S85" s="403"/>
      <c r="T85" s="403"/>
      <c r="U85" s="403"/>
      <c r="V85" s="403"/>
    </row>
    <row r="86" spans="1:22" s="212" customFormat="1">
      <c r="A86" s="211" t="s">
        <v>17</v>
      </c>
      <c r="B86" s="211"/>
      <c r="C86" s="212" t="s">
        <v>1562</v>
      </c>
      <c r="E86" s="212" t="s">
        <v>132</v>
      </c>
      <c r="F86" s="212" t="s">
        <v>137</v>
      </c>
      <c r="G86" s="418">
        <f t="array" ref="G86">IF(E86="Literature",INDEX(LiteratureCost!$I$2:$I$42,MATCH('Summary of unit costs'!A86,LiteratureCost!$A$2:$A$42,0)),INDEX(InterventionCosts!$L$1:$L$3432,MATCH(A86,IF(InterventionCosts!$F$1:$F$3432="Cost per intervention",InterventionCosts!$A$1:$A$3432),0)))</f>
        <v>49054999.315080129</v>
      </c>
      <c r="H86" s="436">
        <f t="shared" si="61"/>
        <v>2628792.5911495811</v>
      </c>
      <c r="I86" s="358" t="str">
        <f t="array" ref="I86">IF(E86="Literature",INDEX(LiteratureCost!$G$2:$G$22,MATCH('Summary of unit costs'!A86,LiteratureCost!$A$2:$A$22,0)),INDEX(InterventionCosts!$L$1:$L$3432,MATCH(A86,IF(InterventionCosts!$F$1:$F$3432="Unit",InterventionCosts!$A$1:$A$3432),0)))</f>
        <v>per programme</v>
      </c>
      <c r="J86" s="214"/>
      <c r="K86" s="216" t="s">
        <v>908</v>
      </c>
      <c r="L86" s="213"/>
      <c r="M86" s="213"/>
      <c r="N86" s="213"/>
      <c r="O86" s="213"/>
      <c r="P86" s="213"/>
      <c r="Q86" s="213"/>
      <c r="R86" s="213"/>
      <c r="S86" s="213"/>
      <c r="T86" s="213"/>
      <c r="U86" s="213"/>
      <c r="V86" s="213"/>
    </row>
    <row r="87" spans="1:22" s="212" customFormat="1">
      <c r="A87" s="211" t="s">
        <v>18</v>
      </c>
      <c r="B87" s="211"/>
      <c r="C87" s="212" t="s">
        <v>1562</v>
      </c>
      <c r="E87" s="212" t="s">
        <v>132</v>
      </c>
      <c r="F87" s="212" t="s">
        <v>137</v>
      </c>
      <c r="G87" s="418">
        <f t="array" ref="G87">IF(E87="Literature",INDEX(LiteratureCost!$I$2:$I$42,MATCH('Summary of unit costs'!A87,LiteratureCost!$A$2:$A$42,0)),INDEX(InterventionCosts!$L$1:$L$3432,MATCH(A87,IF(InterventionCosts!$F$1:$F$3432="Cost per intervention",InterventionCosts!$A$1:$A$3432),0)))</f>
        <v>23030832.419653729</v>
      </c>
      <c r="H87" s="436">
        <f t="shared" si="61"/>
        <v>1234191.8760190774</v>
      </c>
      <c r="I87" s="358" t="str">
        <f t="array" ref="I87">IF(E87="Literature",INDEX(LiteratureCost!$G$2:$G$22,MATCH('Summary of unit costs'!A87,LiteratureCost!$A$2:$A$22,0)),INDEX(InterventionCosts!$L$1:$L$3432,MATCH(A87,IF(InterventionCosts!$F$1:$F$3432="Unit",InterventionCosts!$A$1:$A$3432),0)))</f>
        <v>per programme</v>
      </c>
      <c r="J87" s="214"/>
      <c r="K87" s="216" t="s">
        <v>908</v>
      </c>
      <c r="L87" s="213"/>
      <c r="M87" s="213"/>
      <c r="N87" s="213"/>
      <c r="O87" s="213"/>
      <c r="P87" s="213"/>
      <c r="Q87" s="213"/>
      <c r="R87" s="213"/>
      <c r="S87" s="213"/>
      <c r="T87" s="213"/>
      <c r="U87" s="213"/>
      <c r="V87" s="213"/>
    </row>
    <row r="88" spans="1:22" s="212" customFormat="1">
      <c r="A88" s="211" t="s">
        <v>19</v>
      </c>
      <c r="B88" s="211"/>
      <c r="C88" s="212" t="s">
        <v>1562</v>
      </c>
      <c r="E88" s="212" t="s">
        <v>132</v>
      </c>
      <c r="F88" s="212" t="s">
        <v>137</v>
      </c>
      <c r="G88" s="418">
        <f t="array" ref="G88">IF(E88="Literature",INDEX(LiteratureCost!$I$2:$I$42,MATCH('Summary of unit costs'!A88,LiteratureCost!$A$2:$A$42,0)),INDEX(InterventionCosts!$L$1:$L$3432,MATCH(A88,IF(InterventionCosts!$F$1:$F$3432="Cost per intervention",InterventionCosts!$A$1:$A$3432),0)))</f>
        <v>4483790.109575442</v>
      </c>
      <c r="H88" s="436">
        <f t="shared" si="61"/>
        <v>240280.38701242488</v>
      </c>
      <c r="I88" s="358" t="str">
        <f t="array" ref="I88">IF(E88="Literature",INDEX(LiteratureCost!$G$2:$G$22,MATCH('Summary of unit costs'!A88,LiteratureCost!$A$2:$A$22,0)),INDEX(InterventionCosts!$L$1:$L$3432,MATCH(A88,IF(InterventionCosts!$F$1:$F$3432="Unit",InterventionCosts!$A$1:$A$3432),0)))</f>
        <v>per programme</v>
      </c>
      <c r="J88" s="214"/>
      <c r="K88" s="216" t="s">
        <v>908</v>
      </c>
      <c r="L88" s="213"/>
      <c r="M88" s="213"/>
      <c r="N88" s="213"/>
      <c r="O88" s="213"/>
      <c r="P88" s="213"/>
      <c r="Q88" s="213"/>
      <c r="R88" s="213"/>
      <c r="S88" s="213"/>
      <c r="T88" s="213"/>
      <c r="U88" s="213"/>
      <c r="V88" s="213"/>
    </row>
    <row r="89" spans="1:22" s="212" customFormat="1">
      <c r="A89" s="211" t="s">
        <v>20</v>
      </c>
      <c r="B89" s="211"/>
      <c r="C89" s="212" t="s">
        <v>1563</v>
      </c>
      <c r="E89" s="212" t="s">
        <v>132</v>
      </c>
      <c r="F89" s="212" t="s">
        <v>137</v>
      </c>
      <c r="G89" s="418">
        <f>LiteratureCost!I10</f>
        <v>68700555.095852599</v>
      </c>
      <c r="H89" s="436">
        <f t="shared" si="61"/>
        <v>3681571.9654555647</v>
      </c>
      <c r="I89" s="358" t="str">
        <f t="array" ref="I89">IF(E89="Literature",INDEX(LiteratureCost!$G$2:$G$22,MATCH('Summary of unit costs'!A89,LiteratureCost!$A$2:$A$22,0)),INDEX(InterventionCosts!$L$1:$L$3432,MATCH(A89,IF(InterventionCosts!$F$1:$F$3432="Unit",InterventionCosts!$A$1:$A$3432),0)))</f>
        <v>per programme</v>
      </c>
      <c r="J89" s="214"/>
      <c r="K89" s="216" t="s">
        <v>908</v>
      </c>
      <c r="L89" s="213"/>
      <c r="M89" s="213"/>
      <c r="N89" s="213"/>
      <c r="O89" s="213"/>
      <c r="P89" s="213"/>
      <c r="Q89" s="213"/>
      <c r="R89" s="213"/>
      <c r="S89" s="213"/>
      <c r="T89" s="213"/>
      <c r="U89" s="213"/>
      <c r="V89" s="213"/>
    </row>
    <row r="90" spans="1:22" s="191" customFormat="1">
      <c r="A90" s="321" t="s">
        <v>941</v>
      </c>
      <c r="B90" s="321"/>
      <c r="C90" s="191" t="s">
        <v>1555</v>
      </c>
      <c r="E90" s="192" t="s">
        <v>131</v>
      </c>
      <c r="F90" s="191" t="s">
        <v>137</v>
      </c>
      <c r="G90" s="413">
        <f t="array" ref="G90">IF(E90="Literature",INDEX(LiteratureCost!$I$2:$I$42,MATCH('Summary of unit costs'!A90,LiteratureCost!$A$2:$A$42,0)),INDEX(InterventionCosts!$L$1:$L$3432,MATCH(A90,IF(InterventionCosts!$F$1:$F$3432="Cost per intervention",InterventionCosts!$A$1:$A$3432),0)))</f>
        <v>1931416096.2341888</v>
      </c>
      <c r="H90" s="431">
        <f t="shared" si="61"/>
        <v>103502036.38972752</v>
      </c>
      <c r="I90" s="354" t="str">
        <f t="array" ref="I90">IF(E90="Literature",INDEX(LiteratureCost!$G$2:$G$22,MATCH('Summary of unit costs'!A90,LiteratureCost!$A$2:$A$22,0)),INDEX(InterventionCosts!$L$1:$L$3432,MATCH(A90,IF(InterventionCosts!$F$1:$F$3432="Unit",InterventionCosts!$A$1:$A$3432),0)))</f>
        <v>per year</v>
      </c>
      <c r="J90" s="194">
        <f>G90/SUM(Q90:V90)</f>
        <v>1</v>
      </c>
      <c r="K90" s="194">
        <f t="shared" ref="K90:P90" si="63">Q90/$G90</f>
        <v>0</v>
      </c>
      <c r="L90" s="194">
        <f t="shared" si="63"/>
        <v>0</v>
      </c>
      <c r="M90" s="194">
        <f t="shared" si="63"/>
        <v>0</v>
      </c>
      <c r="N90" s="194">
        <f t="shared" si="63"/>
        <v>0</v>
      </c>
      <c r="O90" s="194">
        <f t="shared" si="63"/>
        <v>0</v>
      </c>
      <c r="P90" s="194">
        <f t="shared" si="63"/>
        <v>1</v>
      </c>
      <c r="Q90" s="193">
        <f>SUMIFS(InterventionCosts!$K$2:$K$3432,InterventionCosts!$D$2:$D$3432,'Summary of unit costs'!Q$1,InterventionCosts!$A$2:$A$3432,'Summary of unit costs'!$A90)</f>
        <v>0</v>
      </c>
      <c r="R90" s="193">
        <f>SUMIFS(InterventionCosts!$K$2:$K$3432,InterventionCosts!$D$2:$D$3432,'Summary of unit costs'!R$1,InterventionCosts!$A$2:$A$3432,'Summary of unit costs'!$A90)</f>
        <v>0</v>
      </c>
      <c r="S90" s="193">
        <f>SUMIFS(InterventionCosts!$K$2:$K$3432,InterventionCosts!$D$2:$D$3432,'Summary of unit costs'!S$1,InterventionCosts!$A$2:$A$3432,'Summary of unit costs'!$A90)</f>
        <v>0</v>
      </c>
      <c r="T90" s="193">
        <f>SUMIFS(InterventionCosts!$K$2:$K$3432,InterventionCosts!$D$2:$D$3432,'Summary of unit costs'!T$1,InterventionCosts!$A$2:$A$3432,'Summary of unit costs'!$A90)</f>
        <v>0</v>
      </c>
      <c r="U90" s="193">
        <f>SUMIFS(InterventionCosts!$K$2:$K$3432,InterventionCosts!$D$2:$D$3432,'Summary of unit costs'!U$1,InterventionCosts!$A$2:$A$3432,'Summary of unit costs'!$A90)</f>
        <v>0</v>
      </c>
      <c r="V90" s="348">
        <f>SUMIFS(InterventionCosts!$K$2:$K$3432,InterventionCosts!$D$2:$D$3432,'Summary of unit costs'!V$1,InterventionCosts!$A$2:$A$3432,'Summary of unit costs'!$A90)</f>
        <v>1931416096.2341888</v>
      </c>
    </row>
    <row r="91" spans="1:22" s="191" customFormat="1">
      <c r="A91" s="191" t="s">
        <v>1369</v>
      </c>
      <c r="C91" s="191" t="s">
        <v>1556</v>
      </c>
      <c r="E91" s="191" t="s">
        <v>131</v>
      </c>
      <c r="F91" s="191" t="s">
        <v>137</v>
      </c>
      <c r="G91" s="413">
        <f t="array" ref="G91">IF(E91="Literature",INDEX(LiteratureCost!$I$2:$I$42,MATCH('Summary of unit costs'!A91,LiteratureCost!$A$2:$A$42,0)),INDEX(InterventionCosts!$L$1:$L$3432,MATCH(A91,IF(InterventionCosts!$F$1:$F$3432="Cost per intervention",InterventionCosts!$A$1:$A$3432),0)))</f>
        <v>29.878728606128551</v>
      </c>
      <c r="H91" s="431">
        <f t="shared" si="61"/>
        <v>1.6011615837208679</v>
      </c>
      <c r="I91" s="354" t="str">
        <f t="array" ref="I91">IF(E91="Literature",INDEX(LiteratureCost!$G$2:$G$22,MATCH('Summary of unit costs'!A91,LiteratureCost!$A$2:$A$22,0)),INDEX(InterventionCosts!$L$1:$L$3432,MATCH(A91,IF(InterventionCosts!$F$1:$F$3432="Unit",InterventionCosts!$A$1:$A$3432),0)))</f>
        <v>per person per year</v>
      </c>
      <c r="J91" s="194">
        <f>G91/SUM(Q91:V91)</f>
        <v>1</v>
      </c>
      <c r="K91" s="194">
        <f t="shared" ref="K91:K92" si="64">Q91/$G91</f>
        <v>2.1955418808062843E-2</v>
      </c>
      <c r="L91" s="194">
        <f t="shared" ref="L91:L92" si="65">R91/$G91</f>
        <v>2.2064191843316205E-2</v>
      </c>
      <c r="M91" s="194">
        <f t="shared" ref="M91:M92" si="66">S91/$G91</f>
        <v>0</v>
      </c>
      <c r="N91" s="194">
        <f t="shared" ref="N91:N92" si="67">T91/$G91</f>
        <v>0</v>
      </c>
      <c r="O91" s="194">
        <f t="shared" ref="O91:O92" si="68">U91/$G91</f>
        <v>0</v>
      </c>
      <c r="P91" s="194">
        <f t="shared" ref="P91:P92" si="69">V91/$G91</f>
        <v>0.95598038934862095</v>
      </c>
      <c r="Q91" s="193">
        <f>SUMIFS(InterventionCosts!$K$2:$K$3432,InterventionCosts!$D$2:$D$3432,'Summary of unit costs'!Q$1,InterventionCosts!$A$2:$A$3432,'Summary of unit costs'!$A91)</f>
        <v>0.65600000000000003</v>
      </c>
      <c r="R91" s="193">
        <f>SUMIFS(InterventionCosts!$K$2:$K$3432,InterventionCosts!$D$2:$D$3432,'Summary of unit costs'!R$1,InterventionCosts!$A$2:$A$3432,'Summary of unit costs'!$A91)</f>
        <v>0.65925000000000011</v>
      </c>
      <c r="S91" s="193">
        <f>SUMIFS(InterventionCosts!$K$2:$K$3432,InterventionCosts!$D$2:$D$3432,'Summary of unit costs'!S$1,InterventionCosts!$A$2:$A$3432,'Summary of unit costs'!$A91)</f>
        <v>0</v>
      </c>
      <c r="T91" s="193">
        <f>SUMIFS(InterventionCosts!$K$2:$K$3432,InterventionCosts!$D$2:$D$3432,'Summary of unit costs'!T$1,InterventionCosts!$A$2:$A$3432,'Summary of unit costs'!$A91)</f>
        <v>0</v>
      </c>
      <c r="U91" s="193">
        <f>SUMIFS(InterventionCosts!$K$2:$K$3432,InterventionCosts!$D$2:$D$3432,'Summary of unit costs'!U$1,InterventionCosts!$A$2:$A$3432,'Summary of unit costs'!$A91)</f>
        <v>0</v>
      </c>
      <c r="V91" s="193">
        <f>SUMIFS(InterventionCosts!$K$2:$K$3432,InterventionCosts!$D$2:$D$3432,'Summary of unit costs'!V$1,InterventionCosts!$A$2:$A$3432,'Summary of unit costs'!$A91)</f>
        <v>28.563478606128552</v>
      </c>
    </row>
    <row r="92" spans="1:22" s="191" customFormat="1">
      <c r="A92" s="191" t="s">
        <v>1342</v>
      </c>
      <c r="C92" s="191" t="s">
        <v>1561</v>
      </c>
      <c r="E92" s="191" t="s">
        <v>131</v>
      </c>
      <c r="F92" s="191" t="s">
        <v>137</v>
      </c>
      <c r="G92" s="413">
        <f t="array" ref="G92">IF(E92="Literature",INDEX(LiteratureCost!$I$2:$I$42,MATCH('Summary of unit costs'!A92,LiteratureCost!$A$2:$A$42,0)),INDEX(InterventionCosts!$L$1:$L$3432,MATCH(A92,IF(InterventionCosts!$F$1:$F$3432="Cost per intervention",InterventionCosts!$A$1:$A$3432),0)))</f>
        <v>1482.1927111635873</v>
      </c>
      <c r="H92" s="431">
        <f t="shared" si="61"/>
        <v>79.428748795537217</v>
      </c>
      <c r="I92" s="354" t="str">
        <f t="array" ref="I92">IF(E92="Literature",INDEX(LiteratureCost!$G$2:$G$22,MATCH('Summary of unit costs'!A92,LiteratureCost!$A$2:$A$22,0)),INDEX(InterventionCosts!$L$1:$L$3432,MATCH(A92,IF(InterventionCosts!$F$1:$F$3432="Unit",InterventionCosts!$A$1:$A$3432),0)))</f>
        <v>per client</v>
      </c>
      <c r="J92" s="194">
        <f>G92/SUM(Q92:V92)</f>
        <v>1</v>
      </c>
      <c r="K92" s="194">
        <f t="shared" si="64"/>
        <v>7.4390915366071869E-2</v>
      </c>
      <c r="L92" s="194">
        <f t="shared" si="65"/>
        <v>0</v>
      </c>
      <c r="M92" s="194">
        <f t="shared" si="66"/>
        <v>0.21059879572268972</v>
      </c>
      <c r="N92" s="194">
        <f t="shared" si="67"/>
        <v>0</v>
      </c>
      <c r="O92" s="194">
        <f t="shared" si="68"/>
        <v>0.18075197605573509</v>
      </c>
      <c r="P92" s="194">
        <f t="shared" si="69"/>
        <v>0.53425831285550329</v>
      </c>
      <c r="Q92" s="193">
        <f>SUMIFS(InterventionCosts!$K$2:$K$3432,InterventionCosts!$D$2:$D$3432,'Summary of unit costs'!Q$1,InterventionCosts!$A$2:$A$3432,'Summary of unit costs'!$A92)</f>
        <v>110.26167253237904</v>
      </c>
      <c r="R92" s="193">
        <f>SUMIFS(InterventionCosts!$K$2:$K$3432,InterventionCosts!$D$2:$D$3432,'Summary of unit costs'!R$1,InterventionCosts!$A$2:$A$3432,'Summary of unit costs'!$A92)</f>
        <v>0</v>
      </c>
      <c r="S92" s="193">
        <f>SUMIFS(InterventionCosts!$K$2:$K$3432,InterventionCosts!$D$2:$D$3432,'Summary of unit costs'!S$1,InterventionCosts!$A$2:$A$3432,'Summary of unit costs'!$A92)</f>
        <v>312.14799999999997</v>
      </c>
      <c r="T92" s="193">
        <f>SUMIFS(InterventionCosts!$K$2:$K$3432,InterventionCosts!$D$2:$D$3432,'Summary of unit costs'!T$1,InterventionCosts!$A$2:$A$3432,'Summary of unit costs'!$A92)</f>
        <v>0</v>
      </c>
      <c r="U92" s="193">
        <f>SUMIFS(InterventionCosts!$K$2:$K$3432,InterventionCosts!$D$2:$D$3432,'Summary of unit costs'!U$1,InterventionCosts!$A$2:$A$3432,'Summary of unit costs'!$A92)</f>
        <v>267.90926143822583</v>
      </c>
      <c r="V92" s="193">
        <f>SUMIFS(InterventionCosts!$K$2:$K$3432,InterventionCosts!$D$2:$D$3432,'Summary of unit costs'!V$1,InterventionCosts!$A$2:$A$3432,'Summary of unit costs'!$A92)</f>
        <v>791.8737771929824</v>
      </c>
    </row>
    <row r="93" spans="1:22">
      <c r="A93" s="79"/>
      <c r="B93" s="79"/>
      <c r="F93" s="227"/>
      <c r="G93" s="419"/>
    </row>
    <row r="94" spans="1:22">
      <c r="A94" s="79"/>
      <c r="B94" s="79"/>
      <c r="E94" s="161"/>
      <c r="F94" s="337"/>
      <c r="G94" s="419"/>
    </row>
    <row r="95" spans="1:22">
      <c r="A95" s="79"/>
      <c r="B95" s="79"/>
      <c r="E95" s="161"/>
      <c r="F95" s="161"/>
    </row>
    <row r="96" spans="1:22" s="25" customFormat="1">
      <c r="A96" s="79"/>
      <c r="B96" s="79"/>
      <c r="C96" s="81"/>
      <c r="D96" s="81"/>
      <c r="E96" s="161"/>
      <c r="F96" s="337"/>
      <c r="G96" s="419"/>
      <c r="H96" s="438"/>
      <c r="I96" s="360"/>
      <c r="J96" s="130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</row>
    <row r="97" spans="1:22" s="25" customFormat="1" ht="13.75" customHeight="1">
      <c r="A97" s="81"/>
      <c r="B97" s="81"/>
      <c r="C97" s="81"/>
      <c r="D97" s="81"/>
      <c r="E97" s="161"/>
      <c r="F97" s="337"/>
      <c r="G97" s="419"/>
      <c r="H97" s="438"/>
      <c r="I97" s="360"/>
      <c r="J97" s="130"/>
      <c r="K97" s="123"/>
      <c r="L97" s="123"/>
      <c r="M97" s="123"/>
      <c r="N97" s="123"/>
      <c r="O97" s="123"/>
      <c r="P97" s="123"/>
      <c r="Q97" s="123"/>
      <c r="R97" s="123"/>
      <c r="S97" s="123"/>
      <c r="T97" s="123"/>
      <c r="U97" s="123"/>
      <c r="V97" s="123"/>
    </row>
  </sheetData>
  <dataValidations disablePrompts="1" count="1">
    <dataValidation type="list" allowBlank="1" showInputMessage="1" showErrorMessage="1" sqref="K1:V1" xr:uid="{00000000-0002-0000-0000-000000000000}">
      <formula1>iint_typewide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28"/>
  <sheetViews>
    <sheetView zoomScale="55" zoomScaleNormal="5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26" sqref="C26"/>
    </sheetView>
  </sheetViews>
  <sheetFormatPr baseColWidth="10" defaultColWidth="9.1640625" defaultRowHeight="15"/>
  <cols>
    <col min="1" max="1" width="41.83203125" customWidth="1"/>
    <col min="2" max="2" width="40.1640625" customWidth="1"/>
    <col min="3" max="3" width="21.83203125" style="62" customWidth="1"/>
    <col min="4" max="4" width="14.83203125" customWidth="1"/>
    <col min="5" max="5" width="13.1640625" customWidth="1"/>
    <col min="6" max="6" width="32" customWidth="1"/>
    <col min="7" max="8" width="29.5" customWidth="1"/>
    <col min="9" max="9" width="21.5" style="12" customWidth="1"/>
    <col min="10" max="11" width="22.5" bestFit="1" customWidth="1"/>
    <col min="12" max="12" width="15.5" style="8" customWidth="1"/>
  </cols>
  <sheetData>
    <row r="1" spans="1:15" ht="52.5" customHeight="1">
      <c r="A1" s="89" t="s">
        <v>131</v>
      </c>
      <c r="B1" s="89" t="s">
        <v>1168</v>
      </c>
      <c r="C1" s="280" t="s">
        <v>1169</v>
      </c>
      <c r="D1" s="89" t="s">
        <v>23</v>
      </c>
      <c r="E1" s="281" t="s">
        <v>228</v>
      </c>
      <c r="F1" s="89" t="s">
        <v>1165</v>
      </c>
      <c r="G1" s="281" t="s">
        <v>1170</v>
      </c>
      <c r="H1" s="281" t="s">
        <v>1171</v>
      </c>
      <c r="I1" s="282" t="str">
        <f>"Unit Cost 
(ZAR "&amp;CostYear&amp;")"</f>
        <v>Unit Cost 
(ZAR 2024)</v>
      </c>
      <c r="J1" s="283" t="s">
        <v>1172</v>
      </c>
      <c r="K1" s="89" t="s">
        <v>27</v>
      </c>
      <c r="L1" s="283" t="s">
        <v>1118</v>
      </c>
    </row>
    <row r="2" spans="1:15" s="7" customFormat="1">
      <c r="A2" s="77" t="s">
        <v>21</v>
      </c>
      <c r="B2" s="77"/>
      <c r="C2" s="9"/>
      <c r="D2" s="77"/>
      <c r="E2" s="77"/>
      <c r="F2" s="77"/>
      <c r="I2" s="10"/>
      <c r="J2" s="77"/>
      <c r="K2" s="77"/>
      <c r="L2" s="69"/>
    </row>
    <row r="3" spans="1:15">
      <c r="A3" t="s">
        <v>29</v>
      </c>
      <c r="B3" s="24"/>
      <c r="C3" s="84">
        <v>500</v>
      </c>
      <c r="D3" t="s">
        <v>28</v>
      </c>
      <c r="E3" s="5">
        <v>2023</v>
      </c>
      <c r="F3" t="s">
        <v>1119</v>
      </c>
      <c r="I3" s="279">
        <f>IF(G3="",VLOOKUP(IF(Inflation!$B$1-Ingredients!E3&gt;0,Inflation!$B$1-Ingredients!E3,0),Inflation!$C$5:$D$20,2,FALSE)*C3,-PMT(0.08,G3,VLOOKUP(IF(Inflation!$B$1-Ingredients!E3&gt;0,Inflation!$B$1-Ingredients!E3,0),Inflation!$C$5:$D$20,2,FALSE)*C3,0,1))/MAX(1,H3)</f>
        <v>534.5</v>
      </c>
      <c r="J3" t="str">
        <f>IF(H3="",D3,"REDO")</f>
        <v>per pack</v>
      </c>
      <c r="L3" t="str">
        <f>IF(IFERROR(INDEX(InterventionCosts!$A$2:$A$2363,(MATCH(A3,InterventionCosts!$B$2:$B$2363,0))),1)=1,"","Yes")</f>
        <v>Yes</v>
      </c>
    </row>
    <row r="4" spans="1:15">
      <c r="A4" t="s">
        <v>31</v>
      </c>
      <c r="B4" t="s">
        <v>361</v>
      </c>
      <c r="C4" s="84">
        <v>31.4</v>
      </c>
      <c r="D4" t="s">
        <v>1173</v>
      </c>
      <c r="E4">
        <v>2024</v>
      </c>
      <c r="F4" s="86" t="s">
        <v>386</v>
      </c>
      <c r="I4" s="279">
        <f>IF(G4="",VLOOKUP(IF(Inflation!$B$1-Ingredients!E4&gt;0,Inflation!$B$1-Ingredients!E4,0),Inflation!$C$5:$D$20,2,FALSE)*C4,-PMT(0.08,G4,VLOOKUP(IF(Inflation!$B$1-Ingredients!E4&gt;0,Inflation!$B$1-Ingredients!E4,0),Inflation!$C$5:$D$20,2,FALSE)*C4,0,1))/MAX(1,H4)</f>
        <v>31.4</v>
      </c>
      <c r="J4" t="str">
        <f t="shared" ref="J4:J70" si="0">IF(H4="",D4,"REDO")</f>
        <v>per 100 swabs</v>
      </c>
      <c r="L4" t="str">
        <f>IF(IFERROR(INDEX(InterventionCosts!$A$2:$A$2363,(MATCH(A4,InterventionCosts!$B$2:$B$2363,0))),1)=1,"","Yes")</f>
        <v>Yes</v>
      </c>
    </row>
    <row r="5" spans="1:15" s="65" customFormat="1">
      <c r="A5" t="s">
        <v>32</v>
      </c>
      <c r="B5" t="s">
        <v>961</v>
      </c>
      <c r="C5" s="84">
        <v>17.920000000000002</v>
      </c>
      <c r="D5" t="s">
        <v>33</v>
      </c>
      <c r="E5">
        <v>2024</v>
      </c>
      <c r="F5" s="86" t="s">
        <v>1289</v>
      </c>
      <c r="G5"/>
      <c r="H5"/>
      <c r="I5" s="279">
        <f>IF(G5="",VLOOKUP(IF(Inflation!$B$1-Ingredients!E5&gt;0,Inflation!$B$1-Ingredients!E5,0),Inflation!$C$5:$D$20,2,FALSE)*C5,-PMT(0.08,G5,VLOOKUP(IF(Inflation!$B$1-Ingredients!E5&gt;0,Inflation!$B$1-Ingredients!E5,0),Inflation!$C$5:$D$20,2,FALSE)*C5,0,1))/MAX(1,H5)</f>
        <v>17.920000000000002</v>
      </c>
      <c r="J5" t="str">
        <f t="shared" si="0"/>
        <v>per 500ml</v>
      </c>
      <c r="K5"/>
      <c r="L5" t="str">
        <f>IF(IFERROR(INDEX(InterventionCosts!$A$2:$A$2363,(MATCH(A5,InterventionCosts!$B$2:$B$2363,0))),1)=1,"","Yes")</f>
        <v>Yes</v>
      </c>
    </row>
    <row r="6" spans="1:15">
      <c r="A6" t="s">
        <v>34</v>
      </c>
      <c r="B6" t="s">
        <v>1035</v>
      </c>
      <c r="C6" s="62">
        <v>9.8163589545625012</v>
      </c>
      <c r="D6" t="s">
        <v>35</v>
      </c>
      <c r="E6">
        <v>2024</v>
      </c>
      <c r="F6" s="82" t="s">
        <v>385</v>
      </c>
      <c r="I6" s="279">
        <f>IF(G6="",VLOOKUP(IF(Inflation!$B$1-Ingredients!E6&gt;0,Inflation!$B$1-Ingredients!E6,0),Inflation!$C$5:$D$20,2,FALSE)*C6,-PMT(0.08,G6,VLOOKUP(IF(Inflation!$B$1-Ingredients!E6&gt;0,Inflation!$B$1-Ingredients!E6,0),Inflation!$C$5:$D$20,2,FALSE)*C6,0,1))/MAX(1,H6)</f>
        <v>9.8163589545625012</v>
      </c>
      <c r="J6" t="str">
        <f t="shared" si="0"/>
        <v>per condom</v>
      </c>
      <c r="L6" t="str">
        <f>IF(IFERROR(INDEX(InterventionCosts!$A$2:$A$2363,(MATCH(A6,InterventionCosts!$B$2:$B$2363,0))),1)=1,"","Yes")</f>
        <v>Yes</v>
      </c>
    </row>
    <row r="7" spans="1:15" s="66" customFormat="1">
      <c r="A7" t="s">
        <v>43</v>
      </c>
      <c r="B7" t="s">
        <v>1034</v>
      </c>
      <c r="C7" s="84">
        <v>0.61939459752201187</v>
      </c>
      <c r="D7" t="s">
        <v>35</v>
      </c>
      <c r="E7">
        <v>2024</v>
      </c>
      <c r="F7" s="82" t="s">
        <v>455</v>
      </c>
      <c r="G7"/>
      <c r="H7"/>
      <c r="I7" s="279">
        <f>IF(G7="",VLOOKUP(IF(Inflation!$B$1-Ingredients!E7&gt;0,Inflation!$B$1-Ingredients!E7,0),Inflation!$C$5:$D$20,2,FALSE)*C7,-PMT(0.08,G7,VLOOKUP(IF(Inflation!$B$1-Ingredients!E7&gt;0,Inflation!$B$1-Ingredients!E7,0),Inflation!$C$5:$D$20,2,FALSE)*C7,0,1))/MAX(1,H7)</f>
        <v>0.61939459752201187</v>
      </c>
      <c r="J7" t="str">
        <f t="shared" si="0"/>
        <v>per condom</v>
      </c>
      <c r="K7"/>
      <c r="L7" t="str">
        <f>IF(IFERROR(INDEX(InterventionCosts!$A$2:$A$2363,(MATCH(A7,InterventionCosts!$B$2:$B$2363,0))),1)=1,"","Yes")</f>
        <v>Yes</v>
      </c>
    </row>
    <row r="8" spans="1:15" s="65" customFormat="1">
      <c r="A8" t="s">
        <v>344</v>
      </c>
      <c r="B8" t="s">
        <v>345</v>
      </c>
      <c r="C8" s="84">
        <v>0.42</v>
      </c>
      <c r="D8" t="s">
        <v>42</v>
      </c>
      <c r="E8">
        <v>2024</v>
      </c>
      <c r="F8" s="82" t="s">
        <v>455</v>
      </c>
      <c r="G8"/>
      <c r="H8"/>
      <c r="I8" s="279">
        <f>IF(G8="",VLOOKUP(IF(Inflation!$B$1-Ingredients!E8&gt;0,Inflation!$B$1-Ingredients!E8,0),Inflation!$C$5:$D$20,2,FALSE)*C8,-PMT(0.08,G8,VLOOKUP(IF(Inflation!$B$1-Ingredients!E8&gt;0,Inflation!$B$1-Ingredients!E8,0),Inflation!$C$5:$D$20,2,FALSE)*C8,0,1))/MAX(1,H8)</f>
        <v>0.42</v>
      </c>
      <c r="J8" t="str">
        <f t="shared" si="0"/>
        <v>per sachet</v>
      </c>
      <c r="K8"/>
      <c r="L8" t="str">
        <f>IF(IFERROR(INDEX(InterventionCosts!$A$2:$A$2363,(MATCH(A8,InterventionCosts!$B$2:$B$2363,0))),1)=1,"","Yes")</f>
        <v>Yes</v>
      </c>
    </row>
    <row r="9" spans="1:15" s="65" customFormat="1" ht="15" customHeight="1">
      <c r="A9" t="s">
        <v>1489</v>
      </c>
      <c r="B9" t="s">
        <v>343</v>
      </c>
      <c r="C9" s="84">
        <v>53.08</v>
      </c>
      <c r="D9" t="s">
        <v>234</v>
      </c>
      <c r="E9">
        <v>2024</v>
      </c>
      <c r="F9" s="86" t="s">
        <v>1290</v>
      </c>
      <c r="G9"/>
      <c r="H9"/>
      <c r="I9" s="279">
        <f>IF(G9="",VLOOKUP(IF(Inflation!$B$1-Ingredients!E9&gt;0,Inflation!$B$1-Ingredients!E9,0),Inflation!$C$5:$D$20,2,FALSE)*C9,-PMT(0.08,G9,VLOOKUP(IF(Inflation!$B$1-Ingredients!E9&gt;0,Inflation!$B$1-Ingredients!E9,0),Inflation!$C$5:$D$20,2,FALSE)*C9,0,1))/MAX(1,H9)</f>
        <v>53.08</v>
      </c>
      <c r="J9" t="str">
        <f t="shared" si="0"/>
        <v>per pack 100, 50 pairs</v>
      </c>
      <c r="K9"/>
      <c r="L9" t="str">
        <f>IF(IFERROR(INDEX(InterventionCosts!$A$2:$A$2363,(MATCH(A9,InterventionCosts!$B$2:$B$2363,0))),1)=1,"","Yes")</f>
        <v>Yes</v>
      </c>
    </row>
    <row r="10" spans="1:15">
      <c r="A10" t="s">
        <v>39</v>
      </c>
      <c r="B10" t="s">
        <v>40</v>
      </c>
      <c r="C10" s="84">
        <f>0.6</f>
        <v>0.6</v>
      </c>
      <c r="D10" t="s">
        <v>37</v>
      </c>
      <c r="E10">
        <v>2016</v>
      </c>
      <c r="F10" t="s">
        <v>377</v>
      </c>
      <c r="I10" s="279">
        <f>IF(G10="",VLOOKUP(IF(Inflation!$B$1-Ingredients!E10&gt;0,Inflation!$B$1-Ingredients!E10,0),Inflation!$C$5:$D$20,2,FALSE)*C10,-PMT(0.08,G10,VLOOKUP(IF(Inflation!$B$1-Ingredients!E10&gt;0,Inflation!$B$1-Ingredients!E10,0),Inflation!$C$5:$D$20,2,FALSE)*C10,0,1))/MAX(1,H10)</f>
        <v>0.90383818045604736</v>
      </c>
      <c r="J10" t="str">
        <f t="shared" si="0"/>
        <v>per material</v>
      </c>
      <c r="L10" t="str">
        <f>IF(IFERROR(INDEX(InterventionCosts!$A$2:$A$2363,(MATCH(A10,InterventionCosts!$B$2:$B$2363,0))),1)=1,"","Yes")</f>
        <v>Yes</v>
      </c>
    </row>
    <row r="11" spans="1:15" ht="13.75" customHeight="1">
      <c r="A11" t="s">
        <v>45</v>
      </c>
      <c r="B11" t="s">
        <v>1069</v>
      </c>
      <c r="C11" s="84">
        <f>(0.45+0.47+0.46)/3*100</f>
        <v>46</v>
      </c>
      <c r="D11" t="s">
        <v>36</v>
      </c>
      <c r="E11">
        <v>2024</v>
      </c>
      <c r="F11" s="86" t="s">
        <v>1291</v>
      </c>
      <c r="I11" s="279">
        <f>IF(G11="",VLOOKUP(IF(Inflation!$B$1-Ingredients!E11&gt;0,Inflation!$B$1-Ingredients!E11,0),Inflation!$C$5:$D$20,2,FALSE)*C11,-PMT(0.08,G11,VLOOKUP(IF(Inflation!$B$1-Ingredients!E11&gt;0,Inflation!$B$1-Ingredients!E11,0),Inflation!$C$5:$D$20,2,FALSE)*C11,0,1))/MAX(1,H11)</f>
        <v>46</v>
      </c>
      <c r="J11" t="str">
        <f t="shared" si="0"/>
        <v>per pack 100</v>
      </c>
      <c r="L11" t="str">
        <f>IF(IFERROR(INDEX(InterventionCosts!$A$2:$A$2363,(MATCH(A11,InterventionCosts!$B$2:$B$2363,0))),1)=1,"","Yes")</f>
        <v>Yes</v>
      </c>
    </row>
    <row r="12" spans="1:15" ht="13.5" customHeight="1">
      <c r="A12" t="s">
        <v>346</v>
      </c>
      <c r="C12" s="84">
        <v>13.5</v>
      </c>
      <c r="D12" t="s">
        <v>36</v>
      </c>
      <c r="E12">
        <v>2024</v>
      </c>
      <c r="F12" s="86" t="s">
        <v>386</v>
      </c>
      <c r="I12" s="279">
        <f>IF(G12="",VLOOKUP(IF(Inflation!$B$1-Ingredients!E12&gt;0,Inflation!$B$1-Ingredients!E12,0),Inflation!$C$5:$D$20,2,FALSE)*C12,-PMT(0.08,G12,VLOOKUP(IF(Inflation!$B$1-Ingredients!E12&gt;0,Inflation!$B$1-Ingredients!E12,0),Inflation!$C$5:$D$20,2,FALSE)*C12,0,1))/MAX(1,H12)</f>
        <v>13.5</v>
      </c>
      <c r="J12" t="str">
        <f t="shared" si="0"/>
        <v>per pack 100</v>
      </c>
      <c r="L12" t="str">
        <f>IF(IFERROR(INDEX(InterventionCosts!$A$2:$A$2363,(MATCH(A12,InterventionCosts!$B$2:$B$2363,0))),1)=1,"","Yes")</f>
        <v>Yes</v>
      </c>
    </row>
    <row r="13" spans="1:15" s="63" customFormat="1">
      <c r="A13" t="s">
        <v>249</v>
      </c>
      <c r="B13" t="s">
        <v>347</v>
      </c>
      <c r="C13" s="84">
        <v>7.86</v>
      </c>
      <c r="D13" t="s">
        <v>348</v>
      </c>
      <c r="E13">
        <v>2024</v>
      </c>
      <c r="F13" s="119" t="s">
        <v>456</v>
      </c>
      <c r="G13"/>
      <c r="H13"/>
      <c r="I13" s="279">
        <f>IF(G13="",VLOOKUP(IF(Inflation!$B$1-Ingredients!E13&gt;0,Inflation!$B$1-Ingredients!E13,0),Inflation!$C$5:$D$20,2,FALSE)*C13,-PMT(0.08,G13,VLOOKUP(IF(Inflation!$B$1-Ingredients!E13&gt;0,Inflation!$B$1-Ingredients!E13,0),Inflation!$C$5:$D$20,2,FALSE)*C13,0,1))/MAX(1,H13)</f>
        <v>7.86</v>
      </c>
      <c r="J13" t="str">
        <f t="shared" si="0"/>
        <v>per test kit</v>
      </c>
      <c r="K13"/>
      <c r="L13" t="str">
        <f>IF(IFERROR(INDEX(InterventionCosts!$A$2:$A$2363,(MATCH(A13,InterventionCosts!$B$2:$B$2363,0))),1)=1,"","Yes")</f>
        <v>Yes</v>
      </c>
    </row>
    <row r="14" spans="1:15" s="65" customFormat="1">
      <c r="A14" t="s">
        <v>79</v>
      </c>
      <c r="B14" t="s">
        <v>349</v>
      </c>
      <c r="C14" s="84">
        <v>9.3000000000000007</v>
      </c>
      <c r="D14" t="s">
        <v>76</v>
      </c>
      <c r="E14">
        <v>2024</v>
      </c>
      <c r="F14" s="86" t="s">
        <v>456</v>
      </c>
      <c r="G14"/>
      <c r="H14"/>
      <c r="I14" s="279">
        <f>IF(G14="",VLOOKUP(IF(Inflation!$B$1-Ingredients!E14&gt;0,Inflation!$B$1-Ingredients!E14,0),Inflation!$C$5:$D$20,2,FALSE)*C14,-PMT(0.08,G14,VLOOKUP(IF(Inflation!$B$1-Ingredients!E14&gt;0,Inflation!$B$1-Ingredients!E14,0),Inflation!$C$5:$D$20,2,FALSE)*C14,0,1))/MAX(1,H14)</f>
        <v>9.3000000000000007</v>
      </c>
      <c r="J14" t="str">
        <f>IF(H14="",D14,"REDO")</f>
        <v>per test</v>
      </c>
      <c r="K14" t="s">
        <v>80</v>
      </c>
      <c r="L14" t="str">
        <f>IF(IFERROR(INDEX(InterventionCosts!$A$2:$A$2363,(MATCH(A14,InterventionCosts!$B$2:$B$2363,0))),1)=1,"","Yes")</f>
        <v>Yes</v>
      </c>
      <c r="N14" s="250"/>
      <c r="O14" s="250"/>
    </row>
    <row r="15" spans="1:15">
      <c r="A15" t="s">
        <v>246</v>
      </c>
      <c r="B15" t="s">
        <v>963</v>
      </c>
      <c r="C15" s="84">
        <f>410/2500</f>
        <v>0.16400000000000001</v>
      </c>
      <c r="D15" t="s">
        <v>430</v>
      </c>
      <c r="E15">
        <v>2024</v>
      </c>
      <c r="F15" s="86" t="s">
        <v>962</v>
      </c>
      <c r="I15" s="279">
        <f>IF(G15="",VLOOKUP(IF(Inflation!$B$1-Ingredients!E15&gt;0,Inflation!$B$1-Ingredients!E15,0),Inflation!$C$5:$D$20,2,FALSE)*C15,-PMT(0.08,G15,VLOOKUP(IF(Inflation!$B$1-Ingredients!E15&gt;0,Inflation!$B$1-Ingredients!E15,0),Inflation!$C$5:$D$20,2,FALSE)*C15,0,1))/MAX(1,H15)</f>
        <v>0.16400000000000001</v>
      </c>
      <c r="J15" t="str">
        <f t="shared" si="0"/>
        <v>per page</v>
      </c>
      <c r="L15" t="str">
        <f>IF(IFERROR(INDEX(InterventionCosts!$A$2:$A$2363,(MATCH(A15,InterventionCosts!$B$2:$B$2363,0))),1)=1,"","Yes")</f>
        <v>Yes</v>
      </c>
    </row>
    <row r="16" spans="1:15" ht="13.25" customHeight="1">
      <c r="A16" t="s">
        <v>426</v>
      </c>
      <c r="C16" s="84">
        <f>229/500</f>
        <v>0.45800000000000002</v>
      </c>
      <c r="D16" t="s">
        <v>430</v>
      </c>
      <c r="E16">
        <v>2024</v>
      </c>
      <c r="F16" t="s">
        <v>1292</v>
      </c>
      <c r="I16" s="279">
        <f>IF(G16="",VLOOKUP(IF(Inflation!$B$1-Ingredients!E16&gt;0,Inflation!$B$1-Ingredients!E16,0),Inflation!$C$5:$D$20,2,FALSE)*C16,-PMT(0.08,G16,VLOOKUP(IF(Inflation!$B$1-Ingredients!E16&gt;0,Inflation!$B$1-Ingredients!E16,0),Inflation!$C$5:$D$20,2,FALSE)*C16,0,1))/MAX(1,H16)</f>
        <v>0.45800000000000002</v>
      </c>
      <c r="J16" t="str">
        <f t="shared" si="0"/>
        <v>per page</v>
      </c>
      <c r="L16" t="str">
        <f>IF(IFERROR(INDEX(InterventionCosts!$A$2:$A$2363,(MATCH(A16,InterventionCosts!$B$2:$B$2363,0))),1)=1,"","Yes")</f>
        <v>Yes</v>
      </c>
    </row>
    <row r="17" spans="1:18" s="65" customFormat="1">
      <c r="A17" t="s">
        <v>247</v>
      </c>
      <c r="B17" t="s">
        <v>964</v>
      </c>
      <c r="C17" s="84">
        <f>34.34*8</f>
        <v>274.72000000000003</v>
      </c>
      <c r="D17" t="s">
        <v>350</v>
      </c>
      <c r="E17">
        <v>2024</v>
      </c>
      <c r="F17" s="86" t="s">
        <v>1289</v>
      </c>
      <c r="G17"/>
      <c r="H17"/>
      <c r="I17" s="279">
        <f>IF(G17="",VLOOKUP(IF(Inflation!$B$1-Ingredients!E17&gt;0,Inflation!$B$1-Ingredients!E17,0),Inflation!$C$5:$D$20,2,FALSE)*C17,-PMT(0.08,G17,VLOOKUP(IF(Inflation!$B$1-Ingredients!E17&gt;0,Inflation!$B$1-Ingredients!E17,0),Inflation!$C$5:$D$20,2,FALSE)*C17,0,1))/MAX(1,H17)</f>
        <v>274.72000000000003</v>
      </c>
      <c r="J17" t="str">
        <f t="shared" si="0"/>
        <v>per 5L</v>
      </c>
      <c r="K17"/>
      <c r="L17" t="str">
        <f>IF(IFERROR(INDEX(InterventionCosts!$A$2:$A$2363,(MATCH(A17,InterventionCosts!$B$2:$B$2363,0))),1)=1,"","Yes")</f>
        <v>Yes</v>
      </c>
    </row>
    <row r="18" spans="1:18" s="63" customFormat="1">
      <c r="A18" t="s">
        <v>248</v>
      </c>
      <c r="B18" t="s">
        <v>253</v>
      </c>
      <c r="C18" s="84">
        <f>46*1.15/20</f>
        <v>2.645</v>
      </c>
      <c r="D18" t="s">
        <v>44</v>
      </c>
      <c r="E18">
        <v>2024</v>
      </c>
      <c r="F18" t="s">
        <v>1032</v>
      </c>
      <c r="G18"/>
      <c r="H18"/>
      <c r="I18" s="279">
        <f>IF(G18="",VLOOKUP(IF(Inflation!$B$1-Ingredients!E18&gt;0,Inflation!$B$1-Ingredients!E18,0),Inflation!$C$5:$D$20,2,FALSE)*C18,-PMT(0.08,G18,VLOOKUP(IF(Inflation!$B$1-Ingredients!E18&gt;0,Inflation!$B$1-Ingredients!E18,0),Inflation!$C$5:$D$20,2,FALSE)*C18,0,1))/MAX(1,H18)</f>
        <v>2.645</v>
      </c>
      <c r="J18" t="str">
        <f t="shared" si="0"/>
        <v>per bag</v>
      </c>
      <c r="K18"/>
      <c r="L18" t="str">
        <f>IF(IFERROR(INDEX(InterventionCosts!$A$2:$A$2363,(MATCH(A18,InterventionCosts!$B$2:$B$2363,0))),1)=1,"","Yes")</f>
        <v>Yes</v>
      </c>
    </row>
    <row r="19" spans="1:18">
      <c r="A19" t="s">
        <v>252</v>
      </c>
      <c r="B19" t="s">
        <v>1030</v>
      </c>
      <c r="C19" s="84">
        <v>129</v>
      </c>
      <c r="D19" t="s">
        <v>351</v>
      </c>
      <c r="E19">
        <v>2024</v>
      </c>
      <c r="F19" s="82" t="s">
        <v>362</v>
      </c>
      <c r="I19" s="279">
        <f>IF(G19="",VLOOKUP(IF(Inflation!$B$1-Ingredients!E19&gt;0,Inflation!$B$1-Ingredients!E19,0),Inflation!$C$5:$D$20,2,FALSE)*C19,-PMT(0.08,G19,VLOOKUP(IF(Inflation!$B$1-Ingredients!E19&gt;0,Inflation!$B$1-Ingredients!E19,0),Inflation!$C$5:$D$20,2,FALSE)*C19,0,1))/MAX(1,H19)</f>
        <v>129</v>
      </c>
      <c r="J19" t="str">
        <f t="shared" si="0"/>
        <v>per 20 files</v>
      </c>
      <c r="L19" t="str">
        <f>IF(IFERROR(INDEX(InterventionCosts!$A$2:$A$2363,(MATCH(A19,InterventionCosts!$B$2:$B$2363,0))),1)=1,"","Yes")</f>
        <v>Yes</v>
      </c>
    </row>
    <row r="20" spans="1:18">
      <c r="A20" t="s">
        <v>254</v>
      </c>
      <c r="B20" t="s">
        <v>256</v>
      </c>
      <c r="C20" s="84">
        <f>0.05*13.5790416666667</f>
        <v>0.67895208333333512</v>
      </c>
      <c r="D20" t="s">
        <v>255</v>
      </c>
      <c r="E20">
        <v>2016</v>
      </c>
      <c r="F20" t="s">
        <v>1539</v>
      </c>
      <c r="I20" s="279">
        <f>IF(G20="",VLOOKUP(IF(Inflation!$B$1-Ingredients!E20&gt;0,Inflation!$B$1-Ingredients!E20,0),Inflation!$C$5:$D$20,2,FALSE)*C20,-PMT(0.08,G20,VLOOKUP(IF(Inflation!$B$1-Ingredients!E20&gt;0,Inflation!$B$1-Ingredients!E20,0),Inflation!$C$5:$D$20,2,FALSE)*C20,0,1))/MAX(1,H20)</f>
        <v>1.0227713593614072</v>
      </c>
      <c r="J20" t="str">
        <f t="shared" si="0"/>
        <v>per 1</v>
      </c>
      <c r="L20" t="str">
        <f>IF(IFERROR(INDEX(InterventionCosts!$A$2:$A$2363,(MATCH(A20,InterventionCosts!$B$2:$B$2363,0))),1)=1,"","Yes")</f>
        <v>Yes</v>
      </c>
    </row>
    <row r="21" spans="1:18">
      <c r="A21" t="s">
        <v>352</v>
      </c>
      <c r="B21" t="s">
        <v>961</v>
      </c>
      <c r="C21" s="84">
        <v>17.920000000000002</v>
      </c>
      <c r="D21" t="s">
        <v>33</v>
      </c>
      <c r="E21">
        <v>2024</v>
      </c>
      <c r="F21" s="86" t="s">
        <v>1289</v>
      </c>
      <c r="I21" s="279">
        <f>IF(G21="",VLOOKUP(IF(Inflation!$B$1-Ingredients!E21&gt;0,Inflation!$B$1-Ingredients!E21,0),Inflation!$C$5:$D$20,2,FALSE)*C21,-PMT(0.08,G21,VLOOKUP(IF(Inflation!$B$1-Ingredients!E21&gt;0,Inflation!$B$1-Ingredients!E21,0),Inflation!$C$5:$D$20,2,FALSE)*C21,0,1))/MAX(1,H21)</f>
        <v>17.920000000000002</v>
      </c>
      <c r="J21" t="str">
        <f t="shared" si="0"/>
        <v>per 500ml</v>
      </c>
      <c r="L21" t="str">
        <f>IF(IFERROR(INDEX(InterventionCosts!$A$2:$A$2363,(MATCH(A21,InterventionCosts!$B$2:$B$2363,0))),1)=1,"","Yes")</f>
        <v>Yes</v>
      </c>
    </row>
    <row r="22" spans="1:18">
      <c r="A22" t="s">
        <v>41</v>
      </c>
      <c r="C22" s="84">
        <f>2</f>
        <v>2</v>
      </c>
      <c r="D22" t="s">
        <v>37</v>
      </c>
      <c r="E22">
        <v>2014</v>
      </c>
      <c r="F22" t="s">
        <v>378</v>
      </c>
      <c r="I22" s="279">
        <f>IF(G22="",VLOOKUP(IF(Inflation!$B$1-Ingredients!E22&gt;0,Inflation!$B$1-Ingredients!E22,0),Inflation!$C$5:$D$20,2,FALSE)*C22,-PMT(0.08,G22,VLOOKUP(IF(Inflation!$B$1-Ingredients!E22&gt;0,Inflation!$B$1-Ingredients!E22,0),Inflation!$C$5:$D$20,2,FALSE)*C22,0,1))/MAX(1,H22)</f>
        <v>3.3436167856640138</v>
      </c>
      <c r="J22" t="str">
        <f t="shared" si="0"/>
        <v>per material</v>
      </c>
      <c r="L22" t="str">
        <f>IF(IFERROR(INDEX(InterventionCosts!$A$2:$A$2363,(MATCH(A22,InterventionCosts!$B$2:$B$2363,0))),1)=1,"","Yes")</f>
        <v>Yes</v>
      </c>
    </row>
    <row r="23" spans="1:18">
      <c r="A23" s="5" t="s">
        <v>401</v>
      </c>
      <c r="C23" s="62">
        <f>75.9/20</f>
        <v>3.7950000000000004</v>
      </c>
      <c r="D23" t="s">
        <v>76</v>
      </c>
      <c r="E23">
        <v>2019</v>
      </c>
      <c r="F23" t="s">
        <v>402</v>
      </c>
      <c r="I23" s="279">
        <f>IF(G23="",VLOOKUP(IF(Inflation!$B$1-Ingredients!E23&gt;0,Inflation!$B$1-Ingredients!E23,0),Inflation!$C$5:$D$20,2,FALSE)*C23,-PMT(0.08,G23,VLOOKUP(IF(Inflation!$B$1-Ingredients!E23&gt;0,Inflation!$B$1-Ingredients!E23,0),Inflation!$C$5:$D$20,2,FALSE)*C23,0,1))/MAX(1,H23)</f>
        <v>4.8734277524838099</v>
      </c>
      <c r="J23" t="str">
        <f t="shared" si="0"/>
        <v>per test</v>
      </c>
      <c r="L23" t="str">
        <f>IF(IFERROR(INDEX(InterventionCosts!$A$2:$A$2363,(MATCH(A23,InterventionCosts!$B$2:$B$2363,0))),1)=1,"","Yes")</f>
        <v>Yes</v>
      </c>
    </row>
    <row r="24" spans="1:18">
      <c r="A24" t="s">
        <v>46</v>
      </c>
      <c r="C24" s="84">
        <v>60</v>
      </c>
      <c r="D24" t="s">
        <v>47</v>
      </c>
      <c r="E24">
        <v>2024</v>
      </c>
      <c r="F24" s="86" t="s">
        <v>1031</v>
      </c>
      <c r="I24" s="279">
        <f>IF(G24="",VLOOKUP(IF(Inflation!$B$1-Ingredients!E24&gt;0,Inflation!$B$1-Ingredients!E24,0),Inflation!$C$5:$D$20,2,FALSE)*C24,-PMT(0.08,G24,VLOOKUP(IF(Inflation!$B$1-Ingredients!E24&gt;0,Inflation!$B$1-Ingredients!E24,0),Inflation!$C$5:$D$20,2,FALSE)*C24,0,1))/MAX(1,H24)</f>
        <v>60</v>
      </c>
      <c r="J24" t="str">
        <f t="shared" si="0"/>
        <v>per 5l container</v>
      </c>
      <c r="L24" t="str">
        <f>IF(IFERROR(INDEX(InterventionCosts!$A$2:$A$2363,(MATCH(A24,InterventionCosts!$B$2:$B$2363,0))),1)=1,"","Yes")</f>
        <v>Yes</v>
      </c>
    </row>
    <row r="25" spans="1:18">
      <c r="A25" s="5" t="s">
        <v>478</v>
      </c>
      <c r="C25" s="84">
        <f>'NonART drug data and costs'!$K$7</f>
        <v>29.73505124074644</v>
      </c>
      <c r="D25" t="s">
        <v>461</v>
      </c>
      <c r="E25">
        <v>2023</v>
      </c>
      <c r="F25" t="s">
        <v>1122</v>
      </c>
      <c r="I25" s="279">
        <f>IF(G25="",VLOOKUP(IF(Inflation!$B$1-Ingredients!E25&gt;0,Inflation!$B$1-Ingredients!E25,0),Inflation!$C$5:$D$20,2,FALSE)*C25,-PMT(0.08,G25,VLOOKUP(IF(Inflation!$B$1-Ingredients!E25&gt;0,Inflation!$B$1-Ingredients!E25,0),Inflation!$C$5:$D$20,2,FALSE)*C25,0,1))/MAX(1,H25)</f>
        <v>31.786769776357943</v>
      </c>
      <c r="J25" t="str">
        <f t="shared" si="0"/>
        <v>per visit</v>
      </c>
      <c r="L25" t="str">
        <f>IF(IFERROR(INDEX(InterventionCosts!$A$2:$A$2363,(MATCH(A25,InterventionCosts!$B$2:$B$2363,0))),1)=1,"","Yes")</f>
        <v>Yes</v>
      </c>
    </row>
    <row r="26" spans="1:18">
      <c r="A26" t="s">
        <v>1127</v>
      </c>
      <c r="B26" t="s">
        <v>1128</v>
      </c>
      <c r="C26" s="84">
        <v>74.558798087535635</v>
      </c>
      <c r="D26" t="s">
        <v>348</v>
      </c>
      <c r="E26">
        <v>2024</v>
      </c>
      <c r="F26" t="s">
        <v>934</v>
      </c>
      <c r="I26" s="279">
        <f>IF(G26="",VLOOKUP(IF(Inflation!$B$1-Ingredients!E26&gt;0,Inflation!$B$1-Ingredients!E26,0),Inflation!$C$5:$D$20,2,FALSE)*C26,-PMT(0.08,G26,VLOOKUP(IF(Inflation!$B$1-Ingredients!E26&gt;0,Inflation!$B$1-Ingredients!E26,0),Inflation!$C$5:$D$20,2,FALSE)*C26,0,1))/MAX(1,H26)</f>
        <v>74.558798087535635</v>
      </c>
      <c r="J26" t="str">
        <f t="shared" si="0"/>
        <v>per test kit</v>
      </c>
      <c r="L26" t="str">
        <f>IF(IFERROR(INDEX(InterventionCosts!$A$2:$A$2363,(MATCH(A26,InterventionCosts!$B$2:$B$2363,0))),1)=1,"","Yes")</f>
        <v>Yes</v>
      </c>
    </row>
    <row r="27" spans="1:18" s="63" customFormat="1">
      <c r="A27" s="138" t="s">
        <v>407</v>
      </c>
      <c r="B27"/>
      <c r="C27" s="84">
        <v>11.96</v>
      </c>
      <c r="D27" t="s">
        <v>76</v>
      </c>
      <c r="E27">
        <v>2024</v>
      </c>
      <c r="F27" s="86" t="s">
        <v>1293</v>
      </c>
      <c r="G27"/>
      <c r="H27"/>
      <c r="I27" s="279">
        <f>IF(G27="",VLOOKUP(IF(Inflation!$B$1-Ingredients!E27&gt;0,Inflation!$B$1-Ingredients!E27,0),Inflation!$C$5:$D$20,2,FALSE)*C27,-PMT(0.08,G27,VLOOKUP(IF(Inflation!$B$1-Ingredients!E27&gt;0,Inflation!$B$1-Ingredients!E27,0),Inflation!$C$5:$D$20,2,FALSE)*C27,0,1))/MAX(1,H27)</f>
        <v>11.96</v>
      </c>
      <c r="J27" t="str">
        <f t="shared" si="0"/>
        <v>per test</v>
      </c>
      <c r="K27"/>
      <c r="L27" t="str">
        <f>IF(IFERROR(INDEX(InterventionCosts!$A$2:$A$2363,(MATCH(A27,InterventionCosts!$B$2:$B$2363,0))),1)=1,"","Yes")</f>
        <v>Yes</v>
      </c>
      <c r="N27" s="250"/>
      <c r="O27" s="250"/>
      <c r="R27" s="252"/>
    </row>
    <row r="28" spans="1:18" s="63" customFormat="1">
      <c r="A28" s="138" t="s">
        <v>1148</v>
      </c>
      <c r="B28"/>
      <c r="C28" s="84">
        <f>149/10*1.15*exrate</f>
        <v>319.75037364827585</v>
      </c>
      <c r="D28" t="s">
        <v>76</v>
      </c>
      <c r="E28">
        <v>2024</v>
      </c>
      <c r="F28" t="s">
        <v>1158</v>
      </c>
      <c r="G28"/>
      <c r="H28"/>
      <c r="I28" s="279">
        <f>IF(G28="",VLOOKUP(IF(Inflation!$B$1-Ingredients!E28&gt;0,Inflation!$B$1-Ingredients!E28,0),Inflation!$C$5:$D$20,2,FALSE)*C28,-PMT(0.08,G28,VLOOKUP(IF(Inflation!$B$1-Ingredients!E28&gt;0,Inflation!$B$1-Ingredients!E28,0),Inflation!$C$5:$D$20,2,FALSE)*C28,0,1))/MAX(1,H28)</f>
        <v>319.75037364827585</v>
      </c>
      <c r="J28" t="str">
        <f t="shared" si="0"/>
        <v>per test</v>
      </c>
      <c r="K28"/>
      <c r="L28" t="str">
        <f>IF(IFERROR(INDEX(InterventionCosts!$A$2:$A$2363,(MATCH(A28,InterventionCosts!$B$2:$B$2363,0))),1)=1,"","Yes")</f>
        <v>Yes</v>
      </c>
      <c r="N28" s="250"/>
      <c r="O28" s="250"/>
      <c r="R28" s="252"/>
    </row>
    <row r="29" spans="1:18" s="63" customFormat="1">
      <c r="A29" s="138" t="s">
        <v>1152</v>
      </c>
      <c r="B29"/>
      <c r="C29" s="84">
        <v>2.81</v>
      </c>
      <c r="D29" t="s">
        <v>76</v>
      </c>
      <c r="E29">
        <v>2019</v>
      </c>
      <c r="F29" t="s">
        <v>1287</v>
      </c>
      <c r="G29"/>
      <c r="H29"/>
      <c r="I29" s="279">
        <f>IF(G29="",VLOOKUP(IF(Inflation!$B$1-Ingredients!E29&gt;0,Inflation!$B$1-Ingredients!E29,0),Inflation!$C$5:$D$20,2,FALSE)*C29,-PMT(0.08,G29,VLOOKUP(IF(Inflation!$B$1-Ingredients!E29&gt;0,Inflation!$B$1-Ingredients!E29,0),Inflation!$C$5:$D$20,2,FALSE)*C29,0,1))/MAX(1,H29)</f>
        <v>3.608519627003822</v>
      </c>
      <c r="J29" t="str">
        <f t="shared" si="0"/>
        <v>per test</v>
      </c>
      <c r="K29"/>
      <c r="L29" t="str">
        <f>IF(IFERROR(INDEX(InterventionCosts!$A$2:$A$2363,(MATCH(A29,InterventionCosts!$B$2:$B$2363,0))),1)=1,"","Yes")</f>
        <v>Yes</v>
      </c>
      <c r="N29" s="250"/>
      <c r="O29" s="250"/>
      <c r="R29" s="252"/>
    </row>
    <row r="30" spans="1:18" s="63" customFormat="1">
      <c r="A30" s="138" t="s">
        <v>1348</v>
      </c>
      <c r="B30"/>
      <c r="C30" s="84">
        <v>75.144688991935496</v>
      </c>
      <c r="D30" t="s">
        <v>1349</v>
      </c>
      <c r="E30">
        <v>2023</v>
      </c>
      <c r="F30" t="s">
        <v>1350</v>
      </c>
      <c r="G30"/>
      <c r="H30"/>
      <c r="I30" s="279">
        <f>IF(G30="",VLOOKUP(IF(Inflation!$B$1-Ingredients!E30&gt;0,Inflation!$B$1-Ingredients!E30,0),Inflation!$C$5:$D$20,2,FALSE)*C30,-PMT(0.08,G30,VLOOKUP(IF(Inflation!$B$1-Ingredients!E30&gt;0,Inflation!$B$1-Ingredients!E30,0),Inflation!$C$5:$D$20,2,FALSE)*C30,0,1))/MAX(1,H30)</f>
        <v>80.329672532379035</v>
      </c>
      <c r="J30" t="str">
        <f t="shared" si="0"/>
        <v>per client</v>
      </c>
      <c r="K30"/>
      <c r="L30" t="str">
        <f>IF(IFERROR(INDEX(InterventionCosts!$A$2:$A$2363,(MATCH(A30,InterventionCosts!$B$2:$B$2363,0))),1)=1,"","Yes")</f>
        <v>Yes</v>
      </c>
      <c r="N30" s="250"/>
      <c r="O30" s="250"/>
      <c r="R30" s="252"/>
    </row>
    <row r="31" spans="1:18" s="63" customFormat="1">
      <c r="A31" s="138" t="s">
        <v>1351</v>
      </c>
      <c r="B31"/>
      <c r="C31" s="84">
        <v>27</v>
      </c>
      <c r="D31" t="s">
        <v>1349</v>
      </c>
      <c r="E31">
        <v>2023</v>
      </c>
      <c r="F31" t="s">
        <v>1350</v>
      </c>
      <c r="G31"/>
      <c r="H31"/>
      <c r="I31" s="279">
        <f>IF(G31="",VLOOKUP(IF(Inflation!$B$1-Ingredients!E31&gt;0,Inflation!$B$1-Ingredients!E31,0),Inflation!$C$5:$D$20,2,FALSE)*C31,-PMT(0.08,G31,VLOOKUP(IF(Inflation!$B$1-Ingredients!E31&gt;0,Inflation!$B$1-Ingredients!E31,0),Inflation!$C$5:$D$20,2,FALSE)*C31,0,1))/MAX(1,H31)</f>
        <v>28.863</v>
      </c>
      <c r="J31" t="str">
        <f t="shared" ref="J31" si="1">IF(H31="",D31,"REDO")</f>
        <v>per client</v>
      </c>
      <c r="K31"/>
      <c r="L31" t="str">
        <f>IF(IFERROR(INDEX(InterventionCosts!$A$2:$A$2363,(MATCH(A31,InterventionCosts!$B$2:$B$2363,0))),1)=1,"","Yes")</f>
        <v>Yes</v>
      </c>
      <c r="N31" s="250"/>
      <c r="O31" s="250"/>
      <c r="R31" s="252"/>
    </row>
    <row r="32" spans="1:18" s="63" customFormat="1">
      <c r="A32" s="138" t="s">
        <v>1352</v>
      </c>
      <c r="B32"/>
      <c r="C32" s="84">
        <v>1</v>
      </c>
      <c r="D32" t="s">
        <v>1349</v>
      </c>
      <c r="E32">
        <v>2023</v>
      </c>
      <c r="F32" t="s">
        <v>1350</v>
      </c>
      <c r="G32"/>
      <c r="H32"/>
      <c r="I32" s="279">
        <f>IF(G32="",VLOOKUP(IF(Inflation!$B$1-Ingredients!E32&gt;0,Inflation!$B$1-Ingredients!E32,0),Inflation!$C$5:$D$20,2,FALSE)*C32,-PMT(0.08,G32,VLOOKUP(IF(Inflation!$B$1-Ingredients!E32&gt;0,Inflation!$B$1-Ingredients!E32,0),Inflation!$C$5:$D$20,2,FALSE)*C32,0,1))/MAX(1,H32)</f>
        <v>1.069</v>
      </c>
      <c r="J32" t="str">
        <f t="shared" ref="J32" si="2">IF(H32="",D32,"REDO")</f>
        <v>per client</v>
      </c>
      <c r="K32"/>
      <c r="L32" t="str">
        <f>IF(IFERROR(INDEX(InterventionCosts!$A$2:$A$2363,(MATCH(A32,InterventionCosts!$B$2:$B$2363,0))),1)=1,"","Yes")</f>
        <v>Yes</v>
      </c>
      <c r="N32" s="250"/>
      <c r="O32" s="250"/>
      <c r="R32" s="252"/>
    </row>
    <row r="33" spans="1:12">
      <c r="A33" s="77" t="s">
        <v>48</v>
      </c>
      <c r="B33" s="77"/>
      <c r="C33" s="77"/>
      <c r="D33" s="77"/>
      <c r="E33" s="77"/>
      <c r="F33" s="77"/>
      <c r="G33" s="7"/>
      <c r="H33" s="7"/>
      <c r="I33" s="15"/>
      <c r="J33" s="77"/>
      <c r="K33" s="77"/>
      <c r="L33" t="str">
        <f>IF(IFERROR(INDEX(InterventionCosts!$A$2:$A$2363,(MATCH(A33,InterventionCosts!$B$2:$B$2363,0))),1)=1,"","Yes")</f>
        <v/>
      </c>
    </row>
    <row r="34" spans="1:12">
      <c r="A34" t="s">
        <v>50</v>
      </c>
      <c r="C34" s="84">
        <v>408000</v>
      </c>
      <c r="D34" t="s">
        <v>353</v>
      </c>
      <c r="E34">
        <v>2022</v>
      </c>
      <c r="F34" t="s">
        <v>1120</v>
      </c>
      <c r="H34">
        <f>workminutespa</f>
        <v>107040</v>
      </c>
      <c r="I34" s="279">
        <f>IF(G34="",VLOOKUP(IF(Inflation!$B$1-Ingredients!E34&gt;0,Inflation!$B$1-Ingredients!E34,0),Inflation!$C$5:$D$20,2,FALSE)*C34,-PMT(0.08,G34,VLOOKUP(IF(Inflation!$B$1-Ingredients!E34&gt;0,Inflation!$B$1-Ingredients!E34,0),Inflation!$C$5:$D$20,2,FALSE)*C34,0,1))/MAX(1,H34)</f>
        <v>4.3558154708520176</v>
      </c>
      <c r="J34" t="s">
        <v>102</v>
      </c>
      <c r="L34" t="str">
        <f>IF(IFERROR(INDEX(InterventionCosts!$A$2:$A$2363,(MATCH(A34,InterventionCosts!$B$2:$B$2363,0))),1)=1,"","Yes")</f>
        <v>Yes</v>
      </c>
    </row>
    <row r="35" spans="1:12">
      <c r="A35" t="s">
        <v>51</v>
      </c>
      <c r="B35" t="s">
        <v>365</v>
      </c>
      <c r="C35" s="84">
        <f>Staff_costs!$N$96</f>
        <v>4100.2266666666665</v>
      </c>
      <c r="D35" t="s">
        <v>38</v>
      </c>
      <c r="E35">
        <v>2024</v>
      </c>
      <c r="F35" t="str">
        <f>Staff_costs!D96</f>
        <v>https://www.gov.za/news/media-statements/government-activities/minister-thulas-nxesi-announces-national-minimum-wage</v>
      </c>
      <c r="I35" s="279">
        <f>IF(G35="",VLOOKUP(IF(Inflation!$B$1-Ingredients!E35&gt;0,Inflation!$B$1-Ingredients!E35,0),Inflation!$C$5:$D$20,2,FALSE)*C35,-PMT(0.08,G35,VLOOKUP(IF(Inflation!$B$1-Ingredients!E35&gt;0,Inflation!$B$1-Ingredients!E35,0),Inflation!$C$5:$D$20,2,FALSE)*C35,0,1))/MAX(1,H35)</f>
        <v>4100.2266666666665</v>
      </c>
      <c r="J35" t="str">
        <f t="shared" si="0"/>
        <v>per month</v>
      </c>
      <c r="L35" t="str">
        <f>IF(IFERROR(INDEX(InterventionCosts!$A$2:$A$2363,(MATCH(A35,InterventionCosts!$B$2:$B$2363,0))),1)=1,"","Yes")</f>
        <v>Yes</v>
      </c>
    </row>
    <row r="36" spans="1:12">
      <c r="A36" t="s">
        <v>1074</v>
      </c>
      <c r="B36" t="s">
        <v>1075</v>
      </c>
      <c r="C36" s="84">
        <f>Staff_costs!$B$47</f>
        <v>2076.8733333333334</v>
      </c>
      <c r="D36" t="s">
        <v>38</v>
      </c>
      <c r="E36">
        <v>2024</v>
      </c>
      <c r="F36" t="s">
        <v>1073</v>
      </c>
      <c r="I36" s="279">
        <f>IF(G36="",VLOOKUP(IF(Inflation!$B$1-Ingredients!E36&gt;0,Inflation!$B$1-Ingredients!E36,0),Inflation!$C$5:$D$20,2,FALSE)*C36,-PMT(0.08,G36,VLOOKUP(IF(Inflation!$B$1-Ingredients!E36&gt;0,Inflation!$B$1-Ingredients!E36,0),Inflation!$C$5:$D$20,2,FALSE)*C36,0,1))/MAX(1,H36)</f>
        <v>2076.8733333333334</v>
      </c>
      <c r="J36" t="str">
        <f t="shared" si="0"/>
        <v>per month</v>
      </c>
      <c r="L36" t="str">
        <f>IF(IFERROR(INDEX(InterventionCosts!$A$2:$A$2363,(MATCH(A36,InterventionCosts!$B$2:$B$2363,0))),1)=1,"","Yes")</f>
        <v>Yes</v>
      </c>
    </row>
    <row r="37" spans="1:12" s="65" customFormat="1">
      <c r="A37" t="s">
        <v>52</v>
      </c>
      <c r="B37"/>
      <c r="C37" s="84">
        <f>Staff_costs!$C$22</f>
        <v>1.8019482436472347</v>
      </c>
      <c r="D37" t="s">
        <v>102</v>
      </c>
      <c r="E37">
        <v>2024</v>
      </c>
      <c r="F37" t="s">
        <v>1282</v>
      </c>
      <c r="G37"/>
      <c r="H37"/>
      <c r="I37" s="279">
        <f>IF(G37="",VLOOKUP(IF(Inflation!$B$1-Ingredients!E37&gt;0,Inflation!$B$1-Ingredients!E37,0),Inflation!$C$5:$D$20,2,FALSE)*C37,-PMT(0.08,G37,VLOOKUP(IF(Inflation!$B$1-Ingredients!E37&gt;0,Inflation!$B$1-Ingredients!E37,0),Inflation!$C$5:$D$20,2,FALSE)*C37,0,1))/MAX(1,H37)</f>
        <v>1.8019482436472347</v>
      </c>
      <c r="J37" t="str">
        <f t="shared" si="0"/>
        <v>per minute</v>
      </c>
      <c r="K37"/>
      <c r="L37" t="str">
        <f>IF(IFERROR(INDEX(InterventionCosts!$A$2:$A$2363,(MATCH(A37,InterventionCosts!$B$2:$B$2363,0))),1)=1,"","Yes")</f>
        <v>Yes</v>
      </c>
    </row>
    <row r="38" spans="1:12">
      <c r="A38" t="s">
        <v>53</v>
      </c>
      <c r="C38" s="84">
        <f>Staff_costs!$B$44</f>
        <v>4100.2266666666665</v>
      </c>
      <c r="D38" t="s">
        <v>38</v>
      </c>
      <c r="E38">
        <v>2024</v>
      </c>
      <c r="F38" s="82" t="s">
        <v>958</v>
      </c>
      <c r="I38" s="279">
        <f>IF(G38="",VLOOKUP(IF(Inflation!$B$1-Ingredients!E38&gt;0,Inflation!$B$1-Ingredients!E38,0),Inflation!$C$5:$D$20,2,FALSE)*C38,-PMT(0.08,G38,VLOOKUP(IF(Inflation!$B$1-Ingredients!E38&gt;0,Inflation!$B$1-Ingredients!E38,0),Inflation!$C$5:$D$20,2,FALSE)*C38,0,1))/MAX(1,H38)</f>
        <v>4100.2266666666665</v>
      </c>
      <c r="J38" t="str">
        <f t="shared" si="0"/>
        <v>per month</v>
      </c>
      <c r="L38" t="str">
        <f>IF(IFERROR(INDEX(InterventionCosts!$A$2:$A$2363,(MATCH(A38,InterventionCosts!$B$2:$B$2363,0))),1)=1,"","Yes")</f>
        <v>Yes</v>
      </c>
    </row>
    <row r="39" spans="1:12">
      <c r="A39" t="s">
        <v>54</v>
      </c>
      <c r="C39" s="84">
        <f>Staff_costs!$C$23</f>
        <v>1.2444366591928251</v>
      </c>
      <c r="D39" t="s">
        <v>102</v>
      </c>
      <c r="E39">
        <v>2024</v>
      </c>
      <c r="F39" t="s">
        <v>1282</v>
      </c>
      <c r="I39" s="279">
        <f>IF(G39="",VLOOKUP(IF(Inflation!$B$1-Ingredients!E39&gt;0,Inflation!$B$1-Ingredients!E39,0),Inflation!$C$5:$D$20,2,FALSE)*C39,-PMT(0.08,G39,VLOOKUP(IF(Inflation!$B$1-Ingredients!E39&gt;0,Inflation!$B$1-Ingredients!E39,0),Inflation!$C$5:$D$20,2,FALSE)*C39,0,1))/MAX(1,H39)</f>
        <v>1.2444366591928251</v>
      </c>
      <c r="J39" t="str">
        <f t="shared" si="0"/>
        <v>per minute</v>
      </c>
      <c r="L39" t="str">
        <f>IF(IFERROR(INDEX(InterventionCosts!$A$2:$A$2363,(MATCH(A39,InterventionCosts!$B$2:$B$2363,0))),1)=1,"","Yes")</f>
        <v>Yes</v>
      </c>
    </row>
    <row r="40" spans="1:12">
      <c r="A40" t="s">
        <v>55</v>
      </c>
      <c r="C40" s="84">
        <f>Staff_costs!$C$24</f>
        <v>1.8549350710014947</v>
      </c>
      <c r="D40" t="s">
        <v>102</v>
      </c>
      <c r="E40">
        <v>2024</v>
      </c>
      <c r="F40" t="s">
        <v>1282</v>
      </c>
      <c r="I40" s="279">
        <f>IF(G40="",VLOOKUP(IF(Inflation!$B$1-Ingredients!E40&gt;0,Inflation!$B$1-Ingredients!E40,0),Inflation!$C$5:$D$20,2,FALSE)*C40,-PMT(0.08,G40,VLOOKUP(IF(Inflation!$B$1-Ingredients!E40&gt;0,Inflation!$B$1-Ingredients!E40,0),Inflation!$C$5:$D$20,2,FALSE)*C40,0,1))/MAX(1,H40)</f>
        <v>1.8549350710014947</v>
      </c>
      <c r="J40" t="str">
        <f t="shared" si="0"/>
        <v>per minute</v>
      </c>
      <c r="L40" t="str">
        <f>IF(IFERROR(INDEX(InterventionCosts!$A$2:$A$2363,(MATCH(A40,InterventionCosts!$B$2:$B$2363,0))),1)=1,"","Yes")</f>
        <v>Yes</v>
      </c>
    </row>
    <row r="41" spans="1:12">
      <c r="A41" t="s">
        <v>57</v>
      </c>
      <c r="C41" s="316">
        <v>288000</v>
      </c>
      <c r="D41" t="s">
        <v>353</v>
      </c>
      <c r="E41">
        <v>2022</v>
      </c>
      <c r="F41" t="s">
        <v>1121</v>
      </c>
      <c r="H41">
        <f>workminutespa</f>
        <v>107040</v>
      </c>
      <c r="I41" s="279">
        <f>IF(G41="",VLOOKUP(IF(Inflation!$B$1-Ingredients!E41&gt;0,Inflation!$B$1-Ingredients!E41,0),Inflation!$C$5:$D$20,2,FALSE)*C41,-PMT(0.08,G41,VLOOKUP(IF(Inflation!$B$1-Ingredients!E41&gt;0,Inflation!$B$1-Ingredients!E41,0),Inflation!$C$5:$D$20,2,FALSE)*C41,0,1))/MAX(1,H41)</f>
        <v>3.0746932735426005</v>
      </c>
      <c r="J41" t="s">
        <v>102</v>
      </c>
      <c r="L41" t="str">
        <f>IF(IFERROR(INDEX(InterventionCosts!$A$2:$A$2363,(MATCH(A41,InterventionCosts!$B$2:$B$2363,0))),1)=1,"","Yes")</f>
        <v>Yes</v>
      </c>
    </row>
    <row r="42" spans="1:12" s="63" customFormat="1">
      <c r="A42" t="s">
        <v>59</v>
      </c>
      <c r="B42"/>
      <c r="C42" s="316">
        <v>20400</v>
      </c>
      <c r="D42" t="s">
        <v>353</v>
      </c>
      <c r="E42">
        <v>2022</v>
      </c>
      <c r="F42" t="s">
        <v>1121</v>
      </c>
      <c r="G42"/>
      <c r="H42">
        <f>workminutespa</f>
        <v>107040</v>
      </c>
      <c r="I42" s="279">
        <f>IF(G42="",VLOOKUP(IF(Inflation!$B$1-Ingredients!E42&gt;0,Inflation!$B$1-Ingredients!E42,0),Inflation!$C$5:$D$20,2,FALSE)*C42,-PMT(0.08,G42,VLOOKUP(IF(Inflation!$B$1-Ingredients!E42&gt;0,Inflation!$B$1-Ingredients!E42,0),Inflation!$C$5:$D$20,2,FALSE)*C42,0,1))/MAX(1,H42)</f>
        <v>0.21779077354260087</v>
      </c>
      <c r="J42" t="s">
        <v>102</v>
      </c>
      <c r="K42" s="85"/>
      <c r="L42" t="str">
        <f>IF(IFERROR(INDEX(InterventionCosts!$A$2:$A$2363,(MATCH(A42,InterventionCosts!$B$2:$B$2363,0))),1)=1,"","Yes")</f>
        <v>Yes</v>
      </c>
    </row>
    <row r="43" spans="1:12" s="5" customFormat="1">
      <c r="A43" t="s">
        <v>235</v>
      </c>
      <c r="B43"/>
      <c r="C43" s="316">
        <f>Staff_costs!$B$46*12</f>
        <v>1265311.8999999999</v>
      </c>
      <c r="D43" t="s">
        <v>353</v>
      </c>
      <c r="E43">
        <v>2024</v>
      </c>
      <c r="F43" t="s">
        <v>1282</v>
      </c>
      <c r="G43"/>
      <c r="H43">
        <f>workminutespa</f>
        <v>107040</v>
      </c>
      <c r="I43" s="279">
        <f>IF(G43="",VLOOKUP(IF(Inflation!$B$1-Ingredients!E43&gt;0,Inflation!$B$1-Ingredients!E43,0),Inflation!$C$5:$D$20,2,FALSE)*C43,-PMT(0.08,G43,VLOOKUP(IF(Inflation!$B$1-Ingredients!E43&gt;0,Inflation!$B$1-Ingredients!E43,0),Inflation!$C$5:$D$20,2,FALSE)*C43,0,1))/MAX(1,H43)</f>
        <v>11.82092582212257</v>
      </c>
      <c r="J43" t="s">
        <v>102</v>
      </c>
      <c r="K43"/>
      <c r="L43" t="str">
        <f>IF(IFERROR(INDEX(InterventionCosts!$A$2:$A$2363,(MATCH(A43,InterventionCosts!$B$2:$B$2363,0))),1)=1,"","Yes")</f>
        <v>Yes</v>
      </c>
    </row>
    <row r="44" spans="1:12" s="5" customFormat="1">
      <c r="A44" t="s">
        <v>63</v>
      </c>
      <c r="B44"/>
      <c r="C44" s="84">
        <f>Staff_costs!B37*12</f>
        <v>140774</v>
      </c>
      <c r="D44" t="s">
        <v>353</v>
      </c>
      <c r="E44">
        <v>2024</v>
      </c>
      <c r="F44" s="86" t="str">
        <f>Staff_costs!D97</f>
        <v>https://www.psira.co.za/dmdocuments/Illustrative%20Costing%20Guideline%202024-2025%20AREA%201%20and%202.pdf</v>
      </c>
      <c r="G44"/>
      <c r="H44">
        <f>workminutespa</f>
        <v>107040</v>
      </c>
      <c r="I44" s="279">
        <f>IF(G44="",VLOOKUP(IF(Inflation!$B$1-Ingredients!E44&gt;0,Inflation!$B$1-Ingredients!E44,0),Inflation!$C$5:$D$20,2,FALSE)*C44,-PMT(0.08,G44,VLOOKUP(IF(Inflation!$B$1-Ingredients!E44&gt;0,Inflation!$B$1-Ingredients!E44,0),Inflation!$C$5:$D$20,2,FALSE)*C44,0,1))/MAX(1,H44)</f>
        <v>1.3151532137518684</v>
      </c>
      <c r="J44" t="s">
        <v>102</v>
      </c>
      <c r="K44"/>
      <c r="L44" t="str">
        <f>IF(IFERROR(INDEX(InterventionCosts!$A$2:$A$2363,(MATCH(A44,InterventionCosts!$B$2:$B$2363,0))),1)=1,"","Yes")</f>
        <v>Yes</v>
      </c>
    </row>
    <row r="45" spans="1:12" s="5" customFormat="1">
      <c r="A45" t="s">
        <v>64</v>
      </c>
      <c r="B45"/>
      <c r="C45" s="84">
        <f>Staff_costs!C32</f>
        <v>5.3971453662182354</v>
      </c>
      <c r="D45" t="s">
        <v>102</v>
      </c>
      <c r="E45">
        <v>2024</v>
      </c>
      <c r="F45" t="s">
        <v>1282</v>
      </c>
      <c r="G45"/>
      <c r="H45"/>
      <c r="I45" s="279">
        <f>IF(G45="",VLOOKUP(IF(Inflation!$B$1-Ingredients!E45&gt;0,Inflation!$B$1-Ingredients!E45,0),Inflation!$C$5:$D$20,2,FALSE)*C45,-PMT(0.08,G45,VLOOKUP(IF(Inflation!$B$1-Ingredients!E45&gt;0,Inflation!$B$1-Ingredients!E45,0),Inflation!$C$5:$D$20,2,FALSE)*C45,0,1))/MAX(1,H45)</f>
        <v>5.3971453662182354</v>
      </c>
      <c r="J45" t="str">
        <f t="shared" si="0"/>
        <v>per minute</v>
      </c>
      <c r="K45"/>
      <c r="L45" t="str">
        <f>IF(IFERROR(INDEX(InterventionCosts!$A$2:$A$2363,(MATCH(A45,InterventionCosts!$B$2:$B$2363,0))),1)=1,"","Yes")</f>
        <v>Yes</v>
      </c>
    </row>
    <row r="46" spans="1:12" s="5" customFormat="1">
      <c r="A46" t="s">
        <v>65</v>
      </c>
      <c r="B46"/>
      <c r="C46" s="84">
        <f>Staff_costs!C33</f>
        <v>3.2392279521674139</v>
      </c>
      <c r="D46" t="s">
        <v>102</v>
      </c>
      <c r="E46">
        <v>2024</v>
      </c>
      <c r="F46" t="s">
        <v>1282</v>
      </c>
      <c r="G46"/>
      <c r="H46"/>
      <c r="I46" s="279">
        <f>IF(G46="",VLOOKUP(IF(Inflation!$B$1-Ingredients!E46&gt;0,Inflation!$B$1-Ingredients!E46,0),Inflation!$C$5:$D$20,2,FALSE)*C46,-PMT(0.08,G46,VLOOKUP(IF(Inflation!$B$1-Ingredients!E46&gt;0,Inflation!$B$1-Ingredients!E46,0),Inflation!$C$5:$D$20,2,FALSE)*C46,0,1))/MAX(1,H46)</f>
        <v>3.2392279521674139</v>
      </c>
      <c r="J46" t="str">
        <f t="shared" si="0"/>
        <v>per minute</v>
      </c>
      <c r="K46"/>
      <c r="L46" t="str">
        <f>IF(IFERROR(INDEX(InterventionCosts!$A$2:$A$2363,(MATCH(A46,InterventionCosts!$B$2:$B$2363,0))),1)=1,"","Yes")</f>
        <v>Yes</v>
      </c>
    </row>
    <row r="47" spans="1:12" s="5" customFormat="1">
      <c r="A47" t="s">
        <v>1072</v>
      </c>
      <c r="B47"/>
      <c r="C47" s="84">
        <f>Staff_costs!C34</f>
        <v>2.5530496387643251</v>
      </c>
      <c r="D47" t="s">
        <v>102</v>
      </c>
      <c r="E47">
        <v>2024</v>
      </c>
      <c r="F47" t="s">
        <v>1282</v>
      </c>
      <c r="G47"/>
      <c r="H47"/>
      <c r="I47" s="279">
        <f>IF(G47="",VLOOKUP(IF(Inflation!$B$1-Ingredients!E47&gt;0,Inflation!$B$1-Ingredients!E47,0),Inflation!$C$5:$D$20,2,FALSE)*C47,-PMT(0.08,G47,VLOOKUP(IF(Inflation!$B$1-Ingredients!E47&gt;0,Inflation!$B$1-Ingredients!E47,0),Inflation!$C$5:$D$20,2,FALSE)*C47,0,1))/MAX(1,H47)</f>
        <v>2.5530496387643251</v>
      </c>
      <c r="J47" t="str">
        <f t="shared" si="0"/>
        <v>per minute</v>
      </c>
      <c r="K47"/>
      <c r="L47" t="str">
        <f>IF(IFERROR(INDEX(InterventionCosts!$A$2:$A$2363,(MATCH(A47,InterventionCosts!$B$2:$B$2363,0))),1)=1,"","Yes")</f>
        <v>Yes</v>
      </c>
    </row>
    <row r="48" spans="1:12" s="5" customFormat="1">
      <c r="A48" t="s">
        <v>289</v>
      </c>
      <c r="B48"/>
      <c r="C48" s="84">
        <f>Staff_costs!B35</f>
        <v>34361.648333333331</v>
      </c>
      <c r="D48" t="s">
        <v>38</v>
      </c>
      <c r="E48">
        <v>2024</v>
      </c>
      <c r="F48" t="s">
        <v>1282</v>
      </c>
      <c r="G48"/>
      <c r="H48"/>
      <c r="I48" s="279">
        <f>IF(G48="",VLOOKUP(IF(Inflation!$B$1-Ingredients!E48&gt;0,Inflation!$B$1-Ingredients!E48,0),Inflation!$C$5:$D$20,2,FALSE)*C48,-PMT(0.08,G48,VLOOKUP(IF(Inflation!$B$1-Ingredients!E48&gt;0,Inflation!$B$1-Ingredients!E48,0),Inflation!$C$5:$D$20,2,FALSE)*C48,0,1))/MAX(1,H48)</f>
        <v>34361.648333333331</v>
      </c>
      <c r="J48" t="str">
        <f t="shared" si="0"/>
        <v>per month</v>
      </c>
      <c r="K48"/>
      <c r="L48" t="str">
        <f>IF(IFERROR(INDEX(InterventionCosts!$A$2:$A$2363,(MATCH(A48,InterventionCosts!$B$2:$B$2363,0))),1)=1,"","Yes")</f>
        <v>Yes</v>
      </c>
    </row>
    <row r="49" spans="1:12" s="5" customFormat="1">
      <c r="A49" t="s">
        <v>301</v>
      </c>
      <c r="B49"/>
      <c r="C49" s="84">
        <f>Staff_costs!B31</f>
        <v>53200.165000000001</v>
      </c>
      <c r="D49" t="s">
        <v>38</v>
      </c>
      <c r="E49">
        <v>2024</v>
      </c>
      <c r="F49" t="s">
        <v>1282</v>
      </c>
      <c r="G49"/>
      <c r="H49"/>
      <c r="I49" s="279">
        <f>IF(G49="",VLOOKUP(IF(Inflation!$B$1-Ingredients!E49&gt;0,Inflation!$B$1-Ingredients!E49,0),Inflation!$C$5:$D$20,2,FALSE)*C49,-PMT(0.08,G49,VLOOKUP(IF(Inflation!$B$1-Ingredients!E49&gt;0,Inflation!$B$1-Ingredients!E49,0),Inflation!$C$5:$D$20,2,FALSE)*C49,0,1))/MAX(1,H49)</f>
        <v>53200.165000000001</v>
      </c>
      <c r="J49" t="str">
        <f t="shared" si="0"/>
        <v>per month</v>
      </c>
      <c r="K49"/>
      <c r="L49" t="str">
        <f>IF(IFERROR(INDEX(InterventionCosts!$A$2:$A$2363,(MATCH(A49,InterventionCosts!$B$2:$B$2363,0))),1)=1,"","Yes")</f>
        <v>Yes</v>
      </c>
    </row>
    <row r="50" spans="1:12" s="5" customFormat="1">
      <c r="A50" t="s">
        <v>354</v>
      </c>
      <c r="B50"/>
      <c r="C50" s="84">
        <f>Staff_costs!C30</f>
        <v>4.8996605630293981</v>
      </c>
      <c r="D50" t="s">
        <v>102</v>
      </c>
      <c r="E50">
        <v>2024</v>
      </c>
      <c r="F50" t="s">
        <v>1282</v>
      </c>
      <c r="G50"/>
      <c r="H50"/>
      <c r="I50" s="279">
        <f>IF(G50="",VLOOKUP(IF(Inflation!$B$1-Ingredients!E50&gt;0,Inflation!$B$1-Ingredients!E50,0),Inflation!$C$5:$D$20,2,FALSE)*C50,-PMT(0.08,G50,VLOOKUP(IF(Inflation!$B$1-Ingredients!E50&gt;0,Inflation!$B$1-Ingredients!E50,0),Inflation!$C$5:$D$20,2,FALSE)*C50,0,1))/MAX(1,H50)</f>
        <v>4.8996605630293981</v>
      </c>
      <c r="J50" t="str">
        <f t="shared" si="0"/>
        <v>per minute</v>
      </c>
      <c r="K50"/>
      <c r="L50" t="str">
        <f>IF(IFERROR(INDEX(InterventionCosts!$A$2:$A$2363,(MATCH(A50,InterventionCosts!$B$2:$B$2363,0))),1)=1,"","Yes")</f>
        <v>Yes</v>
      </c>
    </row>
    <row r="51" spans="1:12" s="5" customFormat="1">
      <c r="A51" t="s">
        <v>60</v>
      </c>
      <c r="B51"/>
      <c r="C51" s="84">
        <f>Staff_costs!C26</f>
        <v>9.1192801756352768</v>
      </c>
      <c r="D51" t="s">
        <v>102</v>
      </c>
      <c r="E51">
        <v>2024</v>
      </c>
      <c r="F51" t="s">
        <v>1282</v>
      </c>
      <c r="G51"/>
      <c r="H51"/>
      <c r="I51" s="279">
        <f>IF(G51="",VLOOKUP(IF(Inflation!$B$1-Ingredients!E51&gt;0,Inflation!$B$1-Ingredients!E51,0),Inflation!$C$5:$D$20,2,FALSE)*C51,-PMT(0.08,G51,VLOOKUP(IF(Inflation!$B$1-Ingredients!E51&gt;0,Inflation!$B$1-Ingredients!E51,0),Inflation!$C$5:$D$20,2,FALSE)*C51,0,1))/MAX(1,H51)</f>
        <v>9.1192801756352768</v>
      </c>
      <c r="J51" t="str">
        <f t="shared" si="0"/>
        <v>per minute</v>
      </c>
      <c r="K51"/>
      <c r="L51" t="str">
        <f>IF(IFERROR(INDEX(InterventionCosts!$A$2:$A$2363,(MATCH(A51,InterventionCosts!$B$2:$B$2363,0))),1)=1,"","Yes")</f>
        <v>Yes</v>
      </c>
    </row>
    <row r="52" spans="1:12" s="5" customFormat="1">
      <c r="A52" t="s">
        <v>1077</v>
      </c>
      <c r="B52"/>
      <c r="C52" s="84">
        <f>Staff_costs!C27</f>
        <v>2.1347303967364222</v>
      </c>
      <c r="D52" t="s">
        <v>102</v>
      </c>
      <c r="E52">
        <v>2024</v>
      </c>
      <c r="F52" t="s">
        <v>1282</v>
      </c>
      <c r="G52"/>
      <c r="H52"/>
      <c r="I52" s="279">
        <f>IF(G52="",VLOOKUP(IF(Inflation!$B$1-Ingredients!E52&gt;0,Inflation!$B$1-Ingredients!E52,0),Inflation!$C$5:$D$20,2,FALSE)*C52,-PMT(0.08,G52,VLOOKUP(IF(Inflation!$B$1-Ingredients!E52&gt;0,Inflation!$B$1-Ingredients!E52,0),Inflation!$C$5:$D$20,2,FALSE)*C52,0,1))/MAX(1,H52)</f>
        <v>2.1347303967364222</v>
      </c>
      <c r="J52" t="str">
        <f t="shared" si="0"/>
        <v>per minute</v>
      </c>
      <c r="K52"/>
      <c r="L52" t="str">
        <f>IF(IFERROR(INDEX(InterventionCosts!$A$2:$A$2363,(MATCH(A52,InterventionCosts!$B$2:$B$2363,0))),1)=1,"","Yes")</f>
        <v>Yes</v>
      </c>
    </row>
    <row r="53" spans="1:12" s="5" customFormat="1">
      <c r="A53" t="s">
        <v>1078</v>
      </c>
      <c r="B53"/>
      <c r="C53" s="84">
        <f>Staff_costs!C28</f>
        <v>13.503224277528648</v>
      </c>
      <c r="D53" t="s">
        <v>102</v>
      </c>
      <c r="E53">
        <v>2024</v>
      </c>
      <c r="F53" t="s">
        <v>1282</v>
      </c>
      <c r="G53"/>
      <c r="H53"/>
      <c r="I53" s="279">
        <f>IF(G53="",VLOOKUP(IF(Inflation!$B$1-Ingredients!E53&gt;0,Inflation!$B$1-Ingredients!E53,0),Inflation!$C$5:$D$20,2,FALSE)*C53,-PMT(0.08,G53,VLOOKUP(IF(Inflation!$B$1-Ingredients!E53&gt;0,Inflation!$B$1-Ingredients!E53,0),Inflation!$C$5:$D$20,2,FALSE)*C53,0,1))/MAX(1,H53)</f>
        <v>13.503224277528648</v>
      </c>
      <c r="J53" t="str">
        <f t="shared" si="0"/>
        <v>per minute</v>
      </c>
      <c r="K53"/>
      <c r="L53" t="str">
        <f>IF(IFERROR(INDEX(InterventionCosts!$A$2:$A$2363,(MATCH(A53,InterventionCosts!$B$2:$B$2363,0))),1)=1,"","Yes")</f>
        <v>Yes</v>
      </c>
    </row>
    <row r="54" spans="1:12">
      <c r="A54" t="s">
        <v>287</v>
      </c>
      <c r="C54" s="84">
        <f>Staff_costs!B38</f>
        <v>21800.311666666668</v>
      </c>
      <c r="D54" t="s">
        <v>38</v>
      </c>
      <c r="E54">
        <v>2024</v>
      </c>
      <c r="F54" t="s">
        <v>1282</v>
      </c>
      <c r="I54" s="279">
        <f>IF(G54="",VLOOKUP(IF(Inflation!$B$1-Ingredients!E54&gt;0,Inflation!$B$1-Ingredients!E54,0),Inflation!$C$5:$D$20,2,FALSE)*C54,-PMT(0.08,G54,VLOOKUP(IF(Inflation!$B$1-Ingredients!E54&gt;0,Inflation!$B$1-Ingredients!E54,0),Inflation!$C$5:$D$20,2,FALSE)*C54,0,1))/MAX(1,H54)</f>
        <v>21800.311666666668</v>
      </c>
      <c r="J54" t="str">
        <f t="shared" si="0"/>
        <v>per month</v>
      </c>
      <c r="L54" t="str">
        <f>IF(IFERROR(INDEX(InterventionCosts!$A$2:$A$2363,(MATCH(A54,InterventionCosts!$B$2:$B$2363,0))),1)=1,"","Yes")</f>
        <v>Yes</v>
      </c>
    </row>
    <row r="55" spans="1:12" s="65" customFormat="1">
      <c r="A55" t="s">
        <v>288</v>
      </c>
      <c r="B55"/>
      <c r="C55" s="84">
        <f>Staff_costs!B39</f>
        <v>62408.151666666665</v>
      </c>
      <c r="D55" t="s">
        <v>38</v>
      </c>
      <c r="E55">
        <v>2024</v>
      </c>
      <c r="F55" t="s">
        <v>1282</v>
      </c>
      <c r="G55"/>
      <c r="H55"/>
      <c r="I55" s="279">
        <f>IF(G55="",VLOOKUP(IF(Inflation!$B$1-Ingredients!E55&gt;0,Inflation!$B$1-Ingredients!E55,0),Inflation!$C$5:$D$20,2,FALSE)*C55,-PMT(0.08,G55,VLOOKUP(IF(Inflation!$B$1-Ingredients!E55&gt;0,Inflation!$B$1-Ingredients!E55,0),Inflation!$C$5:$D$20,2,FALSE)*C55,0,1))/MAX(1,H55)</f>
        <v>62408.151666666665</v>
      </c>
      <c r="J55" t="str">
        <f t="shared" si="0"/>
        <v>per month</v>
      </c>
      <c r="K55"/>
      <c r="L55" t="str">
        <f>IF(IFERROR(INDEX(InterventionCosts!$A$2:$A$2363,(MATCH(A55,InterventionCosts!$B$2:$B$2363,0))),1)=1,"","Yes")</f>
        <v>Yes</v>
      </c>
    </row>
    <row r="56" spans="1:12" s="65" customFormat="1" ht="16">
      <c r="A56" s="47" t="s">
        <v>1070</v>
      </c>
      <c r="B56"/>
      <c r="C56" s="84">
        <f>Staff_costs!C42</f>
        <v>2.443981128550075</v>
      </c>
      <c r="D56" t="s">
        <v>102</v>
      </c>
      <c r="E56">
        <v>2024</v>
      </c>
      <c r="F56" t="s">
        <v>1282</v>
      </c>
      <c r="G56"/>
      <c r="H56"/>
      <c r="I56" s="279">
        <f>IF(G56="",VLOOKUP(IF(Inflation!$B$1-Ingredients!E56&gt;0,Inflation!$B$1-Ingredients!E56,0),Inflation!$C$5:$D$20,2,FALSE)*C56,-PMT(0.08,G56,VLOOKUP(IF(Inflation!$B$1-Ingredients!E56&gt;0,Inflation!$B$1-Ingredients!E56,0),Inflation!$C$5:$D$20,2,FALSE)*C56,0,1))/MAX(1,H56)</f>
        <v>2.443981128550075</v>
      </c>
      <c r="J56" t="str">
        <f t="shared" si="0"/>
        <v>per minute</v>
      </c>
      <c r="K56"/>
      <c r="L56" t="str">
        <f>IF(IFERROR(INDEX(InterventionCosts!$A$2:$A$2363,(MATCH(A56,InterventionCosts!$B$2:$B$2363,0))),1)=1,"","Yes")</f>
        <v>Yes</v>
      </c>
    </row>
    <row r="57" spans="1:12" s="64" customFormat="1">
      <c r="A57" t="s">
        <v>290</v>
      </c>
      <c r="B57"/>
      <c r="C57" s="84">
        <f>Staff_costs!B40</f>
        <v>25449.108333333334</v>
      </c>
      <c r="D57" t="s">
        <v>38</v>
      </c>
      <c r="E57">
        <v>2024</v>
      </c>
      <c r="F57" t="s">
        <v>1282</v>
      </c>
      <c r="G57"/>
      <c r="H57"/>
      <c r="I57" s="279">
        <f>IF(G57="",VLOOKUP(IF(Inflation!$B$1-Ingredients!E57&gt;0,Inflation!$B$1-Ingredients!E57,0),Inflation!$C$5:$D$20,2,FALSE)*C57,-PMT(0.08,G57,VLOOKUP(IF(Inflation!$B$1-Ingredients!E57&gt;0,Inflation!$B$1-Ingredients!E57,0),Inflation!$C$5:$D$20,2,FALSE)*C57,0,1))/MAX(1,H57)</f>
        <v>25449.108333333334</v>
      </c>
      <c r="J57" t="str">
        <f t="shared" si="0"/>
        <v>per month</v>
      </c>
      <c r="K57"/>
      <c r="L57" t="str">
        <f>IF(IFERROR(INDEX(InterventionCosts!$A$2:$A$2363,(MATCH(A57,InterventionCosts!$B$2:$B$2363,0))),1)=1,"","Yes")</f>
        <v>Yes</v>
      </c>
    </row>
    <row r="58" spans="1:12" s="8" customFormat="1">
      <c r="A58" t="s">
        <v>56</v>
      </c>
      <c r="B58"/>
      <c r="C58" s="84">
        <f>Staff_costs!B41</f>
        <v>23181.75</v>
      </c>
      <c r="D58" t="s">
        <v>38</v>
      </c>
      <c r="E58">
        <v>2024</v>
      </c>
      <c r="F58" t="s">
        <v>1282</v>
      </c>
      <c r="G58"/>
      <c r="H58"/>
      <c r="I58" s="279">
        <f>IF(G58="",VLOOKUP(IF(Inflation!$B$1-Ingredients!E58&gt;0,Inflation!$B$1-Ingredients!E58,0),Inflation!$C$5:$D$20,2,FALSE)*C58,-PMT(0.08,G58,VLOOKUP(IF(Inflation!$B$1-Ingredients!E58&gt;0,Inflation!$B$1-Ingredients!E58,0),Inflation!$C$5:$D$20,2,FALSE)*C58,0,1))/MAX(1,H58)</f>
        <v>23181.75</v>
      </c>
      <c r="J58" t="str">
        <f t="shared" si="0"/>
        <v>per month</v>
      </c>
      <c r="K58"/>
      <c r="L58" t="str">
        <f>IF(IFERROR(INDEX(InterventionCosts!$A$2:$A$2363,(MATCH(A58,InterventionCosts!$B$2:$B$2363,0))),1)=1,"","Yes")</f>
        <v>Yes</v>
      </c>
    </row>
    <row r="59" spans="1:12">
      <c r="A59" t="s">
        <v>425</v>
      </c>
      <c r="B59" t="s">
        <v>950</v>
      </c>
      <c r="C59" s="84">
        <f>C38</f>
        <v>4100.2266666666665</v>
      </c>
      <c r="D59" t="s">
        <v>38</v>
      </c>
      <c r="E59">
        <v>2024</v>
      </c>
      <c r="F59" t="str">
        <f>F38</f>
        <v>https://www.health.gov.za/wp-content/uploads/2022/07/Health-Department-welcomes-Bargaining-Council-resolution-to-improve-work-conditions-of-CHWs-27-July-2022.pdf</v>
      </c>
      <c r="I59" s="279">
        <f>IF(G59="",VLOOKUP(IF(Inflation!$B$1-Ingredients!E59&gt;0,Inflation!$B$1-Ingredients!E59,0),Inflation!$C$5:$D$20,2,FALSE)*C59,-PMT(0.08,G59,VLOOKUP(IF(Inflation!$B$1-Ingredients!E59&gt;0,Inflation!$B$1-Ingredients!E59,0),Inflation!$C$5:$D$20,2,FALSE)*C59,0,1))/MAX(1,H59)</f>
        <v>4100.2266666666665</v>
      </c>
      <c r="J59" t="str">
        <f t="shared" si="0"/>
        <v>per month</v>
      </c>
      <c r="L59" t="str">
        <f>IF(IFERROR(INDEX(InterventionCosts!$A$2:$A$2363,(MATCH(A59,InterventionCosts!$B$2:$B$2363,0))),1)=1,"","Yes")</f>
        <v>Yes</v>
      </c>
    </row>
    <row r="60" spans="1:12">
      <c r="A60" t="s">
        <v>942</v>
      </c>
      <c r="B60" t="s">
        <v>950</v>
      </c>
      <c r="C60" s="84">
        <f>C38</f>
        <v>4100.2266666666665</v>
      </c>
      <c r="D60" t="str">
        <f>D38</f>
        <v>per month</v>
      </c>
      <c r="E60">
        <v>2024</v>
      </c>
      <c r="F60" t="str">
        <f>F38</f>
        <v>https://www.health.gov.za/wp-content/uploads/2022/07/Health-Department-welcomes-Bargaining-Council-resolution-to-improve-work-conditions-of-CHWs-27-July-2022.pdf</v>
      </c>
      <c r="I60" s="279">
        <f>IF(G60="",VLOOKUP(IF(Inflation!$B$1-Ingredients!E60&gt;0,Inflation!$B$1-Ingredients!E60,0),Inflation!$C$5:$D$20,2,FALSE)*C60,-PMT(0.08,G60,VLOOKUP(IF(Inflation!$B$1-Ingredients!E60&gt;0,Inflation!$B$1-Ingredients!E60,0),Inflation!$C$5:$D$20,2,FALSE)*C60,0,1))/MAX(1,H60)</f>
        <v>4100.2266666666665</v>
      </c>
      <c r="J60" t="str">
        <f t="shared" si="0"/>
        <v>per month</v>
      </c>
      <c r="L60" t="str">
        <f>IF(IFERROR(INDEX(InterventionCosts!$A$2:$A$2363,(MATCH(A60,InterventionCosts!$B$2:$B$2363,0))),1)=1,"","Yes")</f>
        <v>Yes</v>
      </c>
    </row>
    <row r="61" spans="1:12">
      <c r="A61" t="s">
        <v>943</v>
      </c>
      <c r="B61" t="s">
        <v>1104</v>
      </c>
      <c r="C61" s="84">
        <f>Staff_costs!$B$43*12</f>
        <v>261603.74000000002</v>
      </c>
      <c r="D61" t="s">
        <v>920</v>
      </c>
      <c r="E61">
        <v>2024</v>
      </c>
      <c r="F61" t="s">
        <v>1282</v>
      </c>
      <c r="I61" s="279">
        <f>IF(G61="",VLOOKUP(IF(Inflation!$B$1-Ingredients!E61&gt;0,Inflation!$B$1-Ingredients!E61,0),Inflation!$C$5:$D$20,2,FALSE)*C61,-PMT(0.08,G61,VLOOKUP(IF(Inflation!$B$1-Ingredients!E61&gt;0,Inflation!$B$1-Ingredients!E61,0),Inflation!$C$5:$D$20,2,FALSE)*C61,0,1))/MAX(1,H61)</f>
        <v>261603.74000000002</v>
      </c>
      <c r="J61" t="str">
        <f t="shared" si="0"/>
        <v>per year</v>
      </c>
      <c r="L61" t="str">
        <f>IF(IFERROR(INDEX(InterventionCosts!$A$2:$A$2363,(MATCH(A61,InterventionCosts!$B$2:$B$2363,0))),1)=1,"","Yes")</f>
        <v>Yes</v>
      </c>
    </row>
    <row r="62" spans="1:12">
      <c r="A62" t="s">
        <v>944</v>
      </c>
      <c r="C62" s="84">
        <f>Staff_costs!$B$48*12</f>
        <v>165035</v>
      </c>
      <c r="D62" t="s">
        <v>920</v>
      </c>
      <c r="E62">
        <v>2024</v>
      </c>
      <c r="F62" t="s">
        <v>1282</v>
      </c>
      <c r="I62" s="279">
        <f>IF(G62="",VLOOKUP(IF(Inflation!$B$1-Ingredients!E62&gt;0,Inflation!$B$1-Ingredients!E62,0),Inflation!$C$5:$D$20,2,FALSE)*C62,-PMT(0.08,G62,VLOOKUP(IF(Inflation!$B$1-Ingredients!E62&gt;0,Inflation!$B$1-Ingredients!E62,0),Inflation!$C$5:$D$20,2,FALSE)*C62,0,1))/MAX(1,H62)</f>
        <v>165035</v>
      </c>
      <c r="J62" t="str">
        <f t="shared" si="0"/>
        <v>per year</v>
      </c>
      <c r="L62" t="str">
        <f>IF(IFERROR(INDEX(InterventionCosts!$A$2:$A$2363,(MATCH(A62,InterventionCosts!$B$2:$B$2363,0))),1)=1,"","Yes")</f>
        <v>Yes</v>
      </c>
    </row>
    <row r="63" spans="1:12">
      <c r="A63" t="s">
        <v>945</v>
      </c>
      <c r="C63" s="84">
        <f>Staff_costs!$B$32*12</f>
        <v>577710.43999999994</v>
      </c>
      <c r="D63" t="s">
        <v>920</v>
      </c>
      <c r="E63">
        <v>2024</v>
      </c>
      <c r="F63" t="s">
        <v>1282</v>
      </c>
      <c r="I63" s="279">
        <f>IF(G63="",VLOOKUP(IF(Inflation!$B$1-Ingredients!E63&gt;0,Inflation!$B$1-Ingredients!E63,0),Inflation!$C$5:$D$20,2,FALSE)*C63,-PMT(0.08,G63,VLOOKUP(IF(Inflation!$B$1-Ingredients!E63&gt;0,Inflation!$B$1-Ingredients!E63,0),Inflation!$C$5:$D$20,2,FALSE)*C63,0,1))/MAX(1,H63)</f>
        <v>577710.43999999994</v>
      </c>
      <c r="J63" t="str">
        <f t="shared" si="0"/>
        <v>per year</v>
      </c>
      <c r="L63" t="str">
        <f>IF(IFERROR(INDEX(InterventionCosts!$A$2:$A$2363,(MATCH(A63,InterventionCosts!$B$2:$B$2363,0))),1)=1,"","Yes")</f>
        <v>Yes</v>
      </c>
    </row>
    <row r="64" spans="1:12">
      <c r="A64" t="s">
        <v>946</v>
      </c>
      <c r="C64" s="84">
        <f>Staff_costs!$B$42*12</f>
        <v>261603.74000000002</v>
      </c>
      <c r="D64" t="s">
        <v>920</v>
      </c>
      <c r="E64">
        <v>2024</v>
      </c>
      <c r="F64" t="s">
        <v>1282</v>
      </c>
      <c r="I64" s="279">
        <f>IF(G64="",VLOOKUP(IF(Inflation!$B$1-Ingredients!E64&gt;0,Inflation!$B$1-Ingredients!E64,0),Inflation!$C$5:$D$20,2,FALSE)*C64,-PMT(0.08,G64,VLOOKUP(IF(Inflation!$B$1-Ingredients!E64&gt;0,Inflation!$B$1-Ingredients!E64,0),Inflation!$C$5:$D$20,2,FALSE)*C64,0,1))/MAX(1,H64)</f>
        <v>261603.74000000002</v>
      </c>
      <c r="J64" t="str">
        <f t="shared" si="0"/>
        <v>per year</v>
      </c>
      <c r="L64" t="str">
        <f>IF(IFERROR(INDEX(InterventionCosts!$A$2:$A$2363,(MATCH(A64,InterventionCosts!$B$2:$B$2363,0))),1)=1,"","Yes")</f>
        <v>Yes</v>
      </c>
    </row>
    <row r="65" spans="1:20">
      <c r="A65" t="s">
        <v>947</v>
      </c>
      <c r="B65" t="s">
        <v>950</v>
      </c>
      <c r="C65" s="84">
        <f>C38</f>
        <v>4100.2266666666665</v>
      </c>
      <c r="D65" t="str">
        <f>D38</f>
        <v>per month</v>
      </c>
      <c r="E65">
        <f>E38</f>
        <v>2024</v>
      </c>
      <c r="F65" t="str">
        <f>F38</f>
        <v>https://www.health.gov.za/wp-content/uploads/2022/07/Health-Department-welcomes-Bargaining-Council-resolution-to-improve-work-conditions-of-CHWs-27-July-2022.pdf</v>
      </c>
      <c r="I65" s="279">
        <f>IF(G65="",VLOOKUP(IF(Inflation!$B$1-Ingredients!E65&gt;0,Inflation!$B$1-Ingredients!E65,0),Inflation!$C$5:$D$20,2,FALSE)*C65,-PMT(0.08,G65,VLOOKUP(IF(Inflation!$B$1-Ingredients!E65&gt;0,Inflation!$B$1-Ingredients!E65,0),Inflation!$C$5:$D$20,2,FALSE)*C65,0,1))/MAX(1,H65)</f>
        <v>4100.2266666666665</v>
      </c>
      <c r="J65" t="str">
        <f t="shared" si="0"/>
        <v>per month</v>
      </c>
      <c r="L65" t="str">
        <f>IF(IFERROR(INDEX(InterventionCosts!$A$2:$A$2363,(MATCH(A65,InterventionCosts!$B$2:$B$2363,0))),1)=1,"","Yes")</f>
        <v>Yes</v>
      </c>
    </row>
    <row r="66" spans="1:20">
      <c r="A66" t="s">
        <v>948</v>
      </c>
      <c r="B66" t="s">
        <v>950</v>
      </c>
      <c r="C66" s="84">
        <f>C38</f>
        <v>4100.2266666666665</v>
      </c>
      <c r="D66" t="str">
        <f>D38</f>
        <v>per month</v>
      </c>
      <c r="E66">
        <f>E38</f>
        <v>2024</v>
      </c>
      <c r="F66" t="str">
        <f>F38</f>
        <v>https://www.health.gov.za/wp-content/uploads/2022/07/Health-Department-welcomes-Bargaining-Council-resolution-to-improve-work-conditions-of-CHWs-27-July-2022.pdf</v>
      </c>
      <c r="I66" s="279">
        <f>IF(G66="",VLOOKUP(IF(Inflation!$B$1-Ingredients!E66&gt;0,Inflation!$B$1-Ingredients!E66,0),Inflation!$C$5:$D$20,2,FALSE)*C66,-PMT(0.08,G66,VLOOKUP(IF(Inflation!$B$1-Ingredients!E66&gt;0,Inflation!$B$1-Ingredients!E66,0),Inflation!$C$5:$D$20,2,FALSE)*C66,0,1))/MAX(1,H66)</f>
        <v>4100.2266666666665</v>
      </c>
      <c r="J66" t="str">
        <f t="shared" si="0"/>
        <v>per month</v>
      </c>
      <c r="L66" t="str">
        <f>IF(IFERROR(INDEX(InterventionCosts!$A$2:$A$2363,(MATCH(A66,InterventionCosts!$B$2:$B$2363,0))),1)=1,"","Yes")</f>
        <v>Yes</v>
      </c>
    </row>
    <row r="67" spans="1:20">
      <c r="A67" t="s">
        <v>949</v>
      </c>
      <c r="C67" s="84">
        <f>Staff_costs!$B$45*12</f>
        <v>1071765.8199999998</v>
      </c>
      <c r="D67" t="s">
        <v>920</v>
      </c>
      <c r="E67">
        <f>E39</f>
        <v>2024</v>
      </c>
      <c r="F67" t="s">
        <v>1282</v>
      </c>
      <c r="I67" s="279">
        <f>IF(G67="",VLOOKUP(IF(Inflation!$B$1-Ingredients!E67&gt;0,Inflation!$B$1-Ingredients!E67,0),Inflation!$C$5:$D$20,2,FALSE)*C67,-PMT(0.08,G67,VLOOKUP(IF(Inflation!$B$1-Ingredients!E67&gt;0,Inflation!$B$1-Ingredients!E67,0),Inflation!$C$5:$D$20,2,FALSE)*C67,0,1))/MAX(1,H67)</f>
        <v>1071765.8199999998</v>
      </c>
      <c r="J67" t="str">
        <f t="shared" si="0"/>
        <v>per year</v>
      </c>
      <c r="L67" t="str">
        <f>IF(IFERROR(INDEX(InterventionCosts!$A$2:$A$2363,(MATCH(A67,InterventionCosts!$B$2:$B$2363,0))),1)=1,"","Yes")</f>
        <v>Yes</v>
      </c>
    </row>
    <row r="68" spans="1:20">
      <c r="A68" s="274" t="s">
        <v>1156</v>
      </c>
      <c r="C68" s="275">
        <v>4376</v>
      </c>
      <c r="D68" t="s">
        <v>1161</v>
      </c>
      <c r="E68">
        <v>2019</v>
      </c>
      <c r="F68" s="274" t="s">
        <v>1287</v>
      </c>
      <c r="I68" s="279">
        <f>IF(G68="",VLOOKUP(IF(Inflation!$B$1-Ingredients!E68&gt;0,Inflation!$B$1-Ingredients!E68,0),Inflation!$C$5:$D$20,2,FALSE)*C68,-PMT(0.08,G68,VLOOKUP(IF(Inflation!$B$1-Ingredients!E68&gt;0,Inflation!$B$1-Ingredients!E68,0),Inflation!$C$5:$D$20,2,FALSE)*C68,0,1))/MAX(1,H68)</f>
        <v>5619.5309209141369</v>
      </c>
      <c r="J68" t="str">
        <f t="shared" si="0"/>
        <v>per setup</v>
      </c>
      <c r="L68" t="str">
        <f>IF(IFERROR(INDEX(InterventionCosts!$A$2:$A$2363,(MATCH(A68,InterventionCosts!$B$2:$B$2363,0))),1)=1,"","Yes")</f>
        <v>Yes</v>
      </c>
    </row>
    <row r="69" spans="1:20">
      <c r="A69" s="274" t="s">
        <v>1150</v>
      </c>
      <c r="C69" s="275">
        <v>4431</v>
      </c>
      <c r="D69" t="s">
        <v>1161</v>
      </c>
      <c r="E69">
        <v>2019</v>
      </c>
      <c r="F69" s="274" t="s">
        <v>1287</v>
      </c>
      <c r="I69" s="279">
        <f>IF(G69="",VLOOKUP(IF(Inflation!$B$1-Ingredients!E69&gt;0,Inflation!$B$1-Ingredients!E69,0),Inflation!$C$5:$D$20,2,FALSE)*C69,-PMT(0.08,G69,VLOOKUP(IF(Inflation!$B$1-Ingredients!E69&gt;0,Inflation!$B$1-Ingredients!E69,0),Inflation!$C$5:$D$20,2,FALSE)*C69,0,1))/MAX(1,H69)</f>
        <v>5690.1603086312934</v>
      </c>
      <c r="J69" t="str">
        <f t="shared" si="0"/>
        <v>per setup</v>
      </c>
      <c r="L69" t="str">
        <f>IF(IFERROR(INDEX(InterventionCosts!$A$2:$A$2363,(MATCH(A69,InterventionCosts!$B$2:$B$2363,0))),1)=1,"","Yes")</f>
        <v>Yes</v>
      </c>
    </row>
    <row r="70" spans="1:20">
      <c r="A70" s="274" t="s">
        <v>1343</v>
      </c>
      <c r="C70" s="275">
        <f>Staff_costs!$B$49</f>
        <v>4100.2266666666665</v>
      </c>
      <c r="D70" t="s">
        <v>38</v>
      </c>
      <c r="E70">
        <v>2024</v>
      </c>
      <c r="F70" t="s">
        <v>1282</v>
      </c>
      <c r="I70" s="279">
        <f>IF(G70="",VLOOKUP(IF(Inflation!$B$1-Ingredients!E70&gt;0,Inflation!$B$1-Ingredients!E70,0),Inflation!$C$5:$D$20,2,FALSE)*C70,-PMT(0.08,G70,VLOOKUP(IF(Inflation!$B$1-Ingredients!E70&gt;0,Inflation!$B$1-Ingredients!E70,0),Inflation!$C$5:$D$20,2,FALSE)*C70,0,1))/MAX(1,H70)</f>
        <v>4100.2266666666665</v>
      </c>
      <c r="J70" t="str">
        <f t="shared" si="0"/>
        <v>per month</v>
      </c>
      <c r="L70" t="str">
        <f>IF(IFERROR(INDEX(InterventionCosts!$A$2:$A$2363,(MATCH(A70,InterventionCosts!$B$2:$B$2363,0))),1)=1,"","Yes")</f>
        <v>Yes</v>
      </c>
    </row>
    <row r="71" spans="1:20" s="63" customFormat="1">
      <c r="A71" s="77" t="s">
        <v>67</v>
      </c>
      <c r="B71" s="77"/>
      <c r="C71" s="9"/>
      <c r="D71" s="77"/>
      <c r="E71" s="77"/>
      <c r="F71" s="77"/>
      <c r="G71" s="77"/>
      <c r="H71" s="77"/>
      <c r="I71" s="15"/>
      <c r="J71" s="77"/>
      <c r="K71" s="77"/>
      <c r="L71" t="str">
        <f>IF(IFERROR(INDEX(InterventionCosts!$A$2:$A$2363,(MATCH(A71,InterventionCosts!$B$2:$B$2363,0))),1)=1,"","Yes")</f>
        <v/>
      </c>
    </row>
    <row r="72" spans="1:20" s="65" customFormat="1">
      <c r="A72" t="s">
        <v>68</v>
      </c>
      <c r="B72" t="s">
        <v>227</v>
      </c>
      <c r="C72" s="84">
        <v>549</v>
      </c>
      <c r="D72" t="s">
        <v>69</v>
      </c>
      <c r="E72">
        <v>2024</v>
      </c>
      <c r="F72" s="82" t="s">
        <v>1288</v>
      </c>
      <c r="G72">
        <v>5</v>
      </c>
      <c r="H72">
        <v>12</v>
      </c>
      <c r="I72" s="279">
        <f>IF(G72="",VLOOKUP(IF(Inflation!$B$1-Ingredients!E72&gt;0,Inflation!$B$1-Ingredients!E72,0),Inflation!$C$5:$D$20,2,FALSE)*C72,-PMT(0.08,G72,VLOOKUP(IF(Inflation!$B$1-Ingredients!E72&gt;0,Inflation!$B$1-Ingredients!E72,0),Inflation!$C$5:$D$20,2,FALSE)*C72,0,1))/MAX(1,H72)</f>
        <v>10.609613700400716</v>
      </c>
      <c r="J72" t="s">
        <v>38</v>
      </c>
      <c r="K72"/>
      <c r="L72" t="str">
        <f>IF(IFERROR(INDEX(InterventionCosts!$A$2:$A$2363,(MATCH(A72,InterventionCosts!$B$2:$B$2363,0))),1)=1,"","Yes")</f>
        <v>Yes</v>
      </c>
    </row>
    <row r="73" spans="1:20" s="65" customFormat="1">
      <c r="A73" t="s">
        <v>1353</v>
      </c>
      <c r="B73"/>
      <c r="C73" s="84">
        <v>292</v>
      </c>
      <c r="D73" t="s">
        <v>1349</v>
      </c>
      <c r="E73">
        <v>2023</v>
      </c>
      <c r="F73" t="s">
        <v>1350</v>
      </c>
      <c r="G73"/>
      <c r="H73"/>
      <c r="I73" s="279">
        <f>IF(G73="",VLOOKUP(IF(Inflation!$B$1-Ingredients!E73&gt;0,Inflation!$B$1-Ingredients!E73,0),Inflation!$C$5:$D$20,2,FALSE)*C73,-PMT(0.08,G73,VLOOKUP(IF(Inflation!$B$1-Ingredients!E73&gt;0,Inflation!$B$1-Ingredients!E73,0),Inflation!$C$5:$D$20,2,FALSE)*C73,0,1))/MAX(1,H73)</f>
        <v>312.14799999999997</v>
      </c>
      <c r="J73" t="str">
        <f t="shared" ref="J73:J138" si="3">IF(H73="",D73,"REDO")</f>
        <v>per client</v>
      </c>
      <c r="K73"/>
      <c r="L73" t="str">
        <f>IF(IFERROR(INDEX(InterventionCosts!$A$2:$A$2363,(MATCH(A73,InterventionCosts!$B$2:$B$2363,0))),1)=1,"","Yes")</f>
        <v>Yes</v>
      </c>
    </row>
    <row r="74" spans="1:20" s="65" customFormat="1">
      <c r="A74" t="s">
        <v>308</v>
      </c>
      <c r="B74" t="s">
        <v>309</v>
      </c>
      <c r="C74" s="84">
        <f>1711</f>
        <v>1711</v>
      </c>
      <c r="D74" t="s">
        <v>38</v>
      </c>
      <c r="E74">
        <v>2016</v>
      </c>
      <c r="F74" s="86" t="s">
        <v>1564</v>
      </c>
      <c r="G74">
        <v>1</v>
      </c>
      <c r="H74"/>
      <c r="I74" s="279">
        <f>IF(G74="",VLOOKUP(IF(Inflation!$B$1-Ingredients!E74&gt;0,Inflation!$B$1-Ingredients!E74,0),Inflation!$C$5:$D$20,2,FALSE)*C74,-PMT(0.08,G74,VLOOKUP(IF(Inflation!$B$1-Ingredients!E74&gt;0,Inflation!$B$1-Ingredients!E74,0),Inflation!$C$5:$D$20,2,FALSE)*C74,0,1))/MAX(1,H74)</f>
        <v>2577.4452112671624</v>
      </c>
      <c r="J74" t="str">
        <f t="shared" si="3"/>
        <v>per month</v>
      </c>
      <c r="K74"/>
      <c r="L74" t="str">
        <f>IF(IFERROR(INDEX(InterventionCosts!$A$2:$A$2363,(MATCH(A74,InterventionCosts!$B$2:$B$2363,0))),1)=1,"","Yes")</f>
        <v>Yes</v>
      </c>
    </row>
    <row r="75" spans="1:20" s="65" customFormat="1">
      <c r="A75" s="274" t="s">
        <v>1147</v>
      </c>
      <c r="B75" s="274" t="s">
        <v>1159</v>
      </c>
      <c r="C75" s="275">
        <f>12530*1.15*exrate</f>
        <v>268890.75045724137</v>
      </c>
      <c r="D75" s="275" t="s">
        <v>1160</v>
      </c>
      <c r="E75">
        <v>2024</v>
      </c>
      <c r="F75" s="274" t="s">
        <v>1158</v>
      </c>
      <c r="G75">
        <v>3</v>
      </c>
      <c r="H75"/>
      <c r="I75" s="279">
        <f>IF(G75="",VLOOKUP(IF(Inflation!$B$1-Ingredients!E75&gt;0,Inflation!$B$1-Ingredients!E75,0),Inflation!$C$5:$D$20,2,FALSE)*C75,-PMT(0.08,G75,VLOOKUP(IF(Inflation!$B$1-Ingredients!E75&gt;0,Inflation!$B$1-Ingredients!E75,0),Inflation!$C$5:$D$20,2,FALSE)*C75,0,1))/MAX(1,H75)</f>
        <v>96609.835920812693</v>
      </c>
      <c r="J75" t="str">
        <f t="shared" si="3"/>
        <v>per machine</v>
      </c>
      <c r="K75"/>
      <c r="L75" t="str">
        <f>IF(IFERROR(INDEX(InterventionCosts!$A$2:$A$2363,(MATCH(A75,InterventionCosts!$B$2:$B$2363,0))),1)=1,"","Yes")</f>
        <v>Yes</v>
      </c>
    </row>
    <row r="76" spans="1:20" s="65" customFormat="1">
      <c r="A76" s="274" t="s">
        <v>1155</v>
      </c>
      <c r="B76"/>
      <c r="C76" s="84">
        <v>9280</v>
      </c>
      <c r="D76" t="s">
        <v>1161</v>
      </c>
      <c r="E76">
        <v>2019</v>
      </c>
      <c r="F76" s="274" t="s">
        <v>1287</v>
      </c>
      <c r="G76"/>
      <c r="H76"/>
      <c r="I76" s="279">
        <f>IF(G76="",VLOOKUP(IF(Inflation!$B$1-Ingredients!E76&gt;0,Inflation!$B$1-Ingredients!E76,0),Inflation!$C$5:$D$20,2,FALSE)*C76,-PMT(0.08,G76,VLOOKUP(IF(Inflation!$B$1-Ingredients!E76&gt;0,Inflation!$B$1-Ingredients!E76,0),Inflation!$C$5:$D$20,2,FALSE)*C76,0,1))/MAX(1,H76)</f>
        <v>11917.103963912978</v>
      </c>
      <c r="J76" t="str">
        <f t="shared" si="3"/>
        <v>per setup</v>
      </c>
      <c r="K76"/>
      <c r="L76" t="str">
        <f>IF(IFERROR(INDEX(InterventionCosts!$A$2:$A$2363,(MATCH(A76,InterventionCosts!$B$2:$B$2363,0))),1)=1,"","Yes")</f>
        <v>Yes</v>
      </c>
    </row>
    <row r="77" spans="1:20" s="63" customFormat="1">
      <c r="A77" s="77" t="s">
        <v>242</v>
      </c>
      <c r="B77" s="77"/>
      <c r="C77" s="9"/>
      <c r="D77" s="77"/>
      <c r="E77" s="77"/>
      <c r="F77" s="77"/>
      <c r="G77" s="7"/>
      <c r="H77" s="7"/>
      <c r="I77" s="15"/>
      <c r="J77" s="77"/>
      <c r="K77" s="77"/>
      <c r="L77" t="str">
        <f>IF(IFERROR(INDEX(InterventionCosts!$A$2:$A$2363,(MATCH(A77,InterventionCosts!$B$2:$B$2363,0))),1)=1,"","Yes")</f>
        <v/>
      </c>
    </row>
    <row r="78" spans="1:20" s="65" customFormat="1">
      <c r="A78" t="s">
        <v>77</v>
      </c>
      <c r="B78" t="s">
        <v>241</v>
      </c>
      <c r="C78" s="84">
        <v>60.2</v>
      </c>
      <c r="D78" t="s">
        <v>76</v>
      </c>
      <c r="E78">
        <v>2021</v>
      </c>
      <c r="F78" t="s">
        <v>383</v>
      </c>
      <c r="G78"/>
      <c r="H78"/>
      <c r="I78" s="279">
        <f>IF(G78="",VLOOKUP(IF(Inflation!$B$1-Ingredients!E78&gt;0,Inflation!$B$1-Ingredients!E78,0),Inflation!$C$5:$D$20,2,FALSE)*C78,-PMT(0.08,G78,VLOOKUP(IF(Inflation!$B$1-Ingredients!E78&gt;0,Inflation!$B$1-Ingredients!E78,0),Inflation!$C$5:$D$20,2,FALSE)*C78,0,1))/MAX(1,H78)</f>
        <v>71.889951748999991</v>
      </c>
      <c r="J78" t="str">
        <f t="shared" si="3"/>
        <v>per test</v>
      </c>
      <c r="K78"/>
      <c r="L78" t="str">
        <f>IF(IFERROR(INDEX(InterventionCosts!$A$2:$A$2363,(MATCH(A78,InterventionCosts!$B$2:$B$2363,0))),1)=1,"","Yes")</f>
        <v>Yes</v>
      </c>
      <c r="N78" s="250"/>
      <c r="O78" s="250"/>
      <c r="P78" s="250"/>
      <c r="Q78" s="250"/>
      <c r="R78" s="251"/>
    </row>
    <row r="79" spans="1:20" s="63" customFormat="1">
      <c r="A79" t="s">
        <v>78</v>
      </c>
      <c r="B79"/>
      <c r="C79" s="84">
        <v>414.58</v>
      </c>
      <c r="D79" t="s">
        <v>76</v>
      </c>
      <c r="E79">
        <v>2021</v>
      </c>
      <c r="F79" t="s">
        <v>383</v>
      </c>
      <c r="G79"/>
      <c r="H79"/>
      <c r="I79" s="279">
        <f>IF(G79="",VLOOKUP(IF(Inflation!$B$1-Ingredients!E79&gt;0,Inflation!$B$1-Ingredients!E79,0),Inflation!$C$5:$D$20,2,FALSE)*C79,-PMT(0.08,G79,VLOOKUP(IF(Inflation!$B$1-Ingredients!E79&gt;0,Inflation!$B$1-Ingredients!E79,0),Inflation!$C$5:$D$20,2,FALSE)*C79,0,1))/MAX(1,H79)</f>
        <v>495.08531887209995</v>
      </c>
      <c r="J79" t="str">
        <f t="shared" si="3"/>
        <v>per test</v>
      </c>
      <c r="K79"/>
      <c r="L79" t="str">
        <f>IF(IFERROR(INDEX(InterventionCosts!$A$2:$A$2363,(MATCH(A79,InterventionCosts!$B$2:$B$2363,0))),1)=1,"","Yes")</f>
        <v>Yes</v>
      </c>
      <c r="N79" s="250"/>
      <c r="O79" s="250"/>
      <c r="P79" s="250"/>
      <c r="Q79" s="250"/>
      <c r="R79" s="251"/>
      <c r="T79" s="65"/>
    </row>
    <row r="80" spans="1:20" s="63" customFormat="1">
      <c r="A80" t="s">
        <v>858</v>
      </c>
      <c r="B80"/>
      <c r="C80" s="84">
        <v>414.58</v>
      </c>
      <c r="D80" t="s">
        <v>76</v>
      </c>
      <c r="E80">
        <v>2021</v>
      </c>
      <c r="F80" t="s">
        <v>383</v>
      </c>
      <c r="G80"/>
      <c r="H80"/>
      <c r="I80" s="279">
        <f>IF(G80="",VLOOKUP(IF(Inflation!$B$1-Ingredients!E80&gt;0,Inflation!$B$1-Ingredients!E80,0),Inflation!$C$5:$D$20,2,FALSE)*C80,-PMT(0.08,G80,VLOOKUP(IF(Inflation!$B$1-Ingredients!E80&gt;0,Inflation!$B$1-Ingredients!E80,0),Inflation!$C$5:$D$20,2,FALSE)*C80,0,1))/MAX(1,H80)</f>
        <v>495.08531887209995</v>
      </c>
      <c r="J80" t="str">
        <f t="shared" si="3"/>
        <v>per test</v>
      </c>
      <c r="K80"/>
      <c r="L80" t="str">
        <f>IF(IFERROR(INDEX(InterventionCosts!$A$2:$A$2363,(MATCH(A80,InterventionCosts!$B$2:$B$2363,0))),1)=1,"","Yes")</f>
        <v>Yes</v>
      </c>
      <c r="N80" s="250"/>
      <c r="O80" s="250"/>
      <c r="P80" s="250"/>
      <c r="Q80" s="250"/>
      <c r="R80" s="251"/>
      <c r="T80" s="65"/>
    </row>
    <row r="81" spans="1:20" s="63" customFormat="1">
      <c r="A81" t="s">
        <v>399</v>
      </c>
      <c r="B81"/>
      <c r="C81" s="84">
        <v>137.34</v>
      </c>
      <c r="D81" t="s">
        <v>76</v>
      </c>
      <c r="E81">
        <v>2021</v>
      </c>
      <c r="F81" t="s">
        <v>383</v>
      </c>
      <c r="G81"/>
      <c r="H81"/>
      <c r="I81" s="279">
        <f>IF(G81="",VLOOKUP(IF(Inflation!$B$1-Ingredients!E81&gt;0,Inflation!$B$1-Ingredients!E81,0),Inflation!$C$5:$D$20,2,FALSE)*C81,-PMT(0.08,G81,VLOOKUP(IF(Inflation!$B$1-Ingredients!E81&gt;0,Inflation!$B$1-Ingredients!E81,0),Inflation!$C$5:$D$20,2,FALSE)*C81,0,1))/MAX(1,H81)</f>
        <v>164.00940154829999</v>
      </c>
      <c r="J81" t="str">
        <f t="shared" si="3"/>
        <v>per test</v>
      </c>
      <c r="K81"/>
      <c r="L81" t="str">
        <f>IF(IFERROR(INDEX(InterventionCosts!$A$2:$A$2363,(MATCH(A81,InterventionCosts!$B$2:$B$2363,0))),1)=1,"","Yes")</f>
        <v>Yes</v>
      </c>
      <c r="N81" s="250"/>
      <c r="O81" s="250"/>
      <c r="P81" s="250"/>
      <c r="Q81" s="250"/>
      <c r="R81" s="251"/>
      <c r="T81" s="65"/>
    </row>
    <row r="82" spans="1:20" s="63" customFormat="1">
      <c r="A82" t="s">
        <v>400</v>
      </c>
      <c r="B82"/>
      <c r="C82" s="84">
        <v>49.56</v>
      </c>
      <c r="D82" t="s">
        <v>76</v>
      </c>
      <c r="E82">
        <v>2021</v>
      </c>
      <c r="F82" t="s">
        <v>383</v>
      </c>
      <c r="G82"/>
      <c r="H82"/>
      <c r="I82" s="279">
        <f>IF(G82="",VLOOKUP(IF(Inflation!$B$1-Ingredients!E82&gt;0,Inflation!$B$1-Ingredients!E82,0),Inflation!$C$5:$D$20,2,FALSE)*C82,-PMT(0.08,G82,VLOOKUP(IF(Inflation!$B$1-Ingredients!E82&gt;0,Inflation!$B$1-Ingredients!E82,0),Inflation!$C$5:$D$20,2,FALSE)*C82,0,1))/MAX(1,H82)</f>
        <v>59.183820742199998</v>
      </c>
      <c r="J82" t="str">
        <f t="shared" si="3"/>
        <v>per test</v>
      </c>
      <c r="K82"/>
      <c r="L82" t="str">
        <f>IF(IFERROR(INDEX(InterventionCosts!$A$2:$A$2363,(MATCH(A82,InterventionCosts!$B$2:$B$2363,0))),1)=1,"","Yes")</f>
        <v>Yes</v>
      </c>
      <c r="N82" s="250"/>
      <c r="O82" s="250"/>
      <c r="P82" s="250"/>
      <c r="Q82" s="250"/>
      <c r="R82" s="251"/>
      <c r="T82" s="65"/>
    </row>
    <row r="83" spans="1:20" s="63" customFormat="1">
      <c r="A83" t="s">
        <v>458</v>
      </c>
      <c r="B83"/>
      <c r="C83" s="84">
        <v>72.510000000000005</v>
      </c>
      <c r="D83" t="s">
        <v>76</v>
      </c>
      <c r="E83">
        <v>2021</v>
      </c>
      <c r="F83" t="s">
        <v>383</v>
      </c>
      <c r="G83"/>
      <c r="H83"/>
      <c r="I83" s="279">
        <f>IF(G83="",VLOOKUP(IF(Inflation!$B$1-Ingredients!E83&gt;0,Inflation!$B$1-Ingredients!E83,0),Inflation!$C$5:$D$20,2,FALSE)*C83,-PMT(0.08,G83,VLOOKUP(IF(Inflation!$B$1-Ingredients!E83&gt;0,Inflation!$B$1-Ingredients!E83,0),Inflation!$C$5:$D$20,2,FALSE)*C83,0,1))/MAX(1,H83)</f>
        <v>86.59037211495</v>
      </c>
      <c r="J83" t="str">
        <f t="shared" si="3"/>
        <v>per test</v>
      </c>
      <c r="K83"/>
      <c r="L83" t="str">
        <f>IF(IFERROR(INDEX(InterventionCosts!$A$2:$A$2363,(MATCH(A83,InterventionCosts!$B$2:$B$2363,0))),1)=1,"","Yes")</f>
        <v>Yes</v>
      </c>
      <c r="N83" s="250"/>
      <c r="O83" s="250"/>
      <c r="P83" s="250"/>
      <c r="Q83" s="250"/>
      <c r="R83" s="251"/>
      <c r="T83" s="65"/>
    </row>
    <row r="84" spans="1:20" s="63" customFormat="1">
      <c r="A84" t="s">
        <v>409</v>
      </c>
      <c r="B84"/>
      <c r="C84" s="84">
        <v>34.270000000000003</v>
      </c>
      <c r="D84" t="s">
        <v>76</v>
      </c>
      <c r="E84">
        <v>2021</v>
      </c>
      <c r="F84" t="s">
        <v>383</v>
      </c>
      <c r="G84"/>
      <c r="H84"/>
      <c r="I84" s="279">
        <f>IF(G84="",VLOOKUP(IF(Inflation!$B$1-Ingredients!E84&gt;0,Inflation!$B$1-Ingredients!E84,0),Inflation!$C$5:$D$20,2,FALSE)*C84,-PMT(0.08,G84,VLOOKUP(IF(Inflation!$B$1-Ingredients!E84&gt;0,Inflation!$B$1-Ingredients!E84,0),Inflation!$C$5:$D$20,2,FALSE)*C84,0,1))/MAX(1,H84)</f>
        <v>40.924728346149998</v>
      </c>
      <c r="J84" t="str">
        <f t="shared" si="3"/>
        <v>per test</v>
      </c>
      <c r="K84"/>
      <c r="L84" t="str">
        <f>IF(IFERROR(INDEX(InterventionCosts!$A$2:$A$2363,(MATCH(A84,InterventionCosts!$B$2:$B$2363,0))),1)=1,"","Yes")</f>
        <v>Yes</v>
      </c>
      <c r="N84" s="250"/>
      <c r="O84" s="250"/>
      <c r="R84" s="252"/>
    </row>
    <row r="85" spans="1:20" s="63" customFormat="1">
      <c r="A85" t="s">
        <v>408</v>
      </c>
      <c r="B85"/>
      <c r="C85" s="84">
        <v>33.11</v>
      </c>
      <c r="D85" t="s">
        <v>76</v>
      </c>
      <c r="E85">
        <v>2021</v>
      </c>
      <c r="F85" t="s">
        <v>383</v>
      </c>
      <c r="G85"/>
      <c r="H85"/>
      <c r="I85" s="279">
        <f>IF(G85="",VLOOKUP(IF(Inflation!$B$1-Ingredients!E85&gt;0,Inflation!$B$1-Ingredients!E85,0),Inflation!$C$5:$D$20,2,FALSE)*C85,-PMT(0.08,G85,VLOOKUP(IF(Inflation!$B$1-Ingredients!E85&gt;0,Inflation!$B$1-Ingredients!E85,0),Inflation!$C$5:$D$20,2,FALSE)*C85,0,1))/MAX(1,H85)</f>
        <v>39.539473461949996</v>
      </c>
      <c r="J85" t="str">
        <f t="shared" si="3"/>
        <v>per test</v>
      </c>
      <c r="K85"/>
      <c r="L85" t="str">
        <f>IF(IFERROR(INDEX(InterventionCosts!$A$2:$A$2363,(MATCH(A85,InterventionCosts!$B$2:$B$2363,0))),1)=1,"","Yes")</f>
        <v>Yes</v>
      </c>
      <c r="N85" s="250"/>
      <c r="O85" s="250"/>
      <c r="P85" s="250"/>
      <c r="Q85" s="250"/>
      <c r="R85" s="251"/>
    </row>
    <row r="86" spans="1:20">
      <c r="A86" s="77" t="s">
        <v>81</v>
      </c>
      <c r="B86" s="77"/>
      <c r="C86" s="9"/>
      <c r="D86" s="77"/>
      <c r="E86" s="77"/>
      <c r="F86" s="77"/>
      <c r="G86" s="14"/>
      <c r="H86" s="14"/>
      <c r="I86" s="15"/>
      <c r="J86" s="77"/>
      <c r="K86" s="11"/>
      <c r="L86" t="str">
        <f>IF(IFERROR(INDEX(InterventionCosts!$A$2:$A$2363,(MATCH(A86,InterventionCosts!$B$2:$B$2363,0))),1)=1,"","Yes")</f>
        <v/>
      </c>
    </row>
    <row r="87" spans="1:20" s="65" customFormat="1">
      <c r="A87" t="s">
        <v>82</v>
      </c>
      <c r="B87" t="s">
        <v>83</v>
      </c>
      <c r="C87" s="84">
        <f>40%*C6</f>
        <v>3.9265435818250007</v>
      </c>
      <c r="D87" t="s">
        <v>84</v>
      </c>
      <c r="E87">
        <v>2023</v>
      </c>
      <c r="F87" t="s">
        <v>1468</v>
      </c>
      <c r="G87"/>
      <c r="H87"/>
      <c r="I87" s="279">
        <f>IF(G87="",VLOOKUP(IF(Inflation!$B$1-Ingredients!E87&gt;0,Inflation!$B$1-Ingredients!E87,0),Inflation!$C$5:$D$20,2,FALSE)*C87,-PMT(0.08,G87,VLOOKUP(IF(Inflation!$B$1-Ingredients!E87&gt;0,Inflation!$B$1-Ingredients!E87,0),Inflation!$C$5:$D$20,2,FALSE)*C87,0,1))/MAX(1,H87)</f>
        <v>4.1974750889709256</v>
      </c>
      <c r="J87" t="str">
        <f t="shared" si="3"/>
        <v>per condom distributed</v>
      </c>
      <c r="K87"/>
      <c r="L87" t="str">
        <f>IF(IFERROR(INDEX(InterventionCosts!$A$2:$A$2363,(MATCH(A87,InterventionCosts!$B$2:$B$2363,0))),1)=1,"","Yes")</f>
        <v>Yes</v>
      </c>
    </row>
    <row r="88" spans="1:20" s="65" customFormat="1">
      <c r="A88" t="s">
        <v>85</v>
      </c>
      <c r="B88" t="s">
        <v>83</v>
      </c>
      <c r="C88" s="84">
        <f>40%*C7</f>
        <v>0.24775783900880477</v>
      </c>
      <c r="D88" t="s">
        <v>84</v>
      </c>
      <c r="E88">
        <v>2023</v>
      </c>
      <c r="F88" t="s">
        <v>1468</v>
      </c>
      <c r="G88"/>
      <c r="H88"/>
      <c r="I88" s="279">
        <f>IF(G88="",VLOOKUP(IF(Inflation!$B$1-Ingredients!E88&gt;0,Inflation!$B$1-Ingredients!E88,0),Inflation!$C$5:$D$20,2,FALSE)*C88,-PMT(0.08,G88,VLOOKUP(IF(Inflation!$B$1-Ingredients!E88&gt;0,Inflation!$B$1-Ingredients!E88,0),Inflation!$C$5:$D$20,2,FALSE)*C88,0,1))/MAX(1,H88)</f>
        <v>0.26485312990041227</v>
      </c>
      <c r="J88" t="str">
        <f t="shared" si="3"/>
        <v>per condom distributed</v>
      </c>
      <c r="K88"/>
      <c r="L88" t="str">
        <f>IF(IFERROR(INDEX(InterventionCosts!$A$2:$A$2363,(MATCH(A88,InterventionCosts!$B$2:$B$2363,0))),1)=1,"","Yes")</f>
        <v>Yes</v>
      </c>
    </row>
    <row r="89" spans="1:20">
      <c r="A89" t="s">
        <v>86</v>
      </c>
      <c r="B89" t="s">
        <v>87</v>
      </c>
      <c r="C89" s="84">
        <f>20%*C6</f>
        <v>1.9632717909125004</v>
      </c>
      <c r="D89" t="s">
        <v>84</v>
      </c>
      <c r="E89">
        <v>2023</v>
      </c>
      <c r="F89" t="s">
        <v>1468</v>
      </c>
      <c r="I89" s="279">
        <f>IF(G89="",VLOOKUP(IF(Inflation!$B$1-Ingredients!E89&gt;0,Inflation!$B$1-Ingredients!E89,0),Inflation!$C$5:$D$20,2,FALSE)*C89,-PMT(0.08,G89,VLOOKUP(IF(Inflation!$B$1-Ingredients!E89&gt;0,Inflation!$B$1-Ingredients!E89,0),Inflation!$C$5:$D$20,2,FALSE)*C89,0,1))/MAX(1,H89)</f>
        <v>2.0987375444854628</v>
      </c>
      <c r="J89" t="str">
        <f t="shared" si="3"/>
        <v>per condom distributed</v>
      </c>
      <c r="L89" t="str">
        <f>IF(IFERROR(INDEX(InterventionCosts!$A$2:$A$2363,(MATCH(A89,InterventionCosts!$B$2:$B$2363,0))),1)=1,"","Yes")</f>
        <v>Yes</v>
      </c>
    </row>
    <row r="90" spans="1:20" s="65" customFormat="1">
      <c r="A90" t="s">
        <v>88</v>
      </c>
      <c r="B90" t="s">
        <v>87</v>
      </c>
      <c r="C90" s="84">
        <f>20%*C7</f>
        <v>0.12387891950440238</v>
      </c>
      <c r="D90" t="s">
        <v>84</v>
      </c>
      <c r="E90">
        <v>2023</v>
      </c>
      <c r="F90" t="s">
        <v>1468</v>
      </c>
      <c r="G90"/>
      <c r="H90"/>
      <c r="I90" s="279">
        <f>IF(G90="",VLOOKUP(IF(Inflation!$B$1-Ingredients!E90&gt;0,Inflation!$B$1-Ingredients!E90,0),Inflation!$C$5:$D$20,2,FALSE)*C90,-PMT(0.08,G90,VLOOKUP(IF(Inflation!$B$1-Ingredients!E90&gt;0,Inflation!$B$1-Ingredients!E90,0),Inflation!$C$5:$D$20,2,FALSE)*C90,0,1))/MAX(1,H90)</f>
        <v>0.13242656495020613</v>
      </c>
      <c r="J90" t="str">
        <f t="shared" si="3"/>
        <v>per condom distributed</v>
      </c>
      <c r="K90"/>
      <c r="L90" t="str">
        <f>IF(IFERROR(INDEX(InterventionCosts!$A$2:$A$2363,(MATCH(A90,InterventionCosts!$B$2:$B$2363,0))),1)=1,"","Yes")</f>
        <v>Yes</v>
      </c>
    </row>
    <row r="91" spans="1:20" s="5" customFormat="1">
      <c r="A91" s="5" t="s">
        <v>89</v>
      </c>
      <c r="B91" s="5" t="s">
        <v>226</v>
      </c>
      <c r="C91" s="118">
        <f>(((8121.11-498.14)+(6925.66-416.02)+(7553-537.88))/3)/388</f>
        <v>18.1681529209622</v>
      </c>
      <c r="D91" s="5" t="s">
        <v>90</v>
      </c>
      <c r="E91" s="5">
        <v>2016</v>
      </c>
      <c r="F91" s="5" t="s">
        <v>91</v>
      </c>
      <c r="G91"/>
      <c r="H91"/>
      <c r="I91" s="279">
        <f>IF(G91="",VLOOKUP(IF(Inflation!$B$1-Ingredients!E91&gt;0,Inflation!$B$1-Ingredients!E91,0),Inflation!$C$5:$D$20,2,FALSE)*C91,-PMT(0.08,G91,VLOOKUP(IF(Inflation!$B$1-Ingredients!E91&gt;0,Inflation!$B$1-Ingredients!E91,0),Inflation!$C$5:$D$20,2,FALSE)*C91,0,1))/MAX(1,H91)</f>
        <v>27.36845046388283</v>
      </c>
      <c r="J91" t="str">
        <f t="shared" si="3"/>
        <v>per square meter</v>
      </c>
      <c r="K91" s="16"/>
      <c r="L91" t="str">
        <f>IF(IFERROR(INDEX(InterventionCosts!$A$2:$A$2363,(MATCH(A91,InterventionCosts!$B$2:$B$2363,0))),1)=1,"","Yes")</f>
        <v>Yes</v>
      </c>
    </row>
    <row r="92" spans="1:20" s="5" customFormat="1">
      <c r="A92" t="s">
        <v>93</v>
      </c>
      <c r="B92" t="s">
        <v>94</v>
      </c>
      <c r="C92" s="84">
        <v>4.84</v>
      </c>
      <c r="D92" t="s">
        <v>92</v>
      </c>
      <c r="E92">
        <v>2024</v>
      </c>
      <c r="F92" t="s">
        <v>1029</v>
      </c>
      <c r="G92"/>
      <c r="H92"/>
      <c r="I92" s="279">
        <f>IF(G92="",VLOOKUP(IF(Inflation!$B$1-Ingredients!E92&gt;0,Inflation!$B$1-Ingredients!E92,0),Inflation!$C$5:$D$20,2,FALSE)*C92,-PMT(0.08,G92,VLOOKUP(IF(Inflation!$B$1-Ingredients!E92&gt;0,Inflation!$B$1-Ingredients!E92,0),Inflation!$C$5:$D$20,2,FALSE)*C92,0,1))/MAX(1,H92)</f>
        <v>4.84</v>
      </c>
      <c r="J92" t="str">
        <f t="shared" si="3"/>
        <v>per km</v>
      </c>
      <c r="K92"/>
      <c r="L92" t="str">
        <f>IF(IFERROR(INDEX(InterventionCosts!$A$2:$A$2363,(MATCH(A92,InterventionCosts!$B$2:$B$2363,0))),1)=1,"","Yes")</f>
        <v>Yes</v>
      </c>
    </row>
    <row r="93" spans="1:20" s="5" customFormat="1">
      <c r="A93" s="5" t="s">
        <v>95</v>
      </c>
      <c r="B93" s="5" t="s">
        <v>96</v>
      </c>
      <c r="C93" s="118">
        <f>0.08</f>
        <v>0.08</v>
      </c>
      <c r="D93" s="5" t="s">
        <v>97</v>
      </c>
      <c r="E93" s="5">
        <v>2013</v>
      </c>
      <c r="F93" s="5" t="s">
        <v>30</v>
      </c>
      <c r="G93"/>
      <c r="H93"/>
      <c r="I93" s="279">
        <f>IF(G93="",VLOOKUP(IF(Inflation!$B$1-Ingredients!E93&gt;0,Inflation!$B$1-Ingredients!E93,0),Inflation!$C$5:$D$20,2,FALSE)*C93,-PMT(0.08,G93,VLOOKUP(IF(Inflation!$B$1-Ingredients!E93&gt;0,Inflation!$B$1-Ingredients!E93,0),Inflation!$C$5:$D$20,2,FALSE)*C93,0,1))/MAX(1,H93)</f>
        <v>0.1413681176978745</v>
      </c>
      <c r="J93" t="str">
        <f t="shared" si="3"/>
        <v>per form</v>
      </c>
      <c r="L93" t="str">
        <f>IF(IFERROR(INDEX(InterventionCosts!$A$2:$A$2363,(MATCH(A93,InterventionCosts!$B$2:$B$2363,0))),1)=1,"","Yes")</f>
        <v>Yes</v>
      </c>
    </row>
    <row r="94" spans="1:20" s="65" customFormat="1">
      <c r="A94" t="s">
        <v>98</v>
      </c>
      <c r="B94" t="s">
        <v>99</v>
      </c>
      <c r="C94" s="84">
        <v>150</v>
      </c>
      <c r="D94" t="s">
        <v>90</v>
      </c>
      <c r="E94">
        <v>2024</v>
      </c>
      <c r="F94" t="s">
        <v>355</v>
      </c>
      <c r="G94"/>
      <c r="H94"/>
      <c r="I94" s="279">
        <f>IF(G94="",VLOOKUP(IF(Inflation!$B$1-Ingredients!E94&gt;0,Inflation!$B$1-Ingredients!E94,0),Inflation!$C$5:$D$20,2,FALSE)*C94,-PMT(0.08,G94,VLOOKUP(IF(Inflation!$B$1-Ingredients!E94&gt;0,Inflation!$B$1-Ingredients!E94,0),Inflation!$C$5:$D$20,2,FALSE)*C94,0,1))/MAX(1,H94)</f>
        <v>150</v>
      </c>
      <c r="J94" t="str">
        <f t="shared" si="3"/>
        <v>per square meter</v>
      </c>
      <c r="K94"/>
      <c r="L94" t="str">
        <f>IF(IFERROR(INDEX(InterventionCosts!$A$2:$A$2363,(MATCH(A94,InterventionCosts!$B$2:$B$2363,0))),1)=1,"","Yes")</f>
        <v>Yes</v>
      </c>
    </row>
    <row r="95" spans="1:20">
      <c r="A95" t="s">
        <v>100</v>
      </c>
      <c r="B95" t="s">
        <v>101</v>
      </c>
      <c r="C95" s="84">
        <f>75*8</f>
        <v>600</v>
      </c>
      <c r="D95" t="s">
        <v>236</v>
      </c>
      <c r="E95">
        <v>2022</v>
      </c>
      <c r="F95" t="s">
        <v>1120</v>
      </c>
      <c r="I95" s="279">
        <f>IF(G95="",VLOOKUP(IF(Inflation!$B$1-Ingredients!E95&gt;0,Inflation!$B$1-Ingredients!E95,0),Inflation!$C$5:$D$20,2,FALSE)*C95,-PMT(0.08,G95,VLOOKUP(IF(Inflation!$B$1-Ingredients!E95&gt;0,Inflation!$B$1-Ingredients!E95,0),Inflation!$C$5:$D$20,2,FALSE)*C95,0,1))/MAX(1,H95)</f>
        <v>685.65659999999991</v>
      </c>
      <c r="J95" t="str">
        <f t="shared" si="3"/>
        <v>pp per month</v>
      </c>
      <c r="L95" t="str">
        <f>IF(IFERROR(INDEX(InterventionCosts!$A$2:$A$2363,(MATCH(A95,InterventionCosts!$B$2:$B$2363,0))),1)=1,"","Yes")</f>
        <v>Yes</v>
      </c>
    </row>
    <row r="96" spans="1:20">
      <c r="A96" t="s">
        <v>310</v>
      </c>
      <c r="C96" s="84">
        <f>877</f>
        <v>877</v>
      </c>
      <c r="D96" t="s">
        <v>311</v>
      </c>
      <c r="E96">
        <v>2016</v>
      </c>
      <c r="F96" t="s">
        <v>1539</v>
      </c>
      <c r="I96" s="279">
        <f>IF(G96="",VLOOKUP(IF(Inflation!$B$1-Ingredients!E96&gt;0,Inflation!$B$1-Ingredients!E96,0),Inflation!$C$5:$D$20,2,FALSE)*C96,-PMT(0.08,G96,VLOOKUP(IF(Inflation!$B$1-Ingredients!E96&gt;0,Inflation!$B$1-Ingredients!E96,0),Inflation!$C$5:$D$20,2,FALSE)*C96,0,1))/MAX(1,H96)</f>
        <v>1321.110140433256</v>
      </c>
      <c r="J96" t="str">
        <f t="shared" si="3"/>
        <v>per room</v>
      </c>
      <c r="L96" t="str">
        <f>IF(IFERROR(INDEX(InterventionCosts!$A$2:$A$2363,(MATCH(A96,InterventionCosts!$B$2:$B$2363,0))),1)=1,"","Yes")</f>
        <v>Yes</v>
      </c>
    </row>
    <row r="97" spans="1:12">
      <c r="A97" t="s">
        <v>312</v>
      </c>
      <c r="C97" s="84">
        <f>167.27</f>
        <v>167.27</v>
      </c>
      <c r="D97" t="s">
        <v>311</v>
      </c>
      <c r="E97">
        <v>2016</v>
      </c>
      <c r="F97" t="s">
        <v>1539</v>
      </c>
      <c r="I97" s="279">
        <f>IF(G97="",VLOOKUP(IF(Inflation!$B$1-Ingredients!E97&gt;0,Inflation!$B$1-Ingredients!E97,0),Inflation!$C$5:$D$20,2,FALSE)*C97,-PMT(0.08,G97,VLOOKUP(IF(Inflation!$B$1-Ingredients!E97&gt;0,Inflation!$B$1-Ingredients!E97,0),Inflation!$C$5:$D$20,2,FALSE)*C97,0,1))/MAX(1,H97)</f>
        <v>251.97502074147175</v>
      </c>
      <c r="J97" t="str">
        <f t="shared" si="3"/>
        <v>per room</v>
      </c>
      <c r="L97" t="str">
        <f>IF(IFERROR(INDEX(InterventionCosts!$A$2:$A$2363,(MATCH(A97,InterventionCosts!$B$2:$B$2363,0))),1)=1,"","Yes")</f>
        <v>Yes</v>
      </c>
    </row>
    <row r="98" spans="1:12">
      <c r="A98" t="s">
        <v>313</v>
      </c>
      <c r="C98" s="84">
        <f>348</f>
        <v>348</v>
      </c>
      <c r="D98" t="s">
        <v>311</v>
      </c>
      <c r="E98">
        <v>2016</v>
      </c>
      <c r="F98" t="s">
        <v>1539</v>
      </c>
      <c r="I98" s="279">
        <f>IF(G98="",VLOOKUP(IF(Inflation!$B$1-Ingredients!E98&gt;0,Inflation!$B$1-Ingredients!E98,0),Inflation!$C$5:$D$20,2,FALSE)*C98,-PMT(0.08,G98,VLOOKUP(IF(Inflation!$B$1-Ingredients!E98&gt;0,Inflation!$B$1-Ingredients!E98,0),Inflation!$C$5:$D$20,2,FALSE)*C98,0,1))/MAX(1,H98)</f>
        <v>524.2261446645075</v>
      </c>
      <c r="J98" t="str">
        <f t="shared" si="3"/>
        <v>per room</v>
      </c>
      <c r="L98" t="str">
        <f>IF(IFERROR(INDEX(InterventionCosts!$A$2:$A$2363,(MATCH(A98,InterventionCosts!$B$2:$B$2363,0))),1)=1,"","Yes")</f>
        <v>Yes</v>
      </c>
    </row>
    <row r="99" spans="1:12" s="65" customFormat="1">
      <c r="A99" t="s">
        <v>314</v>
      </c>
      <c r="B99"/>
      <c r="C99" s="84">
        <f>109.15</f>
        <v>109.15</v>
      </c>
      <c r="D99" t="s">
        <v>311</v>
      </c>
      <c r="E99">
        <v>2016</v>
      </c>
      <c r="F99" t="s">
        <v>1539</v>
      </c>
      <c r="G99"/>
      <c r="H99"/>
      <c r="I99" s="279">
        <f>IF(G99="",VLOOKUP(IF(Inflation!$B$1-Ingredients!E99&gt;0,Inflation!$B$1-Ingredients!E99,0),Inflation!$C$5:$D$20,2,FALSE)*C99,-PMT(0.08,G99,VLOOKUP(IF(Inflation!$B$1-Ingredients!E99&gt;0,Inflation!$B$1-Ingredients!E99,0),Inflation!$C$5:$D$20,2,FALSE)*C99,0,1))/MAX(1,H99)</f>
        <v>164.42322899462931</v>
      </c>
      <c r="J99" t="str">
        <f t="shared" si="3"/>
        <v>per room</v>
      </c>
      <c r="K99"/>
      <c r="L99" t="str">
        <f>IF(IFERROR(INDEX(InterventionCosts!$A$2:$A$2363,(MATCH(A99,InterventionCosts!$B$2:$B$2363,0))),1)=1,"","Yes")</f>
        <v>Yes</v>
      </c>
    </row>
    <row r="100" spans="1:12" s="65" customFormat="1">
      <c r="A100" t="s">
        <v>320</v>
      </c>
      <c r="B100"/>
      <c r="C100" s="84">
        <f>1791.1179</f>
        <v>1791.1179</v>
      </c>
      <c r="D100" t="s">
        <v>321</v>
      </c>
      <c r="E100">
        <v>2016</v>
      </c>
      <c r="F100" t="s">
        <v>1539</v>
      </c>
      <c r="G100"/>
      <c r="H100"/>
      <c r="I100" s="279">
        <f>IF(G100="",VLOOKUP(IF(Inflation!$B$1-Ingredients!E100&gt;0,Inflation!$B$1-Ingredients!E100,0),Inflation!$C$5:$D$20,2,FALSE)*C100,-PMT(0.08,G100,VLOOKUP(IF(Inflation!$B$1-Ingredients!E100&gt;0,Inflation!$B$1-Ingredients!E100,0),Inflation!$C$5:$D$20,2,FALSE)*C100,0,1))/MAX(1,H100)</f>
        <v>2698.1345728637612</v>
      </c>
      <c r="J100" t="str">
        <f t="shared" si="3"/>
        <v>monthly cost</v>
      </c>
      <c r="K100"/>
      <c r="L100" t="str">
        <f>IF(IFERROR(INDEX(InterventionCosts!$A$2:$A$2363,(MATCH(A100,InterventionCosts!$B$2:$B$2363,0))),1)=1,"","Yes")</f>
        <v>Yes</v>
      </c>
    </row>
    <row r="101" spans="1:12">
      <c r="A101" t="s">
        <v>322</v>
      </c>
      <c r="C101" s="84">
        <f>674.67</f>
        <v>674.67</v>
      </c>
      <c r="D101" t="s">
        <v>321</v>
      </c>
      <c r="E101">
        <v>2016</v>
      </c>
      <c r="F101" t="s">
        <v>1539</v>
      </c>
      <c r="I101" s="279">
        <f>IF(G101="",VLOOKUP(IF(Inflation!$B$1-Ingredients!E101&gt;0,Inflation!$B$1-Ingredients!E101,0),Inflation!$C$5:$D$20,2,FALSE)*C101,-PMT(0.08,G101,VLOOKUP(IF(Inflation!$B$1-Ingredients!E101&gt;0,Inflation!$B$1-Ingredients!E101,0),Inflation!$C$5:$D$20,2,FALSE)*C101,0,1))/MAX(1,H101)</f>
        <v>1016.3208420138025</v>
      </c>
      <c r="J101" t="str">
        <f t="shared" si="3"/>
        <v>monthly cost</v>
      </c>
      <c r="L101" t="str">
        <f>IF(IFERROR(INDEX(InterventionCosts!$A$2:$A$2363,(MATCH(A101,InterventionCosts!$B$2:$B$2363,0))),1)=1,"","Yes")</f>
        <v>Yes</v>
      </c>
    </row>
    <row r="102" spans="1:12">
      <c r="A102" t="s">
        <v>323</v>
      </c>
      <c r="C102" s="84">
        <f>877</f>
        <v>877</v>
      </c>
      <c r="D102" t="s">
        <v>321</v>
      </c>
      <c r="E102">
        <v>2016</v>
      </c>
      <c r="F102" t="s">
        <v>1539</v>
      </c>
      <c r="I102" s="279">
        <f>IF(G102="",VLOOKUP(IF(Inflation!$B$1-Ingredients!E102&gt;0,Inflation!$B$1-Ingredients!E102,0),Inflation!$C$5:$D$20,2,FALSE)*C102,-PMT(0.08,G102,VLOOKUP(IF(Inflation!$B$1-Ingredients!E102&gt;0,Inflation!$B$1-Ingredients!E102,0),Inflation!$C$5:$D$20,2,FALSE)*C102,0,1))/MAX(1,H102)</f>
        <v>1321.110140433256</v>
      </c>
      <c r="J102" t="str">
        <f t="shared" si="3"/>
        <v>monthly cost</v>
      </c>
      <c r="L102" t="str">
        <f>IF(IFERROR(INDEX(InterventionCosts!$A$2:$A$2363,(MATCH(A102,InterventionCosts!$B$2:$B$2363,0))),1)=1,"","Yes")</f>
        <v>Yes</v>
      </c>
    </row>
    <row r="103" spans="1:12">
      <c r="A103" t="s">
        <v>324</v>
      </c>
      <c r="C103" s="84">
        <v>221.32</v>
      </c>
      <c r="D103" t="s">
        <v>321</v>
      </c>
      <c r="E103">
        <v>2019</v>
      </c>
      <c r="F103" t="s">
        <v>1572</v>
      </c>
      <c r="I103" s="279">
        <f>IF(G103="",VLOOKUP(IF(Inflation!$B$1-Ingredients!E103&gt;0,Inflation!$B$1-Ingredients!E103,0),Inflation!$C$5:$D$20,2,FALSE)*C103,-PMT(0.08,G103,VLOOKUP(IF(Inflation!$B$1-Ingredients!E103&gt;0,Inflation!$B$1-Ingredients!E103,0),Inflation!$C$5:$D$20,2,FALSE)*C103,0,1))/MAX(1,H103)</f>
        <v>284.21265617383841</v>
      </c>
      <c r="J103" t="str">
        <f t="shared" si="3"/>
        <v>monthly cost</v>
      </c>
      <c r="L103" t="str">
        <f>IF(IFERROR(INDEX(InterventionCosts!$A$2:$A$2363,(MATCH(A103,InterventionCosts!$B$2:$B$2363,0))),1)=1,"","Yes")</f>
        <v>Yes</v>
      </c>
    </row>
    <row r="104" spans="1:12" s="5" customFormat="1">
      <c r="A104" t="s">
        <v>325</v>
      </c>
      <c r="B104"/>
      <c r="C104" s="84">
        <f>175.4</f>
        <v>175.4</v>
      </c>
      <c r="D104" t="s">
        <v>321</v>
      </c>
      <c r="E104">
        <v>2016</v>
      </c>
      <c r="F104" t="s">
        <v>1539</v>
      </c>
      <c r="G104"/>
      <c r="H104"/>
      <c r="I104" s="279">
        <f>IF(G104="",VLOOKUP(IF(Inflation!$B$1-Ingredients!E104&gt;0,Inflation!$B$1-Ingredients!E104,0),Inflation!$C$5:$D$20,2,FALSE)*C104,-PMT(0.08,G104,VLOOKUP(IF(Inflation!$B$1-Ingredients!E104&gt;0,Inflation!$B$1-Ingredients!E104,0),Inflation!$C$5:$D$20,2,FALSE)*C104,0,1))/MAX(1,H104)</f>
        <v>264.22202808665122</v>
      </c>
      <c r="J104" t="str">
        <f t="shared" si="3"/>
        <v>monthly cost</v>
      </c>
      <c r="K104"/>
      <c r="L104" t="str">
        <f>IF(IFERROR(INDEX(InterventionCosts!$A$2:$A$2363,(MATCH(A104,InterventionCosts!$B$2:$B$2363,0))),1)=1,"","Yes")</f>
        <v>Yes</v>
      </c>
    </row>
    <row r="105" spans="1:12" s="1" customFormat="1">
      <c r="A105" t="s">
        <v>326</v>
      </c>
      <c r="B105"/>
      <c r="C105" s="84">
        <v>110.27</v>
      </c>
      <c r="D105" t="s">
        <v>321</v>
      </c>
      <c r="E105">
        <v>2019</v>
      </c>
      <c r="F105" t="s">
        <v>1572</v>
      </c>
      <c r="G105"/>
      <c r="H105"/>
      <c r="I105" s="279">
        <f>IF(G105="",VLOOKUP(IF(Inflation!$B$1-Ingredients!E105&gt;0,Inflation!$B$1-Ingredients!E105,0),Inflation!$C$5:$D$20,2,FALSE)*C105,-PMT(0.08,G105,VLOOKUP(IF(Inflation!$B$1-Ingredients!E105&gt;0,Inflation!$B$1-Ingredients!E105,0),Inflation!$C$5:$D$20,2,FALSE)*C105,0,1))/MAX(1,H105)</f>
        <v>141.60550151947027</v>
      </c>
      <c r="J105" t="str">
        <f t="shared" si="3"/>
        <v>monthly cost</v>
      </c>
      <c r="K105"/>
      <c r="L105" t="str">
        <f>IF(IFERROR(INDEX(InterventionCosts!$A$2:$A$2363,(MATCH(A105,InterventionCosts!$B$2:$B$2363,0))),1)=1,"","Yes")</f>
        <v>Yes</v>
      </c>
    </row>
    <row r="106" spans="1:12">
      <c r="A106" t="s">
        <v>477</v>
      </c>
      <c r="C106" s="84">
        <f>PPPassets+PPPoverheads+PPPsupplies</f>
        <v>68.726336268441742</v>
      </c>
      <c r="D106" t="s">
        <v>461</v>
      </c>
      <c r="E106">
        <v>2019</v>
      </c>
      <c r="F106" t="s">
        <v>460</v>
      </c>
      <c r="I106" s="279">
        <f>IF(G106="",VLOOKUP(IF(Inflation!$B$1-Ingredients!E106&gt;0,Inflation!$B$1-Ingredients!E106,0),Inflation!$C$5:$D$20,2,FALSE)*C106,-PMT(0.08,G106,VLOOKUP(IF(Inflation!$B$1-Ingredients!E106&gt;0,Inflation!$B$1-Ingredients!E106,0),Inflation!$C$5:$D$20,2,FALSE)*C106,0,1))/MAX(1,H106)</f>
        <v>88.256346376062865</v>
      </c>
      <c r="J106" t="str">
        <f t="shared" si="3"/>
        <v>per visit</v>
      </c>
      <c r="L106" t="str">
        <f>IF(IFERROR(INDEX(InterventionCosts!$A$2:$A$2363,(MATCH(A106,InterventionCosts!$B$2:$B$2363,0))),1)=1,"","Yes")</f>
        <v>Yes</v>
      </c>
    </row>
    <row r="107" spans="1:12">
      <c r="A107" s="274" t="s">
        <v>1149</v>
      </c>
      <c r="C107" s="275">
        <f>5184*exrate</f>
        <v>96736.850714482774</v>
      </c>
      <c r="D107" t="s">
        <v>1161</v>
      </c>
      <c r="E107">
        <v>2024</v>
      </c>
      <c r="F107" s="274" t="s">
        <v>1158</v>
      </c>
      <c r="G107">
        <v>3</v>
      </c>
      <c r="I107" s="279">
        <f>IF(G107="",VLOOKUP(IF(Inflation!$B$1-Ingredients!E107&gt;0,Inflation!$B$1-Ingredients!E107,0),Inflation!$C$5:$D$20,2,FALSE)*C107,-PMT(0.08,G107,VLOOKUP(IF(Inflation!$B$1-Ingredients!E107&gt;0,Inflation!$B$1-Ingredients!E107,0),Inflation!$C$5:$D$20,2,FALSE)*C107,0,1))/MAX(1,H107)</f>
        <v>34756.611222699823</v>
      </c>
      <c r="J107" t="str">
        <f t="shared" si="3"/>
        <v>per setup</v>
      </c>
      <c r="K107" t="s">
        <v>1162</v>
      </c>
      <c r="L107" t="str">
        <f>IF(IFERROR(INDEX(InterventionCosts!$A$2:$A$2363,(MATCH(A107,InterventionCosts!$B$2:$B$2363,0))),1)=1,"","Yes")</f>
        <v>Yes</v>
      </c>
    </row>
    <row r="108" spans="1:12">
      <c r="A108" s="274" t="s">
        <v>1154</v>
      </c>
      <c r="C108" s="275">
        <v>6235</v>
      </c>
      <c r="D108" t="s">
        <v>1161</v>
      </c>
      <c r="E108">
        <v>2019</v>
      </c>
      <c r="F108" t="s">
        <v>1151</v>
      </c>
      <c r="I108" s="279">
        <f>IF(G108="",VLOOKUP(IF(Inflation!$B$1-Ingredients!E108&gt;0,Inflation!$B$1-Ingredients!E108,0),Inflation!$C$5:$D$20,2,FALSE)*C108,-PMT(0.08,G108,VLOOKUP(IF(Inflation!$B$1-Ingredients!E108&gt;0,Inflation!$B$1-Ingredients!E108,0),Inflation!$C$5:$D$20,2,FALSE)*C108,0,1))/MAX(1,H108)</f>
        <v>8006.8042257540328</v>
      </c>
      <c r="J108" t="str">
        <f t="shared" si="3"/>
        <v>per setup</v>
      </c>
      <c r="L108" t="str">
        <f>IF(IFERROR(INDEX(InterventionCosts!$A$2:$A$2363,(MATCH(A108,InterventionCosts!$B$2:$B$2363,0))),1)=1,"","Yes")</f>
        <v>Yes</v>
      </c>
    </row>
    <row r="109" spans="1:12">
      <c r="A109" s="274" t="s">
        <v>1153</v>
      </c>
      <c r="C109" s="275">
        <v>17708</v>
      </c>
      <c r="D109" t="s">
        <v>1161</v>
      </c>
      <c r="E109">
        <v>2019</v>
      </c>
      <c r="F109" t="s">
        <v>1151</v>
      </c>
      <c r="I109" s="279">
        <f>IF(G109="",VLOOKUP(IF(Inflation!$B$1-Ingredients!E109&gt;0,Inflation!$B$1-Ingredients!E109,0),Inflation!$C$5:$D$20,2,FALSE)*C109,-PMT(0.08,G109,VLOOKUP(IF(Inflation!$B$1-Ingredients!E109&gt;0,Inflation!$B$1-Ingredients!E109,0),Inflation!$C$5:$D$20,2,FALSE)*C109,0,1))/MAX(1,H109)</f>
        <v>22740.094503552911</v>
      </c>
      <c r="J109" t="str">
        <f t="shared" si="3"/>
        <v>per setup</v>
      </c>
      <c r="L109" t="str">
        <f>IF(IFERROR(INDEX(InterventionCosts!$A$2:$A$2363,(MATCH(A109,InterventionCosts!$B$2:$B$2363,0))),1)=1,"","Yes")</f>
        <v>Yes</v>
      </c>
    </row>
    <row r="110" spans="1:12">
      <c r="A110" s="274" t="s">
        <v>1355</v>
      </c>
      <c r="C110" s="275">
        <v>201.61670854838712</v>
      </c>
      <c r="D110" t="s">
        <v>1349</v>
      </c>
      <c r="E110">
        <v>2023</v>
      </c>
      <c r="F110" t="s">
        <v>1350</v>
      </c>
      <c r="I110" s="279">
        <f>IF(G110="",VLOOKUP(IF(Inflation!$B$1-Ingredients!E110&gt;0,Inflation!$B$1-Ingredients!E110,0),Inflation!$C$5:$D$20,2,FALSE)*C110,-PMT(0.08,G110,VLOOKUP(IF(Inflation!$B$1-Ingredients!E110&gt;0,Inflation!$B$1-Ingredients!E110,0),Inflation!$C$5:$D$20,2,FALSE)*C110,0,1))/MAX(1,H110)</f>
        <v>215.52826143822583</v>
      </c>
      <c r="J110" t="str">
        <f t="shared" si="3"/>
        <v>per client</v>
      </c>
      <c r="L110" t="str">
        <f>IF(IFERROR(INDEX(InterventionCosts!$A$2:$A$2363,(MATCH(A110,InterventionCosts!$B$2:$B$2363,0))),1)=1,"","Yes")</f>
        <v>Yes</v>
      </c>
    </row>
    <row r="111" spans="1:12">
      <c r="A111" s="274" t="s">
        <v>1356</v>
      </c>
      <c r="C111" s="275">
        <v>49</v>
      </c>
      <c r="D111" t="s">
        <v>1349</v>
      </c>
      <c r="E111">
        <v>2023</v>
      </c>
      <c r="F111" t="s">
        <v>1350</v>
      </c>
      <c r="I111" s="279">
        <f>IF(G111="",VLOOKUP(IF(Inflation!$B$1-Ingredients!E111&gt;0,Inflation!$B$1-Ingredients!E111,0),Inflation!$C$5:$D$20,2,FALSE)*C111,-PMT(0.08,G111,VLOOKUP(IF(Inflation!$B$1-Ingredients!E111&gt;0,Inflation!$B$1-Ingredients!E111,0),Inflation!$C$5:$D$20,2,FALSE)*C111,0,1))/MAX(1,H111)</f>
        <v>52.381</v>
      </c>
      <c r="J111" t="str">
        <f t="shared" ref="J111" si="4">IF(H111="",D111,"REDO")</f>
        <v>per client</v>
      </c>
      <c r="L111" t="str">
        <f>IF(IFERROR(INDEX(InterventionCosts!$A$2:$A$2363,(MATCH(A111,InterventionCosts!$B$2:$B$2363,0))),1)=1,"","Yes")</f>
        <v>Yes</v>
      </c>
    </row>
    <row r="112" spans="1:12" s="1" customFormat="1">
      <c r="A112" s="77" t="s">
        <v>103</v>
      </c>
      <c r="B112" s="77"/>
      <c r="C112" s="9"/>
      <c r="D112" s="77"/>
      <c r="E112" s="77"/>
      <c r="F112" s="77"/>
      <c r="G112" s="14"/>
      <c r="H112" s="14"/>
      <c r="I112" s="77"/>
      <c r="J112" s="77"/>
      <c r="K112" s="11"/>
      <c r="L112" t="str">
        <f>IF(IFERROR(INDEX(InterventionCosts!$A$2:$A$2363,(MATCH(A112,InterventionCosts!$B$2:$B$2363,0))),1)=1,"","Yes")</f>
        <v/>
      </c>
    </row>
    <row r="113" spans="1:12" s="1" customFormat="1">
      <c r="A113" t="s">
        <v>1533</v>
      </c>
      <c r="B113" t="s">
        <v>107</v>
      </c>
      <c r="C113" s="84">
        <v>3300</v>
      </c>
      <c r="D113" t="s">
        <v>106</v>
      </c>
      <c r="E113">
        <v>2022</v>
      </c>
      <c r="F113" t="s">
        <v>1120</v>
      </c>
      <c r="G113"/>
      <c r="H113"/>
      <c r="I113" s="279">
        <f>IF(G113="",VLOOKUP(IF(Inflation!$B$1-Ingredients!E113&gt;0,Inflation!$B$1-Ingredients!E113,0),Inflation!$C$5:$D$20,2,FALSE)*C113,-PMT(0.08,G113,VLOOKUP(IF(Inflation!$B$1-Ingredients!E113&gt;0,Inflation!$B$1-Ingredients!E113,0),Inflation!$C$5:$D$20,2,FALSE)*C113,0,1))/MAX(1,H113)</f>
        <v>3771.1112999999996</v>
      </c>
      <c r="J113" t="str">
        <f t="shared" si="3"/>
        <v>pp trained</v>
      </c>
      <c r="K113"/>
      <c r="L113" t="str">
        <f>IF(IFERROR(INDEX(InterventionCosts!$A$2:$A$2363,(MATCH(A113,InterventionCosts!$B$2:$B$2363,0))),1)=1,"","Yes")</f>
        <v>Yes</v>
      </c>
    </row>
    <row r="114" spans="1:12" s="1" customFormat="1">
      <c r="A114" t="s">
        <v>423</v>
      </c>
      <c r="B114"/>
      <c r="C114" s="84">
        <v>2600</v>
      </c>
      <c r="D114" t="s">
        <v>428</v>
      </c>
      <c r="E114">
        <v>2015</v>
      </c>
      <c r="F114" t="s">
        <v>429</v>
      </c>
      <c r="G114"/>
      <c r="H114"/>
      <c r="I114" s="279">
        <f>IF(G114="",VLOOKUP(IF(Inflation!$B$1-Ingredients!E114&gt;0,Inflation!$B$1-Ingredients!E114,0),Inflation!$C$5:$D$20,2,FALSE)*C114,-PMT(0.08,G114,VLOOKUP(IF(Inflation!$B$1-Ingredients!E114&gt;0,Inflation!$B$1-Ingredients!E114,0),Inflation!$C$5:$D$20,2,FALSE)*C114,0,1))/MAX(1,H114)</f>
        <v>4096.797192613778</v>
      </c>
      <c r="J114" t="str">
        <f t="shared" si="3"/>
        <v>per person trained</v>
      </c>
      <c r="K114"/>
      <c r="L114" t="str">
        <f>IF(IFERROR(INDEX(InterventionCosts!$A$2:$A$2363,(MATCH(A114,InterventionCosts!$B$2:$B$2363,0))),1)=1,"","Yes")</f>
        <v>Yes</v>
      </c>
    </row>
    <row r="115" spans="1:12" s="1" customFormat="1">
      <c r="A115" t="s">
        <v>424</v>
      </c>
      <c r="B115"/>
      <c r="C115" s="84">
        <v>550</v>
      </c>
      <c r="D115" t="s">
        <v>428</v>
      </c>
      <c r="E115">
        <v>2022</v>
      </c>
      <c r="F115" t="s">
        <v>1120</v>
      </c>
      <c r="G115"/>
      <c r="H115"/>
      <c r="I115" s="279">
        <f>IF(G115="",VLOOKUP(IF(Inflation!$B$1-Ingredients!E115&gt;0,Inflation!$B$1-Ingredients!E115,0),Inflation!$C$5:$D$20,2,FALSE)*C115,-PMT(0.08,G115,VLOOKUP(IF(Inflation!$B$1-Ingredients!E115&gt;0,Inflation!$B$1-Ingredients!E115,0),Inflation!$C$5:$D$20,2,FALSE)*C115,0,1))/MAX(1,H115)</f>
        <v>628.51855</v>
      </c>
      <c r="J115" t="str">
        <f t="shared" si="3"/>
        <v>per person trained</v>
      </c>
      <c r="K115"/>
      <c r="L115" t="str">
        <f>IF(IFERROR(INDEX(InterventionCosts!$A$2:$A$2363,(MATCH(A115,InterventionCosts!$B$2:$B$2363,0))),1)=1,"","Yes")</f>
        <v>Yes</v>
      </c>
    </row>
    <row r="116" spans="1:12" s="8" customFormat="1">
      <c r="A116" t="s">
        <v>104</v>
      </c>
      <c r="B116" t="s">
        <v>105</v>
      </c>
      <c r="C116" s="84">
        <f>3300/2*3</f>
        <v>4950</v>
      </c>
      <c r="D116" t="s">
        <v>106</v>
      </c>
      <c r="E116">
        <v>2022</v>
      </c>
      <c r="F116" t="s">
        <v>1120</v>
      </c>
      <c r="G116"/>
      <c r="H116"/>
      <c r="I116" s="279">
        <f>IF(G116="",VLOOKUP(IF(Inflation!$B$1-Ingredients!E116&gt;0,Inflation!$B$1-Ingredients!E116,0),Inflation!$C$5:$D$20,2,FALSE)*C116,-PMT(0.08,G116,VLOOKUP(IF(Inflation!$B$1-Ingredients!E116&gt;0,Inflation!$B$1-Ingredients!E116,0),Inflation!$C$5:$D$20,2,FALSE)*C116,0,1))/MAX(1,H116)</f>
        <v>5656.6669499999998</v>
      </c>
      <c r="J116" t="str">
        <f t="shared" si="3"/>
        <v>pp trained</v>
      </c>
      <c r="K116"/>
      <c r="L116" t="str">
        <f>IF(IFERROR(INDEX(InterventionCosts!$A$2:$A$2363,(MATCH(A116,InterventionCosts!$B$2:$B$2363,0))),1)=1,"","Yes")</f>
        <v>Yes</v>
      </c>
    </row>
    <row r="117" spans="1:12">
      <c r="A117" t="s">
        <v>108</v>
      </c>
      <c r="B117" t="s">
        <v>109</v>
      </c>
      <c r="C117" s="84">
        <f>3300/2*5</f>
        <v>8250</v>
      </c>
      <c r="D117" t="s">
        <v>106</v>
      </c>
      <c r="E117">
        <v>2022</v>
      </c>
      <c r="F117" t="s">
        <v>1120</v>
      </c>
      <c r="I117" s="279">
        <f>IF(G117="",VLOOKUP(IF(Inflation!$B$1-Ingredients!E117&gt;0,Inflation!$B$1-Ingredients!E117,0),Inflation!$C$5:$D$20,2,FALSE)*C117,-PMT(0.08,G117,VLOOKUP(IF(Inflation!$B$1-Ingredients!E117&gt;0,Inflation!$B$1-Ingredients!E117,0),Inflation!$C$5:$D$20,2,FALSE)*C117,0,1))/MAX(1,H117)</f>
        <v>9427.7782499999994</v>
      </c>
      <c r="J117" t="str">
        <f t="shared" si="3"/>
        <v>pp trained</v>
      </c>
      <c r="L117" t="str">
        <f>IF(IFERROR(INDEX(InterventionCosts!$A$2:$A$2363,(MATCH(A117,InterventionCosts!$B$2:$B$2363,0))),1)=1,"","Yes")</f>
        <v>Yes</v>
      </c>
    </row>
    <row r="118" spans="1:12" s="1" customFormat="1">
      <c r="A118" s="15" t="s">
        <v>110</v>
      </c>
      <c r="B118" s="77"/>
      <c r="C118" s="9"/>
      <c r="D118" s="77"/>
      <c r="E118" s="77"/>
      <c r="F118" s="77"/>
      <c r="G118" s="14"/>
      <c r="H118" s="14"/>
      <c r="I118" s="77"/>
      <c r="J118" s="77"/>
      <c r="K118" s="11"/>
      <c r="L118" t="str">
        <f>IF(IFERROR(INDEX(InterventionCosts!$A$2:$A$2363,(MATCH(A118,InterventionCosts!$B$2:$B$2363,0))),1)=1,"","Yes")</f>
        <v/>
      </c>
    </row>
    <row r="119" spans="1:12" s="1" customFormat="1">
      <c r="A119" t="s">
        <v>111</v>
      </c>
      <c r="B119" t="s">
        <v>356</v>
      </c>
      <c r="C119" s="84">
        <f>5350/30</f>
        <v>178.33333333333334</v>
      </c>
      <c r="D119" t="s">
        <v>237</v>
      </c>
      <c r="E119">
        <v>2018</v>
      </c>
      <c r="F119" t="s">
        <v>342</v>
      </c>
      <c r="G119"/>
      <c r="H119"/>
      <c r="I119" s="279">
        <f>IF(G119="",VLOOKUP(IF(Inflation!$B$1-Ingredients!E119&gt;0,Inflation!$B$1-Ingredients!E119,0),Inflation!$C$5:$D$20,2,FALSE)*C119,-PMT(0.08,G119,VLOOKUP(IF(Inflation!$B$1-Ingredients!E119&gt;0,Inflation!$B$1-Ingredients!E119,0),Inflation!$C$5:$D$20,2,FALSE)*C119,0,1))/MAX(1,H119)</f>
        <v>239.77392959288917</v>
      </c>
      <c r="J119" t="str">
        <f t="shared" si="3"/>
        <v>pp per workshop</v>
      </c>
      <c r="K119"/>
      <c r="L119" t="str">
        <f>IF(IFERROR(INDEX(InterventionCosts!$A$2:$A$2363,(MATCH(A119,InterventionCosts!$B$2:$B$2363,0))),1)=1,"","Yes")</f>
        <v>Yes</v>
      </c>
    </row>
    <row r="120" spans="1:12" s="65" customFormat="1">
      <c r="A120" s="15" t="s">
        <v>70</v>
      </c>
      <c r="B120" s="346"/>
      <c r="C120" s="15"/>
      <c r="D120" s="15"/>
      <c r="E120" s="15"/>
      <c r="F120" s="15"/>
      <c r="G120" s="15"/>
      <c r="H120" s="15"/>
      <c r="I120" s="15"/>
      <c r="J120" s="15"/>
      <c r="K120" s="15"/>
      <c r="L120" t="str">
        <f>IF(IFERROR(INDEX(InterventionCosts!$A$2:$A$2363,(MATCH(A120,InterventionCosts!$B$2:$B$2363,0))),1)=1,"","Yes")</f>
        <v/>
      </c>
    </row>
    <row r="121" spans="1:12" s="5" customFormat="1">
      <c r="A121" s="347" t="s">
        <v>1500</v>
      </c>
      <c r="C121" s="118"/>
      <c r="G121"/>
      <c r="H121"/>
      <c r="I121" s="279"/>
      <c r="J121"/>
      <c r="L121" t="str">
        <f>IF(IFERROR(INDEX(InterventionCosts!$A$2:$A$2363,(MATCH(A121,InterventionCosts!$B$2:$B$2363,0))),1)=1,"","Yes")</f>
        <v/>
      </c>
    </row>
    <row r="122" spans="1:12" s="5" customFormat="1">
      <c r="A122" s="5" t="s">
        <v>1109</v>
      </c>
      <c r="B122" s="5" t="s">
        <v>1108</v>
      </c>
      <c r="C122" s="118">
        <f>C126*(6*7)</f>
        <v>6.1477500000000003</v>
      </c>
      <c r="D122" s="5" t="s">
        <v>72</v>
      </c>
      <c r="E122" s="5">
        <v>2024</v>
      </c>
      <c r="F122" s="5" t="s">
        <v>1274</v>
      </c>
      <c r="G122"/>
      <c r="H122"/>
      <c r="I122" s="279">
        <f>IF(G122="",VLOOKUP(IF(Inflation!$B$1-Ingredients!E122&gt;0,Inflation!$B$1-Ingredients!E122,0),Inflation!$C$5:$D$20,2,FALSE)*C122,-PMT(0.08,G122,VLOOKUP(IF(Inflation!$B$1-Ingredients!E122&gt;0,Inflation!$B$1-Ingredients!E122,0),Inflation!$C$5:$D$20,2,FALSE)*C122,0,1))/MAX(1,H122)</f>
        <v>6.1477500000000003</v>
      </c>
      <c r="J122" t="str">
        <f t="shared" si="3"/>
        <v>per child</v>
      </c>
      <c r="L122" t="str">
        <f>IF(IFERROR(INDEX(InterventionCosts!$A$2:$A$2363,(MATCH(A122,InterventionCosts!$B$2:$B$2363,0))),1)=1,"","Yes")</f>
        <v/>
      </c>
    </row>
    <row r="123" spans="1:12" s="5" customFormat="1">
      <c r="A123" s="5" t="s">
        <v>1110</v>
      </c>
      <c r="B123" s="5" t="s">
        <v>1111</v>
      </c>
      <c r="C123" s="118">
        <f>C126*1.5*(6*7)</f>
        <v>9.2216249999999995</v>
      </c>
      <c r="D123" s="5" t="s">
        <v>72</v>
      </c>
      <c r="E123" s="5">
        <v>2024</v>
      </c>
      <c r="F123" s="5" t="s">
        <v>1274</v>
      </c>
      <c r="G123"/>
      <c r="H123"/>
      <c r="I123" s="279">
        <f>IF(G123="",VLOOKUP(IF(Inflation!$B$1-Ingredients!E123&gt;0,Inflation!$B$1-Ingredients!E123,0),Inflation!$C$5:$D$20,2,FALSE)*C123,-PMT(0.08,G123,VLOOKUP(IF(Inflation!$B$1-Ingredients!E123&gt;0,Inflation!$B$1-Ingredients!E123,0),Inflation!$C$5:$D$20,2,FALSE)*C123,0,1))/MAX(1,H123)</f>
        <v>9.2216249999999995</v>
      </c>
      <c r="J123" t="str">
        <f t="shared" si="3"/>
        <v>per child</v>
      </c>
      <c r="L123" t="str">
        <f>IF(IFERROR(INDEX(InterventionCosts!$A$2:$A$2363,(MATCH(A123,InterventionCosts!$B$2:$B$2363,0))),1)=1,"","Yes")</f>
        <v/>
      </c>
    </row>
    <row r="124" spans="1:12" s="5" customFormat="1">
      <c r="A124" s="5" t="s">
        <v>1112</v>
      </c>
      <c r="B124" s="5" t="s">
        <v>1115</v>
      </c>
      <c r="C124" s="118">
        <f>C126*5*(3*30)</f>
        <v>65.868750000000006</v>
      </c>
      <c r="D124" s="5" t="s">
        <v>72</v>
      </c>
      <c r="E124" s="5">
        <v>2024</v>
      </c>
      <c r="F124" s="5" t="s">
        <v>1274</v>
      </c>
      <c r="G124"/>
      <c r="H124"/>
      <c r="I124" s="279">
        <f>IF(G124="",VLOOKUP(IF(Inflation!$B$1-Ingredients!E124&gt;0,Inflation!$B$1-Ingredients!E124,0),Inflation!$C$5:$D$20,2,FALSE)*C124,-PMT(0.08,G124,VLOOKUP(IF(Inflation!$B$1-Ingredients!E124&gt;0,Inflation!$B$1-Ingredients!E124,0),Inflation!$C$5:$D$20,2,FALSE)*C124,0,1))/MAX(1,H124)</f>
        <v>65.868750000000006</v>
      </c>
      <c r="J124" t="str">
        <f t="shared" si="3"/>
        <v>per child</v>
      </c>
      <c r="L124" t="str">
        <f>IF(IFERROR(INDEX(InterventionCosts!$A$2:$A$2363,(MATCH(A124,InterventionCosts!$B$2:$B$2363,0))),1)=1,"","Yes")</f>
        <v>Yes</v>
      </c>
    </row>
    <row r="125" spans="1:12" s="5" customFormat="1">
      <c r="A125" s="5" t="s">
        <v>1113</v>
      </c>
      <c r="B125" s="5" t="s">
        <v>1114</v>
      </c>
      <c r="C125" s="118">
        <f>C126*8*(9*30)</f>
        <v>316.17</v>
      </c>
      <c r="D125" s="5" t="s">
        <v>72</v>
      </c>
      <c r="E125" s="5">
        <v>2024</v>
      </c>
      <c r="F125" s="5" t="s">
        <v>1274</v>
      </c>
      <c r="G125"/>
      <c r="H125"/>
      <c r="I125" s="279">
        <f>IF(G125="",VLOOKUP(IF(Inflation!$B$1-Ingredients!E125&gt;0,Inflation!$B$1-Ingredients!E125,0),Inflation!$C$5:$D$20,2,FALSE)*C125,-PMT(0.08,G125,VLOOKUP(IF(Inflation!$B$1-Ingredients!E125&gt;0,Inflation!$B$1-Ingredients!E125,0),Inflation!$C$5:$D$20,2,FALSE)*C125,0,1))/MAX(1,H125)</f>
        <v>316.17</v>
      </c>
      <c r="J125" t="str">
        <f t="shared" si="3"/>
        <v>per child</v>
      </c>
      <c r="L125" t="str">
        <f>IF(IFERROR(INDEX(InterventionCosts!$A$2:$A$2363,(MATCH(A125,InterventionCosts!$B$2:$B$2363,0))),1)=1,"","Yes")</f>
        <v>Yes</v>
      </c>
    </row>
    <row r="126" spans="1:12" s="5" customFormat="1">
      <c r="A126" t="s">
        <v>1309</v>
      </c>
      <c r="C126" s="118">
        <f>INDEX(ARVs!$E$76:$E$117,MATCH(Ingredients!A126,ARVs!$G$76:$G$117,0))/240</f>
        <v>0.14637500000000001</v>
      </c>
      <c r="D126" s="5" t="s">
        <v>1340</v>
      </c>
      <c r="E126" s="5">
        <v>2024</v>
      </c>
      <c r="F126" s="5" t="s">
        <v>1274</v>
      </c>
      <c r="G126"/>
      <c r="H126"/>
      <c r="I126" s="279"/>
      <c r="J126" t="str">
        <f t="shared" si="3"/>
        <v>per ml</v>
      </c>
      <c r="L126" t="str">
        <f>IF(IFERROR(INDEX(InterventionCosts!$A$2:$A$2363,(MATCH(A126,InterventionCosts!$B$2:$B$2363,0))),1)=1,"","Yes")</f>
        <v/>
      </c>
    </row>
    <row r="127" spans="1:12" s="5" customFormat="1">
      <c r="A127" s="5" t="s">
        <v>1322</v>
      </c>
      <c r="B127" s="5" t="s">
        <v>1330</v>
      </c>
      <c r="C127" s="118">
        <f>INDEX(ARVs!$E$76:$E$117,MATCH(Ingredients!A127,ARVs!$G$76:$G$117,0))*4</f>
        <v>6.28</v>
      </c>
      <c r="D127" s="5" t="s">
        <v>1116</v>
      </c>
      <c r="E127" s="5">
        <v>2024</v>
      </c>
      <c r="F127" s="5" t="s">
        <v>1274</v>
      </c>
      <c r="G127"/>
      <c r="H127"/>
      <c r="I127" s="279">
        <f>IF(G127="",VLOOKUP(IF(Inflation!$B$1-Ingredients!E127&gt;0,Inflation!$B$1-Ingredients!E127,0),Inflation!$C$5:$D$20,2,FALSE)*C127,-PMT(0.08,G127,VLOOKUP(IF(Inflation!$B$1-Ingredients!E127&gt;0,Inflation!$B$1-Ingredients!E127,0),Inflation!$C$5:$D$20,2,FALSE)*C127,0,1))/MAX(1,H127)</f>
        <v>6.28</v>
      </c>
      <c r="J127" t="str">
        <f t="shared" si="3"/>
        <v>per dose</v>
      </c>
      <c r="L127" t="str">
        <f>IF(IFERROR(INDEX(InterventionCosts!$A$2:$A$2363,(MATCH(A127,InterventionCosts!$B$2:$B$2363,0))),1)=1,"","Yes")</f>
        <v>Yes</v>
      </c>
    </row>
    <row r="128" spans="1:12" s="5" customFormat="1">
      <c r="A128" s="5" t="s">
        <v>1318</v>
      </c>
      <c r="B128" s="5" t="s">
        <v>1329</v>
      </c>
      <c r="C128" s="118">
        <f>INDEX(ARVs!$E$76:$E$117,MATCH(Ingredients!A128,ARVs!$G$76:$G$117,0))</f>
        <v>2.3174285804893584</v>
      </c>
      <c r="D128" s="5" t="s">
        <v>1116</v>
      </c>
      <c r="E128" s="5">
        <v>2024</v>
      </c>
      <c r="F128" s="5" t="s">
        <v>1274</v>
      </c>
      <c r="G128"/>
      <c r="H128"/>
      <c r="I128" s="279">
        <f>IF(G128="",VLOOKUP(IF(Inflation!$B$1-Ingredients!E128&gt;0,Inflation!$B$1-Ingredients!E128,0),Inflation!$C$5:$D$20,2,FALSE)*C128,-PMT(0.08,G128,VLOOKUP(IF(Inflation!$B$1-Ingredients!E128&gt;0,Inflation!$B$1-Ingredients!E128,0),Inflation!$C$5:$D$20,2,FALSE)*C128,0,1))/MAX(1,H128)</f>
        <v>2.3174285804893584</v>
      </c>
      <c r="J128" t="str">
        <f t="shared" si="3"/>
        <v>per dose</v>
      </c>
      <c r="L128" t="str">
        <f>IF(IFERROR(INDEX(InterventionCosts!$A$2:$A$2363,(MATCH(A128,InterventionCosts!$B$2:$B$2363,0))),1)=1,"","Yes")</f>
        <v>Yes</v>
      </c>
    </row>
    <row r="129" spans="1:12" s="5" customFormat="1">
      <c r="A129" s="5" t="s">
        <v>1303</v>
      </c>
      <c r="B129" s="5" t="s">
        <v>1328</v>
      </c>
      <c r="C129" s="118">
        <f>INDEX(ARVs!$E$76:$E$117,MATCH(Ingredients!A129,ARVs!$G$76:$G$117,0))</f>
        <v>0.74821428571428572</v>
      </c>
      <c r="D129" s="5" t="s">
        <v>1116</v>
      </c>
      <c r="E129" s="5">
        <v>2024</v>
      </c>
      <c r="F129" s="5" t="s">
        <v>1274</v>
      </c>
      <c r="G129"/>
      <c r="H129"/>
      <c r="I129" s="279">
        <f>IF(G129="",VLOOKUP(IF(Inflation!$B$1-Ingredients!E129&gt;0,Inflation!$B$1-Ingredients!E129,0),Inflation!$C$5:$D$20,2,FALSE)*C129,-PMT(0.08,G129,VLOOKUP(IF(Inflation!$B$1-Ingredients!E129&gt;0,Inflation!$B$1-Ingredients!E129,0),Inflation!$C$5:$D$20,2,FALSE)*C129,0,1))/MAX(1,H129)</f>
        <v>0.74821428571428572</v>
      </c>
      <c r="J129" t="str">
        <f t="shared" si="3"/>
        <v>per dose</v>
      </c>
      <c r="L129" t="str">
        <f>IF(IFERROR(INDEX(InterventionCosts!$A$2:$A$2363,(MATCH(A129,InterventionCosts!$B$2:$B$2363,0))),1)=1,"","Yes")</f>
        <v>Yes</v>
      </c>
    </row>
    <row r="130" spans="1:12" s="5" customFormat="1">
      <c r="A130" s="5" t="s">
        <v>74</v>
      </c>
      <c r="B130" s="5" t="s">
        <v>1341</v>
      </c>
      <c r="C130" s="118">
        <f>C132*30*(9+12)</f>
        <v>1859.7908051229006</v>
      </c>
      <c r="D130" s="5" t="s">
        <v>73</v>
      </c>
      <c r="E130" s="5">
        <v>2024</v>
      </c>
      <c r="F130" s="5" t="s">
        <v>1274</v>
      </c>
      <c r="G130"/>
      <c r="H130"/>
      <c r="I130" s="279">
        <f>IF(G130="",VLOOKUP(IF(Inflation!$B$1-Ingredients!E130&gt;0,Inflation!$B$1-Ingredients!E130,0),Inflation!$C$5:$D$20,2,FALSE)*C130,-PMT(0.08,G130,VLOOKUP(IF(Inflation!$B$1-Ingredients!E130&gt;0,Inflation!$B$1-Ingredients!E130,0),Inflation!$C$5:$D$20,2,FALSE)*C130,0,1))/MAX(1,H130)</f>
        <v>1859.7908051229006</v>
      </c>
      <c r="J130" t="str">
        <f t="shared" si="3"/>
        <v>per mother</v>
      </c>
      <c r="L130" t="str">
        <f>IF(IFERROR(INDEX(InterventionCosts!$A$2:$A$2363,(MATCH(A130,InterventionCosts!$B$2:$B$2363,0))),1)=1,"","Yes")</f>
        <v/>
      </c>
    </row>
    <row r="131" spans="1:12" s="5" customFormat="1">
      <c r="A131" s="347" t="s">
        <v>1503</v>
      </c>
      <c r="C131" s="118"/>
      <c r="G131"/>
      <c r="H131"/>
      <c r="I131" s="279"/>
      <c r="J131"/>
      <c r="L131" t="str">
        <f>IF(IFERROR(INDEX(InterventionCosts!$A$2:$A$2363,(MATCH(A131,InterventionCosts!$B$2:$B$2363,0))),1)=1,"","Yes")</f>
        <v/>
      </c>
    </row>
    <row r="132" spans="1:12" s="5" customFormat="1" ht="13.75" customHeight="1">
      <c r="A132" s="5" t="s">
        <v>1367</v>
      </c>
      <c r="B132" s="5" t="s">
        <v>1501</v>
      </c>
      <c r="C132" s="118">
        <f>INDEX(ARVs!$E$76:$E$117,MATCH(Ingredients!A132,ARVs!$G$76:$G$117,0))</f>
        <v>2.952048897020477</v>
      </c>
      <c r="D132" s="5" t="s">
        <v>479</v>
      </c>
      <c r="E132" s="5">
        <v>2024</v>
      </c>
      <c r="F132" s="5" t="s">
        <v>1274</v>
      </c>
      <c r="G132"/>
      <c r="H132"/>
      <c r="I132" s="279">
        <f>IF(G132="",VLOOKUP(IF(Inflation!$B$1-Ingredients!E132&gt;0,Inflation!$B$1-Ingredients!E132,0),Inflation!$C$5:$D$20,2,FALSE)*C132,-PMT(0.08,G132,VLOOKUP(IF(Inflation!$B$1-Ingredients!E132&gt;0,Inflation!$B$1-Ingredients!E132,0),Inflation!$C$5:$D$20,2,FALSE)*C132,0,1))/MAX(1,H132)</f>
        <v>2.952048897020477</v>
      </c>
      <c r="J132" t="str">
        <f t="shared" si="3"/>
        <v>per day</v>
      </c>
      <c r="L132" t="str">
        <f>IF(IFERROR(INDEX(InterventionCosts!$A$2:$A$2363,(MATCH(A132,InterventionCosts!$B$2:$B$2363,0))),1)=1,"","Yes")</f>
        <v>Yes</v>
      </c>
    </row>
    <row r="133" spans="1:12" s="5" customFormat="1">
      <c r="A133" s="5" t="s">
        <v>888</v>
      </c>
      <c r="B133" s="155" t="s">
        <v>484</v>
      </c>
      <c r="C133" s="118">
        <f>C134+C135+C136</f>
        <v>1.2484133422164692</v>
      </c>
      <c r="D133" s="5" t="s">
        <v>479</v>
      </c>
      <c r="E133" s="5">
        <v>2024</v>
      </c>
      <c r="F133" s="5" t="s">
        <v>1274</v>
      </c>
      <c r="G133"/>
      <c r="H133"/>
      <c r="I133" s="279">
        <f>IF(G133="",VLOOKUP(IF(Inflation!$B$1-Ingredients!E133&gt;0,Inflation!$B$1-Ingredients!E133,0),Inflation!$C$5:$D$20,2,FALSE)*C133,-PMT(0.08,G133,VLOOKUP(IF(Inflation!$B$1-Ingredients!E133&gt;0,Inflation!$B$1-Ingredients!E133,0),Inflation!$C$5:$D$20,2,FALSE)*C133,0,1))/MAX(1,H133)</f>
        <v>1.2484133422164692</v>
      </c>
      <c r="J133" t="str">
        <f t="shared" si="3"/>
        <v>per day</v>
      </c>
      <c r="L133" t="str">
        <f>IF(IFERROR(INDEX(InterventionCosts!$A$2:$A$2363,(MATCH(A133,InterventionCosts!$B$2:$B$2363,0))),1)=1,"","Yes")</f>
        <v>Yes</v>
      </c>
    </row>
    <row r="134" spans="1:12" s="5" customFormat="1">
      <c r="A134" s="176" t="s">
        <v>1323</v>
      </c>
      <c r="B134" s="5" t="s">
        <v>862</v>
      </c>
      <c r="C134" s="118">
        <f>INDEX(ARVs!$E$76:$E$117,MATCH(Ingredients!A134,ARVs!$G$76:$G$117,0))/(200/3)</f>
        <v>0.50190000000000001</v>
      </c>
      <c r="D134" s="5" t="s">
        <v>479</v>
      </c>
      <c r="E134" s="5">
        <v>2024</v>
      </c>
      <c r="F134" s="5" t="s">
        <v>1274</v>
      </c>
      <c r="G134"/>
      <c r="H134"/>
      <c r="I134" s="279">
        <f>IF(G134="",VLOOKUP(IF(Inflation!$B$1-Ingredients!E134&gt;0,Inflation!$B$1-Ingredients!E134,0),Inflation!$C$5:$D$20,2,FALSE)*C134,-PMT(0.08,G134,VLOOKUP(IF(Inflation!$B$1-Ingredients!E134&gt;0,Inflation!$B$1-Ingredients!E134,0),Inflation!$C$5:$D$20,2,FALSE)*C134,0,1))/MAX(1,H134)</f>
        <v>0.50190000000000001</v>
      </c>
      <c r="J134" t="str">
        <f t="shared" si="3"/>
        <v>per day</v>
      </c>
      <c r="L134" t="str">
        <f>IF(IFERROR(INDEX(InterventionCosts!$A$2:$A$2363,(MATCH(A134,InterventionCosts!$B$2:$B$2363,0))),1)=1,"","Yes")</f>
        <v/>
      </c>
    </row>
    <row r="135" spans="1:12" s="5" customFormat="1">
      <c r="A135" s="176" t="s">
        <v>1312</v>
      </c>
      <c r="B135" s="5" t="s">
        <v>863</v>
      </c>
      <c r="C135" s="118">
        <f>INDEX(ARVs!$E$76:$E$117,MATCH(Ingredients!A135,ARVs!$G$76:$G$117,0))/(240/1.6)</f>
        <v>0.1610133422164691</v>
      </c>
      <c r="D135" s="5" t="s">
        <v>479</v>
      </c>
      <c r="E135" s="5">
        <v>2024</v>
      </c>
      <c r="F135" s="5" t="s">
        <v>1274</v>
      </c>
      <c r="G135"/>
      <c r="H135"/>
      <c r="I135" s="279">
        <f>IF(G135="",VLOOKUP(IF(Inflation!$B$1-Ingredients!E135&gt;0,Inflation!$B$1-Ingredients!E135,0),Inflation!$C$5:$D$20,2,FALSE)*C135,-PMT(0.08,G135,VLOOKUP(IF(Inflation!$B$1-Ingredients!E135&gt;0,Inflation!$B$1-Ingredients!E135,0),Inflation!$C$5:$D$20,2,FALSE)*C135,0,1))/MAX(1,H135)</f>
        <v>0.1610133422164691</v>
      </c>
      <c r="J135" t="str">
        <f t="shared" si="3"/>
        <v>per day</v>
      </c>
      <c r="L135" t="str">
        <f>IF(IFERROR(INDEX(InterventionCosts!$A$2:$A$2363,(MATCH(A135,InterventionCosts!$B$2:$B$2363,0))),1)=1,"","Yes")</f>
        <v/>
      </c>
    </row>
    <row r="136" spans="1:12" s="5" customFormat="1">
      <c r="A136" s="176" t="s">
        <v>1309</v>
      </c>
      <c r="B136" s="5" t="s">
        <v>864</v>
      </c>
      <c r="C136" s="118">
        <f>INDEX(ARVs!$E$76:$E$117,MATCH(Ingredients!A136,ARVs!$G$76:$G$117,0))/(240/4)</f>
        <v>0.58550000000000002</v>
      </c>
      <c r="D136" s="5" t="s">
        <v>479</v>
      </c>
      <c r="E136" s="5">
        <v>2024</v>
      </c>
      <c r="F136" s="5" t="s">
        <v>1274</v>
      </c>
      <c r="G136"/>
      <c r="H136"/>
      <c r="I136" s="279">
        <f>IF(G136="",VLOOKUP(IF(Inflation!$B$1-Ingredients!E136&gt;0,Inflation!$B$1-Ingredients!E136,0),Inflation!$C$5:$D$20,2,FALSE)*C136,-PMT(0.08,G136,VLOOKUP(IF(Inflation!$B$1-Ingredients!E136&gt;0,Inflation!$B$1-Ingredients!E136,0),Inflation!$C$5:$D$20,2,FALSE)*C136,0,1))/MAX(1,H136)</f>
        <v>0.58550000000000002</v>
      </c>
      <c r="J136" t="str">
        <f t="shared" si="3"/>
        <v>per day</v>
      </c>
      <c r="L136" t="str">
        <f>IF(IFERROR(INDEX(InterventionCosts!$A$2:$A$2363,(MATCH(A136,InterventionCosts!$B$2:$B$2363,0))),1)=1,"","Yes")</f>
        <v/>
      </c>
    </row>
    <row r="137" spans="1:12" s="5" customFormat="1">
      <c r="C137" s="118"/>
      <c r="G137"/>
      <c r="H137"/>
      <c r="I137" s="279"/>
      <c r="J137"/>
      <c r="L137" t="str">
        <f>IF(IFERROR(INDEX(InterventionCosts!$A$2:$A$2363,(MATCH(A137,InterventionCosts!$B$2:$B$2363,0))),1)=1,"","Yes")</f>
        <v/>
      </c>
    </row>
    <row r="138" spans="1:12" s="5" customFormat="1">
      <c r="A138" s="5" t="s">
        <v>887</v>
      </c>
      <c r="B138" s="155" t="s">
        <v>859</v>
      </c>
      <c r="C138" s="118">
        <f>C139+C140+C141</f>
        <v>4.4934500333117597</v>
      </c>
      <c r="D138" s="5" t="s">
        <v>479</v>
      </c>
      <c r="E138" s="5">
        <v>2024</v>
      </c>
      <c r="F138" s="5" t="s">
        <v>1274</v>
      </c>
      <c r="G138"/>
      <c r="H138"/>
      <c r="I138" s="279">
        <f>IF(G138="",VLOOKUP(IF(Inflation!$B$1-Ingredients!E138&gt;0,Inflation!$B$1-Ingredients!E138,0),Inflation!$C$5:$D$20,2,FALSE)*C138,-PMT(0.08,G138,VLOOKUP(IF(Inflation!$B$1-Ingredients!E138&gt;0,Inflation!$B$1-Ingredients!E138,0),Inflation!$C$5:$D$20,2,FALSE)*C138,0,1))/MAX(1,H138)</f>
        <v>4.4934500333117597</v>
      </c>
      <c r="J138" t="str">
        <f t="shared" si="3"/>
        <v>per day</v>
      </c>
      <c r="L138" t="str">
        <f>IF(IFERROR(INDEX(InterventionCosts!$A$2:$A$2363,(MATCH(A138,InterventionCosts!$B$2:$B$2363,0))),1)=1,"","Yes")</f>
        <v>Yes</v>
      </c>
    </row>
    <row r="139" spans="1:12" s="5" customFormat="1">
      <c r="A139" s="176" t="s">
        <v>1323</v>
      </c>
      <c r="B139" s="5" t="s">
        <v>889</v>
      </c>
      <c r="C139" s="118">
        <f>INDEX(ARVs!$E$76:$E$117,MATCH(Ingredients!A139,ARVs!$G$76:$G$117,0))/(200/18)</f>
        <v>3.0114000000000001</v>
      </c>
      <c r="D139" s="5" t="s">
        <v>479</v>
      </c>
      <c r="E139" s="5">
        <v>2024</v>
      </c>
      <c r="F139" s="5" t="s">
        <v>1274</v>
      </c>
      <c r="G139"/>
      <c r="H139"/>
      <c r="I139" s="279">
        <f>IF(G139="",VLOOKUP(IF(Inflation!$B$1-Ingredients!E139&gt;0,Inflation!$B$1-Ingredients!E139,0),Inflation!$C$5:$D$20,2,FALSE)*C139,-PMT(0.08,G139,VLOOKUP(IF(Inflation!$B$1-Ingredients!E139&gt;0,Inflation!$B$1-Ingredients!E139,0),Inflation!$C$5:$D$20,2,FALSE)*C139,0,1))/MAX(1,H139)</f>
        <v>3.0114000000000001</v>
      </c>
      <c r="J139" t="str">
        <f t="shared" ref="J139:J207" si="5">IF(H139="",D139,"REDO")</f>
        <v>per day</v>
      </c>
      <c r="L139" t="str">
        <f>IF(IFERROR(INDEX(InterventionCosts!$A$2:$A$2363,(MATCH(A139,InterventionCosts!$B$2:$B$2363,0))),1)=1,"","Yes")</f>
        <v/>
      </c>
    </row>
    <row r="140" spans="1:12" s="5" customFormat="1">
      <c r="A140" s="176" t="s">
        <v>1312</v>
      </c>
      <c r="B140" s="5" t="s">
        <v>861</v>
      </c>
      <c r="C140" s="118">
        <f>INDEX(ARVs!$E$76:$E$117,MATCH(Ingredients!A140,ARVs!$G$76:$G$117,0))/(240/6)</f>
        <v>0.60380003331175913</v>
      </c>
      <c r="D140" s="5" t="s">
        <v>479</v>
      </c>
      <c r="E140" s="5">
        <v>2024</v>
      </c>
      <c r="F140" s="5" t="s">
        <v>1274</v>
      </c>
      <c r="G140"/>
      <c r="H140"/>
      <c r="I140" s="279">
        <f>IF(G140="",VLOOKUP(IF(Inflation!$B$1-Ingredients!E140&gt;0,Inflation!$B$1-Ingredients!E140,0),Inflation!$C$5:$D$20,2,FALSE)*C140,-PMT(0.08,G140,VLOOKUP(IF(Inflation!$B$1-Ingredients!E140&gt;0,Inflation!$B$1-Ingredients!E140,0),Inflation!$C$5:$D$20,2,FALSE)*C140,0,1))/MAX(1,H140)</f>
        <v>0.60380003331175913</v>
      </c>
      <c r="J140" t="str">
        <f t="shared" si="5"/>
        <v>per day</v>
      </c>
      <c r="L140" t="str">
        <f>IF(IFERROR(INDEX(InterventionCosts!$A$2:$A$2363,(MATCH(A140,InterventionCosts!$B$2:$B$2363,0))),1)=1,"","Yes")</f>
        <v/>
      </c>
    </row>
    <row r="141" spans="1:12" s="5" customFormat="1">
      <c r="A141" s="176" t="s">
        <v>1309</v>
      </c>
      <c r="B141" s="5" t="s">
        <v>861</v>
      </c>
      <c r="C141" s="118">
        <f>INDEX(ARVs!$E$76:$E$117,MATCH(Ingredients!A141,ARVs!$G$76:$G$117,0))/(240/6)</f>
        <v>0.87825000000000009</v>
      </c>
      <c r="D141" s="5" t="s">
        <v>479</v>
      </c>
      <c r="E141" s="5">
        <v>2024</v>
      </c>
      <c r="F141" s="5" t="s">
        <v>1274</v>
      </c>
      <c r="G141"/>
      <c r="H141"/>
      <c r="I141" s="279">
        <f>IF(G141="",VLOOKUP(IF(Inflation!$B$1-Ingredients!E141&gt;0,Inflation!$B$1-Ingredients!E141,0),Inflation!$C$5:$D$20,2,FALSE)*C141,-PMT(0.08,G141,VLOOKUP(IF(Inflation!$B$1-Ingredients!E141&gt;0,Inflation!$B$1-Ingredients!E141,0),Inflation!$C$5:$D$20,2,FALSE)*C141,0,1))/MAX(1,H141)</f>
        <v>0.87825000000000009</v>
      </c>
      <c r="J141" t="str">
        <f t="shared" si="5"/>
        <v>per day</v>
      </c>
      <c r="L141" t="str">
        <f>IF(IFERROR(INDEX(InterventionCosts!$A$2:$A$2363,(MATCH(A141,InterventionCosts!$B$2:$B$2363,0))),1)=1,"","Yes")</f>
        <v/>
      </c>
    </row>
    <row r="142" spans="1:12" s="5" customFormat="1">
      <c r="C142" s="118"/>
      <c r="G142"/>
      <c r="H142"/>
      <c r="I142" s="279"/>
      <c r="J142"/>
      <c r="L142" t="str">
        <f>IF(IFERROR(INDEX(InterventionCosts!$A$2:$A$2363,(MATCH(A142,InterventionCosts!$B$2:$B$2363,0))),1)=1,"","Yes")</f>
        <v/>
      </c>
    </row>
    <row r="143" spans="1:12" s="5" customFormat="1">
      <c r="A143" s="5" t="s">
        <v>481</v>
      </c>
      <c r="B143" s="155" t="s">
        <v>859</v>
      </c>
      <c r="C143" s="118">
        <f>C144+C145+C146</f>
        <v>6.5477000379236046</v>
      </c>
      <c r="D143" s="5" t="s">
        <v>479</v>
      </c>
      <c r="E143" s="5">
        <v>2024</v>
      </c>
      <c r="F143" s="5" t="s">
        <v>1274</v>
      </c>
      <c r="G143"/>
      <c r="H143"/>
      <c r="I143" s="279">
        <f>IF(G143="",VLOOKUP(IF(Inflation!$B$1-Ingredients!E143&gt;0,Inflation!$B$1-Ingredients!E143,0),Inflation!$C$5:$D$20,2,FALSE)*C143,-PMT(0.08,G143,VLOOKUP(IF(Inflation!$B$1-Ingredients!E143&gt;0,Inflation!$B$1-Ingredients!E143,0),Inflation!$C$5:$D$20,2,FALSE)*C143,0,1))/MAX(1,H143)</f>
        <v>6.5477000379236046</v>
      </c>
      <c r="J143" t="str">
        <f t="shared" si="5"/>
        <v>per day</v>
      </c>
      <c r="L143" t="str">
        <f>IF(IFERROR(INDEX(InterventionCosts!$A$2:$A$2363,(MATCH(A143,InterventionCosts!$B$2:$B$2363,0))),1)=1,"","Yes")</f>
        <v>Yes</v>
      </c>
    </row>
    <row r="144" spans="1:12" s="5" customFormat="1">
      <c r="A144" s="176" t="s">
        <v>1310</v>
      </c>
      <c r="B144" s="5" t="s">
        <v>861</v>
      </c>
      <c r="C144" s="118">
        <f>INDEX(ARVs!$E$76:$E$117,MATCH(Ingredients!A144,ARVs!$G$76:$G$117,0))/(240/6)</f>
        <v>1.8669000046118451</v>
      </c>
      <c r="D144" s="5" t="s">
        <v>479</v>
      </c>
      <c r="E144" s="5">
        <v>2024</v>
      </c>
      <c r="F144" s="5" t="s">
        <v>1274</v>
      </c>
      <c r="G144"/>
      <c r="H144"/>
      <c r="I144" s="279">
        <f>IF(G144="",VLOOKUP(IF(Inflation!$B$1-Ingredients!E144&gt;0,Inflation!$B$1-Ingredients!E144,0),Inflation!$C$5:$D$20,2,FALSE)*C144,-PMT(0.08,G144,VLOOKUP(IF(Inflation!$B$1-Ingredients!E144&gt;0,Inflation!$B$1-Ingredients!E144,0),Inflation!$C$5:$D$20,2,FALSE)*C144,0,1))/MAX(1,H144)</f>
        <v>1.8669000046118451</v>
      </c>
      <c r="J144" t="str">
        <f t="shared" si="5"/>
        <v>per day</v>
      </c>
      <c r="L144" t="str">
        <f>IF(IFERROR(INDEX(InterventionCosts!$A$2:$A$2363,(MATCH(A144,InterventionCosts!$B$2:$B$2363,0))),1)=1,"","Yes")</f>
        <v/>
      </c>
    </row>
    <row r="145" spans="1:12" s="5" customFormat="1">
      <c r="A145" s="176" t="s">
        <v>1312</v>
      </c>
      <c r="B145" s="5" t="s">
        <v>861</v>
      </c>
      <c r="C145" s="118">
        <f>INDEX(ARVs!$E$76:$E$117,MATCH(Ingredients!A145,ARVs!$G$76:$G$117,0))/(240/6)</f>
        <v>0.60380003331175913</v>
      </c>
      <c r="D145" s="5" t="s">
        <v>479</v>
      </c>
      <c r="E145" s="5">
        <v>2024</v>
      </c>
      <c r="F145" s="5" t="s">
        <v>1274</v>
      </c>
      <c r="G145"/>
      <c r="H145"/>
      <c r="I145" s="279">
        <f>IF(G145="",VLOOKUP(IF(Inflation!$B$1-Ingredients!E145&gt;0,Inflation!$B$1-Ingredients!E145,0),Inflation!$C$5:$D$20,2,FALSE)*C145,-PMT(0.08,G145,VLOOKUP(IF(Inflation!$B$1-Ingredients!E145&gt;0,Inflation!$B$1-Ingredients!E145,0),Inflation!$C$5:$D$20,2,FALSE)*C145,0,1))/MAX(1,H145)</f>
        <v>0.60380003331175913</v>
      </c>
      <c r="J145" t="str">
        <f t="shared" si="5"/>
        <v>per day</v>
      </c>
      <c r="L145" t="str">
        <f>IF(IFERROR(INDEX(InterventionCosts!$A$2:$A$2363,(MATCH(A145,InterventionCosts!$B$2:$B$2363,0))),1)=1,"","Yes")</f>
        <v/>
      </c>
    </row>
    <row r="146" spans="1:12" s="5" customFormat="1">
      <c r="A146" s="176" t="s">
        <v>1311</v>
      </c>
      <c r="B146" s="5" t="s">
        <v>862</v>
      </c>
      <c r="C146" s="118">
        <f>INDEX(ARVs!$E$76:$E$117,MATCH(Ingredients!A146,ARVs!$G$76:$G$117,0))/(60/3)</f>
        <v>4.077</v>
      </c>
      <c r="D146" s="5" t="s">
        <v>479</v>
      </c>
      <c r="E146" s="5">
        <v>2024</v>
      </c>
      <c r="F146" s="5" t="s">
        <v>1274</v>
      </c>
      <c r="G146"/>
      <c r="H146"/>
      <c r="I146" s="279">
        <f>IF(G146="",VLOOKUP(IF(Inflation!$B$1-Ingredients!E146&gt;0,Inflation!$B$1-Ingredients!E146,0),Inflation!$C$5:$D$20,2,FALSE)*C146,-PMT(0.08,G146,VLOOKUP(IF(Inflation!$B$1-Ingredients!E146&gt;0,Inflation!$B$1-Ingredients!E146,0),Inflation!$C$5:$D$20,2,FALSE)*C146,0,1))/MAX(1,H146)</f>
        <v>4.077</v>
      </c>
      <c r="J146" t="str">
        <f t="shared" si="5"/>
        <v>per day</v>
      </c>
      <c r="L146" t="str">
        <f>IF(IFERROR(INDEX(InterventionCosts!$A$2:$A$2363,(MATCH(A146,InterventionCosts!$B$2:$B$2363,0))),1)=1,"","Yes")</f>
        <v/>
      </c>
    </row>
    <row r="147" spans="1:12" s="5" customFormat="1">
      <c r="C147" s="118"/>
      <c r="G147"/>
      <c r="H147"/>
      <c r="I147" s="279"/>
      <c r="J147"/>
      <c r="L147" t="str">
        <f>IF(IFERROR(INDEX(InterventionCosts!$A$2:$A$2363,(MATCH(A147,InterventionCosts!$B$2:$B$2363,0))),1)=1,"","Yes")</f>
        <v/>
      </c>
    </row>
    <row r="148" spans="1:12" s="5" customFormat="1">
      <c r="A148" s="5" t="s">
        <v>890</v>
      </c>
      <c r="B148" s="155" t="s">
        <v>859</v>
      </c>
      <c r="C148" s="118">
        <f>C143+C149</f>
        <v>10.331700037923603</v>
      </c>
      <c r="D148" s="5" t="s">
        <v>479</v>
      </c>
      <c r="E148" s="5">
        <v>2024</v>
      </c>
      <c r="F148" s="5" t="s">
        <v>1274</v>
      </c>
      <c r="G148"/>
      <c r="H148"/>
      <c r="I148" s="279">
        <f>IF(G148="",VLOOKUP(IF(Inflation!$B$1-Ingredients!E148&gt;0,Inflation!$B$1-Ingredients!E148,0),Inflation!$C$5:$D$20,2,FALSE)*C148,-PMT(0.08,G148,VLOOKUP(IF(Inflation!$B$1-Ingredients!E148&gt;0,Inflation!$B$1-Ingredients!E148,0),Inflation!$C$5:$D$20,2,FALSE)*C148,0,1))/MAX(1,H148)</f>
        <v>10.331700037923603</v>
      </c>
      <c r="J148" t="str">
        <f t="shared" si="5"/>
        <v>per day</v>
      </c>
      <c r="L148" t="str">
        <f>IF(IFERROR(INDEX(InterventionCosts!$A$2:$A$2363,(MATCH(A148,InterventionCosts!$B$2:$B$2363,0))),1)=1,"","Yes")</f>
        <v>Yes</v>
      </c>
    </row>
    <row r="149" spans="1:12" s="5" customFormat="1">
      <c r="A149" s="176" t="s">
        <v>1331</v>
      </c>
      <c r="B149" s="5" t="s">
        <v>891</v>
      </c>
      <c r="C149" s="118">
        <f>INDEX(ARVs!$E$76:$E$117,MATCH(Ingredients!A149,ARVs!$G$76:$G$117,0))*2</f>
        <v>3.7839999999999998</v>
      </c>
      <c r="D149" s="5" t="s">
        <v>479</v>
      </c>
      <c r="E149" s="5">
        <v>2024</v>
      </c>
      <c r="F149" s="5" t="s">
        <v>1274</v>
      </c>
      <c r="G149"/>
      <c r="H149"/>
      <c r="I149" s="279">
        <f>IF(G149="",VLOOKUP(IF(Inflation!$B$1-Ingredients!E149&gt;0,Inflation!$B$1-Ingredients!E149,0),Inflation!$C$5:$D$20,2,FALSE)*C149,-PMT(0.08,G149,VLOOKUP(IF(Inflation!$B$1-Ingredients!E149&gt;0,Inflation!$B$1-Ingredients!E149,0),Inflation!$C$5:$D$20,2,FALSE)*C149,0,1))/MAX(1,H149)</f>
        <v>3.7839999999999998</v>
      </c>
      <c r="J149" t="str">
        <f t="shared" si="5"/>
        <v>per day</v>
      </c>
      <c r="L149" t="str">
        <f>IF(IFERROR(INDEX(InterventionCosts!$A$2:$A$2363,(MATCH(A149,InterventionCosts!$B$2:$B$2363,0))),1)=1,"","Yes")</f>
        <v/>
      </c>
    </row>
    <row r="150" spans="1:12" s="5" customFormat="1">
      <c r="C150" s="118"/>
      <c r="G150"/>
      <c r="H150"/>
      <c r="I150" s="279"/>
      <c r="J150"/>
      <c r="L150" t="str">
        <f>IF(IFERROR(INDEX(InterventionCosts!$A$2:$A$2363,(MATCH(A150,InterventionCosts!$B$2:$B$2363,0))),1)=1,"","Yes")</f>
        <v/>
      </c>
    </row>
    <row r="151" spans="1:12" s="5" customFormat="1">
      <c r="A151" s="5" t="s">
        <v>867</v>
      </c>
      <c r="B151" s="155" t="s">
        <v>860</v>
      </c>
      <c r="C151" s="118">
        <f>C152+C153+C154</f>
        <v>10.377400075847209</v>
      </c>
      <c r="D151" s="5" t="s">
        <v>479</v>
      </c>
      <c r="E151" s="5">
        <v>2024</v>
      </c>
      <c r="F151" s="5" t="s">
        <v>1274</v>
      </c>
      <c r="G151"/>
      <c r="H151"/>
      <c r="I151" s="279">
        <f>IF(G151="",VLOOKUP(IF(Inflation!$B$1-Ingredients!E151&gt;0,Inflation!$B$1-Ingredients!E151,0),Inflation!$C$5:$D$20,2,FALSE)*C151,-PMT(0.08,G151,VLOOKUP(IF(Inflation!$B$1-Ingredients!E151&gt;0,Inflation!$B$1-Ingredients!E151,0),Inflation!$C$5:$D$20,2,FALSE)*C151,0,1))/MAX(1,H151)</f>
        <v>10.377400075847209</v>
      </c>
      <c r="J151" t="str">
        <f t="shared" si="5"/>
        <v>per day</v>
      </c>
      <c r="L151" t="str">
        <f>IF(IFERROR(INDEX(InterventionCosts!$A$2:$A$2363,(MATCH(A151,InterventionCosts!$B$2:$B$2363,0))),1)=1,"","Yes")</f>
        <v>Yes</v>
      </c>
    </row>
    <row r="152" spans="1:12" s="5" customFormat="1">
      <c r="A152" s="176" t="s">
        <v>1310</v>
      </c>
      <c r="B152" s="5" t="s">
        <v>865</v>
      </c>
      <c r="C152" s="118">
        <f>INDEX(ARVs!$E$76:$E$117,MATCH(Ingredients!A152,ARVs!$G$76:$G$117,0))/(240/12)</f>
        <v>3.7338000092236903</v>
      </c>
      <c r="D152" s="5" t="s">
        <v>479</v>
      </c>
      <c r="E152" s="5">
        <v>2024</v>
      </c>
      <c r="F152" s="5" t="s">
        <v>1274</v>
      </c>
      <c r="G152"/>
      <c r="H152"/>
      <c r="I152" s="279">
        <f>IF(G152="",VLOOKUP(IF(Inflation!$B$1-Ingredients!E152&gt;0,Inflation!$B$1-Ingredients!E152,0),Inflation!$C$5:$D$20,2,FALSE)*C152,-PMT(0.08,G152,VLOOKUP(IF(Inflation!$B$1-Ingredients!E152&gt;0,Inflation!$B$1-Ingredients!E152,0),Inflation!$C$5:$D$20,2,FALSE)*C152,0,1))/MAX(1,H152)</f>
        <v>3.7338000092236903</v>
      </c>
      <c r="J152" t="str">
        <f t="shared" si="5"/>
        <v>per day</v>
      </c>
      <c r="L152" t="str">
        <f>IF(IFERROR(INDEX(InterventionCosts!$A$2:$A$2363,(MATCH(A152,InterventionCosts!$B$2:$B$2363,0))),1)=1,"","Yes")</f>
        <v/>
      </c>
    </row>
    <row r="153" spans="1:12" s="5" customFormat="1">
      <c r="A153" s="176" t="s">
        <v>1312</v>
      </c>
      <c r="B153" s="5" t="s">
        <v>865</v>
      </c>
      <c r="C153" s="118">
        <f>INDEX(ARVs!$E$76:$E$117,MATCH(Ingredients!A153,ARVs!$G$76:$G$117,0))/(240/12)</f>
        <v>1.2076000666235183</v>
      </c>
      <c r="D153" s="5" t="s">
        <v>479</v>
      </c>
      <c r="E153" s="5">
        <v>2024</v>
      </c>
      <c r="F153" s="5" t="s">
        <v>1274</v>
      </c>
      <c r="G153"/>
      <c r="H153"/>
      <c r="I153" s="279">
        <f>IF(G153="",VLOOKUP(IF(Inflation!$B$1-Ingredients!E153&gt;0,Inflation!$B$1-Ingredients!E153,0),Inflation!$C$5:$D$20,2,FALSE)*C153,-PMT(0.08,G153,VLOOKUP(IF(Inflation!$B$1-Ingredients!E153&gt;0,Inflation!$B$1-Ingredients!E153,0),Inflation!$C$5:$D$20,2,FALSE)*C153,0,1))/MAX(1,H153)</f>
        <v>1.2076000666235183</v>
      </c>
      <c r="J153" t="str">
        <f t="shared" si="5"/>
        <v>per day</v>
      </c>
      <c r="L153" t="str">
        <f>IF(IFERROR(INDEX(InterventionCosts!$A$2:$A$2363,(MATCH(A153,InterventionCosts!$B$2:$B$2363,0))),1)=1,"","Yes")</f>
        <v/>
      </c>
    </row>
    <row r="154" spans="1:12" s="5" customFormat="1">
      <c r="A154" s="176" t="s">
        <v>1311</v>
      </c>
      <c r="B154" s="5" t="s">
        <v>864</v>
      </c>
      <c r="C154" s="118">
        <f>INDEX(ARVs!$E$76:$E$117,MATCH(Ingredients!A154,ARVs!$G$76:$G$117,0))/(60/4)</f>
        <v>5.4360000000000008</v>
      </c>
      <c r="D154" s="5" t="s">
        <v>479</v>
      </c>
      <c r="E154" s="5">
        <v>2024</v>
      </c>
      <c r="F154" s="5" t="s">
        <v>1274</v>
      </c>
      <c r="G154"/>
      <c r="H154"/>
      <c r="I154" s="279">
        <f>IF(G154="",VLOOKUP(IF(Inflation!$B$1-Ingredients!E154&gt;0,Inflation!$B$1-Ingredients!E154,0),Inflation!$C$5:$D$20,2,FALSE)*C154,-PMT(0.08,G154,VLOOKUP(IF(Inflation!$B$1-Ingredients!E154&gt;0,Inflation!$B$1-Ingredients!E154,0),Inflation!$C$5:$D$20,2,FALSE)*C154,0,1))/MAX(1,H154)</f>
        <v>5.4360000000000008</v>
      </c>
      <c r="J154" t="str">
        <f t="shared" si="5"/>
        <v>per day</v>
      </c>
      <c r="L154" t="str">
        <f>IF(IFERROR(INDEX(InterventionCosts!$A$2:$A$2363,(MATCH(A154,InterventionCosts!$B$2:$B$2363,0))),1)=1,"","Yes")</f>
        <v/>
      </c>
    </row>
    <row r="155" spans="1:12" s="5" customFormat="1">
      <c r="C155" s="118"/>
      <c r="G155"/>
      <c r="H155"/>
      <c r="I155" s="279"/>
      <c r="J155"/>
      <c r="L155" t="str">
        <f>IF(IFERROR(INDEX(InterventionCosts!$A$2:$A$2363,(MATCH(A155,InterventionCosts!$B$2:$B$2363,0))),1)=1,"","Yes")</f>
        <v/>
      </c>
    </row>
    <row r="156" spans="1:12" s="5" customFormat="1">
      <c r="A156" s="5" t="s">
        <v>892</v>
      </c>
      <c r="B156" s="155" t="s">
        <v>860</v>
      </c>
      <c r="C156" s="118">
        <f>C157+C151</f>
        <v>14.161400075847208</v>
      </c>
      <c r="D156" s="5" t="s">
        <v>479</v>
      </c>
      <c r="E156" s="5">
        <v>2024</v>
      </c>
      <c r="F156" s="5" t="s">
        <v>1274</v>
      </c>
      <c r="G156"/>
      <c r="H156"/>
      <c r="I156" s="279">
        <f>IF(G156="",VLOOKUP(IF(Inflation!$B$1-Ingredients!E156&gt;0,Inflation!$B$1-Ingredients!E156,0),Inflation!$C$5:$D$20,2,FALSE)*C156,-PMT(0.08,G156,VLOOKUP(IF(Inflation!$B$1-Ingredients!E156&gt;0,Inflation!$B$1-Ingredients!E156,0),Inflation!$C$5:$D$20,2,FALSE)*C156,0,1))/MAX(1,H156)</f>
        <v>14.161400075847208</v>
      </c>
      <c r="J156" t="str">
        <f t="shared" si="5"/>
        <v>per day</v>
      </c>
      <c r="L156" t="str">
        <f>IF(IFERROR(INDEX(InterventionCosts!$A$2:$A$2363,(MATCH(A156,InterventionCosts!$B$2:$B$2363,0))),1)=1,"","Yes")</f>
        <v>Yes</v>
      </c>
    </row>
    <row r="157" spans="1:12" s="5" customFormat="1">
      <c r="A157" s="176" t="s">
        <v>1331</v>
      </c>
      <c r="B157" s="5" t="s">
        <v>891</v>
      </c>
      <c r="C157" s="118">
        <f>INDEX(ARVs!$E$76:$E$117,MATCH(Ingredients!A157,ARVs!$G$76:$G$117,0))*2</f>
        <v>3.7839999999999998</v>
      </c>
      <c r="D157" s="5" t="s">
        <v>479</v>
      </c>
      <c r="E157" s="5">
        <v>2024</v>
      </c>
      <c r="F157" s="5" t="s">
        <v>1274</v>
      </c>
      <c r="G157"/>
      <c r="H157"/>
      <c r="I157" s="279">
        <f>IF(G157="",VLOOKUP(IF(Inflation!$B$1-Ingredients!E157&gt;0,Inflation!$B$1-Ingredients!E157,0),Inflation!$C$5:$D$20,2,FALSE)*C157,-PMT(0.08,G157,VLOOKUP(IF(Inflation!$B$1-Ingredients!E157&gt;0,Inflation!$B$1-Ingredients!E157,0),Inflation!$C$5:$D$20,2,FALSE)*C157,0,1))/MAX(1,H157)</f>
        <v>3.7839999999999998</v>
      </c>
      <c r="J157" t="str">
        <f t="shared" si="5"/>
        <v>per day</v>
      </c>
      <c r="L157" t="str">
        <f>IF(IFERROR(INDEX(InterventionCosts!$A$2:$A$2363,(MATCH(A157,InterventionCosts!$B$2:$B$2363,0))),1)=1,"","Yes")</f>
        <v/>
      </c>
    </row>
    <row r="158" spans="1:12" s="5" customFormat="1">
      <c r="C158" s="118"/>
      <c r="G158"/>
      <c r="H158"/>
      <c r="I158" s="279"/>
      <c r="J158"/>
      <c r="L158" t="str">
        <f>IF(IFERROR(INDEX(InterventionCosts!$A$2:$A$2363,(MATCH(A158,InterventionCosts!$B$2:$B$2363,0))),1)=1,"","Yes")</f>
        <v/>
      </c>
    </row>
    <row r="159" spans="1:12" s="5" customFormat="1">
      <c r="A159" s="5" t="s">
        <v>866</v>
      </c>
      <c r="B159" s="155" t="s">
        <v>868</v>
      </c>
      <c r="C159" s="118">
        <f>C160+C161+C162</f>
        <v>13.383533434462946</v>
      </c>
      <c r="D159" s="5" t="s">
        <v>479</v>
      </c>
      <c r="E159" s="5">
        <v>2024</v>
      </c>
      <c r="F159" s="5" t="s">
        <v>1274</v>
      </c>
      <c r="G159"/>
      <c r="H159"/>
      <c r="I159" s="279">
        <f>IF(G159="",VLOOKUP(IF(Inflation!$B$1-Ingredients!E159&gt;0,Inflation!$B$1-Ingredients!E159,0),Inflation!$C$5:$D$20,2,FALSE)*C159,-PMT(0.08,G159,VLOOKUP(IF(Inflation!$B$1-Ingredients!E159&gt;0,Inflation!$B$1-Ingredients!E159,0),Inflation!$C$5:$D$20,2,FALSE)*C159,0,1))/MAX(1,H159)</f>
        <v>13.383533434462946</v>
      </c>
      <c r="J159" t="str">
        <f t="shared" si="5"/>
        <v>per day</v>
      </c>
      <c r="L159" t="str">
        <f>IF(IFERROR(INDEX(InterventionCosts!$A$2:$A$2363,(MATCH(A159,InterventionCosts!$B$2:$B$2363,0))),1)=1,"","Yes")</f>
        <v>Yes</v>
      </c>
    </row>
    <row r="160" spans="1:12" s="5" customFormat="1">
      <c r="A160" s="176" t="s">
        <v>1310</v>
      </c>
      <c r="B160" s="5" t="s">
        <v>869</v>
      </c>
      <c r="C160" s="118">
        <f>INDEX(ARVs!$E$76:$E$117,MATCH(Ingredients!A160,ARVs!$G$76:$G$117,0))/(240/16)</f>
        <v>4.9784000122982537</v>
      </c>
      <c r="D160" s="5" t="s">
        <v>479</v>
      </c>
      <c r="E160" s="5">
        <v>2024</v>
      </c>
      <c r="F160" s="5" t="s">
        <v>1274</v>
      </c>
      <c r="G160"/>
      <c r="H160"/>
      <c r="I160" s="279">
        <f>IF(G160="",VLOOKUP(IF(Inflation!$B$1-Ingredients!E160&gt;0,Inflation!$B$1-Ingredients!E160,0),Inflation!$C$5:$D$20,2,FALSE)*C160,-PMT(0.08,G160,VLOOKUP(IF(Inflation!$B$1-Ingredients!E160&gt;0,Inflation!$B$1-Ingredients!E160,0),Inflation!$C$5:$D$20,2,FALSE)*C160,0,1))/MAX(1,H160)</f>
        <v>4.9784000122982537</v>
      </c>
      <c r="J160" t="str">
        <f t="shared" si="5"/>
        <v>per day</v>
      </c>
      <c r="L160" t="str">
        <f>IF(IFERROR(INDEX(InterventionCosts!$A$2:$A$2363,(MATCH(A160,InterventionCosts!$B$2:$B$2363,0))),1)=1,"","Yes")</f>
        <v/>
      </c>
    </row>
    <row r="161" spans="1:12" s="5" customFormat="1">
      <c r="A161" s="176" t="s">
        <v>1312</v>
      </c>
      <c r="B161" s="5" t="s">
        <v>869</v>
      </c>
      <c r="C161" s="118">
        <f>INDEX(ARVs!$E$76:$E$117,MATCH(Ingredients!A161,ARVs!$G$76:$G$117,0))/(240/16)</f>
        <v>1.610133422164691</v>
      </c>
      <c r="D161" s="5" t="s">
        <v>479</v>
      </c>
      <c r="E161" s="5">
        <v>2024</v>
      </c>
      <c r="F161" s="5" t="s">
        <v>1274</v>
      </c>
      <c r="G161"/>
      <c r="H161"/>
      <c r="I161" s="279">
        <f>IF(G161="",VLOOKUP(IF(Inflation!$B$1-Ingredients!E161&gt;0,Inflation!$B$1-Ingredients!E161,0),Inflation!$C$5:$D$20,2,FALSE)*C161,-PMT(0.08,G161,VLOOKUP(IF(Inflation!$B$1-Ingredients!E161&gt;0,Inflation!$B$1-Ingredients!E161,0),Inflation!$C$5:$D$20,2,FALSE)*C161,0,1))/MAX(1,H161)</f>
        <v>1.610133422164691</v>
      </c>
      <c r="J161" t="str">
        <f t="shared" si="5"/>
        <v>per day</v>
      </c>
      <c r="L161" t="str">
        <f>IF(IFERROR(INDEX(InterventionCosts!$A$2:$A$2363,(MATCH(A161,InterventionCosts!$B$2:$B$2363,0))),1)=1,"","Yes")</f>
        <v/>
      </c>
    </row>
    <row r="162" spans="1:12" s="5" customFormat="1">
      <c r="A162" s="176" t="s">
        <v>1311</v>
      </c>
      <c r="B162" s="5" t="s">
        <v>870</v>
      </c>
      <c r="C162" s="118">
        <f>INDEX(ARVs!$E$76:$E$117,MATCH(Ingredients!A162,ARVs!$G$76:$G$117,0))/(60/5)</f>
        <v>6.7950000000000008</v>
      </c>
      <c r="D162" s="5" t="s">
        <v>479</v>
      </c>
      <c r="E162" s="5">
        <v>2024</v>
      </c>
      <c r="F162" s="5" t="s">
        <v>1274</v>
      </c>
      <c r="G162"/>
      <c r="H162"/>
      <c r="I162" s="279">
        <f>IF(G162="",VLOOKUP(IF(Inflation!$B$1-Ingredients!E162&gt;0,Inflation!$B$1-Ingredients!E162,0),Inflation!$C$5:$D$20,2,FALSE)*C162,-PMT(0.08,G162,VLOOKUP(IF(Inflation!$B$1-Ingredients!E162&gt;0,Inflation!$B$1-Ingredients!E162,0),Inflation!$C$5:$D$20,2,FALSE)*C162,0,1))/MAX(1,H162)</f>
        <v>6.7950000000000008</v>
      </c>
      <c r="J162" t="str">
        <f t="shared" si="5"/>
        <v>per day</v>
      </c>
      <c r="L162" t="str">
        <f>IF(IFERROR(INDEX(InterventionCosts!$A$2:$A$2363,(MATCH(A162,InterventionCosts!$B$2:$B$2363,0))),1)=1,"","Yes")</f>
        <v/>
      </c>
    </row>
    <row r="163" spans="1:12" s="5" customFormat="1">
      <c r="C163" s="118"/>
      <c r="G163"/>
      <c r="H163"/>
      <c r="I163" s="279"/>
      <c r="J163"/>
      <c r="L163" t="str">
        <f>IF(IFERROR(INDEX(InterventionCosts!$A$2:$A$2363,(MATCH(A163,InterventionCosts!$B$2:$B$2363,0))),1)=1,"","Yes")</f>
        <v/>
      </c>
    </row>
    <row r="164" spans="1:12" s="5" customFormat="1">
      <c r="A164" s="5" t="s">
        <v>894</v>
      </c>
      <c r="B164" s="155" t="s">
        <v>868</v>
      </c>
      <c r="C164" s="118">
        <f>C159+C165</f>
        <v>20.951533434462945</v>
      </c>
      <c r="D164" s="5" t="s">
        <v>479</v>
      </c>
      <c r="E164" s="5">
        <v>2024</v>
      </c>
      <c r="F164" s="5" t="s">
        <v>1274</v>
      </c>
      <c r="G164"/>
      <c r="H164"/>
      <c r="I164" s="279">
        <f>IF(G164="",VLOOKUP(IF(Inflation!$B$1-Ingredients!E164&gt;0,Inflation!$B$1-Ingredients!E164,0),Inflation!$C$5:$D$20,2,FALSE)*C164,-PMT(0.08,G164,VLOOKUP(IF(Inflation!$B$1-Ingredients!E164&gt;0,Inflation!$B$1-Ingredients!E164,0),Inflation!$C$5:$D$20,2,FALSE)*C164,0,1))/MAX(1,H164)</f>
        <v>20.951533434462945</v>
      </c>
      <c r="J164" t="str">
        <f t="shared" si="5"/>
        <v>per day</v>
      </c>
      <c r="L164" t="str">
        <f>IF(IFERROR(INDEX(InterventionCosts!$A$2:$A$2363,(MATCH(A164,InterventionCosts!$B$2:$B$2363,0))),1)=1,"","Yes")</f>
        <v>Yes</v>
      </c>
    </row>
    <row r="165" spans="1:12" s="5" customFormat="1">
      <c r="A165" s="176" t="s">
        <v>1331</v>
      </c>
      <c r="B165" s="5" t="s">
        <v>893</v>
      </c>
      <c r="C165" s="118">
        <f>INDEX(ARVs!$E$76:$E$117,MATCH(Ingredients!A165,ARVs!$G$76:$G$117,0))*4</f>
        <v>7.5679999999999996</v>
      </c>
      <c r="D165" s="5" t="s">
        <v>479</v>
      </c>
      <c r="E165" s="5">
        <v>2024</v>
      </c>
      <c r="F165" s="5" t="s">
        <v>1274</v>
      </c>
      <c r="G165"/>
      <c r="H165"/>
      <c r="I165" s="279">
        <f>IF(G165="",VLOOKUP(IF(Inflation!$B$1-Ingredients!E165&gt;0,Inflation!$B$1-Ingredients!E165,0),Inflation!$C$5:$D$20,2,FALSE)*C165,-PMT(0.08,G165,VLOOKUP(IF(Inflation!$B$1-Ingredients!E165&gt;0,Inflation!$B$1-Ingredients!E165,0),Inflation!$C$5:$D$20,2,FALSE)*C165,0,1))/MAX(1,H165)</f>
        <v>7.5679999999999996</v>
      </c>
      <c r="J165" t="str">
        <f t="shared" si="5"/>
        <v>per day</v>
      </c>
      <c r="L165" t="str">
        <f>IF(IFERROR(INDEX(InterventionCosts!$A$2:$A$2363,(MATCH(A165,InterventionCosts!$B$2:$B$2363,0))),1)=1,"","Yes")</f>
        <v/>
      </c>
    </row>
    <row r="166" spans="1:12" s="5" customFormat="1">
      <c r="C166" s="118"/>
      <c r="G166"/>
      <c r="H166"/>
      <c r="I166" s="279"/>
      <c r="J166"/>
      <c r="L166" t="str">
        <f>IF(IFERROR(INDEX(InterventionCosts!$A$2:$A$2363,(MATCH(A166,InterventionCosts!$B$2:$B$2363,0))),1)=1,"","Yes")</f>
        <v/>
      </c>
    </row>
    <row r="167" spans="1:12" s="5" customFormat="1">
      <c r="A167" s="5" t="s">
        <v>895</v>
      </c>
      <c r="B167" s="155" t="s">
        <v>868</v>
      </c>
      <c r="C167" s="118">
        <f>C168+C169+C170</f>
        <v>9.4072834344629435</v>
      </c>
      <c r="D167" s="5" t="s">
        <v>479</v>
      </c>
      <c r="E167" s="5">
        <v>2024</v>
      </c>
      <c r="F167" s="5" t="s">
        <v>1274</v>
      </c>
      <c r="G167"/>
      <c r="H167"/>
      <c r="I167" s="279">
        <f>IF(G167="",VLOOKUP(IF(Inflation!$B$1-Ingredients!E167&gt;0,Inflation!$B$1-Ingredients!E167,0),Inflation!$C$5:$D$20,2,FALSE)*C167,-PMT(0.08,G167,VLOOKUP(IF(Inflation!$B$1-Ingredients!E167&gt;0,Inflation!$B$1-Ingredients!E167,0),Inflation!$C$5:$D$20,2,FALSE)*C167,0,1))/MAX(1,H167)</f>
        <v>9.4072834344629435</v>
      </c>
      <c r="J167" t="str">
        <f t="shared" si="5"/>
        <v>per day</v>
      </c>
      <c r="L167" t="str">
        <f>IF(IFERROR(INDEX(InterventionCosts!$A$2:$A$2363,(MATCH(A167,InterventionCosts!$B$2:$B$2363,0))),1)=1,"","Yes")</f>
        <v>Yes</v>
      </c>
    </row>
    <row r="168" spans="1:12" s="5" customFormat="1">
      <c r="A168" s="176" t="s">
        <v>1310</v>
      </c>
      <c r="B168" s="5" t="s">
        <v>869</v>
      </c>
      <c r="C168" s="118">
        <f>INDEX(ARVs!$E$76:$E$117,MATCH(Ingredients!A168,ARVs!$G$76:$G$117,0))/(240/16)</f>
        <v>4.9784000122982537</v>
      </c>
      <c r="D168" s="5" t="s">
        <v>479</v>
      </c>
      <c r="E168" s="5">
        <v>2024</v>
      </c>
      <c r="F168" s="5" t="s">
        <v>1274</v>
      </c>
      <c r="G168"/>
      <c r="H168"/>
      <c r="I168" s="279">
        <f>IF(G168="",VLOOKUP(IF(Inflation!$B$1-Ingredients!E168&gt;0,Inflation!$B$1-Ingredients!E168,0),Inflation!$C$5:$D$20,2,FALSE)*C168,-PMT(0.08,G168,VLOOKUP(IF(Inflation!$B$1-Ingredients!E168&gt;0,Inflation!$B$1-Ingredients!E168,0),Inflation!$C$5:$D$20,2,FALSE)*C168,0,1))/MAX(1,H168)</f>
        <v>4.9784000122982537</v>
      </c>
      <c r="J168" t="str">
        <f t="shared" si="5"/>
        <v>per day</v>
      </c>
      <c r="L168" t="str">
        <f>IF(IFERROR(INDEX(InterventionCosts!$A$2:$A$2363,(MATCH(A168,InterventionCosts!$B$2:$B$2363,0))),1)=1,"","Yes")</f>
        <v/>
      </c>
    </row>
    <row r="169" spans="1:12" s="5" customFormat="1">
      <c r="A169" s="176" t="s">
        <v>1312</v>
      </c>
      <c r="B169" s="5" t="s">
        <v>869</v>
      </c>
      <c r="C169" s="118">
        <f>INDEX(ARVs!$E$76:$E$117,MATCH(Ingredients!A169,ARVs!$G$76:$G$117,0))/(240/16)</f>
        <v>1.610133422164691</v>
      </c>
      <c r="D169" s="5" t="s">
        <v>479</v>
      </c>
      <c r="E169" s="5">
        <v>2024</v>
      </c>
      <c r="F169" s="5" t="s">
        <v>1274</v>
      </c>
      <c r="G169"/>
      <c r="H169"/>
      <c r="I169" s="279">
        <f>IF(G169="",VLOOKUP(IF(Inflation!$B$1-Ingredients!E169&gt;0,Inflation!$B$1-Ingredients!E169,0),Inflation!$C$5:$D$20,2,FALSE)*C169,-PMT(0.08,G169,VLOOKUP(IF(Inflation!$B$1-Ingredients!E169&gt;0,Inflation!$B$1-Ingredients!E169,0),Inflation!$C$5:$D$20,2,FALSE)*C169,0,1))/MAX(1,H169)</f>
        <v>1.610133422164691</v>
      </c>
      <c r="J169" t="str">
        <f t="shared" si="5"/>
        <v>per day</v>
      </c>
      <c r="L169" t="str">
        <f>IF(IFERROR(INDEX(InterventionCosts!$A$2:$A$2363,(MATCH(A169,InterventionCosts!$B$2:$B$2363,0))),1)=1,"","Yes")</f>
        <v/>
      </c>
    </row>
    <row r="170" spans="1:12" s="5" customFormat="1">
      <c r="A170" s="176" t="s">
        <v>896</v>
      </c>
      <c r="B170" s="5" t="s">
        <v>897</v>
      </c>
      <c r="C170" s="118">
        <f>INDEX(ARVs!$E$76:$E$117,MATCH(Ingredients!A170,ARVs!$G$76:$G$117,0))*2.5</f>
        <v>2.8187499999999996</v>
      </c>
      <c r="D170" s="5" t="s">
        <v>479</v>
      </c>
      <c r="E170" s="5">
        <v>2024</v>
      </c>
      <c r="F170" s="5" t="s">
        <v>1274</v>
      </c>
      <c r="G170"/>
      <c r="H170"/>
      <c r="I170" s="279">
        <f>IF(G170="",VLOOKUP(IF(Inflation!$B$1-Ingredients!E170&gt;0,Inflation!$B$1-Ingredients!E170,0),Inflation!$C$5:$D$20,2,FALSE)*C170,-PMT(0.08,G170,VLOOKUP(IF(Inflation!$B$1-Ingredients!E170&gt;0,Inflation!$B$1-Ingredients!E170,0),Inflation!$C$5:$D$20,2,FALSE)*C170,0,1))/MAX(1,H170)</f>
        <v>2.8187499999999996</v>
      </c>
      <c r="J170" t="str">
        <f t="shared" si="5"/>
        <v>per day</v>
      </c>
      <c r="L170" t="str">
        <f>IF(IFERROR(INDEX(InterventionCosts!$A$2:$A$2363,(MATCH(A170,InterventionCosts!$B$2:$B$2363,0))),1)=1,"","Yes")</f>
        <v/>
      </c>
    </row>
    <row r="171" spans="1:12" s="5" customFormat="1">
      <c r="C171" s="118"/>
      <c r="G171"/>
      <c r="H171"/>
      <c r="I171" s="279"/>
      <c r="J171"/>
      <c r="L171" t="str">
        <f>IF(IFERROR(INDEX(InterventionCosts!$A$2:$A$2363,(MATCH(A171,InterventionCosts!$B$2:$B$2363,0))),1)=1,"","Yes")</f>
        <v/>
      </c>
    </row>
    <row r="172" spans="1:12" s="5" customFormat="1">
      <c r="A172" s="5" t="s">
        <v>871</v>
      </c>
      <c r="B172" s="155" t="s">
        <v>872</v>
      </c>
      <c r="C172" s="118">
        <f>C173</f>
        <v>7.7632142857142856</v>
      </c>
      <c r="D172" s="5" t="s">
        <v>479</v>
      </c>
      <c r="E172" s="5">
        <v>2024</v>
      </c>
      <c r="F172" s="5" t="s">
        <v>1274</v>
      </c>
      <c r="G172"/>
      <c r="H172"/>
      <c r="I172" s="279">
        <f>IF(G172="",VLOOKUP(IF(Inflation!$B$1-Ingredients!E172&gt;0,Inflation!$B$1-Ingredients!E172,0),Inflation!$C$5:$D$20,2,FALSE)*C172,-PMT(0.08,G172,VLOOKUP(IF(Inflation!$B$1-Ingredients!E172&gt;0,Inflation!$B$1-Ingredients!E172,0),Inflation!$C$5:$D$20,2,FALSE)*C172,0,1))/MAX(1,H172)</f>
        <v>7.7632142857142856</v>
      </c>
      <c r="J172" t="str">
        <f t="shared" si="5"/>
        <v>per day</v>
      </c>
      <c r="L172" t="str">
        <f>IF(IFERROR(INDEX(InterventionCosts!$A$2:$A$2363,(MATCH(A172,InterventionCosts!$B$2:$B$2363,0))),1)=1,"","Yes")</f>
        <v>Yes</v>
      </c>
    </row>
    <row r="173" spans="1:12" s="5" customFormat="1">
      <c r="A173" s="176" t="s">
        <v>1332</v>
      </c>
      <c r="B173" s="5" t="s">
        <v>480</v>
      </c>
      <c r="C173" s="118">
        <f>INDEX(ARVs!$E$76:$E$117,MATCH(Ingredients!A173,ARVs!$G$76:$G$117,0))</f>
        <v>7.7632142857142856</v>
      </c>
      <c r="D173" s="5" t="s">
        <v>479</v>
      </c>
      <c r="E173" s="5">
        <v>2024</v>
      </c>
      <c r="F173" s="5" t="s">
        <v>1274</v>
      </c>
      <c r="G173"/>
      <c r="H173"/>
      <c r="I173" s="279">
        <f>IF(G173="",VLOOKUP(IF(Inflation!$B$1-Ingredients!E173&gt;0,Inflation!$B$1-Ingredients!E173,0),Inflation!$C$5:$D$20,2,FALSE)*C173,-PMT(0.08,G173,VLOOKUP(IF(Inflation!$B$1-Ingredients!E173&gt;0,Inflation!$B$1-Ingredients!E173,0),Inflation!$C$5:$D$20,2,FALSE)*C173,0,1))/MAX(1,H173)</f>
        <v>7.7632142857142856</v>
      </c>
      <c r="J173" t="str">
        <f t="shared" si="5"/>
        <v>per day</v>
      </c>
      <c r="L173" t="str">
        <f>IF(IFERROR(INDEX(InterventionCosts!$A$2:$A$2363,(MATCH(A173,InterventionCosts!$B$2:$B$2363,0))),1)=1,"","Yes")</f>
        <v/>
      </c>
    </row>
    <row r="174" spans="1:12" s="5" customFormat="1">
      <c r="A174" s="176"/>
      <c r="C174" s="118"/>
      <c r="G174"/>
      <c r="H174"/>
      <c r="I174" s="279"/>
      <c r="J174"/>
      <c r="L174" t="str">
        <f>IF(IFERROR(INDEX(InterventionCosts!$A$2:$A$2363,(MATCH(A174,InterventionCosts!$B$2:$B$2363,0))),1)=1,"","Yes")</f>
        <v/>
      </c>
    </row>
    <row r="175" spans="1:12" s="5" customFormat="1">
      <c r="A175" s="180" t="s">
        <v>898</v>
      </c>
      <c r="B175" s="155" t="s">
        <v>872</v>
      </c>
      <c r="C175" s="118">
        <f>SUM(C176:C179)</f>
        <v>6.5117261591768205</v>
      </c>
      <c r="D175" s="5" t="s">
        <v>479</v>
      </c>
      <c r="E175" s="5">
        <v>2024</v>
      </c>
      <c r="F175" s="5" t="s">
        <v>1274</v>
      </c>
      <c r="G175"/>
      <c r="H175"/>
      <c r="I175" s="279">
        <f>IF(G175="",VLOOKUP(IF(Inflation!$B$1-Ingredients!E175&gt;0,Inflation!$B$1-Ingredients!E175,0),Inflation!$C$5:$D$20,2,FALSE)*C175,-PMT(0.08,G175,VLOOKUP(IF(Inflation!$B$1-Ingredients!E175&gt;0,Inflation!$B$1-Ingredients!E175,0),Inflation!$C$5:$D$20,2,FALSE)*C175,0,1))/MAX(1,H175)</f>
        <v>6.5117261591768205</v>
      </c>
      <c r="J175" t="str">
        <f t="shared" si="5"/>
        <v>per day</v>
      </c>
      <c r="L175" t="str">
        <f>IF(IFERROR(INDEX(InterventionCosts!$A$2:$A$2363,(MATCH(A175,InterventionCosts!$B$2:$B$2363,0))),1)=1,"","Yes")</f>
        <v>Yes</v>
      </c>
    </row>
    <row r="176" spans="1:12" s="5" customFormat="1">
      <c r="A176" s="176" t="s">
        <v>901</v>
      </c>
      <c r="B176" s="5" t="s">
        <v>903</v>
      </c>
      <c r="C176" s="118">
        <f>INDEX(ARVs!$E$76:$E$117,MATCH(Ingredients!A176,ARVs!$G$76:$G$117,0))</f>
        <v>2.0003571428571427</v>
      </c>
      <c r="D176" s="5" t="s">
        <v>479</v>
      </c>
      <c r="E176" s="5">
        <v>2024</v>
      </c>
      <c r="F176" s="5" t="s">
        <v>1274</v>
      </c>
      <c r="G176"/>
      <c r="H176"/>
      <c r="I176" s="279">
        <f>IF(G176="",VLOOKUP(IF(Inflation!$B$1-Ingredients!E176&gt;0,Inflation!$B$1-Ingredients!E176,0),Inflation!$C$5:$D$20,2,FALSE)*C176,-PMT(0.08,G176,VLOOKUP(IF(Inflation!$B$1-Ingredients!E176&gt;0,Inflation!$B$1-Ingredients!E176,0),Inflation!$C$5:$D$20,2,FALSE)*C176,0,1))/MAX(1,H176)</f>
        <v>2.0003571428571427</v>
      </c>
      <c r="J176" t="str">
        <f t="shared" si="5"/>
        <v>per day</v>
      </c>
      <c r="L176" t="str">
        <f>IF(IFERROR(INDEX(InterventionCosts!$A$2:$A$2363,(MATCH(A176,InterventionCosts!$B$2:$B$2363,0))),1)=1,"","Yes")</f>
        <v/>
      </c>
    </row>
    <row r="177" spans="1:12" s="5" customFormat="1">
      <c r="A177" s="176" t="s">
        <v>902</v>
      </c>
      <c r="B177" s="5" t="s">
        <v>903</v>
      </c>
      <c r="C177" s="118">
        <f>INDEX(ARVs!$E$76:$E$117,MATCH(Ingredients!A177,ARVs!$G$76:$G$117,0))</f>
        <v>0.76250000000000007</v>
      </c>
      <c r="D177" s="5" t="s">
        <v>479</v>
      </c>
      <c r="E177" s="5">
        <v>2024</v>
      </c>
      <c r="F177" s="5" t="s">
        <v>1274</v>
      </c>
      <c r="G177"/>
      <c r="H177"/>
      <c r="I177" s="279">
        <f>IF(G177="",VLOOKUP(IF(Inflation!$B$1-Ingredients!E177&gt;0,Inflation!$B$1-Ingredients!E177,0),Inflation!$C$5:$D$20,2,FALSE)*C177,-PMT(0.08,G177,VLOOKUP(IF(Inflation!$B$1-Ingredients!E177&gt;0,Inflation!$B$1-Ingredients!E177,0),Inflation!$C$5:$D$20,2,FALSE)*C177,0,1))/MAX(1,H177)</f>
        <v>0.76250000000000007</v>
      </c>
      <c r="J177" t="str">
        <f t="shared" si="5"/>
        <v>per day</v>
      </c>
      <c r="L177" t="str">
        <f>IF(IFERROR(INDEX(InterventionCosts!$A$2:$A$2363,(MATCH(A177,InterventionCosts!$B$2:$B$2363,0))),1)=1,"","Yes")</f>
        <v/>
      </c>
    </row>
    <row r="178" spans="1:12" s="5" customFormat="1">
      <c r="A178" s="176" t="s">
        <v>904</v>
      </c>
      <c r="B178" s="5" t="s">
        <v>905</v>
      </c>
      <c r="C178" s="118">
        <f>INDEX(ARVs!$E$76:$E$117,MATCH(Ingredients!A178,ARVs!$G$76:$G$117,0))*2</f>
        <v>1.2435356829863446</v>
      </c>
      <c r="D178" s="5" t="s">
        <v>479</v>
      </c>
      <c r="E178" s="5">
        <v>2024</v>
      </c>
      <c r="F178" s="5" t="s">
        <v>1274</v>
      </c>
      <c r="G178"/>
      <c r="H178"/>
      <c r="I178" s="279">
        <f>IF(G178="",VLOOKUP(IF(Inflation!$B$1-Ingredients!E178&gt;0,Inflation!$B$1-Ingredients!E178,0),Inflation!$C$5:$D$20,2,FALSE)*C178,-PMT(0.08,G178,VLOOKUP(IF(Inflation!$B$1-Ingredients!E178&gt;0,Inflation!$B$1-Ingredients!E178,0),Inflation!$C$5:$D$20,2,FALSE)*C178,0,1))/MAX(1,H178)</f>
        <v>1.2435356829863446</v>
      </c>
      <c r="J178" t="str">
        <f t="shared" si="5"/>
        <v>per day</v>
      </c>
      <c r="L178" t="str">
        <f>IF(IFERROR(INDEX(InterventionCosts!$A$2:$A$2363,(MATCH(A178,InterventionCosts!$B$2:$B$2363,0))),1)=1,"","Yes")</f>
        <v/>
      </c>
    </row>
    <row r="179" spans="1:12" s="5" customFormat="1">
      <c r="A179" s="176" t="s">
        <v>1305</v>
      </c>
      <c r="C179" s="118">
        <f>INDEX(ARVs!$E$76:$E$117,MATCH(Ingredients!A179,ARVs!$G$76:$G$117,0))*2</f>
        <v>2.5053333333333332</v>
      </c>
      <c r="D179" s="5" t="s">
        <v>479</v>
      </c>
      <c r="E179" s="5">
        <v>2024</v>
      </c>
      <c r="F179" s="5" t="s">
        <v>1274</v>
      </c>
      <c r="G179"/>
      <c r="H179"/>
      <c r="I179" s="279">
        <f>IF(G179="",VLOOKUP(IF(Inflation!$B$1-Ingredients!E179&gt;0,Inflation!$B$1-Ingredients!E179,0),Inflation!$C$5:$D$20,2,FALSE)*C179,-PMT(0.08,G179,VLOOKUP(IF(Inflation!$B$1-Ingredients!E179&gt;0,Inflation!$B$1-Ingredients!E179,0),Inflation!$C$5:$D$20,2,FALSE)*C179,0,1))/MAX(1,H179)</f>
        <v>2.5053333333333332</v>
      </c>
      <c r="J179" t="str">
        <f t="shared" si="5"/>
        <v>per day</v>
      </c>
      <c r="L179" t="str">
        <f>IF(IFERROR(INDEX(InterventionCosts!$A$2:$A$2363,(MATCH(A179,InterventionCosts!$B$2:$B$2363,0))),1)=1,"","Yes")</f>
        <v/>
      </c>
    </row>
    <row r="180" spans="1:12" s="5" customFormat="1">
      <c r="A180" s="176"/>
      <c r="C180" s="118"/>
      <c r="G180"/>
      <c r="H180"/>
      <c r="I180" s="279"/>
      <c r="J180"/>
      <c r="L180" t="str">
        <f>IF(IFERROR(INDEX(InterventionCosts!$A$2:$A$2363,(MATCH(A180,InterventionCosts!$B$2:$B$2363,0))),1)=1,"","Yes")</f>
        <v/>
      </c>
    </row>
    <row r="181" spans="1:12" s="5" customFormat="1">
      <c r="A181" s="180" t="s">
        <v>899</v>
      </c>
      <c r="B181" s="155" t="s">
        <v>872</v>
      </c>
      <c r="C181" s="118">
        <f>C175+C182</f>
        <v>14.07972615917682</v>
      </c>
      <c r="D181" s="5" t="s">
        <v>479</v>
      </c>
      <c r="E181" s="5">
        <v>2024</v>
      </c>
      <c r="F181" s="5" t="s">
        <v>1274</v>
      </c>
      <c r="G181"/>
      <c r="H181"/>
      <c r="I181" s="279">
        <f>IF(G181="",VLOOKUP(IF(Inflation!$B$1-Ingredients!E181&gt;0,Inflation!$B$1-Ingredients!E181,0),Inflation!$C$5:$D$20,2,FALSE)*C181,-PMT(0.08,G181,VLOOKUP(IF(Inflation!$B$1-Ingredients!E181&gt;0,Inflation!$B$1-Ingredients!E181,0),Inflation!$C$5:$D$20,2,FALSE)*C181,0,1))/MAX(1,H181)</f>
        <v>14.07972615917682</v>
      </c>
      <c r="J181" t="str">
        <f t="shared" si="5"/>
        <v>per day</v>
      </c>
      <c r="L181" t="str">
        <f>IF(IFERROR(INDEX(InterventionCosts!$A$2:$A$2363,(MATCH(A181,InterventionCosts!$B$2:$B$2363,0))),1)=1,"","Yes")</f>
        <v>Yes</v>
      </c>
    </row>
    <row r="182" spans="1:12" s="5" customFormat="1">
      <c r="A182" s="176" t="s">
        <v>1331</v>
      </c>
      <c r="B182" s="5" t="s">
        <v>893</v>
      </c>
      <c r="C182" s="118">
        <f>INDEX(ARVs!$E$76:$E$117,MATCH(Ingredients!A182,ARVs!$G$76:$G$117,0))*4</f>
        <v>7.5679999999999996</v>
      </c>
      <c r="D182" s="5" t="s">
        <v>479</v>
      </c>
      <c r="E182" s="5">
        <v>2024</v>
      </c>
      <c r="F182" s="5" t="s">
        <v>1274</v>
      </c>
      <c r="G182"/>
      <c r="H182"/>
      <c r="I182" s="279">
        <f>IF(G182="",VLOOKUP(IF(Inflation!$B$1-Ingredients!E182&gt;0,Inflation!$B$1-Ingredients!E182,0),Inflation!$C$5:$D$20,2,FALSE)*C182,-PMT(0.08,G182,VLOOKUP(IF(Inflation!$B$1-Ingredients!E182&gt;0,Inflation!$B$1-Ingredients!E182,0),Inflation!$C$5:$D$20,2,FALSE)*C182,0,1))/MAX(1,H182)</f>
        <v>7.5679999999999996</v>
      </c>
      <c r="J182" t="str">
        <f t="shared" si="5"/>
        <v>per day</v>
      </c>
      <c r="L182" t="str">
        <f>IF(IFERROR(INDEX(InterventionCosts!$A$2:$A$2363,(MATCH(A182,InterventionCosts!$B$2:$B$2363,0))),1)=1,"","Yes")</f>
        <v/>
      </c>
    </row>
    <row r="183" spans="1:12" s="5" customFormat="1">
      <c r="A183" s="176"/>
      <c r="C183" s="118"/>
      <c r="G183"/>
      <c r="H183"/>
      <c r="I183" s="279"/>
      <c r="J183"/>
      <c r="L183" t="str">
        <f>IF(IFERROR(INDEX(InterventionCosts!$A$2:$A$2363,(MATCH(A183,InterventionCosts!$B$2:$B$2363,0))),1)=1,"","Yes")</f>
        <v/>
      </c>
    </row>
    <row r="184" spans="1:12" s="5" customFormat="1" ht="13.75" customHeight="1">
      <c r="A184" s="5" t="s">
        <v>1334</v>
      </c>
      <c r="B184" s="155" t="s">
        <v>906</v>
      </c>
      <c r="C184" s="118">
        <f>C185</f>
        <v>7.7632142857142856</v>
      </c>
      <c r="D184" s="5" t="s">
        <v>479</v>
      </c>
      <c r="E184" s="5">
        <v>2024</v>
      </c>
      <c r="F184" s="5" t="s">
        <v>1274</v>
      </c>
      <c r="G184"/>
      <c r="H184"/>
      <c r="I184" s="279">
        <f>IF(G184="",VLOOKUP(IF(Inflation!$B$1-Ingredients!E184&gt;0,Inflation!$B$1-Ingredients!E184,0),Inflation!$C$5:$D$20,2,FALSE)*C184,-PMT(0.08,G184,VLOOKUP(IF(Inflation!$B$1-Ingredients!E184&gt;0,Inflation!$B$1-Ingredients!E184,0),Inflation!$C$5:$D$20,2,FALSE)*C184,0,1))/MAX(1,H184)</f>
        <v>7.7632142857142856</v>
      </c>
      <c r="J184" t="str">
        <f t="shared" si="5"/>
        <v>per day</v>
      </c>
      <c r="L184" t="str">
        <f>IF(IFERROR(INDEX(InterventionCosts!$A$2:$A$2363,(MATCH(A184,InterventionCosts!$B$2:$B$2363,0))),1)=1,"","Yes")</f>
        <v>Yes</v>
      </c>
    </row>
    <row r="185" spans="1:12" s="5" customFormat="1" ht="13.75" customHeight="1">
      <c r="A185" s="176" t="s">
        <v>1332</v>
      </c>
      <c r="B185" s="5" t="s">
        <v>480</v>
      </c>
      <c r="C185" s="118">
        <f>INDEX(ARVs!$E$76:$E$117,MATCH(Ingredients!A185,ARVs!$G$76:$G$117,0))</f>
        <v>7.7632142857142856</v>
      </c>
      <c r="D185" s="5" t="s">
        <v>479</v>
      </c>
      <c r="E185" s="5">
        <v>2024</v>
      </c>
      <c r="F185" s="5" t="s">
        <v>1274</v>
      </c>
      <c r="G185"/>
      <c r="H185"/>
      <c r="I185" s="279">
        <f>IF(G185="",VLOOKUP(IF(Inflation!$B$1-Ingredients!E185&gt;0,Inflation!$B$1-Ingredients!E185,0),Inflation!$C$5:$D$20,2,FALSE)*C185,-PMT(0.08,G185,VLOOKUP(IF(Inflation!$B$1-Ingredients!E185&gt;0,Inflation!$B$1-Ingredients!E185,0),Inflation!$C$5:$D$20,2,FALSE)*C185,0,1))/MAX(1,H185)</f>
        <v>7.7632142857142856</v>
      </c>
      <c r="J185" t="str">
        <f t="shared" si="5"/>
        <v>per day</v>
      </c>
      <c r="L185" t="str">
        <f>IF(IFERROR(INDEX(InterventionCosts!$A$2:$A$2363,(MATCH(A185,InterventionCosts!$B$2:$B$2363,0))),1)=1,"","Yes")</f>
        <v/>
      </c>
    </row>
    <row r="186" spans="1:12" s="5" customFormat="1" ht="13.75" customHeight="1">
      <c r="A186" s="176"/>
      <c r="C186" s="118"/>
      <c r="G186"/>
      <c r="H186"/>
      <c r="I186" s="279"/>
      <c r="J186"/>
      <c r="L186" t="str">
        <f>IF(IFERROR(INDEX(InterventionCosts!$A$2:$A$2363,(MATCH(A186,InterventionCosts!$B$2:$B$2363,0))),1)=1,"","Yes")</f>
        <v/>
      </c>
    </row>
    <row r="187" spans="1:12" s="5" customFormat="1" ht="13.75" customHeight="1">
      <c r="A187" s="5" t="s">
        <v>1335</v>
      </c>
      <c r="B187" s="155" t="s">
        <v>906</v>
      </c>
      <c r="C187" s="118">
        <f>C188+C189</f>
        <v>9.8100000073501299</v>
      </c>
      <c r="D187" s="5" t="s">
        <v>479</v>
      </c>
      <c r="E187" s="5">
        <v>2024</v>
      </c>
      <c r="F187" s="5" t="s">
        <v>1274</v>
      </c>
      <c r="G187"/>
      <c r="H187"/>
      <c r="I187" s="279">
        <f>IF(G187="",VLOOKUP(IF(Inflation!$B$1-Ingredients!E187&gt;0,Inflation!$B$1-Ingredients!E187,0),Inflation!$C$5:$D$20,2,FALSE)*C187,-PMT(0.08,G187,VLOOKUP(IF(Inflation!$B$1-Ingredients!E187&gt;0,Inflation!$B$1-Ingredients!E187,0),Inflation!$C$5:$D$20,2,FALSE)*C187,0,1))/MAX(1,H187)</f>
        <v>9.8100000073501299</v>
      </c>
      <c r="J187" t="str">
        <f t="shared" si="5"/>
        <v>per day</v>
      </c>
      <c r="L187" t="str">
        <f>IF(IFERROR(INDEX(InterventionCosts!$A$2:$A$2363,(MATCH(A187,InterventionCosts!$B$2:$B$2363,0))),1)=1,"","Yes")</f>
        <v>Yes</v>
      </c>
    </row>
    <row r="188" spans="1:12" s="5" customFormat="1" ht="13.75" customHeight="1">
      <c r="A188" s="176" t="s">
        <v>1333</v>
      </c>
      <c r="B188" s="5" t="s">
        <v>903</v>
      </c>
      <c r="C188" s="118">
        <f>INDEX(ARVs!$E$76:$E$117,MATCH(Ingredients!A188,ARVs!$G$76:$G$117,0))</f>
        <v>4.6609285787787025</v>
      </c>
      <c r="D188" s="5" t="s">
        <v>479</v>
      </c>
      <c r="E188" s="5">
        <v>2024</v>
      </c>
      <c r="F188" s="5" t="s">
        <v>1274</v>
      </c>
      <c r="G188"/>
      <c r="H188"/>
      <c r="I188" s="279">
        <f>IF(G188="",VLOOKUP(IF(Inflation!$B$1-Ingredients!E188&gt;0,Inflation!$B$1-Ingredients!E188,0),Inflation!$C$5:$D$20,2,FALSE)*C188,-PMT(0.08,G188,VLOOKUP(IF(Inflation!$B$1-Ingredients!E188&gt;0,Inflation!$B$1-Ingredients!E188,0),Inflation!$C$5:$D$20,2,FALSE)*C188,0,1))/MAX(1,H188)</f>
        <v>4.6609285787787025</v>
      </c>
      <c r="J188" t="str">
        <f t="shared" si="5"/>
        <v>per day</v>
      </c>
      <c r="L188" t="str">
        <f>IF(IFERROR(INDEX(InterventionCosts!$A$2:$A$2363,(MATCH(A188,InterventionCosts!$B$2:$B$2363,0))),1)=1,"","Yes")</f>
        <v/>
      </c>
    </row>
    <row r="189" spans="1:12" s="5" customFormat="1" ht="13.75" customHeight="1">
      <c r="A189" s="176" t="s">
        <v>1306</v>
      </c>
      <c r="B189" s="5" t="s">
        <v>905</v>
      </c>
      <c r="C189" s="118">
        <f>INDEX(ARVs!$E$76:$E$117,MATCH(Ingredients!A189,ARVs!$G$76:$G$117,0))*2</f>
        <v>5.1490714285714283</v>
      </c>
      <c r="D189" s="5" t="s">
        <v>479</v>
      </c>
      <c r="E189" s="5">
        <v>2024</v>
      </c>
      <c r="F189" s="5" t="s">
        <v>1274</v>
      </c>
      <c r="G189"/>
      <c r="H189"/>
      <c r="I189" s="279">
        <f>IF(G189="",VLOOKUP(IF(Inflation!$B$1-Ingredients!E189&gt;0,Inflation!$B$1-Ingredients!E189,0),Inflation!$C$5:$D$20,2,FALSE)*C189,-PMT(0.08,G189,VLOOKUP(IF(Inflation!$B$1-Ingredients!E189&gt;0,Inflation!$B$1-Ingredients!E189,0),Inflation!$C$5:$D$20,2,FALSE)*C189,0,1))/MAX(1,H189)</f>
        <v>5.1490714285714283</v>
      </c>
      <c r="J189" t="str">
        <f t="shared" si="5"/>
        <v>per day</v>
      </c>
      <c r="L189" t="str">
        <f>IF(IFERROR(INDEX(InterventionCosts!$A$2:$A$2363,(MATCH(A189,InterventionCosts!$B$2:$B$2363,0))),1)=1,"","Yes")</f>
        <v/>
      </c>
    </row>
    <row r="190" spans="1:12" s="5" customFormat="1" ht="13.75" customHeight="1">
      <c r="A190" s="347" t="s">
        <v>1504</v>
      </c>
      <c r="C190" s="118"/>
      <c r="G190"/>
      <c r="H190"/>
      <c r="I190" s="279"/>
      <c r="J190"/>
      <c r="L190" t="str">
        <f>IF(IFERROR(INDEX(InterventionCosts!$A$2:$A$2363,(MATCH(A190,InterventionCosts!$B$2:$B$2363,0))),1)=1,"","Yes")</f>
        <v/>
      </c>
    </row>
    <row r="191" spans="1:12" s="5" customFormat="1">
      <c r="A191" s="5" t="s">
        <v>1336</v>
      </c>
      <c r="B191" s="5" t="s">
        <v>1502</v>
      </c>
      <c r="C191" s="118">
        <f>C193+C192</f>
        <v>7.4665000090607867</v>
      </c>
      <c r="D191" s="5" t="s">
        <v>479</v>
      </c>
      <c r="E191" s="5">
        <v>2024</v>
      </c>
      <c r="F191" s="5" t="s">
        <v>1274</v>
      </c>
      <c r="G191"/>
      <c r="H191"/>
      <c r="I191" s="279">
        <f>IF(G191="",VLOOKUP(IF(Inflation!$B$1-Ingredients!E191&gt;0,Inflation!$B$1-Ingredients!E191,0),Inflation!$C$5:$D$20,2,FALSE)*C191,-PMT(0.08,G191,VLOOKUP(IF(Inflation!$B$1-Ingredients!E191&gt;0,Inflation!$B$1-Ingredients!E191,0),Inflation!$C$5:$D$20,2,FALSE)*C191,0,1))/MAX(1,H191)</f>
        <v>7.4665000090607867</v>
      </c>
      <c r="J191" t="str">
        <f t="shared" si="5"/>
        <v>per day</v>
      </c>
      <c r="L191" t="str">
        <f>IF(IFERROR(INDEX(InterventionCosts!$A$2:$A$2363,(MATCH(A191,InterventionCosts!$B$2:$B$2363,0))),1)=1,"","Yes")</f>
        <v>Yes</v>
      </c>
    </row>
    <row r="192" spans="1:12" s="5" customFormat="1">
      <c r="A192" s="139" t="s">
        <v>1318</v>
      </c>
      <c r="B192" s="5" t="s">
        <v>903</v>
      </c>
      <c r="C192" s="118">
        <f>INDEX(ARVs!$E$76:$E$117,MATCH(Ingredients!A192,ARVs!$G$76:$G$117,0))</f>
        <v>2.3174285804893584</v>
      </c>
      <c r="D192" s="5" t="s">
        <v>479</v>
      </c>
      <c r="E192" s="5">
        <v>2024</v>
      </c>
      <c r="F192" s="5" t="s">
        <v>1274</v>
      </c>
      <c r="G192"/>
      <c r="H192"/>
      <c r="I192" s="279"/>
      <c r="J192"/>
      <c r="L192" t="str">
        <f>IF(IFERROR(INDEX(InterventionCosts!$A$2:$A$2363,(MATCH(A192,InterventionCosts!$B$2:$B$2363,0))),1)=1,"","Yes")</f>
        <v>Yes</v>
      </c>
    </row>
    <row r="193" spans="1:12" s="5" customFormat="1">
      <c r="A193" s="176" t="s">
        <v>1306</v>
      </c>
      <c r="B193" s="5" t="s">
        <v>905</v>
      </c>
      <c r="C193" s="118">
        <f>INDEX(ARVs!$E$76:$E$117,MATCH(Ingredients!A193,ARVs!$G$76:$G$117,0))*2</f>
        <v>5.1490714285714283</v>
      </c>
      <c r="D193" s="5" t="s">
        <v>479</v>
      </c>
      <c r="E193" s="5">
        <v>2024</v>
      </c>
      <c r="F193" s="5" t="s">
        <v>1274</v>
      </c>
      <c r="G193"/>
      <c r="H193"/>
      <c r="I193" s="279"/>
      <c r="J193"/>
      <c r="L193" t="str">
        <f>IF(IFERROR(INDEX(InterventionCosts!$A$2:$A$2363,(MATCH(A193,InterventionCosts!$B$2:$B$2363,0))),1)=1,"","Yes")</f>
        <v/>
      </c>
    </row>
    <row r="194" spans="1:12">
      <c r="A194" s="27" t="s">
        <v>1505</v>
      </c>
      <c r="I194" s="279"/>
      <c r="L194" t="str">
        <f>IF(IFERROR(INDEX(InterventionCosts!$A$2:$A$2363,(MATCH(A194,InterventionCosts!$B$2:$B$2363,0))),1)=1,"","Yes")</f>
        <v/>
      </c>
    </row>
    <row r="195" spans="1:12" s="5" customFormat="1">
      <c r="A195" s="5" t="s">
        <v>1338</v>
      </c>
      <c r="B195" s="267"/>
      <c r="C195" s="118">
        <f>C196+C197+C198</f>
        <v>329.23899912361765</v>
      </c>
      <c r="D195" s="5" t="s">
        <v>71</v>
      </c>
      <c r="E195" s="5">
        <v>2024</v>
      </c>
      <c r="F195" s="5" t="s">
        <v>1274</v>
      </c>
      <c r="G195"/>
      <c r="H195"/>
      <c r="I195" s="279">
        <f>IF(G195="",VLOOKUP(IF(Inflation!$B$1-Ingredients!E195&gt;0,Inflation!$B$1-Ingredients!E195,0),Inflation!$C$5:$D$20,2,FALSE)*C195,-PMT(0.08,G195,VLOOKUP(IF(Inflation!$B$1-Ingredients!E195&gt;0,Inflation!$B$1-Ingredients!E195,0),Inflation!$C$5:$D$20,2,FALSE)*C195,0,1))/MAX(1,H195)</f>
        <v>329.23899912361765</v>
      </c>
      <c r="J195" t="str">
        <f>IF(H195="",D195,"REDO")</f>
        <v>per drug per month</v>
      </c>
      <c r="L195" t="str">
        <f>IF(IFERROR(INDEX(InterventionCosts!$A$2:$A$2363,(MATCH(A195,InterventionCosts!$B$2:$B$2363,0))),1)=1,"","Yes")</f>
        <v>Yes</v>
      </c>
    </row>
    <row r="196" spans="1:12" s="5" customFormat="1">
      <c r="A196" s="176" t="s">
        <v>1324</v>
      </c>
      <c r="B196" t="s">
        <v>1325</v>
      </c>
      <c r="C196" s="118">
        <f>INDEX(ARVs!$E$76:$E$117,MATCH(Ingredients!A196,ARVs!$G$76:$G$117,0))*28</f>
        <v>41.01</v>
      </c>
      <c r="D196" s="5" t="s">
        <v>71</v>
      </c>
      <c r="E196" s="5">
        <v>2024</v>
      </c>
      <c r="F196" s="5" t="s">
        <v>1274</v>
      </c>
      <c r="G196"/>
      <c r="H196"/>
      <c r="I196" s="279">
        <f>IF(G196="",VLOOKUP(IF(Inflation!$B$1-Ingredients!E196&gt;0,Inflation!$B$1-Ingredients!E196,0),Inflation!$C$5:$D$20,2,FALSE)*C196,-PMT(0.08,G196,VLOOKUP(IF(Inflation!$B$1-Ingredients!E196&gt;0,Inflation!$B$1-Ingredients!E196,0),Inflation!$C$5:$D$20,2,FALSE)*C196,0,1))/MAX(1,H196)</f>
        <v>41.01</v>
      </c>
      <c r="J196" t="str">
        <f>IF(H196="",D196,"REDO")</f>
        <v>per drug per month</v>
      </c>
      <c r="L196" t="str">
        <f>IF(IFERROR(INDEX(InterventionCosts!$A$2:$A$2363,(MATCH(A196,InterventionCosts!$B$2:$B$2363,0))),1)=1,"","Yes")</f>
        <v/>
      </c>
    </row>
    <row r="197" spans="1:12" s="5" customFormat="1">
      <c r="A197" s="176" t="s">
        <v>904</v>
      </c>
      <c r="B197" s="5" t="s">
        <v>1326</v>
      </c>
      <c r="C197" s="118">
        <f>INDEX(ARVs!$E$76:$E$117,MATCH(Ingredients!A197,ARVs!$G$76:$G$117,0))*28*2</f>
        <v>34.818999123617651</v>
      </c>
      <c r="D197" s="5" t="s">
        <v>71</v>
      </c>
      <c r="E197" s="5">
        <v>2024</v>
      </c>
      <c r="F197" s="5" t="s">
        <v>1274</v>
      </c>
      <c r="G197"/>
      <c r="H197"/>
      <c r="I197" s="279">
        <f>IF(G197="",VLOOKUP(IF(Inflation!$B$1-Ingredients!E197&gt;0,Inflation!$B$1-Ingredients!E197,0),Inflation!$C$5:$D$20,2,FALSE)*C197,-PMT(0.08,G197,VLOOKUP(IF(Inflation!$B$1-Ingredients!E197&gt;0,Inflation!$B$1-Ingredients!E197,0),Inflation!$C$5:$D$20,2,FALSE)*C197,0,1))/MAX(1,H197)</f>
        <v>34.818999123617651</v>
      </c>
      <c r="J197" t="str">
        <f>IF(H197="",D197,"REDO")</f>
        <v>per drug per month</v>
      </c>
      <c r="L197" t="str">
        <f>IF(IFERROR(INDEX(InterventionCosts!$A$2:$A$2363,(MATCH(A197,InterventionCosts!$B$2:$B$2363,0))),1)=1,"","Yes")</f>
        <v/>
      </c>
    </row>
    <row r="198" spans="1:12" s="5" customFormat="1">
      <c r="A198" s="176" t="s">
        <v>1327</v>
      </c>
      <c r="B198" t="s">
        <v>1325</v>
      </c>
      <c r="C198" s="118">
        <f>INDEX(ARVs!$E$76:$E$117,MATCH(Ingredients!A198,ARVs!$G$76:$G$117,0))*28</f>
        <v>253.41</v>
      </c>
      <c r="D198" s="5" t="s">
        <v>71</v>
      </c>
      <c r="E198" s="5">
        <v>2024</v>
      </c>
      <c r="F198" s="5" t="s">
        <v>1274</v>
      </c>
      <c r="G198"/>
      <c r="H198"/>
      <c r="I198" s="279">
        <f>IF(G198="",VLOOKUP(IF(Inflation!$B$1-Ingredients!E198&gt;0,Inflation!$B$1-Ingredients!E198,0),Inflation!$C$5:$D$20,2,FALSE)*C198,-PMT(0.08,G198,VLOOKUP(IF(Inflation!$B$1-Ingredients!E198&gt;0,Inflation!$B$1-Ingredients!E198,0),Inflation!$C$5:$D$20,2,FALSE)*C198,0,1))/MAX(1,H198)</f>
        <v>253.41</v>
      </c>
      <c r="J198" t="str">
        <f>IF(H198="",D198,"REDO")</f>
        <v>per drug per month</v>
      </c>
      <c r="L198" t="str">
        <f>IF(IFERROR(INDEX(InterventionCosts!$A$2:$A$2363,(MATCH(A198,InterventionCosts!$B$2:$B$2363,0))),1)=1,"","Yes")</f>
        <v/>
      </c>
    </row>
    <row r="199" spans="1:12" s="5" customFormat="1">
      <c r="A199" s="5" t="s">
        <v>410</v>
      </c>
      <c r="B199" s="5" t="s">
        <v>1337</v>
      </c>
      <c r="C199" s="118">
        <f>C128*28</f>
        <v>64.888000253702032</v>
      </c>
      <c r="D199" s="5" t="s">
        <v>71</v>
      </c>
      <c r="E199" s="5">
        <v>2024</v>
      </c>
      <c r="F199" s="5" t="s">
        <v>1274</v>
      </c>
      <c r="G199"/>
      <c r="H199"/>
      <c r="I199" s="279">
        <f>IF(G199="",VLOOKUP(IF(Inflation!$B$1-Ingredients!E199&gt;0,Inflation!$B$1-Ingredients!E199,0),Inflation!$C$5:$D$20,2,FALSE)*C199,-PMT(0.08,G199,VLOOKUP(IF(Inflation!$B$1-Ingredients!E199&gt;0,Inflation!$B$1-Ingredients!E199,0),Inflation!$C$5:$D$20,2,FALSE)*C199,0,1))/MAX(1,H199)</f>
        <v>64.888000253702032</v>
      </c>
      <c r="J199" t="str">
        <f t="shared" si="5"/>
        <v>per drug per month</v>
      </c>
      <c r="L199" t="str">
        <f>IF(IFERROR(INDEX(InterventionCosts!$A$2:$A$2363,(MATCH(A199,InterventionCosts!$B$2:$B$2363,0))),1)=1,"","Yes")</f>
        <v>Yes</v>
      </c>
    </row>
    <row r="200" spans="1:12" s="5" customFormat="1">
      <c r="A200" s="5" t="s">
        <v>449</v>
      </c>
      <c r="B200" s="8"/>
      <c r="C200" s="118">
        <f>23.5*1.22*exrate</f>
        <v>535.00106288275867</v>
      </c>
      <c r="D200" s="5" t="s">
        <v>450</v>
      </c>
      <c r="E200" s="5">
        <f>E199</f>
        <v>2024</v>
      </c>
      <c r="F200" s="5" t="s">
        <v>1144</v>
      </c>
      <c r="I200" s="279">
        <f>IF(G200="",VLOOKUP(IF(Inflation!$B$1-Ingredients!E200&gt;0,Inflation!$B$1-Ingredients!E200,0),Inflation!$C$5:$D$20,2,FALSE)*C200,-PMT(0.08,G200,VLOOKUP(IF(Inflation!$B$1-Ingredients!E200&gt;0,Inflation!$B$1-Ingredients!E200,0),Inflation!$C$5:$D$20,2,FALSE)*C200,0,1))/MAX(1,H200)</f>
        <v>535.00106288275867</v>
      </c>
      <c r="J200" t="str">
        <f t="shared" si="5"/>
        <v>per injection</v>
      </c>
      <c r="L200" t="str">
        <f>IF(IFERROR(INDEX(InterventionCosts!$A$2:$A$2363,(MATCH(A200,InterventionCosts!$B$2:$B$2363,0))),1)=1,"","Yes")</f>
        <v>Yes</v>
      </c>
    </row>
    <row r="201" spans="1:12" s="5" customFormat="1">
      <c r="A201" s="5" t="s">
        <v>939</v>
      </c>
      <c r="B201" s="8"/>
      <c r="C201" s="118">
        <f>15.39*exrate</f>
        <v>287.18752555862073</v>
      </c>
      <c r="D201" s="5" t="s">
        <v>940</v>
      </c>
      <c r="E201" s="5">
        <v>2023</v>
      </c>
      <c r="F201" s="5" t="s">
        <v>1117</v>
      </c>
      <c r="I201" s="279">
        <f>IF(G201="",VLOOKUP(IF(Inflation!$B$1-Ingredients!E201&gt;0,Inflation!$B$1-Ingredients!E201,0),Inflation!$C$5:$D$20,2,FALSE)*C201,-PMT(0.08,G201,VLOOKUP(IF(Inflation!$B$1-Ingredients!E201&gt;0,Inflation!$B$1-Ingredients!E201,0),Inflation!$C$5:$D$20,2,FALSE)*C201,0,1))/MAX(1,H201)</f>
        <v>307.00346482216554</v>
      </c>
      <c r="J201" t="str">
        <f t="shared" si="5"/>
        <v>per ring</v>
      </c>
      <c r="L201" t="str">
        <f>IF(IFERROR(INDEX(InterventionCosts!$A$2:$A$2363,(MATCH(A201,InterventionCosts!$B$2:$B$2363,0))),1)=1,"","Yes")</f>
        <v>Yes</v>
      </c>
    </row>
    <row r="202" spans="1:12" s="5" customFormat="1">
      <c r="A202" s="79" t="s">
        <v>1358</v>
      </c>
      <c r="B202" s="8"/>
      <c r="C202">
        <v>5.2450000000000001</v>
      </c>
      <c r="D202" t="s">
        <v>1365</v>
      </c>
      <c r="E202" s="5">
        <v>2024</v>
      </c>
      <c r="F202" s="5" t="s">
        <v>1274</v>
      </c>
      <c r="I202" s="279">
        <f>IF(G202="",VLOOKUP(IF(Inflation!$B$1-Ingredients!E202&gt;0,Inflation!$B$1-Ingredients!E202,0),Inflation!$C$5:$D$20,2,FALSE)*C202,-PMT(0.08,G202,VLOOKUP(IF(Inflation!$B$1-Ingredients!E202&gt;0,Inflation!$B$1-Ingredients!E202,0),Inflation!$C$5:$D$20,2,FALSE)*C202,0,1))/MAX(1,H202)</f>
        <v>5.2450000000000001</v>
      </c>
      <c r="J202" t="str">
        <f t="shared" si="5"/>
        <v>per vial</v>
      </c>
      <c r="L202" t="str">
        <f>IF(IFERROR(INDEX(InterventionCosts!$A$2:$A$2363,(MATCH(A202,InterventionCosts!$B$2:$B$2363,0))),1)=1,"","Yes")</f>
        <v/>
      </c>
    </row>
    <row r="203" spans="1:12" s="5" customFormat="1">
      <c r="A203" s="79" t="s">
        <v>1359</v>
      </c>
      <c r="B203" s="8"/>
      <c r="C203">
        <v>7.94</v>
      </c>
      <c r="D203" t="s">
        <v>1366</v>
      </c>
      <c r="E203" s="5">
        <v>2024</v>
      </c>
      <c r="F203" s="5" t="s">
        <v>1274</v>
      </c>
      <c r="I203" s="279">
        <f>IF(G203="",VLOOKUP(IF(Inflation!$B$1-Ingredients!E203&gt;0,Inflation!$B$1-Ingredients!E203,0),Inflation!$C$5:$D$20,2,FALSE)*C203,-PMT(0.08,G203,VLOOKUP(IF(Inflation!$B$1-Ingredients!E203&gt;0,Inflation!$B$1-Ingredients!E203,0),Inflation!$C$5:$D$20,2,FALSE)*C203,0,1))/MAX(1,H203)</f>
        <v>7.94</v>
      </c>
      <c r="J203" t="str">
        <f t="shared" si="5"/>
        <v>per dose (1g)</v>
      </c>
      <c r="L203" t="str">
        <f>IF(IFERROR(INDEX(InterventionCosts!$A$2:$A$2363,(MATCH(A203,InterventionCosts!$B$2:$B$2363,0))),1)=1,"","Yes")</f>
        <v/>
      </c>
    </row>
    <row r="204" spans="1:12" s="5" customFormat="1">
      <c r="B204" s="8"/>
      <c r="C204" s="118"/>
      <c r="I204" s="279"/>
      <c r="J204"/>
      <c r="L204" t="str">
        <f>IF(IFERROR(INDEX(InterventionCosts!$A$2:$A$2363,(MATCH(A204,InterventionCosts!$B$2:$B$2363,0))),1)=1,"","Yes")</f>
        <v/>
      </c>
    </row>
    <row r="205" spans="1:12" s="65" customFormat="1">
      <c r="A205" s="15" t="s">
        <v>1130</v>
      </c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t="str">
        <f>IF(IFERROR(INDEX(InterventionCosts!$A$2:$A$2363,(MATCH(A205,InterventionCosts!$B$2:$B$2363,0))),1)=1,"","Yes")</f>
        <v/>
      </c>
    </row>
    <row r="206" spans="1:12">
      <c r="A206" s="5" t="s">
        <v>380</v>
      </c>
      <c r="B206" t="s">
        <v>1506</v>
      </c>
      <c r="C206" s="62">
        <f>MMC!H2</f>
        <v>1481.1539936751751</v>
      </c>
      <c r="D206" s="5" t="s">
        <v>382</v>
      </c>
      <c r="E206" s="5">
        <v>2024</v>
      </c>
      <c r="F206" s="5" t="s">
        <v>384</v>
      </c>
      <c r="I206" s="279">
        <f>IF(G206="",VLOOKUP(IF(Inflation!$B$1-Ingredients!E206&gt;0,Inflation!$B$1-Ingredients!E206,0),Inflation!$C$5:$D$20,2,FALSE)*C206,-PMT(0.08,G206,VLOOKUP(IF(Inflation!$B$1-Ingredients!E206&gt;0,Inflation!$B$1-Ingredients!E206,0),Inflation!$C$5:$D$20,2,FALSE)*C206,0,1))/MAX(1,H206)</f>
        <v>1481.1539936751751</v>
      </c>
      <c r="J206" t="str">
        <f t="shared" si="5"/>
        <v>per circumcision (Average)</v>
      </c>
      <c r="L206" t="str">
        <f>IF(IFERROR(INDEX(InterventionCosts!$A$2:$A$2363,(MATCH(A206,InterventionCosts!$B$2:$B$2363,0))),1)=1,"","Yes")</f>
        <v>Yes</v>
      </c>
    </row>
    <row r="207" spans="1:12">
      <c r="A207" s="5" t="s">
        <v>1133</v>
      </c>
      <c r="B207" t="s">
        <v>1132</v>
      </c>
      <c r="C207" s="62">
        <v>3783</v>
      </c>
      <c r="D207" s="5" t="s">
        <v>1131</v>
      </c>
      <c r="E207" s="5">
        <v>2023</v>
      </c>
      <c r="F207" s="86" t="s">
        <v>1294</v>
      </c>
      <c r="I207" s="279">
        <f>IF(G207="",VLOOKUP(IF(Inflation!$B$1-Ingredients!E207&gt;0,Inflation!$B$1-Ingredients!E207,0),Inflation!$C$5:$D$20,2,FALSE)*C207,-PMT(0.08,G207,VLOOKUP(IF(Inflation!$B$1-Ingredients!E207&gt;0,Inflation!$B$1-Ingredients!E207,0),Inflation!$C$5:$D$20,2,FALSE)*C207,0,1))/MAX(1,H207)</f>
        <v>4044.0269999999996</v>
      </c>
      <c r="J207" t="str">
        <f t="shared" si="5"/>
        <v>per patient day</v>
      </c>
      <c r="L207" t="str">
        <f>IF(IFERROR(INDEX(InterventionCosts!$A$2:$A$2363,(MATCH(A207,InterventionCosts!$B$2:$B$2363,0))),1)=1,"","Yes")</f>
        <v>Yes</v>
      </c>
    </row>
    <row r="210" spans="3:9">
      <c r="I210" s="338"/>
    </row>
    <row r="216" spans="3:9">
      <c r="C216" s="1"/>
    </row>
    <row r="217" spans="3:9">
      <c r="C217" s="273"/>
    </row>
    <row r="218" spans="3:9">
      <c r="C218" s="273"/>
    </row>
    <row r="219" spans="3:9">
      <c r="C219" s="1"/>
    </row>
    <row r="220" spans="3:9">
      <c r="C220" s="273"/>
    </row>
    <row r="221" spans="3:9">
      <c r="C221" s="273"/>
    </row>
    <row r="222" spans="3:9">
      <c r="C222" s="1"/>
    </row>
    <row r="223" spans="3:9">
      <c r="C223" s="273"/>
    </row>
    <row r="224" spans="3:9">
      <c r="C224" s="273"/>
    </row>
    <row r="225" spans="3:3">
      <c r="C225" s="273"/>
    </row>
    <row r="226" spans="3:3">
      <c r="C226" s="1"/>
    </row>
    <row r="227" spans="3:3">
      <c r="C227" s="273"/>
    </row>
    <row r="228" spans="3:3">
      <c r="C228" s="273"/>
    </row>
  </sheetData>
  <autoFilter ref="A1:E206" xr:uid="{00000000-0009-0000-0000-000001000000}"/>
  <conditionalFormatting sqref="L1:L2">
    <cfRule type="cellIs" dxfId="2" priority="2" operator="equal">
      <formula>"Yes"</formula>
    </cfRule>
    <cfRule type="containsText" dxfId="1" priority="3" operator="containsText" text="Yes">
      <formula>NOT(ISERROR(SEARCH("Yes",L1)))</formula>
    </cfRule>
  </conditionalFormatting>
  <conditionalFormatting sqref="L208:L1048576">
    <cfRule type="cellIs" dxfId="0" priority="4" operator="equal">
      <formula>"Yes"</formula>
    </cfRule>
  </conditionalFormatting>
  <dataValidations count="3">
    <dataValidation type="list" allowBlank="1" showInputMessage="1" showErrorMessage="1" sqref="E77 E112 E33 E71 E1:E2 E118 E86 E91 E93 E195:E1048576 E120:E193" xr:uid="{00000000-0002-0000-0100-000000000000}">
      <formula1>YEAR</formula1>
    </dataValidation>
    <dataValidation type="list" allowBlank="1" showInputMessage="1" showErrorMessage="1" sqref="A107:A111 C217:C218 C221 C223:C225 C227:C228 A29:A32 A75:A76 A60:A70" xr:uid="{00000000-0002-0000-0100-000001000000}">
      <formula1>ING</formula1>
    </dataValidation>
    <dataValidation type="list" allowBlank="1" showInputMessage="1" showErrorMessage="1" sqref="C216 C222 C226" xr:uid="{2046BFFB-1C3F-4D3F-81CB-0A5B11F57825}">
      <formula1>ING_TYPE</formula1>
    </dataValidation>
  </dataValidations>
  <hyperlinks>
    <hyperlink ref="F6" r:id="rId1" xr:uid="{00000000-0004-0000-0100-000000000000}"/>
    <hyperlink ref="F44" r:id="rId2" display="https://www.psira.co.za/psira/dmdocuments/circular/Industry_Circular_Minimum_wage_new.pdf" xr:uid="{00000000-0004-0000-0100-000001000000}"/>
    <hyperlink ref="F19" r:id="rId3" xr:uid="{00000000-0004-0000-0100-000002000000}"/>
    <hyperlink ref="F12" r:id="rId4" xr:uid="{00000000-0004-0000-0100-000004000000}"/>
    <hyperlink ref="F14" r:id="rId5" xr:uid="{00000000-0004-0000-0100-000009000000}"/>
    <hyperlink ref="F24" r:id="rId6" xr:uid="{00000000-0004-0000-0100-00000A000000}"/>
    <hyperlink ref="F4" r:id="rId7" xr:uid="{F8990EE7-9DE6-4CBC-B447-7953A272390B}"/>
    <hyperlink ref="F74" r:id="rId8" xr:uid="{8FBCAB4E-1947-4AE7-A057-1DB1AAA9E4EF}"/>
  </hyperlinks>
  <pageMargins left="0.7" right="0.7" top="0.75" bottom="0.75" header="0.3" footer="0.3"/>
  <pageSetup paperSize="9" orientation="portrait" r:id="rId9"/>
  <legacyDrawing r:id="rId1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373"/>
  <sheetViews>
    <sheetView zoomScale="85" zoomScaleNormal="85" workbookViewId="0">
      <pane ySplit="1" topLeftCell="A720" activePane="bottomLeft" state="frozen"/>
      <selection activeCell="D1" sqref="D1"/>
      <selection pane="bottomLeft" activeCell="D746" sqref="D746"/>
    </sheetView>
  </sheetViews>
  <sheetFormatPr baseColWidth="10" defaultColWidth="8.6640625" defaultRowHeight="15"/>
  <cols>
    <col min="1" max="1" width="23.1640625" customWidth="1"/>
    <col min="2" max="2" width="38.83203125" customWidth="1"/>
    <col min="3" max="3" width="17.5" customWidth="1"/>
    <col min="4" max="4" width="12.83203125" customWidth="1"/>
    <col min="5" max="5" width="11.83203125" style="13" customWidth="1"/>
    <col min="6" max="6" width="12.1640625" customWidth="1"/>
    <col min="7" max="7" width="9.5" customWidth="1"/>
    <col min="8" max="8" width="14.5" customWidth="1"/>
    <col min="9" max="9" width="13.83203125" customWidth="1"/>
    <col min="10" max="10" width="42.83203125" customWidth="1"/>
    <col min="11" max="11" width="12.83203125" style="85" customWidth="1"/>
    <col min="12" max="12" width="34.1640625" style="85" customWidth="1"/>
    <col min="13" max="13" width="11.33203125" customWidth="1"/>
    <col min="14" max="14" width="20.5" bestFit="1" customWidth="1"/>
    <col min="16" max="16" width="18.5" bestFit="1" customWidth="1"/>
  </cols>
  <sheetData>
    <row r="1" spans="1:12" s="47" customFormat="1" ht="74.5" customHeight="1">
      <c r="A1" s="286" t="s">
        <v>0</v>
      </c>
      <c r="B1" s="286" t="s">
        <v>113</v>
      </c>
      <c r="C1" s="286" t="s">
        <v>1175</v>
      </c>
      <c r="D1" s="286" t="s">
        <v>114</v>
      </c>
      <c r="E1" s="287" t="str">
        <f>"Unit Cost 
(ZAR "&amp;CostYear&amp;")"</f>
        <v>Unit Cost 
(ZAR 2024)</v>
      </c>
      <c r="F1" s="286" t="s">
        <v>1163</v>
      </c>
      <c r="G1" s="286" t="s">
        <v>1166</v>
      </c>
      <c r="H1" s="286" t="s">
        <v>1165</v>
      </c>
      <c r="I1" s="286" t="s">
        <v>115</v>
      </c>
      <c r="J1" s="286" t="s">
        <v>1167</v>
      </c>
      <c r="K1" s="288" t="s">
        <v>116</v>
      </c>
      <c r="L1" s="288" t="s">
        <v>27</v>
      </c>
    </row>
    <row r="2" spans="1:12">
      <c r="A2" t="s">
        <v>1576</v>
      </c>
      <c r="B2" t="s">
        <v>34</v>
      </c>
      <c r="C2" t="s">
        <v>406</v>
      </c>
      <c r="D2" t="s">
        <v>21</v>
      </c>
      <c r="E2" s="13">
        <f>IF(B2="","",INDEX(Ingredients!$I$1:$I$5013,(MATCH(InterventionCosts!B2,Ingredients!$A$1:$A$5013,0))))</f>
        <v>9.8163589545625012</v>
      </c>
      <c r="F2" s="13" t="str">
        <f>INDEX(Ingredients!J$1:J$265,(MATCH(InterventionCosts!B2,Ingredients!A$1:A$265,0)))</f>
        <v>per condom</v>
      </c>
      <c r="G2">
        <f>IF(B2="","",INDEX(Ingredients!$E$1:$E$238,(MATCH(InterventionCosts!B2,Ingredients!A$1:A$238,0))))</f>
        <v>2024</v>
      </c>
      <c r="H2" t="str">
        <f>INDEX(Ingredients!$F$1:$F$120,(MATCH(InterventionCosts!B2,Ingredients!A$1:A$120,0)))</f>
        <v>http://www.treasury.gov.za/divisions/ocpo/ostb/contracts/RT75-2021.zip</v>
      </c>
      <c r="I2">
        <v>1.76817257279905E-2</v>
      </c>
      <c r="J2" t="s">
        <v>455</v>
      </c>
      <c r="K2" s="85">
        <f>E2*I2</f>
        <v>0.1735701666820777</v>
      </c>
    </row>
    <row r="3" spans="1:12">
      <c r="A3" t="s">
        <v>1576</v>
      </c>
      <c r="B3" t="s">
        <v>43</v>
      </c>
      <c r="C3" t="s">
        <v>406</v>
      </c>
      <c r="D3" t="s">
        <v>21</v>
      </c>
      <c r="E3" s="13">
        <f>IF(B3="","",INDEX(Ingredients!$I$1:$I$5013,(MATCH(InterventionCosts!B3,Ingredients!$A$1:$A$5013,0))))</f>
        <v>0.61939459752201187</v>
      </c>
      <c r="F3" s="13" t="str">
        <f>INDEX(Ingredients!J$1:J$265,(MATCH(InterventionCosts!B3,Ingredients!A$1:A$265,0)))</f>
        <v>per condom</v>
      </c>
      <c r="G3">
        <f>IF(B3="","",INDEX(Ingredients!$E$1:$E$238,(MATCH(InterventionCosts!B3,Ingredients!A$1:A$238,0))))</f>
        <v>2024</v>
      </c>
      <c r="H3" t="str">
        <f>INDEX(Ingredients!$F$1:$F$120,(MATCH(InterventionCosts!B3,Ingredients!A$1:A$120,0)))</f>
        <v>https://www.treasury.gov.za/divisions/ocpo/ostb/contracts/RT75-2021.zip</v>
      </c>
      <c r="I3">
        <v>0.98231827427200957</v>
      </c>
      <c r="J3" t="s">
        <v>455</v>
      </c>
      <c r="K3" s="85">
        <f>E3*I3</f>
        <v>0.60844263213122862</v>
      </c>
    </row>
    <row r="4" spans="1:12">
      <c r="A4" t="s">
        <v>1576</v>
      </c>
      <c r="B4" t="s">
        <v>86</v>
      </c>
      <c r="C4" t="s">
        <v>1468</v>
      </c>
      <c r="D4" t="s">
        <v>81</v>
      </c>
      <c r="E4" s="13">
        <f>IF(B4="","",INDEX(Ingredients!$I$1:$I$5013,(MATCH(InterventionCosts!B4,Ingredients!$A$1:$A$5013,0))))</f>
        <v>2.0987375444854628</v>
      </c>
      <c r="F4" s="13" t="str">
        <f>INDEX(Ingredients!J$1:J$265,(MATCH(InterventionCosts!B4,Ingredients!A$1:A$265,0)))</f>
        <v>per condom distributed</v>
      </c>
      <c r="G4">
        <f>IF(B4="","",INDEX(Ingredients!$E$1:$E$238,(MATCH(InterventionCosts!B4,Ingredients!A$1:A$238,0))))</f>
        <v>2023</v>
      </c>
      <c r="H4" t="str">
        <f>INDEX(Ingredients!$F$1:$F$120,(MATCH(InterventionCosts!B4,Ingredients!A$1:A$120,0)))</f>
        <v>Provincial strategic implementation plans (Steve Cohen, personal communication)</v>
      </c>
      <c r="I4">
        <v>1.7681725727990451E-2</v>
      </c>
      <c r="J4" t="s">
        <v>1468</v>
      </c>
      <c r="K4" s="85">
        <f>E4*I4</f>
        <v>3.7109301636628109E-2</v>
      </c>
    </row>
    <row r="5" spans="1:12">
      <c r="A5" t="s">
        <v>1576</v>
      </c>
      <c r="B5" t="s">
        <v>88</v>
      </c>
      <c r="C5" t="s">
        <v>1468</v>
      </c>
      <c r="D5" t="s">
        <v>81</v>
      </c>
      <c r="E5" s="13">
        <f>IF(B5="","",INDEX(Ingredients!$I$1:$I$5013,(MATCH(InterventionCosts!B5,Ingredients!$A$1:$A$5013,0))))</f>
        <v>0.13242656495020613</v>
      </c>
      <c r="F5" s="13" t="str">
        <f>INDEX(Ingredients!J$1:J$265,(MATCH(InterventionCosts!B5,Ingredients!A$1:A$265,0)))</f>
        <v>per condom distributed</v>
      </c>
      <c r="G5">
        <f>IF(B5="","",INDEX(Ingredients!$E$1:$E$238,(MATCH(InterventionCosts!B5,Ingredients!A$1:A$238,0))))</f>
        <v>2023</v>
      </c>
      <c r="H5" t="str">
        <f>INDEX(Ingredients!$F$1:$F$120,(MATCH(InterventionCosts!B5,Ingredients!A$1:A$120,0)))</f>
        <v>Provincial strategic implementation plans (Steve Cohen, personal communication)</v>
      </c>
      <c r="I5">
        <v>0.98231827427200957</v>
      </c>
      <c r="J5" t="s">
        <v>1468</v>
      </c>
      <c r="K5" s="85">
        <f>E5*I5</f>
        <v>0.13008503474965669</v>
      </c>
    </row>
    <row r="6" spans="1:12" s="4" customFormat="1">
      <c r="A6" s="4" t="s">
        <v>1576</v>
      </c>
      <c r="E6" s="88"/>
      <c r="F6" s="89" t="s">
        <v>1164</v>
      </c>
      <c r="G6" s="4" t="str">
        <f>IF(B6="","",INDEX(Ingredients!$E$1:$E$120,(MATCH(InterventionCosts!B6,Ingredients!A$1:A$120,0))))</f>
        <v/>
      </c>
      <c r="H6" s="4" t="str">
        <f>IF(B6="","",INDEX(Ingredients!$F$3:$F$119,(MATCH(InterventionCosts!B6,Ingredients!A$1:A$265,0))))</f>
        <v/>
      </c>
      <c r="I6" s="89"/>
      <c r="J6" s="89"/>
      <c r="K6" s="90"/>
      <c r="L6" s="90">
        <f>SUM(K2:K5)</f>
        <v>0.9492071351995911</v>
      </c>
    </row>
    <row r="7" spans="1:12" s="4" customFormat="1">
      <c r="A7" s="4" t="s">
        <v>1576</v>
      </c>
      <c r="E7" s="88"/>
      <c r="F7" s="89" t="s">
        <v>117</v>
      </c>
      <c r="G7" s="4" t="str">
        <f>IF(B7="","",INDEX(Ingredients!$E$1:$E$120,(MATCH(InterventionCosts!B7,Ingredients!A$1:A$120,0))))</f>
        <v/>
      </c>
      <c r="H7" s="4" t="str">
        <f>IF(B7="","",INDEX(Ingredients!$F$3:$F$119,(MATCH(InterventionCosts!B7,Ingredients!A$1:A$265,0))))</f>
        <v/>
      </c>
      <c r="I7" s="89"/>
      <c r="J7" s="89"/>
      <c r="K7" s="90"/>
      <c r="L7" s="90" t="s">
        <v>84</v>
      </c>
    </row>
    <row r="8" spans="1:12">
      <c r="F8" s="1"/>
      <c r="G8" t="str">
        <f>IF(B8="","",INDEX(Ingredients!$E$1:$E$120,(MATCH(InterventionCosts!B8,Ingredients!A$1:A$120,0))))</f>
        <v/>
      </c>
      <c r="H8" t="str">
        <f>IF(B8="","",INDEX(Ingredients!$F$3:$F$119,(MATCH(InterventionCosts!B8,Ingredients!A$1:A$265,0))))</f>
        <v/>
      </c>
      <c r="I8" s="1"/>
      <c r="J8" s="1"/>
      <c r="K8" s="87"/>
      <c r="L8" s="87"/>
    </row>
    <row r="9" spans="1:12">
      <c r="A9" t="s">
        <v>2</v>
      </c>
      <c r="B9" t="s">
        <v>43</v>
      </c>
      <c r="C9" t="s">
        <v>406</v>
      </c>
      <c r="D9" t="s">
        <v>21</v>
      </c>
      <c r="E9" s="13">
        <f>IF(B9="","",INDEX(Ingredients!$I$1:$I$5013,(MATCH(InterventionCosts!B9,Ingredients!$A$1:$A$5013,0))))</f>
        <v>0.61939459752201187</v>
      </c>
      <c r="F9" s="13" t="str">
        <f>INDEX(Ingredients!J$1:J$265,(MATCH(InterventionCosts!B9,Ingredients!A$1:A$265,0)))</f>
        <v>per condom</v>
      </c>
      <c r="G9">
        <f>IF(B9="","",INDEX(Ingredients!$E$1:$E$238,(MATCH(InterventionCosts!B9,Ingredients!A$1:A$238,0))))</f>
        <v>2024</v>
      </c>
      <c r="H9" t="str">
        <f>INDEX(Ingredients!$F$1:$F$120,(MATCH(InterventionCosts!B9,Ingredients!A$1:A$120,0)))</f>
        <v>https://www.treasury.gov.za/divisions/ocpo/ostb/contracts/RT75-2021.zip</v>
      </c>
      <c r="I9">
        <v>0.98231827427200957</v>
      </c>
      <c r="J9" t="s">
        <v>455</v>
      </c>
      <c r="K9" s="85">
        <f>E9*I9</f>
        <v>0.60844263213122862</v>
      </c>
    </row>
    <row r="10" spans="1:12">
      <c r="A10" t="s">
        <v>2</v>
      </c>
      <c r="B10" t="s">
        <v>34</v>
      </c>
      <c r="C10" t="s">
        <v>406</v>
      </c>
      <c r="D10" t="s">
        <v>21</v>
      </c>
      <c r="E10" s="13">
        <f>IF(B10="","",INDEX(Ingredients!$I$1:$I$5013,(MATCH(InterventionCosts!B10,Ingredients!$A$1:$A$5013,0))))</f>
        <v>9.8163589545625012</v>
      </c>
      <c r="F10" s="13" t="str">
        <f>INDEX(Ingredients!J$1:J$265,(MATCH(InterventionCosts!B10,Ingredients!A$1:A$265,0)))</f>
        <v>per condom</v>
      </c>
      <c r="G10">
        <f>IF(B10="","",INDEX(Ingredients!$E$1:$E$238,(MATCH(InterventionCosts!B10,Ingredients!A$1:A$238,0))))</f>
        <v>2024</v>
      </c>
      <c r="H10" t="str">
        <f>INDEX(Ingredients!$F$1:$F$120,(MATCH(InterventionCosts!B10,Ingredients!A$1:A$120,0)))</f>
        <v>http://www.treasury.gov.za/divisions/ocpo/ostb/contracts/RT75-2021.zip</v>
      </c>
      <c r="I10">
        <v>1.7681725727990451E-2</v>
      </c>
      <c r="J10" t="s">
        <v>455</v>
      </c>
      <c r="K10" s="85">
        <f>E10*I10</f>
        <v>0.17357016668207723</v>
      </c>
    </row>
    <row r="11" spans="1:12">
      <c r="A11" t="s">
        <v>2</v>
      </c>
      <c r="B11" t="s">
        <v>85</v>
      </c>
      <c r="C11" t="s">
        <v>1468</v>
      </c>
      <c r="D11" t="s">
        <v>81</v>
      </c>
      <c r="E11" s="13">
        <f>IF(B11="","",INDEX(Ingredients!$I$1:$I$5013,(MATCH(InterventionCosts!B11,Ingredients!$A$1:$A$5013,0))))</f>
        <v>0.26485312990041227</v>
      </c>
      <c r="F11" s="13" t="str">
        <f>INDEX(Ingredients!J$1:J$265,(MATCH(InterventionCosts!B11,Ingredients!A$1:A$265,0)))</f>
        <v>per condom distributed</v>
      </c>
      <c r="G11">
        <f>IF(B11="","",INDEX(Ingredients!$E$1:$E$238,(MATCH(InterventionCosts!B11,Ingredients!A$1:A$238,0))))</f>
        <v>2023</v>
      </c>
      <c r="H11" t="str">
        <f>INDEX(Ingredients!$F$1:$F$120,(MATCH(InterventionCosts!B11,Ingredients!A$1:A$120,0)))</f>
        <v>Provincial strategic implementation plans (Steve Cohen, personal communication)</v>
      </c>
      <c r="I11">
        <v>0.98231827427200957</v>
      </c>
      <c r="J11" t="s">
        <v>1468</v>
      </c>
      <c r="K11" s="85">
        <f>E11*I11</f>
        <v>0.26017006949931337</v>
      </c>
    </row>
    <row r="12" spans="1:12">
      <c r="A12" t="s">
        <v>2</v>
      </c>
      <c r="B12" t="s">
        <v>82</v>
      </c>
      <c r="C12" t="s">
        <v>1468</v>
      </c>
      <c r="D12" t="s">
        <v>81</v>
      </c>
      <c r="E12" s="13">
        <f>IF(B12="","",INDEX(Ingredients!$I$1:$I$5013,(MATCH(InterventionCosts!B12,Ingredients!$A$1:$A$5013,0))))</f>
        <v>4.1974750889709256</v>
      </c>
      <c r="F12" s="13" t="str">
        <f>INDEX(Ingredients!J$1:J$265,(MATCH(InterventionCosts!B12,Ingredients!A$1:A$265,0)))</f>
        <v>per condom distributed</v>
      </c>
      <c r="G12">
        <f>IF(B12="","",INDEX(Ingredients!$E$1:$E$238,(MATCH(InterventionCosts!B12,Ingredients!A$1:A$238,0))))</f>
        <v>2023</v>
      </c>
      <c r="H12" t="str">
        <f>INDEX(Ingredients!$F$1:$F$120,(MATCH(InterventionCosts!B12,Ingredients!A$1:A$120,0)))</f>
        <v>Provincial strategic implementation plans (Steve Cohen, personal communication)</v>
      </c>
      <c r="I12">
        <v>1.7681725727990451E-2</v>
      </c>
      <c r="J12" t="s">
        <v>1468</v>
      </c>
      <c r="K12" s="85">
        <f>E12*I12</f>
        <v>7.4218603273256217E-2</v>
      </c>
    </row>
    <row r="13" spans="1:12" s="4" customFormat="1">
      <c r="A13" s="4" t="s">
        <v>2</v>
      </c>
      <c r="E13" s="88"/>
      <c r="F13" s="89" t="s">
        <v>1164</v>
      </c>
      <c r="G13" s="4" t="str">
        <f>IF(B13="","",INDEX(Ingredients!$E$1:$E$120,(MATCH(InterventionCosts!B13,Ingredients!A$1:A$120,0))))</f>
        <v/>
      </c>
      <c r="H13" s="4" t="str">
        <f>IF(B13="","",INDEX(Ingredients!$F$3:$F$119,(MATCH(InterventionCosts!B13,Ingredients!A$1:A$265,0))))</f>
        <v/>
      </c>
      <c r="I13" s="91"/>
      <c r="J13" s="89"/>
      <c r="K13" s="90"/>
      <c r="L13" s="90">
        <f>SUM(K9:K12)</f>
        <v>1.1164014715858754</v>
      </c>
    </row>
    <row r="14" spans="1:12" s="4" customFormat="1">
      <c r="A14" s="4" t="s">
        <v>2</v>
      </c>
      <c r="E14" s="88"/>
      <c r="F14" s="89" t="s">
        <v>117</v>
      </c>
      <c r="G14" s="4" t="str">
        <f>IF(B14="","",INDEX(Ingredients!$E$1:$E$120,(MATCH(InterventionCosts!B14,Ingredients!A$1:A$120,0))))</f>
        <v/>
      </c>
      <c r="H14" s="4" t="str">
        <f>IF(B14="","",INDEX(Ingredients!$F$3:$F$119,(MATCH(InterventionCosts!B14,Ingredients!A$1:A$265,0))))</f>
        <v/>
      </c>
      <c r="I14" s="89"/>
      <c r="J14" s="89"/>
      <c r="K14" s="90"/>
      <c r="L14" s="90" t="s">
        <v>84</v>
      </c>
    </row>
    <row r="15" spans="1:12">
      <c r="F15" s="1"/>
      <c r="G15" t="str">
        <f>IF(B15="","",INDEX(Ingredients!$E$1:$E$120,(MATCH(InterventionCosts!B15,Ingredients!A$1:A$120,0))))</f>
        <v/>
      </c>
      <c r="H15" t="str">
        <f>IF(B15="","",INDEX(Ingredients!$F$3:$F$119,(MATCH(InterventionCosts!B15,Ingredients!A$1:A$265,0))))</f>
        <v/>
      </c>
      <c r="K15" s="87"/>
      <c r="L15" s="87"/>
    </row>
    <row r="16" spans="1:12">
      <c r="A16" t="s">
        <v>380</v>
      </c>
      <c r="B16" t="s">
        <v>380</v>
      </c>
      <c r="C16" t="s">
        <v>406</v>
      </c>
      <c r="D16" t="s">
        <v>379</v>
      </c>
      <c r="E16" s="13">
        <f>IF(B16="","",INDEX(Ingredients!$I$1:$I$5013,(MATCH(InterventionCosts!B16,Ingredients!$A$1:$A$5013,0))))</f>
        <v>1481.1539936751751</v>
      </c>
      <c r="F16" s="13" t="str">
        <f>INDEX(Ingredients!J$1:J$265,(MATCH(InterventionCosts!B16,Ingredients!A$1:A$265,0)))</f>
        <v>per circumcision (Average)</v>
      </c>
      <c r="G16">
        <f>IF(B16="","",INDEX(Ingredients!$E$1:$E$238,(MATCH(InterventionCosts!B16,Ingredients!A$1:A$238,0))))</f>
        <v>2024</v>
      </c>
      <c r="H16" t="str">
        <f>IF(B16="","",INDEX(Ingredients!$F$3:$F$238,(MATCH(InterventionCosts!B16,Ingredients!A$3:A$238,0))))</f>
        <v>Contract Circular RT35-2019, weighted average based on target volume</v>
      </c>
      <c r="I16">
        <v>1</v>
      </c>
      <c r="J16" t="s">
        <v>1473</v>
      </c>
      <c r="K16" s="85">
        <f>E16*I16</f>
        <v>1481.1539936751751</v>
      </c>
      <c r="L16" s="87"/>
    </row>
    <row r="17" spans="1:12" s="4" customFormat="1">
      <c r="A17" s="4" t="s">
        <v>380</v>
      </c>
      <c r="E17" s="88" t="str">
        <f>IF(B17="","",INDEX(Ingredients!$I$1:$I$5013,(MATCH(InterventionCosts!B17,Ingredients!$A$1:$A$5013,0))))</f>
        <v/>
      </c>
      <c r="F17" s="89" t="s">
        <v>1164</v>
      </c>
      <c r="G17" s="4" t="str">
        <f>IF(B17="","",INDEX(Ingredients!$E$1:$E$238,(MATCH(InterventionCosts!B17,Ingredients!A$1:A$238,0))))</f>
        <v/>
      </c>
      <c r="H17" s="4" t="str">
        <f>IF(B17="","",INDEX(Ingredients!$F$3:$F$119,(MATCH(InterventionCosts!B17,Ingredients!A$1:A$265,0))))</f>
        <v/>
      </c>
      <c r="I17" s="91"/>
      <c r="J17" s="89"/>
      <c r="K17" s="90"/>
      <c r="L17" s="90">
        <f>K16</f>
        <v>1481.1539936751751</v>
      </c>
    </row>
    <row r="18" spans="1:12" s="4" customFormat="1">
      <c r="A18" s="4" t="s">
        <v>380</v>
      </c>
      <c r="E18" s="88" t="str">
        <f>IF(B18="","",INDEX(Ingredients!$I$1:$I$5013,(MATCH(InterventionCosts!B18,Ingredients!$A$1:$A$5013,0))))</f>
        <v/>
      </c>
      <c r="F18" s="89" t="s">
        <v>117</v>
      </c>
      <c r="G18" s="4" t="str">
        <f>IF(B18="","",INDEX(Ingredients!$E$1:$E$238,(MATCH(InterventionCosts!B18,Ingredients!A$1:A$238,0))))</f>
        <v/>
      </c>
      <c r="H18" s="4" t="str">
        <f>IF(B18="","",INDEX(Ingredients!$F$3:$F$119,(MATCH(InterventionCosts!B18,Ingredients!A$1:A$265,0))))</f>
        <v/>
      </c>
      <c r="I18" s="89"/>
      <c r="J18" s="89"/>
      <c r="K18" s="90"/>
      <c r="L18" s="90" t="s">
        <v>919</v>
      </c>
    </row>
    <row r="19" spans="1:12" s="4" customFormat="1">
      <c r="A19" s="4" t="s">
        <v>1</v>
      </c>
      <c r="E19" s="88"/>
      <c r="F19" s="89" t="s">
        <v>1164</v>
      </c>
      <c r="I19" s="89"/>
      <c r="J19" s="89"/>
      <c r="K19" s="90"/>
      <c r="L19" s="90">
        <f>L17/2</f>
        <v>740.57699683758756</v>
      </c>
    </row>
    <row r="20" spans="1:12" s="4" customFormat="1">
      <c r="A20" s="4" t="s">
        <v>1</v>
      </c>
      <c r="E20" s="88"/>
      <c r="F20" s="89" t="s">
        <v>117</v>
      </c>
      <c r="I20" s="89"/>
      <c r="J20" s="89"/>
      <c r="K20" s="90"/>
      <c r="L20" s="90" t="s">
        <v>919</v>
      </c>
    </row>
    <row r="21" spans="1:12">
      <c r="F21" s="1"/>
      <c r="G21" t="str">
        <f>IF(B21="","",INDEX(Ingredients!$E$1:$E$238,(MATCH(InterventionCosts!B21,Ingredients!A$1:A$238,0))))</f>
        <v/>
      </c>
      <c r="H21" t="str">
        <f>IF(B21="","",INDEX(Ingredients!$F$3:$F$119,(MATCH(InterventionCosts!B21,Ingredients!A$1:A$265,0))))</f>
        <v/>
      </c>
      <c r="I21" s="1"/>
      <c r="J21" s="1"/>
      <c r="K21" s="87"/>
      <c r="L21" s="87"/>
    </row>
    <row r="22" spans="1:12">
      <c r="A22" t="s">
        <v>239</v>
      </c>
      <c r="B22" s="5" t="s">
        <v>1112</v>
      </c>
      <c r="C22" t="s">
        <v>1525</v>
      </c>
      <c r="D22" t="s">
        <v>70</v>
      </c>
      <c r="E22" s="13">
        <f>IF(B22="","",INDEX(Ingredients!$I$1:$I$5013,(MATCH(InterventionCosts!B22,Ingredients!$A$1:$A$5013,0))))</f>
        <v>65.868750000000006</v>
      </c>
      <c r="F22" t="str">
        <f>INDEX(Ingredients!J$1:J$265,(MATCH(InterventionCosts!B22,Ingredients!A$1:A$265,0)))</f>
        <v>per child</v>
      </c>
      <c r="G22">
        <f>IF(B22="","",INDEX(Ingredients!$E$1:$E$238,(MATCH(InterventionCosts!B22,Ingredients!A$1:A$238,0))))</f>
        <v>2024</v>
      </c>
      <c r="H22" t="str">
        <f>INDEX(Ingredients!$F$1:$F$318,(MATCH(InterventionCosts!B22,Ingredients!A$1:A$318,0)))</f>
        <v>Master Procurement Circular May 2024</v>
      </c>
      <c r="I22">
        <v>0.25</v>
      </c>
      <c r="J22" t="s">
        <v>1469</v>
      </c>
      <c r="K22" s="85">
        <f>E22*I22</f>
        <v>16.467187500000001</v>
      </c>
    </row>
    <row r="23" spans="1:12">
      <c r="A23" t="s">
        <v>239</v>
      </c>
      <c r="B23" s="5" t="s">
        <v>1113</v>
      </c>
      <c r="C23" t="s">
        <v>1525</v>
      </c>
      <c r="D23" t="s">
        <v>70</v>
      </c>
      <c r="E23" s="13">
        <f>IF(B23="","",INDEX(Ingredients!$I$1:$I$5013,(MATCH(InterventionCosts!B23,Ingredients!$A$1:$A$5013,0))))</f>
        <v>316.17</v>
      </c>
      <c r="F23" t="str">
        <f>INDEX(Ingredients!J$1:J$265,(MATCH(InterventionCosts!B23,Ingredients!A$1:A$265,0)))</f>
        <v>per child</v>
      </c>
      <c r="G23">
        <f>IF(B23="","",INDEX(Ingredients!$E$1:$E$238,(MATCH(InterventionCosts!B23,Ingredients!A$1:A$238,0))))</f>
        <v>2024</v>
      </c>
      <c r="H23" t="str">
        <f>INDEX(Ingredients!$F$1:$F$318,(MATCH(InterventionCosts!B23,Ingredients!A$1:A$318,0)))</f>
        <v>Master Procurement Circular May 2024</v>
      </c>
      <c r="I23">
        <v>0.75</v>
      </c>
      <c r="J23" t="s">
        <v>1470</v>
      </c>
      <c r="K23" s="85">
        <f>E23*I23</f>
        <v>237.1275</v>
      </c>
    </row>
    <row r="24" spans="1:12">
      <c r="A24" t="s">
        <v>239</v>
      </c>
      <c r="B24" s="5" t="s">
        <v>1322</v>
      </c>
      <c r="C24" t="s">
        <v>1525</v>
      </c>
      <c r="D24" t="s">
        <v>70</v>
      </c>
      <c r="E24" s="13">
        <f>IF(B24="","",INDEX(Ingredients!$I$1:$I$5013,(MATCH(InterventionCosts!B24,Ingredients!$A$1:$A$5013,0))))</f>
        <v>6.28</v>
      </c>
      <c r="F24" t="str">
        <f>INDEX(Ingredients!J$1:J$265,(MATCH(InterventionCosts!B24,Ingredients!A$1:A$265,0)))</f>
        <v>per dose</v>
      </c>
      <c r="G24">
        <f>IF(B24="","",INDEX(Ingredients!$E$1:$E$238,(MATCH(InterventionCosts!B24,Ingredients!A$1:A$238,0))))</f>
        <v>2024</v>
      </c>
      <c r="H24" t="str">
        <f>INDEX(Ingredients!$F$1:$F$318,(MATCH(InterventionCosts!B24,Ingredients!A$1:A$318,0)))</f>
        <v>Master Procurement Circular May 2024</v>
      </c>
      <c r="I24">
        <v>1</v>
      </c>
      <c r="J24" t="s">
        <v>1471</v>
      </c>
      <c r="K24" s="85">
        <f>E24*I24</f>
        <v>6.28</v>
      </c>
    </row>
    <row r="25" spans="1:12">
      <c r="A25" t="s">
        <v>239</v>
      </c>
      <c r="B25" s="5" t="s">
        <v>1318</v>
      </c>
      <c r="C25" t="s">
        <v>1525</v>
      </c>
      <c r="D25" t="s">
        <v>70</v>
      </c>
      <c r="E25" s="13">
        <f>IF(B25="","",INDEX(Ingredients!$I$1:$I$5013,(MATCH(InterventionCosts!B25,Ingredients!$A$1:$A$5013,0))))</f>
        <v>2.3174285804893584</v>
      </c>
      <c r="F25" t="str">
        <f>INDEX(Ingredients!J$1:J$265,(MATCH(InterventionCosts!B25,Ingredients!A$1:A$265,0)))</f>
        <v>per dose</v>
      </c>
      <c r="G25">
        <f>IF(B25="","",INDEX(Ingredients!$E$1:$E$238,(MATCH(InterventionCosts!B25,Ingredients!A$1:A$238,0))))</f>
        <v>2024</v>
      </c>
      <c r="H25" t="str">
        <f>INDEX(Ingredients!$F$1:$F$318,(MATCH(InterventionCosts!B25,Ingredients!A$1:A$318,0)))</f>
        <v>Master Procurement Circular May 2024</v>
      </c>
      <c r="I25">
        <v>1</v>
      </c>
      <c r="J25" t="s">
        <v>1471</v>
      </c>
      <c r="K25" s="85">
        <f>E25*I25</f>
        <v>2.3174285804893584</v>
      </c>
    </row>
    <row r="26" spans="1:12">
      <c r="A26" t="s">
        <v>239</v>
      </c>
      <c r="B26" s="5" t="s">
        <v>1303</v>
      </c>
      <c r="C26" t="s">
        <v>1525</v>
      </c>
      <c r="D26" t="s">
        <v>70</v>
      </c>
      <c r="E26" s="13">
        <f>IF(B26="","",INDEX(Ingredients!$I$1:$I$5013,(MATCH(InterventionCosts!B26,Ingredients!$A$1:$A$5013,0))))</f>
        <v>0.74821428571428572</v>
      </c>
      <c r="F26" t="str">
        <f>INDEX(Ingredients!J$1:J$265,(MATCH(InterventionCosts!B26,Ingredients!A$1:A$265,0)))</f>
        <v>per dose</v>
      </c>
      <c r="G26">
        <f>IF(B26="","",INDEX(Ingredients!$E$1:$E$238,(MATCH(InterventionCosts!B26,Ingredients!A$1:A$238,0))))</f>
        <v>2024</v>
      </c>
      <c r="H26" t="str">
        <f>INDEX(Ingredients!$F$1:$F$318,(MATCH(InterventionCosts!B26,Ingredients!A$1:A$318,0)))</f>
        <v>Master Procurement Circular May 2024</v>
      </c>
      <c r="I26">
        <v>1</v>
      </c>
      <c r="J26" t="s">
        <v>1471</v>
      </c>
      <c r="K26" s="85">
        <f>E26*I26</f>
        <v>0.74821428571428572</v>
      </c>
    </row>
    <row r="27" spans="1:12" s="4" customFormat="1">
      <c r="A27" s="4" t="s">
        <v>239</v>
      </c>
      <c r="E27" s="88"/>
      <c r="F27" s="89" t="s">
        <v>1164</v>
      </c>
      <c r="G27" s="4" t="str">
        <f>IF(B27="","",INDEX(Ingredients!$E$1:$E$120,(MATCH(InterventionCosts!B27,Ingredients!A$1:A$120,0))))</f>
        <v/>
      </c>
      <c r="H27" s="4" t="str">
        <f>IF(B27="","",INDEX(Ingredients!$F$3:$F$119,(MATCH(InterventionCosts!B27,Ingredients!A$1:A$265,0))))</f>
        <v/>
      </c>
      <c r="K27" s="92"/>
      <c r="L27" s="90">
        <f>SUM(K22:K26)</f>
        <v>262.94033036620368</v>
      </c>
    </row>
    <row r="28" spans="1:12" s="4" customFormat="1">
      <c r="A28" s="4" t="s">
        <v>239</v>
      </c>
      <c r="E28" s="88"/>
      <c r="F28" s="89" t="s">
        <v>117</v>
      </c>
      <c r="K28" s="92"/>
      <c r="L28" s="90" t="s">
        <v>118</v>
      </c>
    </row>
    <row r="29" spans="1:12">
      <c r="G29" t="str">
        <f>IF(B29="","",INDEX(Ingredients!$E$1:$E$120,(MATCH(InterventionCosts!B29,Ingredients!A$1:A$120,0))))</f>
        <v/>
      </c>
      <c r="H29" t="str">
        <f>IF(B29="","",INDEX(Ingredients!$F$3:$F$119,(MATCH(InterventionCosts!B29,Ingredients!A$1:A$265,0))))</f>
        <v/>
      </c>
    </row>
    <row r="30" spans="1:12">
      <c r="A30" t="s">
        <v>240</v>
      </c>
      <c r="B30" t="s">
        <v>65</v>
      </c>
      <c r="C30" t="s">
        <v>119</v>
      </c>
      <c r="D30" t="s">
        <v>48</v>
      </c>
      <c r="E30" s="13">
        <f>(IF(B30="","",INDEX(Ingredients!$I$1:$I$5013,(MATCH(InterventionCosts!B30,Ingredients!$A$1:$A$5013,0)))))</f>
        <v>3.2392279521674139</v>
      </c>
      <c r="F30" s="13" t="str">
        <f>INDEX(Ingredients!J$1:J$265,(MATCH(InterventionCosts!B30,Ingredients!A$1:A$265,0)))</f>
        <v>per minute</v>
      </c>
      <c r="G30">
        <f>IF(B30="","",INDEX(Ingredients!$E$1:$E$238,(MATCH(InterventionCosts!B30,Ingredients!A$1:A$238,0))))</f>
        <v>2024</v>
      </c>
      <c r="H30" t="str">
        <f>INDEX(Ingredients!$F$1:$F$120,(MATCH(InterventionCosts!B30,Ingredients!A$1:A$120,0)))</f>
        <v xml:space="preserve">April 2024 Salary scale </v>
      </c>
      <c r="I30">
        <v>20</v>
      </c>
      <c r="J30" t="s">
        <v>119</v>
      </c>
      <c r="K30" s="85">
        <f>E30*I30</f>
        <v>64.784559043348281</v>
      </c>
    </row>
    <row r="31" spans="1:12">
      <c r="A31" t="s">
        <v>240</v>
      </c>
      <c r="B31" t="s">
        <v>54</v>
      </c>
      <c r="C31" t="s">
        <v>119</v>
      </c>
      <c r="D31" t="s">
        <v>48</v>
      </c>
      <c r="E31" s="13">
        <f>IF(B31="","",INDEX(Ingredients!$I$1:$I$5013,(MATCH(InterventionCosts!B31,Ingredients!$A$1:$A$5013,0))))</f>
        <v>1.2444366591928251</v>
      </c>
      <c r="F31" s="13" t="str">
        <f>INDEX(Ingredients!J$1:J$265,(MATCH(InterventionCosts!B31,Ingredients!A$1:A$265,0)))</f>
        <v>per minute</v>
      </c>
      <c r="G31">
        <f>IF(B31="","",INDEX(Ingredients!$E$1:$E$238,(MATCH(InterventionCosts!B31,Ingredients!A$1:A$238,0))))</f>
        <v>2024</v>
      </c>
      <c r="H31" t="str">
        <f>INDEX(Ingredients!$F$1:$F$120,(MATCH(InterventionCosts!B31,Ingredients!A$1:A$120,0)))</f>
        <v xml:space="preserve">April 2024 Salary scale </v>
      </c>
      <c r="I31">
        <v>10</v>
      </c>
      <c r="J31" t="s">
        <v>119</v>
      </c>
      <c r="K31" s="85">
        <f>E31*I31</f>
        <v>12.444366591928251</v>
      </c>
    </row>
    <row r="32" spans="1:12">
      <c r="A32" t="s">
        <v>240</v>
      </c>
      <c r="B32" t="s">
        <v>78</v>
      </c>
      <c r="C32" t="s">
        <v>119</v>
      </c>
      <c r="D32" t="s">
        <v>75</v>
      </c>
      <c r="E32" s="13">
        <f>IF(B32="","",INDEX(Ingredients!$I$1:$I$5013,(MATCH(InterventionCosts!B32,Ingredients!$A$1:$A$5013,0))))</f>
        <v>495.08531887209995</v>
      </c>
      <c r="F32" s="13" t="str">
        <f>INDEX(Ingredients!J$1:J$265,(MATCH(InterventionCosts!B32,Ingredients!A$1:A$265,0)))</f>
        <v>per test</v>
      </c>
      <c r="G32">
        <f>IF(B32="","",INDEX(Ingredients!$E$1:$E$238,(MATCH(InterventionCosts!B32,Ingredients!A$1:A$238,0))))</f>
        <v>2021</v>
      </c>
      <c r="H32" t="str">
        <f>INDEX(Ingredients!$F$1:$F$120,(MATCH(InterventionCosts!B32,Ingredients!A$1:A$120,0)))</f>
        <v>NHLS 2021 price-list</v>
      </c>
      <c r="I32">
        <v>1</v>
      </c>
      <c r="J32" t="s">
        <v>119</v>
      </c>
      <c r="K32" s="85">
        <f>E32*I32</f>
        <v>495.08531887209995</v>
      </c>
    </row>
    <row r="33" spans="1:16">
      <c r="A33" t="s">
        <v>240</v>
      </c>
      <c r="B33" t="s">
        <v>1489</v>
      </c>
      <c r="D33" t="s">
        <v>21</v>
      </c>
      <c r="E33" s="13">
        <f>IF(B33="","",INDEX(Ingredients!$I$1:$I$5013,(MATCH(InterventionCosts!B33,Ingredients!$A$1:$A$5013,0))))</f>
        <v>53.08</v>
      </c>
      <c r="F33" s="13" t="str">
        <f>INDEX(Ingredients!J$1:J$265,(MATCH(InterventionCosts!B33,Ingredients!A$1:A$265,0)))</f>
        <v>per pack 100, 50 pairs</v>
      </c>
      <c r="G33">
        <f>IF(B33="","",INDEX(Ingredients!$E$1:$E$238,(MATCH(InterventionCosts!B33,Ingredients!A$1:A$238,0))))</f>
        <v>2024</v>
      </c>
      <c r="H33" t="str">
        <f>INDEX(Ingredients!$F$1:$F$120,(MATCH(InterventionCosts!B33,Ingredients!A$1:A$120,0)))</f>
        <v>https://www.treasury.gov.za/divisions/ocpo/ostb/contracts/RT76-2023%20CPA%20Amendment%204-%20Effective%2001%20May%202024.pdf</v>
      </c>
      <c r="I33">
        <f>1/50</f>
        <v>0.02</v>
      </c>
      <c r="J33" t="s">
        <v>119</v>
      </c>
      <c r="K33" s="85">
        <f>E33*I33</f>
        <v>1.0615999999999999</v>
      </c>
    </row>
    <row r="34" spans="1:16" s="4" customFormat="1">
      <c r="A34" s="4" t="s">
        <v>240</v>
      </c>
      <c r="E34" s="88"/>
      <c r="F34" s="89" t="s">
        <v>1164</v>
      </c>
      <c r="G34" s="4" t="str">
        <f>IF(B34="","",INDEX(Ingredients!$E$1:$E$120,(MATCH(InterventionCosts!B34,Ingredients!A$1:A$120,0))))</f>
        <v/>
      </c>
      <c r="H34" s="4" t="str">
        <f>IF(B34="","",INDEX(Ingredients!$F$3:$F$119,(MATCH(InterventionCosts!B34,Ingredients!A$1:A$265,0))))</f>
        <v/>
      </c>
      <c r="K34" s="92"/>
      <c r="L34" s="90">
        <f>SUM(K30:K33)</f>
        <v>573.37584450737654</v>
      </c>
    </row>
    <row r="35" spans="1:16" s="4" customFormat="1">
      <c r="A35" s="4" t="s">
        <v>240</v>
      </c>
      <c r="E35" s="88"/>
      <c r="F35" s="89" t="s">
        <v>117</v>
      </c>
      <c r="G35" s="4" t="str">
        <f>IF(B35="","",INDEX(Ingredients!$E$1:$E$120,(MATCH(InterventionCosts!B35,Ingredients!A$1:A$120,0))))</f>
        <v/>
      </c>
      <c r="H35" s="4" t="str">
        <f>IF(B35="","",INDEX(Ingredients!$F$3:$F$119,(MATCH(InterventionCosts!B35,Ingredients!A$1:A$265,0))))</f>
        <v/>
      </c>
      <c r="K35" s="92"/>
      <c r="L35" s="90" t="s">
        <v>936</v>
      </c>
    </row>
    <row r="36" spans="1:16" s="6" customFormat="1">
      <c r="E36" s="93"/>
      <c r="F36" s="94"/>
      <c r="G36" s="6" t="str">
        <f>IF(B36="","",INDEX(Ingredients!$E$1:$E$120,(MATCH(InterventionCosts!B36,Ingredients!A$1:A$120,0))))</f>
        <v/>
      </c>
      <c r="H36" s="6" t="str">
        <f>IF(B36="","",INDEX(Ingredients!$F$3:$F$119,(MATCH(InterventionCosts!B36,Ingredients!A$1:A$265,0))))</f>
        <v/>
      </c>
      <c r="I36" s="94"/>
      <c r="J36" s="94"/>
      <c r="K36" s="95"/>
      <c r="L36" s="95"/>
      <c r="P36"/>
    </row>
    <row r="37" spans="1:16">
      <c r="A37" t="s">
        <v>1528</v>
      </c>
      <c r="B37" t="s">
        <v>65</v>
      </c>
      <c r="C37" t="s">
        <v>119</v>
      </c>
      <c r="D37" t="s">
        <v>48</v>
      </c>
      <c r="E37" s="13">
        <f>(IF(B37="","",INDEX(Ingredients!$I$1:$I$5013,(MATCH(InterventionCosts!B37,Ingredients!$A$1:$A$5013,0)))))</f>
        <v>3.2392279521674139</v>
      </c>
      <c r="F37" s="13" t="str">
        <f>INDEX(Ingredients!J$1:J$265,(MATCH(InterventionCosts!B37,Ingredients!A$1:A$265,0)))</f>
        <v>per minute</v>
      </c>
      <c r="G37">
        <f>IF(B37="","",INDEX(Ingredients!$E$1:$E$238,(MATCH(InterventionCosts!B37,Ingredients!A$1:A$238,0))))</f>
        <v>2024</v>
      </c>
      <c r="H37" t="str">
        <f>INDEX(Ingredients!$F$1:$F$120,(MATCH(InterventionCosts!B37,Ingredients!A$1:A$120,0)))</f>
        <v xml:space="preserve">April 2024 Salary scale </v>
      </c>
      <c r="I37">
        <v>10</v>
      </c>
      <c r="J37" t="s">
        <v>119</v>
      </c>
      <c r="K37" s="85">
        <f>E37*I37</f>
        <v>32.392279521674141</v>
      </c>
    </row>
    <row r="38" spans="1:16">
      <c r="A38" t="s">
        <v>1528</v>
      </c>
      <c r="B38" t="s">
        <v>54</v>
      </c>
      <c r="C38" t="s">
        <v>119</v>
      </c>
      <c r="D38" t="s">
        <v>48</v>
      </c>
      <c r="E38" s="13">
        <f>IF(B38="","",INDEX(Ingredients!$I$1:$I$5013,(MATCH(InterventionCosts!B38,Ingredients!$A$1:$A$5013,0))))</f>
        <v>1.2444366591928251</v>
      </c>
      <c r="F38" s="13" t="str">
        <f>INDEX(Ingredients!J$1:J$265,(MATCH(InterventionCosts!B38,Ingredients!A$1:A$265,0)))</f>
        <v>per minute</v>
      </c>
      <c r="G38">
        <f>IF(B38="","",INDEX(Ingredients!$E$1:$E$238,(MATCH(InterventionCosts!B38,Ingredients!A$1:A$238,0))))</f>
        <v>2024</v>
      </c>
      <c r="H38" t="str">
        <f>INDEX(Ingredients!$F$1:$F$120,(MATCH(InterventionCosts!B38,Ingredients!A$1:A$120,0)))</f>
        <v xml:space="preserve">April 2024 Salary scale </v>
      </c>
      <c r="I38">
        <v>10</v>
      </c>
      <c r="J38" t="s">
        <v>119</v>
      </c>
      <c r="K38" s="85">
        <f>E38*I38</f>
        <v>12.444366591928251</v>
      </c>
    </row>
    <row r="39" spans="1:16">
      <c r="A39" t="s">
        <v>1528</v>
      </c>
      <c r="B39" t="s">
        <v>78</v>
      </c>
      <c r="C39" t="s">
        <v>119</v>
      </c>
      <c r="D39" t="s">
        <v>75</v>
      </c>
      <c r="E39" s="13">
        <f>IF(B39="","",INDEX(Ingredients!$I$1:$I$5013,(MATCH(InterventionCosts!B39,Ingredients!$A$1:$A$5013,0))))</f>
        <v>495.08531887209995</v>
      </c>
      <c r="F39" s="13" t="str">
        <f>INDEX(Ingredients!J$1:J$265,(MATCH(InterventionCosts!B39,Ingredients!A$1:A$265,0)))</f>
        <v>per test</v>
      </c>
      <c r="G39">
        <f>IF(B39="","",INDEX(Ingredients!$E$1:$E$238,(MATCH(InterventionCosts!B39,Ingredients!A$1:A$238,0))))</f>
        <v>2021</v>
      </c>
      <c r="H39" t="str">
        <f>INDEX(Ingredients!$F$1:$F$120,(MATCH(InterventionCosts!B39,Ingredients!A$1:A$120,0)))</f>
        <v>NHLS 2021 price-list</v>
      </c>
      <c r="I39">
        <v>1</v>
      </c>
      <c r="J39" t="s">
        <v>119</v>
      </c>
      <c r="K39" s="85">
        <f>E39*I39</f>
        <v>495.08531887209995</v>
      </c>
    </row>
    <row r="40" spans="1:16">
      <c r="A40" t="s">
        <v>1528</v>
      </c>
      <c r="B40" t="s">
        <v>1489</v>
      </c>
      <c r="D40" t="s">
        <v>21</v>
      </c>
      <c r="E40" s="13">
        <f>IF(B40="","",INDEX(Ingredients!$I$1:$I$5013,(MATCH(InterventionCosts!B40,Ingredients!$A$1:$A$5013,0))))</f>
        <v>53.08</v>
      </c>
      <c r="F40" s="13" t="str">
        <f>INDEX(Ingredients!J$1:J$265,(MATCH(InterventionCosts!B40,Ingredients!A$1:A$265,0)))</f>
        <v>per pack 100, 50 pairs</v>
      </c>
      <c r="G40">
        <f>IF(B40="","",INDEX(Ingredients!$E$1:$E$238,(MATCH(InterventionCosts!B40,Ingredients!A$1:A$238,0))))</f>
        <v>2024</v>
      </c>
      <c r="H40" t="str">
        <f>INDEX(Ingredients!$F$1:$F$120,(MATCH(InterventionCosts!B40,Ingredients!A$1:A$120,0)))</f>
        <v>https://www.treasury.gov.za/divisions/ocpo/ostb/contracts/RT76-2023%20CPA%20Amendment%204-%20Effective%2001%20May%202024.pdf</v>
      </c>
      <c r="I40">
        <f>1/50</f>
        <v>0.02</v>
      </c>
      <c r="J40" t="s">
        <v>119</v>
      </c>
      <c r="K40" s="85">
        <f>E40*I40</f>
        <v>1.0615999999999999</v>
      </c>
    </row>
    <row r="41" spans="1:16" s="4" customFormat="1">
      <c r="A41" s="4" t="s">
        <v>1528</v>
      </c>
      <c r="E41" s="88"/>
      <c r="F41" s="89" t="s">
        <v>1164</v>
      </c>
      <c r="G41" s="4" t="str">
        <f>IF(B41="","",INDEX(Ingredients!$E$1:$E$238,(MATCH(InterventionCosts!B41,Ingredients!A$1:A$238,0))))</f>
        <v/>
      </c>
      <c r="H41" s="4" t="str">
        <f>IF(B41="","",INDEX(Ingredients!$F$3:$F$119,(MATCH(InterventionCosts!B41,Ingredients!A$1:A$265,0))))</f>
        <v/>
      </c>
      <c r="K41" s="92"/>
      <c r="L41" s="90">
        <f>SUM(K37:K40)</f>
        <v>540.98356498570229</v>
      </c>
    </row>
    <row r="42" spans="1:16" s="4" customFormat="1">
      <c r="A42" s="4" t="s">
        <v>1528</v>
      </c>
      <c r="E42" s="88"/>
      <c r="F42" s="89" t="s">
        <v>117</v>
      </c>
      <c r="G42" s="4" t="str">
        <f>IF(B42="","",INDEX(Ingredients!$E$1:$E$238,(MATCH(InterventionCosts!B42,Ingredients!A$1:A$238,0))))</f>
        <v/>
      </c>
      <c r="H42" s="4" t="str">
        <f>IF(B42="","",INDEX(Ingredients!$F$3:$F$119,(MATCH(InterventionCosts!B42,Ingredients!A$1:A$265,0))))</f>
        <v/>
      </c>
      <c r="K42" s="92"/>
      <c r="L42" s="90" t="s">
        <v>936</v>
      </c>
    </row>
    <row r="43" spans="1:16" s="6" customFormat="1">
      <c r="E43" s="93"/>
      <c r="F43" s="94"/>
      <c r="G43" s="6" t="str">
        <f>IF(B43="","",INDEX(Ingredients!$E$1:$E$238,(MATCH(InterventionCosts!B43,Ingredients!A$1:A$238,0))))</f>
        <v/>
      </c>
      <c r="H43" s="6" t="str">
        <f>IF(B43="","",INDEX(Ingredients!$F$3:$F$119,(MATCH(InterventionCosts!B43,Ingredients!A$1:A$265,0))))</f>
        <v/>
      </c>
      <c r="I43" s="94"/>
      <c r="J43" s="94"/>
      <c r="K43" s="95"/>
      <c r="L43" s="95"/>
      <c r="P43"/>
    </row>
    <row r="44" spans="1:16">
      <c r="A44" t="s">
        <v>1124</v>
      </c>
      <c r="B44" t="s">
        <v>65</v>
      </c>
      <c r="C44" t="s">
        <v>119</v>
      </c>
      <c r="D44" t="s">
        <v>48</v>
      </c>
      <c r="E44" s="13">
        <f>(IF(B44="","",INDEX(Ingredients!$I$1:$I$5013,(MATCH(InterventionCosts!B44,Ingredients!$A$1:$A$5013,0)))))</f>
        <v>3.2392279521674139</v>
      </c>
      <c r="F44" s="13" t="str">
        <f>INDEX(Ingredients!J$1:J$265,(MATCH(InterventionCosts!B44,Ingredients!A$1:A$265,0)))</f>
        <v>per minute</v>
      </c>
      <c r="G44">
        <f>IF(B44="","",INDEX(Ingredients!$E$1:$E$238,(MATCH(InterventionCosts!B44,Ingredients!A$1:A$238,0))))</f>
        <v>2024</v>
      </c>
      <c r="H44" t="str">
        <f>INDEX(Ingredients!$F$1:$F$120,(MATCH(InterventionCosts!B44,Ingredients!A$1:A$120,0)))</f>
        <v xml:space="preserve">April 2024 Salary scale </v>
      </c>
      <c r="I44">
        <v>10</v>
      </c>
      <c r="J44" t="s">
        <v>119</v>
      </c>
      <c r="K44" s="85">
        <f>E44*I44</f>
        <v>32.392279521674141</v>
      </c>
    </row>
    <row r="45" spans="1:16">
      <c r="A45" t="s">
        <v>1124</v>
      </c>
      <c r="B45" t="s">
        <v>54</v>
      </c>
      <c r="C45" t="s">
        <v>119</v>
      </c>
      <c r="D45" t="s">
        <v>48</v>
      </c>
      <c r="E45" s="13">
        <f>IF(B45="","",INDEX(Ingredients!$I$1:$I$5013,(MATCH(InterventionCosts!B45,Ingredients!$A$1:$A$5013,0))))</f>
        <v>1.2444366591928251</v>
      </c>
      <c r="F45" s="13" t="str">
        <f>INDEX(Ingredients!J$1:J$265,(MATCH(InterventionCosts!B45,Ingredients!A$1:A$265,0)))</f>
        <v>per minute</v>
      </c>
      <c r="G45">
        <f>IF(B45="","",INDEX(Ingredients!$E$1:$E$238,(MATCH(InterventionCosts!B45,Ingredients!A$1:A$238,0))))</f>
        <v>2024</v>
      </c>
      <c r="H45" t="str">
        <f>INDEX(Ingredients!$F$1:$F$120,(MATCH(InterventionCosts!B45,Ingredients!A$1:A$120,0)))</f>
        <v xml:space="preserve">April 2024 Salary scale </v>
      </c>
      <c r="I45">
        <v>10</v>
      </c>
      <c r="J45" t="s">
        <v>119</v>
      </c>
      <c r="K45" s="85">
        <f>E45*I45</f>
        <v>12.444366591928251</v>
      </c>
    </row>
    <row r="46" spans="1:16">
      <c r="A46" t="s">
        <v>1124</v>
      </c>
      <c r="B46" t="s">
        <v>78</v>
      </c>
      <c r="C46" t="s">
        <v>119</v>
      </c>
      <c r="D46" t="s">
        <v>75</v>
      </c>
      <c r="E46" s="13">
        <f>IF(B46="","",INDEX(Ingredients!$I$1:$I$5013,(MATCH(InterventionCosts!B46,Ingredients!$A$1:$A$5013,0))))</f>
        <v>495.08531887209995</v>
      </c>
      <c r="F46" s="13" t="str">
        <f>INDEX(Ingredients!J$1:J$265,(MATCH(InterventionCosts!B46,Ingredients!A$1:A$265,0)))</f>
        <v>per test</v>
      </c>
      <c r="G46">
        <f>IF(B46="","",INDEX(Ingredients!$E$1:$E$238,(MATCH(InterventionCosts!B46,Ingredients!A$1:A$238,0))))</f>
        <v>2021</v>
      </c>
      <c r="H46" t="str">
        <f>INDEX(Ingredients!$F$1:$F$120,(MATCH(InterventionCosts!B46,Ingredients!A$1:A$120,0)))</f>
        <v>NHLS 2021 price-list</v>
      </c>
      <c r="I46">
        <v>1</v>
      </c>
      <c r="J46" t="s">
        <v>119</v>
      </c>
      <c r="K46" s="85">
        <f>E46*I46</f>
        <v>495.08531887209995</v>
      </c>
    </row>
    <row r="47" spans="1:16">
      <c r="A47" t="s">
        <v>1124</v>
      </c>
      <c r="B47" t="s">
        <v>1489</v>
      </c>
      <c r="D47" t="s">
        <v>21</v>
      </c>
      <c r="E47" s="13">
        <f>IF(B47="","",INDEX(Ingredients!$I$1:$I$5013,(MATCH(InterventionCosts!B47,Ingredients!$A$1:$A$5013,0))))</f>
        <v>53.08</v>
      </c>
      <c r="F47" s="13" t="str">
        <f>INDEX(Ingredients!J$1:J$265,(MATCH(InterventionCosts!B47,Ingredients!A$1:A$265,0)))</f>
        <v>per pack 100, 50 pairs</v>
      </c>
      <c r="G47">
        <f>IF(B47="","",INDEX(Ingredients!$E$1:$E$238,(MATCH(InterventionCosts!B47,Ingredients!A$1:A$238,0))))</f>
        <v>2024</v>
      </c>
      <c r="H47" t="str">
        <f>INDEX(Ingredients!$F$1:$F$120,(MATCH(InterventionCosts!B47,Ingredients!A$1:A$120,0)))</f>
        <v>https://www.treasury.gov.za/divisions/ocpo/ostb/contracts/RT76-2023%20CPA%20Amendment%204-%20Effective%2001%20May%202024.pdf</v>
      </c>
      <c r="I47">
        <f>1/50</f>
        <v>0.02</v>
      </c>
      <c r="J47" t="s">
        <v>119</v>
      </c>
      <c r="K47" s="85">
        <f>E47*I47</f>
        <v>1.0615999999999999</v>
      </c>
    </row>
    <row r="48" spans="1:16" s="4" customFormat="1">
      <c r="A48" s="4" t="s">
        <v>1124</v>
      </c>
      <c r="E48" s="88"/>
      <c r="F48" s="89" t="s">
        <v>1164</v>
      </c>
      <c r="G48" s="4" t="str">
        <f>IF(B48="","",INDEX(Ingredients!$E$1:$E$238,(MATCH(InterventionCosts!B48,Ingredients!A$1:A$238,0))))</f>
        <v/>
      </c>
      <c r="H48" s="4" t="str">
        <f>IF(B48="","",INDEX(Ingredients!$F$3:$F$119,(MATCH(InterventionCosts!B48,Ingredients!A$1:A$265,0))))</f>
        <v/>
      </c>
      <c r="K48" s="92"/>
      <c r="L48" s="90">
        <f>SUM(K44:K47)</f>
        <v>540.98356498570229</v>
      </c>
    </row>
    <row r="49" spans="1:16" s="4" customFormat="1">
      <c r="A49" s="4" t="s">
        <v>1124</v>
      </c>
      <c r="E49" s="88"/>
      <c r="F49" s="89" t="s">
        <v>117</v>
      </c>
      <c r="G49" s="4" t="str">
        <f>IF(B49="","",INDEX(Ingredients!$E$1:$E$238,(MATCH(InterventionCosts!B49,Ingredients!A$1:A$238,0))))</f>
        <v/>
      </c>
      <c r="H49" s="4" t="str">
        <f>IF(B49="","",INDEX(Ingredients!$F$3:$F$119,(MATCH(InterventionCosts!B49,Ingredients!A$1:A$265,0))))</f>
        <v/>
      </c>
      <c r="K49" s="92"/>
      <c r="L49" s="90" t="s">
        <v>936</v>
      </c>
    </row>
    <row r="50" spans="1:16" s="6" customFormat="1">
      <c r="E50" s="93"/>
      <c r="F50" s="94"/>
      <c r="I50" s="94"/>
      <c r="J50" s="94"/>
      <c r="K50" s="95"/>
      <c r="L50" s="95"/>
      <c r="P50"/>
    </row>
    <row r="51" spans="1:16">
      <c r="A51" t="s">
        <v>3</v>
      </c>
      <c r="B51" t="s">
        <v>98</v>
      </c>
      <c r="C51" t="s">
        <v>120</v>
      </c>
      <c r="D51" t="s">
        <v>81</v>
      </c>
      <c r="E51" s="13">
        <f>IF(B51="","",INDEX(Ingredients!$I$1:$I$5013,(MATCH(InterventionCosts!B51,Ingredients!$A$1:$A$5013,0))))</f>
        <v>150</v>
      </c>
      <c r="F51" s="13" t="str">
        <f>INDEX(Ingredients!J$1:J$265,(MATCH(InterventionCosts!B51,Ingredients!A$1:A$265,0)))</f>
        <v>per square meter</v>
      </c>
      <c r="G51">
        <f>IF(B51="","",INDEX(Ingredients!$E$1:$E$238,(MATCH(InterventionCosts!B51,Ingredients!A$1:A$238,0))))</f>
        <v>2024</v>
      </c>
      <c r="H51" t="str">
        <f>INDEX(Ingredients!$F$1:$F$318,(MATCH(InterventionCosts!B51,Ingredients!A$1:A$318,0)))</f>
        <v xml:space="preserve">Average retail price for B &amp; C grade commercial property (property24.com) </v>
      </c>
      <c r="I51">
        <f>1/3750*25</f>
        <v>6.6666666666666671E-3</v>
      </c>
      <c r="J51" t="s">
        <v>66</v>
      </c>
      <c r="K51" s="85">
        <f t="shared" ref="K51:K70" si="0">E51*I51</f>
        <v>1</v>
      </c>
      <c r="L51" s="85" t="s">
        <v>1176</v>
      </c>
    </row>
    <row r="52" spans="1:16">
      <c r="A52" t="s">
        <v>3</v>
      </c>
      <c r="B52" t="s">
        <v>89</v>
      </c>
      <c r="C52" t="s">
        <v>120</v>
      </c>
      <c r="D52" t="s">
        <v>81</v>
      </c>
      <c r="E52" s="13">
        <f>IF(B52="","",INDEX(Ingredients!$I$1:$I$5013,(MATCH(InterventionCosts!B52,Ingredients!$A$1:$A$5013,0))))</f>
        <v>27.36845046388283</v>
      </c>
      <c r="F52" s="13" t="str">
        <f>INDEX(Ingredients!J$1:J$265,(MATCH(InterventionCosts!B52,Ingredients!A$1:A$265,0)))</f>
        <v>per square meter</v>
      </c>
      <c r="G52">
        <f>IF(B52="","",INDEX(Ingredients!$E$1:$E$238,(MATCH(InterventionCosts!B52,Ingredients!A$1:A$238,0))))</f>
        <v>2016</v>
      </c>
      <c r="H52" t="str">
        <f>INDEX(Ingredients!$F$1:$F$318,(MATCH(InterventionCosts!B52,Ingredients!A$1:A$318,0)))</f>
        <v>Estimate - HERO's Bills</v>
      </c>
      <c r="I52">
        <f>1/3750*25</f>
        <v>6.6666666666666671E-3</v>
      </c>
      <c r="J52" t="s">
        <v>66</v>
      </c>
      <c r="K52" s="85">
        <f t="shared" si="0"/>
        <v>0.18245633642588555</v>
      </c>
      <c r="L52" s="85" t="s">
        <v>1176</v>
      </c>
    </row>
    <row r="53" spans="1:16">
      <c r="A53" t="s">
        <v>3</v>
      </c>
      <c r="B53" t="s">
        <v>64</v>
      </c>
      <c r="C53" t="s">
        <v>120</v>
      </c>
      <c r="D53" t="s">
        <v>48</v>
      </c>
      <c r="E53" s="13">
        <f>(IF(B53="","",INDEX(Ingredients!$I$1:$I$5013,(MATCH(InterventionCosts!B53,Ingredients!$A$1:$A$5013,0)))))</f>
        <v>5.3971453662182354</v>
      </c>
      <c r="F53" s="13" t="str">
        <f>INDEX(Ingredients!J$1:J$265,(MATCH(InterventionCosts!B53,Ingredients!A$1:A$265,0)))</f>
        <v>per minute</v>
      </c>
      <c r="G53">
        <f>IF(B53="","",INDEX(Ingredients!$E$1:$E$238,(MATCH(InterventionCosts!B53,Ingredients!A$1:A$238,0))))</f>
        <v>2024</v>
      </c>
      <c r="H53" t="str">
        <f>INDEX(Ingredients!$F$1:$F$318,(MATCH(InterventionCosts!B53,Ingredients!A$1:A$318,0)))</f>
        <v xml:space="preserve">April 2024 Salary scale </v>
      </c>
      <c r="I53" s="96">
        <f>workminutespa/3750</f>
        <v>28.544</v>
      </c>
      <c r="J53" t="s">
        <v>66</v>
      </c>
      <c r="K53" s="85">
        <f t="shared" si="0"/>
        <v>154.0561173333333</v>
      </c>
      <c r="L53" s="85" t="s">
        <v>1176</v>
      </c>
    </row>
    <row r="54" spans="1:16">
      <c r="A54" t="s">
        <v>3</v>
      </c>
      <c r="B54" t="s">
        <v>54</v>
      </c>
      <c r="C54" t="s">
        <v>120</v>
      </c>
      <c r="D54" t="s">
        <v>48</v>
      </c>
      <c r="E54" s="13">
        <f>IF(B54="","",INDEX(Ingredients!$I$1:$I$5013,(MATCH(InterventionCosts!B54,Ingredients!$A$1:$A$5013,0))))</f>
        <v>1.2444366591928251</v>
      </c>
      <c r="F54" s="13" t="str">
        <f>INDEX(Ingredients!J$1:J$265,(MATCH(InterventionCosts!B54,Ingredients!A$1:A$265,0)))</f>
        <v>per minute</v>
      </c>
      <c r="G54">
        <f>IF(B54="","",INDEX(Ingredients!$E$1:$E$238,(MATCH(InterventionCosts!B54,Ingredients!A$1:A$238,0))))</f>
        <v>2024</v>
      </c>
      <c r="H54" t="str">
        <f>INDEX(Ingredients!$F$1:$F$318,(MATCH(InterventionCosts!B54,Ingredients!A$1:A$318,0)))</f>
        <v xml:space="preserve">April 2024 Salary scale </v>
      </c>
      <c r="I54" s="96">
        <f>workminutespa/3750</f>
        <v>28.544</v>
      </c>
      <c r="J54" t="s">
        <v>66</v>
      </c>
      <c r="K54" s="85">
        <f t="shared" si="0"/>
        <v>35.5212</v>
      </c>
      <c r="L54" s="85" t="s">
        <v>1176</v>
      </c>
    </row>
    <row r="55" spans="1:16">
      <c r="A55" t="s">
        <v>3</v>
      </c>
      <c r="B55" t="s">
        <v>56</v>
      </c>
      <c r="C55" t="s">
        <v>120</v>
      </c>
      <c r="D55" t="s">
        <v>48</v>
      </c>
      <c r="E55" s="13">
        <f>IF(B55="","",INDEX(Ingredients!$I$1:$I$5013,(MATCH(InterventionCosts!B55,Ingredients!$A$1:$A$5013,0))))</f>
        <v>23181.75</v>
      </c>
      <c r="F55" s="13" t="str">
        <f>INDEX(Ingredients!J$1:J$265,(MATCH(InterventionCosts!B55,Ingredients!A$1:A$265,0)))</f>
        <v>per month</v>
      </c>
      <c r="G55">
        <f>IF(B55="","",INDEX(Ingredients!$E$1:$E$238,(MATCH(InterventionCosts!B55,Ingredients!A$1:A$238,0))))</f>
        <v>2024</v>
      </c>
      <c r="H55" t="str">
        <f>INDEX(Ingredients!$F$1:$F$318,(MATCH(InterventionCosts!B55,Ingredients!A$1:A$318,0)))</f>
        <v xml:space="preserve">April 2024 Salary scale </v>
      </c>
      <c r="I55" s="268">
        <f>12/3750</f>
        <v>3.2000000000000002E-3</v>
      </c>
      <c r="J55" t="s">
        <v>66</v>
      </c>
      <c r="K55" s="85">
        <f t="shared" si="0"/>
        <v>74.181600000000003</v>
      </c>
      <c r="L55" s="85" t="s">
        <v>1176</v>
      </c>
    </row>
    <row r="56" spans="1:16">
      <c r="A56" t="s">
        <v>3</v>
      </c>
      <c r="B56" t="s">
        <v>57</v>
      </c>
      <c r="C56" t="s">
        <v>120</v>
      </c>
      <c r="D56" t="s">
        <v>48</v>
      </c>
      <c r="E56" s="13">
        <f>IF(B56="","",INDEX(Ingredients!$I$1:$I$5013,(MATCH(InterventionCosts!B56,Ingredients!$A$1:$A$5013,0))))</f>
        <v>3.0746932735426005</v>
      </c>
      <c r="F56" s="13" t="str">
        <f>INDEX(Ingredients!J$1:J$265,(MATCH(InterventionCosts!B56,Ingredients!A$1:A$265,0)))</f>
        <v>per minute</v>
      </c>
      <c r="G56">
        <f>IF(B56="","",INDEX(Ingredients!$E$1:$E$238,(MATCH(InterventionCosts!B56,Ingredients!A$1:A$238,0))))</f>
        <v>2022</v>
      </c>
      <c r="H56" t="str">
        <f>INDEX(Ingredients!$F$1:$F$318,(MATCH(InterventionCosts!B56,Ingredients!A$1:A$318,0)))</f>
        <v>GF Grant Portfolio Budget 2022 (Steve Cohen personal communication)</v>
      </c>
      <c r="I56" s="96">
        <f>workminutespa/(3750*2)</f>
        <v>14.272</v>
      </c>
      <c r="J56" t="s">
        <v>66</v>
      </c>
      <c r="K56" s="85">
        <f t="shared" si="0"/>
        <v>43.882022399999997</v>
      </c>
      <c r="L56" s="85" t="s">
        <v>1176</v>
      </c>
    </row>
    <row r="57" spans="1:16">
      <c r="A57" t="s">
        <v>3</v>
      </c>
      <c r="B57" t="s">
        <v>235</v>
      </c>
      <c r="C57" t="s">
        <v>120</v>
      </c>
      <c r="D57" t="s">
        <v>48</v>
      </c>
      <c r="E57" s="13">
        <f>IF(B57="","",INDEX(Ingredients!$I$1:$I$5013,(MATCH(InterventionCosts!B57,Ingredients!$A$1:$A$5013,0))))</f>
        <v>11.82092582212257</v>
      </c>
      <c r="F57" s="13" t="str">
        <f>INDEX(Ingredients!J$1:J$265,(MATCH(InterventionCosts!B57,Ingredients!A$1:A$265,0)))</f>
        <v>per minute</v>
      </c>
      <c r="G57">
        <f>IF(B57="","",INDEX(Ingredients!$E$1:$E$238,(MATCH(InterventionCosts!B57,Ingredients!A$1:A$238,0))))</f>
        <v>2024</v>
      </c>
      <c r="H57" t="str">
        <f>INDEX(Ingredients!$F$1:$F$318,(MATCH(InterventionCosts!B57,Ingredients!A$1:A$318,0)))</f>
        <v xml:space="preserve">April 2024 Salary scale </v>
      </c>
      <c r="I57" s="96">
        <f>workminutespa/(3750*4)</f>
        <v>7.1360000000000001</v>
      </c>
      <c r="J57" t="s">
        <v>66</v>
      </c>
      <c r="K57" s="85">
        <f t="shared" si="0"/>
        <v>84.354126666666659</v>
      </c>
      <c r="L57" s="85" t="s">
        <v>1176</v>
      </c>
    </row>
    <row r="58" spans="1:16">
      <c r="A58" t="s">
        <v>3</v>
      </c>
      <c r="B58" t="s">
        <v>41</v>
      </c>
      <c r="C58" t="s">
        <v>120</v>
      </c>
      <c r="D58" t="s">
        <v>81</v>
      </c>
      <c r="E58" s="13">
        <f>IF(B58="","",INDEX(Ingredients!$I$1:$I$5013,(MATCH(InterventionCosts!B58,Ingredients!$A$1:$A$5013,0))))</f>
        <v>3.3436167856640138</v>
      </c>
      <c r="F58" s="13" t="str">
        <f>INDEX(Ingredients!J$1:J$265,(MATCH(InterventionCosts!B58,Ingredients!A$1:A$265,0)))</f>
        <v>per material</v>
      </c>
      <c r="G58">
        <f>IF(B58="","",INDEX(Ingredients!$E$1:$E$238,(MATCH(InterventionCosts!B58,Ingredients!A$1:A$238,0))))</f>
        <v>2014</v>
      </c>
      <c r="H58" t="str">
        <f>INDEX(Ingredients!$F$1:$F$318,(MATCH(InterventionCosts!B58,Ingredients!A$1:A$318,0)))</f>
        <v>RSA GF proposal 2014</v>
      </c>
      <c r="I58" s="3">
        <v>1</v>
      </c>
      <c r="J58" t="s">
        <v>66</v>
      </c>
      <c r="K58" s="85">
        <f t="shared" si="0"/>
        <v>3.3436167856640138</v>
      </c>
    </row>
    <row r="59" spans="1:16">
      <c r="A59" t="s">
        <v>3</v>
      </c>
      <c r="B59" t="s">
        <v>95</v>
      </c>
      <c r="C59" t="s">
        <v>120</v>
      </c>
      <c r="D59" t="s">
        <v>81</v>
      </c>
      <c r="E59" s="13">
        <f>IF(B59="","",INDEX(Ingredients!$I$1:$I$5013,(MATCH(InterventionCosts!B59,Ingredients!$A$1:$A$5013,0))))</f>
        <v>0.1413681176978745</v>
      </c>
      <c r="F59" s="13" t="str">
        <f>INDEX(Ingredients!J$1:J$265,(MATCH(InterventionCosts!B59,Ingredients!A$1:A$265,0)))</f>
        <v>per form</v>
      </c>
      <c r="G59">
        <f>IF(B59="","",INDEX(Ingredients!$E$1:$E$238,(MATCH(InterventionCosts!B59,Ingredients!A$1:A$238,0))))</f>
        <v>2013</v>
      </c>
      <c r="H59" t="str">
        <f>INDEX(Ingredients!$F$1:$F$318,(MATCH(InterventionCosts!B59,Ingredients!A$1:A$318,0)))</f>
        <v>RSA GF proposal</v>
      </c>
      <c r="I59" s="3">
        <v>1</v>
      </c>
      <c r="J59" t="s">
        <v>66</v>
      </c>
      <c r="K59" s="85">
        <f t="shared" si="0"/>
        <v>0.1413681176978745</v>
      </c>
    </row>
    <row r="60" spans="1:16">
      <c r="A60" t="s">
        <v>3</v>
      </c>
      <c r="B60" t="s">
        <v>79</v>
      </c>
      <c r="C60" t="s">
        <v>120</v>
      </c>
      <c r="D60" t="s">
        <v>21</v>
      </c>
      <c r="E60" s="13">
        <f>IF(B60="","",INDEX(Ingredients!$I$1:$I$5013,(MATCH(InterventionCosts!B60,Ingredients!$A$1:$A$5013,0))))</f>
        <v>9.3000000000000007</v>
      </c>
      <c r="F60" s="13" t="str">
        <f>INDEX(Ingredients!J$1:J$265,(MATCH(InterventionCosts!B60,Ingredients!A$1:A$265,0)))</f>
        <v>per test</v>
      </c>
      <c r="G60">
        <f>IF(B60="","",INDEX(Ingredients!$E$1:$E$238,(MATCH(InterventionCosts!B60,Ingredients!A$1:A$238,0))))</f>
        <v>2024</v>
      </c>
      <c r="H60" t="str">
        <f>INDEX(Ingredients!$F$1:$F$318,(MATCH(InterventionCosts!B60,Ingredients!A$1:A$318,0)))</f>
        <v>https://www.treasury.gov.za/divisions/ocpo/ostb/contracts/RT41-2020.zip</v>
      </c>
      <c r="I60" s="3">
        <v>1.31</v>
      </c>
      <c r="J60" t="s">
        <v>66</v>
      </c>
      <c r="K60" s="85">
        <f t="shared" si="0"/>
        <v>12.183000000000002</v>
      </c>
      <c r="L60" s="85" t="s">
        <v>121</v>
      </c>
    </row>
    <row r="61" spans="1:16">
      <c r="A61" t="s">
        <v>3</v>
      </c>
      <c r="B61" t="s">
        <v>29</v>
      </c>
      <c r="C61" t="s">
        <v>120</v>
      </c>
      <c r="D61" t="s">
        <v>21</v>
      </c>
      <c r="E61" s="13">
        <f>IF(B61="","",INDEX(Ingredients!$I$1:$I$5013,(MATCH(InterventionCosts!B61,Ingredients!$A$1:$A$5013,0))))</f>
        <v>534.5</v>
      </c>
      <c r="F61" s="13" t="str">
        <f>INDEX(Ingredients!J$1:J$265,(MATCH(InterventionCosts!B61,Ingredients!A$1:A$265,0)))</f>
        <v>per pack</v>
      </c>
      <c r="G61">
        <f>IF(B61="","",INDEX(Ingredients!$E$1:$E$238,(MATCH(InterventionCosts!B61,Ingredients!A$1:A$238,0))))</f>
        <v>2023</v>
      </c>
      <c r="H61" t="str">
        <f>INDEX(Ingredients!$F$1:$F$318,(MATCH(InterventionCosts!B61,Ingredients!A$1:A$318,0)))</f>
        <v>2023/24 CG business plans. Steve Cohen personal communication</v>
      </c>
      <c r="I61" s="3">
        <v>1</v>
      </c>
      <c r="J61" t="s">
        <v>66</v>
      </c>
      <c r="K61" s="85">
        <f t="shared" si="0"/>
        <v>534.5</v>
      </c>
      <c r="L61" s="85" t="s">
        <v>121</v>
      </c>
    </row>
    <row r="62" spans="1:16">
      <c r="A62" t="s">
        <v>3</v>
      </c>
      <c r="B62" t="s">
        <v>45</v>
      </c>
      <c r="C62" t="s">
        <v>120</v>
      </c>
      <c r="D62" t="s">
        <v>21</v>
      </c>
      <c r="E62" s="13">
        <f>IF(B62="","",INDEX(Ingredients!$I$1:$I$5013,(MATCH(InterventionCosts!B62,Ingredients!$A$1:$A$5013,0))))</f>
        <v>46</v>
      </c>
      <c r="F62" s="13" t="str">
        <f>INDEX(Ingredients!J$1:J$265,(MATCH(InterventionCosts!B62,Ingredients!A$1:A$265,0)))</f>
        <v>per pack 100</v>
      </c>
      <c r="G62">
        <f>IF(B62="","",INDEX(Ingredients!$E$1:$E$238,(MATCH(InterventionCosts!B62,Ingredients!A$1:A$238,0))))</f>
        <v>2024</v>
      </c>
      <c r="H62" t="str">
        <f>INDEX(Ingredients!$F$1:$F$318,(MATCH(InterventionCosts!B62,Ingredients!A$1:A$318,0)))</f>
        <v>https://www.treasury.gov.za/divisions/ocpo/ostb/contracts/RT284-2023.zip</v>
      </c>
      <c r="I62" s="3">
        <f>1/100</f>
        <v>0.01</v>
      </c>
      <c r="J62" t="s">
        <v>66</v>
      </c>
      <c r="K62" s="85">
        <f t="shared" si="0"/>
        <v>0.46</v>
      </c>
    </row>
    <row r="63" spans="1:16">
      <c r="A63" t="s">
        <v>3</v>
      </c>
      <c r="B63" t="s">
        <v>1489</v>
      </c>
      <c r="C63" t="s">
        <v>120</v>
      </c>
      <c r="D63" t="s">
        <v>21</v>
      </c>
      <c r="E63" s="13">
        <f>IF(B63="","",INDEX(Ingredients!$I$1:$I$5013,(MATCH(InterventionCosts!B63,Ingredients!$A$1:$A$5013,0))))</f>
        <v>53.08</v>
      </c>
      <c r="F63" s="13" t="str">
        <f>INDEX(Ingredients!J$1:J$265,(MATCH(InterventionCosts!B63,Ingredients!A$1:A$265,0)))</f>
        <v>per pack 100, 50 pairs</v>
      </c>
      <c r="G63">
        <f>IF(B63="","",INDEX(Ingredients!$E$1:$E$238,(MATCH(InterventionCosts!B63,Ingredients!A$1:A$238,0))))</f>
        <v>2024</v>
      </c>
      <c r="H63" t="str">
        <f>INDEX(Ingredients!$F$1:$F$318,(MATCH(InterventionCosts!B63,Ingredients!A$1:A$318,0)))</f>
        <v>https://www.treasury.gov.za/divisions/ocpo/ostb/contracts/RT76-2023%20CPA%20Amendment%204-%20Effective%2001%20May%202024.pdf</v>
      </c>
      <c r="I63" s="3">
        <f>1/50</f>
        <v>0.02</v>
      </c>
      <c r="J63" t="s">
        <v>66</v>
      </c>
      <c r="K63" s="85">
        <f t="shared" si="0"/>
        <v>1.0615999999999999</v>
      </c>
    </row>
    <row r="64" spans="1:16">
      <c r="A64" t="s">
        <v>3</v>
      </c>
      <c r="B64" t="s">
        <v>32</v>
      </c>
      <c r="C64" t="s">
        <v>120</v>
      </c>
      <c r="D64" t="s">
        <v>21</v>
      </c>
      <c r="E64" s="13">
        <f>IF(B64="","",INDEX(Ingredients!$I$1:$I$5013,(MATCH(InterventionCosts!B64,Ingredients!$A$1:$A$5013,0))))</f>
        <v>17.920000000000002</v>
      </c>
      <c r="F64" s="13" t="str">
        <f>INDEX(Ingredients!J$1:J$265,(MATCH(InterventionCosts!B64,Ingredients!A$1:A$265,0)))</f>
        <v>per 500ml</v>
      </c>
      <c r="G64">
        <f>IF(B64="","",INDEX(Ingredients!$E$1:$E$238,(MATCH(InterventionCosts!B64,Ingredients!A$1:A$238,0))))</f>
        <v>2024</v>
      </c>
      <c r="H64" t="str">
        <f>INDEX(Ingredients!$F$1:$F$318,(MATCH(InterventionCosts!B64,Ingredients!A$1:A$318,0)))</f>
        <v>https://www.health.gov.za/wp-content/uploads/2024/04/HP12-2023LQ-CPA-Add-4-12-Effective-1-May-2024.pdf</v>
      </c>
      <c r="I64" s="3">
        <f>1/50</f>
        <v>0.02</v>
      </c>
      <c r="J64" t="s">
        <v>66</v>
      </c>
      <c r="K64" s="85">
        <f t="shared" si="0"/>
        <v>0.35840000000000005</v>
      </c>
    </row>
    <row r="65" spans="1:12">
      <c r="A65" t="s">
        <v>3</v>
      </c>
      <c r="B65" t="s">
        <v>31</v>
      </c>
      <c r="C65" t="s">
        <v>120</v>
      </c>
      <c r="D65" t="s">
        <v>21</v>
      </c>
      <c r="E65" s="13">
        <f>IF(B65="","",INDEX(Ingredients!$I$1:$I$5013,(MATCH(InterventionCosts!B65,Ingredients!$A$1:$A$5013,0))))</f>
        <v>31.4</v>
      </c>
      <c r="F65" s="13" t="str">
        <f>INDEX(Ingredients!J$1:J$265,(MATCH(InterventionCosts!B65,Ingredients!A$1:A$265,0)))</f>
        <v>per 100 swabs</v>
      </c>
      <c r="G65">
        <f>IF(B65="","",INDEX(Ingredients!$E$1:$E$238,(MATCH(InterventionCosts!B65,Ingredients!A$1:A$238,0))))</f>
        <v>2024</v>
      </c>
      <c r="H65" t="str">
        <f>INDEX(Ingredients!$F$1:$F$318,(MATCH(InterventionCosts!B65,Ingredients!A$1:A$318,0)))</f>
        <v xml:space="preserve">http://www.treasury.gov.za/divisions/ocpo/ostb/contracts/RT42-2022zip </v>
      </c>
      <c r="I65" s="3">
        <f>1/100</f>
        <v>0.01</v>
      </c>
      <c r="J65" t="s">
        <v>66</v>
      </c>
      <c r="K65" s="85">
        <f t="shared" si="0"/>
        <v>0.314</v>
      </c>
    </row>
    <row r="66" spans="1:12">
      <c r="A66" t="s">
        <v>3</v>
      </c>
      <c r="B66" t="s">
        <v>346</v>
      </c>
      <c r="C66" t="s">
        <v>120</v>
      </c>
      <c r="D66" t="s">
        <v>21</v>
      </c>
      <c r="E66" s="13">
        <f>IF(B66="","",INDEX(Ingredients!$I$1:$I$5013,(MATCH(InterventionCosts!B66,Ingredients!$A$1:$A$5013,0))))</f>
        <v>13.5</v>
      </c>
      <c r="F66" s="13" t="str">
        <f>INDEX(Ingredients!J$1:J$265,(MATCH(InterventionCosts!B66,Ingredients!A$1:A$265,0)))</f>
        <v>per pack 100</v>
      </c>
      <c r="G66">
        <f>IF(B66="","",INDEX(Ingredients!$E$1:$E$238,(MATCH(InterventionCosts!B66,Ingredients!A$1:A$238,0))))</f>
        <v>2024</v>
      </c>
      <c r="H66" t="str">
        <f>INDEX(Ingredients!$F$1:$F$318,(MATCH(InterventionCosts!B66,Ingredients!A$1:A$318,0)))</f>
        <v xml:space="preserve">http://www.treasury.gov.za/divisions/ocpo/ostb/contracts/RT42-2022zip </v>
      </c>
      <c r="I66" s="3">
        <f>1/100</f>
        <v>0.01</v>
      </c>
      <c r="J66" t="s">
        <v>66</v>
      </c>
      <c r="K66" s="85">
        <f t="shared" si="0"/>
        <v>0.13500000000000001</v>
      </c>
    </row>
    <row r="67" spans="1:12">
      <c r="A67" t="s">
        <v>3</v>
      </c>
      <c r="B67" t="s">
        <v>46</v>
      </c>
      <c r="C67" t="s">
        <v>120</v>
      </c>
      <c r="D67" t="s">
        <v>67</v>
      </c>
      <c r="E67" s="13">
        <f>IF(B67="","",INDEX(Ingredients!$I$1:$I$5013,(MATCH(InterventionCosts!B67,Ingredients!$A$1:$A$5013,0))))</f>
        <v>60</v>
      </c>
      <c r="F67" s="13" t="str">
        <f>INDEX(Ingredients!J$1:J$265,(MATCH(InterventionCosts!B67,Ingredients!A$1:A$265,0)))</f>
        <v>per 5l container</v>
      </c>
      <c r="G67">
        <f>IF(B67="","",INDEX(Ingredients!$E$1:$E$238,(MATCH(InterventionCosts!B67,Ingredients!A$1:A$238,0))))</f>
        <v>2024</v>
      </c>
      <c r="H67" t="str">
        <f>INDEX(Ingredients!$F$1:$F$318,(MATCH(InterventionCosts!B67,Ingredients!A$1:A$318,0)))</f>
        <v>https://www.medicalinnovations.co.za/product/sharps-container-5l/</v>
      </c>
      <c r="I67" s="3">
        <f>1/1000</f>
        <v>1E-3</v>
      </c>
      <c r="J67" t="s">
        <v>66</v>
      </c>
      <c r="K67" s="85">
        <f t="shared" si="0"/>
        <v>0.06</v>
      </c>
    </row>
    <row r="68" spans="1:12">
      <c r="A68" t="s">
        <v>3</v>
      </c>
      <c r="B68" t="s">
        <v>68</v>
      </c>
      <c r="C68" t="s">
        <v>120</v>
      </c>
      <c r="D68" t="s">
        <v>81</v>
      </c>
      <c r="E68" s="13">
        <f>IF(B68="","",INDEX(Ingredients!$I$1:$I$5013,(MATCH(InterventionCosts!B68,Ingredients!$A$1:$A$5013,0))))</f>
        <v>10.609613700400716</v>
      </c>
      <c r="F68" s="13" t="str">
        <f>INDEX(Ingredients!J$1:J$265,(MATCH(InterventionCosts!B68,Ingredients!A$1:A$265,0)))</f>
        <v>per month</v>
      </c>
      <c r="G68">
        <f>IF(B68="","",INDEX(Ingredients!$E$1:$E$238,(MATCH(InterventionCosts!B68,Ingredients!A$1:A$238,0))))</f>
        <v>2024</v>
      </c>
      <c r="H68" t="str">
        <f>INDEX(Ingredients!$F$1:$F$318,(MATCH(InterventionCosts!B68,Ingredients!A$1:A$318,0)))</f>
        <v>https://www.makro.co.za/stationery-office-furniture/office-electronics/telephones-fax-machines/corded-phones/corded-telephones/qualitel-corded-phone/p/000000000000246452_EA</v>
      </c>
      <c r="I68" s="3">
        <f>2/(3750/12)</f>
        <v>6.4000000000000003E-3</v>
      </c>
      <c r="J68" t="s">
        <v>66</v>
      </c>
      <c r="K68" s="85">
        <f t="shared" si="0"/>
        <v>6.7901527682564591E-2</v>
      </c>
      <c r="L68" s="85" t="s">
        <v>1176</v>
      </c>
    </row>
    <row r="69" spans="1:12">
      <c r="A69" t="s">
        <v>3</v>
      </c>
      <c r="B69" t="s">
        <v>93</v>
      </c>
      <c r="C69" t="s">
        <v>120</v>
      </c>
      <c r="D69" t="s">
        <v>81</v>
      </c>
      <c r="E69" s="13">
        <f>IF(B69="","",INDEX(Ingredients!$I$1:$I$5013,(MATCH(InterventionCosts!B69,Ingredients!$A$1:$A$5013,0))))</f>
        <v>4.84</v>
      </c>
      <c r="F69" s="13" t="str">
        <f>INDEX(Ingredients!J$1:J$265,(MATCH(InterventionCosts!B69,Ingredients!A$1:A$265,0)))</f>
        <v>per km</v>
      </c>
      <c r="G69">
        <f>IF(B69="","",INDEX(Ingredients!$E$1:$E$238,(MATCH(InterventionCosts!B69,Ingredients!A$1:A$238,0))))</f>
        <v>2024</v>
      </c>
      <c r="H69" t="str">
        <f>INDEX(Ingredients!$F$1:$F$318,(MATCH(InterventionCosts!B69,Ingredients!A$1:A$318,0)))</f>
        <v>https://www.sars.gov.za/wp-content/uploads/Ops/Guides/PAYE-GEN-01-G03-Guide-for-Employers-in-respect-of-Allowances-External-Guide.pdf</v>
      </c>
      <c r="I69" s="3">
        <f>1000/(3750/12)</f>
        <v>3.2</v>
      </c>
      <c r="J69" t="s">
        <v>66</v>
      </c>
      <c r="K69" s="85">
        <f t="shared" si="0"/>
        <v>15.488</v>
      </c>
      <c r="L69" s="85" t="s">
        <v>1176</v>
      </c>
    </row>
    <row r="70" spans="1:12">
      <c r="A70" t="s">
        <v>3</v>
      </c>
      <c r="B70" t="s">
        <v>1338</v>
      </c>
      <c r="C70" t="s">
        <v>122</v>
      </c>
      <c r="D70" t="s">
        <v>70</v>
      </c>
      <c r="E70" s="13">
        <f>IF(B70="","",INDEX(Ingredients!$I$1:$I$5013,(MATCH(InterventionCosts!B70,Ingredients!$A$1:$A$5013,0))))</f>
        <v>329.23899912361765</v>
      </c>
      <c r="F70" s="13" t="s">
        <v>38</v>
      </c>
      <c r="G70">
        <f>IF(B70="","",INDEX(Ingredients!$E$1:$E$238,(MATCH(InterventionCosts!B70,Ingredients!A$1:A$238,0))))</f>
        <v>2024</v>
      </c>
      <c r="H70" t="str">
        <f>INDEX(Ingredients!$F$1:$F$318,(MATCH(InterventionCosts!B70,Ingredients!A$1:A$318,0)))</f>
        <v>Master Procurement Circular May 2024</v>
      </c>
      <c r="I70" s="3">
        <v>1</v>
      </c>
      <c r="J70" t="s">
        <v>66</v>
      </c>
      <c r="K70" s="85">
        <f t="shared" si="0"/>
        <v>329.23899912361765</v>
      </c>
    </row>
    <row r="71" spans="1:12" s="4" customFormat="1">
      <c r="A71" s="4" t="s">
        <v>3</v>
      </c>
      <c r="E71" s="88"/>
      <c r="F71" s="89" t="s">
        <v>1164</v>
      </c>
      <c r="G71" s="4" t="str">
        <f>IF(B71="","",INDEX(Ingredients!$E$1:$E$238,(MATCH(InterventionCosts!B71,Ingredients!A$1:A$238,0))))</f>
        <v/>
      </c>
      <c r="H71" s="4" t="str">
        <f>IF(B71="","",INDEX(Ingredients!$F$3:$F$119,(MATCH(InterventionCosts!B71,Ingredients!A$1:A$265,0))))</f>
        <v/>
      </c>
      <c r="K71" s="92"/>
      <c r="L71" s="90">
        <f>SUM(K51:K70)</f>
        <v>1290.5294082910877</v>
      </c>
    </row>
    <row r="72" spans="1:12" s="4" customFormat="1">
      <c r="A72" s="4" t="s">
        <v>3</v>
      </c>
      <c r="E72" s="88"/>
      <c r="F72" s="89" t="s">
        <v>117</v>
      </c>
      <c r="G72" s="4" t="str">
        <f>IF(B72="","",INDEX(Ingredients!$E$1:$E$238,(MATCH(InterventionCosts!B72,Ingredients!A$1:A$238,0))))</f>
        <v/>
      </c>
      <c r="H72" s="4" t="str">
        <f>IF(B72="","",INDEX(Ingredients!$F$3:$F$119,(MATCH(InterventionCosts!B72,Ingredients!A$1:A$265,0))))</f>
        <v/>
      </c>
      <c r="K72" s="92"/>
      <c r="L72" s="90" t="s">
        <v>918</v>
      </c>
    </row>
    <row r="73" spans="1:12">
      <c r="F73" s="1"/>
      <c r="G73" t="str">
        <f>IF(B73="","",INDEX(Ingredients!$E$1:$E$238,(MATCH(InterventionCosts!B73,Ingredients!A$1:A$238,0))))</f>
        <v/>
      </c>
      <c r="H73" t="str">
        <f>IF(B73="","",INDEX(Ingredients!$F$3:$F$119,(MATCH(InterventionCosts!B73,Ingredients!A$1:A$265,0))))</f>
        <v/>
      </c>
      <c r="I73" s="1"/>
      <c r="J73" s="1"/>
      <c r="K73" s="87"/>
      <c r="L73" s="87"/>
    </row>
    <row r="74" spans="1:12">
      <c r="A74" t="s">
        <v>1499</v>
      </c>
      <c r="B74" t="s">
        <v>235</v>
      </c>
      <c r="C74" t="s">
        <v>120</v>
      </c>
      <c r="D74" t="s">
        <v>48</v>
      </c>
      <c r="E74" s="13">
        <f>(IF(B74="","",INDEX(Ingredients!$I$1:$I$5013,(MATCH(InterventionCosts!B74,Ingredients!$A$1:$A$5013,0)))))</f>
        <v>11.82092582212257</v>
      </c>
      <c r="F74" s="13" t="str">
        <f>INDEX(Ingredients!J$1:J$265,(MATCH(InterventionCosts!B74,Ingredients!A$1:A$265,0)))</f>
        <v>per minute</v>
      </c>
      <c r="G74">
        <f>IF(B74="","",INDEX(Ingredients!$E$1:$E$238,(MATCH(InterventionCosts!B74,Ingredients!A$1:A$238,0))))</f>
        <v>2024</v>
      </c>
      <c r="H74" t="str">
        <f>INDEX(Ingredients!$F$1:$F$318,(MATCH(InterventionCosts!B74,Ingredients!A$1:A$318,0)))</f>
        <v xml:space="preserve">April 2024 Salary scale </v>
      </c>
      <c r="I74" s="97">
        <f>workminutespa/5/1920</f>
        <v>11.15</v>
      </c>
      <c r="J74" t="s">
        <v>66</v>
      </c>
      <c r="K74" s="85">
        <f t="shared" ref="K74:K100" si="1">E74*I74</f>
        <v>131.80332291666667</v>
      </c>
      <c r="L74" s="85" t="s">
        <v>1177</v>
      </c>
    </row>
    <row r="75" spans="1:12">
      <c r="A75" t="s">
        <v>1499</v>
      </c>
      <c r="B75" t="s">
        <v>50</v>
      </c>
      <c r="C75" t="s">
        <v>120</v>
      </c>
      <c r="D75" t="s">
        <v>48</v>
      </c>
      <c r="E75" s="13">
        <f>(IF(B75="","",INDEX(Ingredients!$I$1:$I$5013,(MATCH(InterventionCosts!B75,Ingredients!$A$1:$A$5013,0)))))</f>
        <v>4.3558154708520176</v>
      </c>
      <c r="F75" s="13" t="str">
        <f>INDEX(Ingredients!J$1:J$265,(MATCH(InterventionCosts!B75,Ingredients!A$1:A$265,0)))</f>
        <v>per minute</v>
      </c>
      <c r="G75">
        <f>IF(B75="","",INDEX(Ingredients!$E$1:$E$238,(MATCH(InterventionCosts!B75,Ingredients!A$1:A$238,0))))</f>
        <v>2022</v>
      </c>
      <c r="H75" t="str">
        <f>INDEX(Ingredients!$F$1:$F$318,(MATCH(InterventionCosts!B75,Ingredients!A$1:A$318,0)))</f>
        <v>GF Grant Portfolio Budget 2022 (Steve's Cohen personal communication)</v>
      </c>
      <c r="I75" s="96">
        <f>workminutespa/1920</f>
        <v>55.75</v>
      </c>
      <c r="J75" t="s">
        <v>66</v>
      </c>
      <c r="K75" s="85">
        <f t="shared" si="1"/>
        <v>242.83671249999998</v>
      </c>
      <c r="L75" s="85" t="s">
        <v>1178</v>
      </c>
    </row>
    <row r="76" spans="1:12">
      <c r="A76" t="s">
        <v>1499</v>
      </c>
      <c r="B76" t="s">
        <v>59</v>
      </c>
      <c r="C76" t="s">
        <v>120</v>
      </c>
      <c r="D76" t="s">
        <v>48</v>
      </c>
      <c r="E76" s="13">
        <f>(IF(B76="","",INDEX(Ingredients!$I$1:$I$5013,(MATCH(InterventionCosts!B76,Ingredients!$A$1:$A$5013,0)))))</f>
        <v>0.21779077354260087</v>
      </c>
      <c r="F76" s="13" t="str">
        <f>INDEX(Ingredients!J$1:J$265,(MATCH(InterventionCosts!B76,Ingredients!A$1:A$265,0)))</f>
        <v>per minute</v>
      </c>
      <c r="G76">
        <f>IF(B76="","",INDEX(Ingredients!$E$1:$E$238,(MATCH(InterventionCosts!B76,Ingredients!A$1:A$238,0))))</f>
        <v>2022</v>
      </c>
      <c r="H76" t="str">
        <f>INDEX(Ingredients!$F$1:$F$318,(MATCH(InterventionCosts!B76,Ingredients!A$1:A$318,0)))</f>
        <v>GF Grant Portfolio Budget 2022 (Steve Cohen personal communication)</v>
      </c>
      <c r="I76" s="96">
        <f>workminutespa/240</f>
        <v>446</v>
      </c>
      <c r="J76" t="s">
        <v>66</v>
      </c>
      <c r="K76" s="85">
        <f t="shared" si="1"/>
        <v>97.13468499999999</v>
      </c>
      <c r="L76" s="85" t="s">
        <v>1179</v>
      </c>
    </row>
    <row r="77" spans="1:12">
      <c r="A77" t="s">
        <v>1499</v>
      </c>
      <c r="B77" t="s">
        <v>62</v>
      </c>
      <c r="C77" t="s">
        <v>120</v>
      </c>
      <c r="D77" t="s">
        <v>48</v>
      </c>
      <c r="E77" s="13">
        <f>(IF(B77="","",INDEX(Ingredients!$I$1:$I$5013,(MATCH(InterventionCosts!B77,Ingredients!$A$1:$A$5013,0)))))</f>
        <v>4.8996605630293981</v>
      </c>
      <c r="F77" s="13" t="s">
        <v>49</v>
      </c>
      <c r="G77">
        <f>IF(B77="","",INDEX(Ingredients!$E$1:$E$238,(MATCH(InterventionCosts!B77,Ingredients!A$1:A$238,0))))</f>
        <v>2024</v>
      </c>
      <c r="H77" t="str">
        <f>INDEX(Ingredients!$F$1:$F$318,(MATCH(InterventionCosts!B77,Ingredients!A$1:A$318,0)))</f>
        <v xml:space="preserve">April 2024 Salary scale </v>
      </c>
      <c r="I77">
        <f>workminutespa/9435*0.8</f>
        <v>9.0759936406995241</v>
      </c>
      <c r="J77" t="s">
        <v>66</v>
      </c>
      <c r="K77" s="85">
        <f t="shared" si="1"/>
        <v>44.46928811164107</v>
      </c>
      <c r="L77" s="85" t="s">
        <v>1180</v>
      </c>
    </row>
    <row r="78" spans="1:12">
      <c r="A78" t="s">
        <v>1499</v>
      </c>
      <c r="B78" t="s">
        <v>54</v>
      </c>
      <c r="C78" t="s">
        <v>120</v>
      </c>
      <c r="D78" t="s">
        <v>48</v>
      </c>
      <c r="E78" s="13">
        <f>IF(B78="","",INDEX(Ingredients!$I$1:$I$5013,(MATCH(InterventionCosts!B78,Ingredients!$A$1:$A$5013,0))))</f>
        <v>1.2444366591928251</v>
      </c>
      <c r="F78" s="13" t="str">
        <f>INDEX(Ingredients!J$1:J$265,(MATCH(InterventionCosts!B78,Ingredients!A$1:A$265,0)))</f>
        <v>per minute</v>
      </c>
      <c r="G78">
        <f>IF(B78="","",INDEX(Ingredients!$E$1:$E$238,(MATCH(InterventionCosts!B78,Ingredients!A$1:A$238,0))))</f>
        <v>2024</v>
      </c>
      <c r="H78" t="str">
        <f>INDEX(Ingredients!$F$1:$F$318,(MATCH(InterventionCosts!B78,Ingredients!A$1:A$318,0)))</f>
        <v xml:space="preserve">April 2024 Salary scale </v>
      </c>
      <c r="I78">
        <f>workminutespa/3145*0.8</f>
        <v>27.227980922098567</v>
      </c>
      <c r="J78" t="s">
        <v>66</v>
      </c>
      <c r="K78" s="85">
        <f t="shared" si="1"/>
        <v>33.883497615262321</v>
      </c>
      <c r="L78" s="85" t="s">
        <v>1181</v>
      </c>
    </row>
    <row r="79" spans="1:12">
      <c r="A79" t="s">
        <v>1499</v>
      </c>
      <c r="B79" t="s">
        <v>56</v>
      </c>
      <c r="C79" t="s">
        <v>120</v>
      </c>
      <c r="D79" t="s">
        <v>48</v>
      </c>
      <c r="E79" s="13">
        <f>IF(B79="","",INDEX(Ingredients!$I$1:$I$5013,(MATCH(InterventionCosts!B79,Ingredients!$A$1:$A$5013,0))))</f>
        <v>23181.75</v>
      </c>
      <c r="F79" s="13" t="str">
        <f>INDEX(Ingredients!J$1:J$265,(MATCH(InterventionCosts!B79,Ingredients!A$1:A$265,0)))</f>
        <v>per month</v>
      </c>
      <c r="G79">
        <f>IF(B79="","",INDEX(Ingredients!$E$1:$E$238,(MATCH(InterventionCosts!B79,Ingredients!A$1:A$238,0))))</f>
        <v>2024</v>
      </c>
      <c r="H79" t="str">
        <f>INDEX(Ingredients!$F$1:$F$318,(MATCH(InterventionCosts!B79,Ingredients!A$1:A$318,0)))</f>
        <v xml:space="preserve">April 2024 Salary scale </v>
      </c>
      <c r="I79" s="269">
        <f>12/2/1920</f>
        <v>3.1250000000000002E-3</v>
      </c>
      <c r="J79" t="s">
        <v>66</v>
      </c>
      <c r="K79" s="85">
        <f t="shared" si="1"/>
        <v>72.442968750000006</v>
      </c>
      <c r="L79" s="85" t="s">
        <v>1182</v>
      </c>
    </row>
    <row r="80" spans="1:12">
      <c r="A80" t="s">
        <v>1499</v>
      </c>
      <c r="B80" t="s">
        <v>52</v>
      </c>
      <c r="C80" t="s">
        <v>120</v>
      </c>
      <c r="D80" t="s">
        <v>48</v>
      </c>
      <c r="E80" s="13">
        <f>IF(B80="","",INDEX(Ingredients!$I$1:$I$5013,(MATCH(InterventionCosts!B80,Ingredients!$A$1:$A$5013,0))))</f>
        <v>1.8019482436472347</v>
      </c>
      <c r="F80" s="13" t="str">
        <f>INDEX(Ingredients!J$1:J$265,(MATCH(InterventionCosts!B80,Ingredients!A$1:A$265,0)))</f>
        <v>per minute</v>
      </c>
      <c r="G80">
        <f>IF(B80="","",INDEX(Ingredients!$E$1:$E$238,(MATCH(InterventionCosts!B80,Ingredients!A$1:A$238,0))))</f>
        <v>2024</v>
      </c>
      <c r="H80" t="str">
        <f>INDEX(Ingredients!$F$1:$F$318,(MATCH(InterventionCosts!B80,Ingredients!A$1:A$318,0)))</f>
        <v xml:space="preserve">April 2024 Salary scale </v>
      </c>
      <c r="I80" s="96">
        <f>workminutespa/5/1920</f>
        <v>11.15</v>
      </c>
      <c r="J80" t="s">
        <v>66</v>
      </c>
      <c r="K80" s="85">
        <f t="shared" si="1"/>
        <v>20.091722916666669</v>
      </c>
      <c r="L80" s="85" t="s">
        <v>1182</v>
      </c>
    </row>
    <row r="81" spans="1:12">
      <c r="A81" t="s">
        <v>1499</v>
      </c>
      <c r="B81" t="s">
        <v>111</v>
      </c>
      <c r="C81" t="s">
        <v>120</v>
      </c>
      <c r="D81" t="s">
        <v>81</v>
      </c>
      <c r="E81" s="13">
        <f>IF(B81="","",INDEX(Ingredients!$I$1:$I$5013,(MATCH(InterventionCosts!B81,Ingredients!$A$1:$A$5013,0))))</f>
        <v>239.77392959288917</v>
      </c>
      <c r="F81" s="13" t="str">
        <f>INDEX(Ingredients!J$1:J$265,(MATCH(InterventionCosts!B81,Ingredients!A$1:A$265,0)))</f>
        <v>pp per workshop</v>
      </c>
      <c r="G81">
        <f>IF(B81="","",INDEX(Ingredients!$E$1:$E$238,(MATCH(InterventionCosts!B81,Ingredients!A$1:A$238,0))))</f>
        <v>2018</v>
      </c>
      <c r="H81" t="str">
        <f>INDEX(Ingredients!$F$1:$F$318,(MATCH(InterventionCosts!B81,Ingredients!A$1:A$318,0)))</f>
        <v>RSA Global Fund Grant portfolio budgets 2018, Subject to revision during grant negotiations (Steve's email)</v>
      </c>
      <c r="I81" s="96">
        <v>1</v>
      </c>
      <c r="J81" t="s">
        <v>66</v>
      </c>
      <c r="K81" s="85">
        <f t="shared" si="1"/>
        <v>239.77392959288917</v>
      </c>
      <c r="L81" s="85" t="s">
        <v>123</v>
      </c>
    </row>
    <row r="82" spans="1:12">
      <c r="A82" t="s">
        <v>1499</v>
      </c>
      <c r="B82" t="s">
        <v>39</v>
      </c>
      <c r="C82" t="s">
        <v>120</v>
      </c>
      <c r="D82" t="s">
        <v>21</v>
      </c>
      <c r="E82" s="13">
        <f>IF(B82="","",INDEX(Ingredients!$I$1:$I$5013,(MATCH(InterventionCosts!B82,Ingredients!$A$1:$A$5013,0))))</f>
        <v>0.90383818045604736</v>
      </c>
      <c r="F82" s="13" t="str">
        <f>INDEX(Ingredients!J$1:J$265,(MATCH(InterventionCosts!B82,Ingredients!A$1:A$265,0)))</f>
        <v>per material</v>
      </c>
      <c r="G82">
        <f>IF(B82="","",INDEX(Ingredients!$E$1:$E$238,(MATCH(InterventionCosts!B82,Ingredients!A$1:A$238,0))))</f>
        <v>2016</v>
      </c>
      <c r="H82" t="str">
        <f>INDEX(Ingredients!$F$1:$F$318,(MATCH(InterventionCosts!B82,Ingredients!A$1:A$318,0)))</f>
        <v>RSA Global Fund Grant portfolio budgets 2016</v>
      </c>
      <c r="I82" s="3">
        <v>5</v>
      </c>
      <c r="J82" t="s">
        <v>66</v>
      </c>
      <c r="K82" s="85">
        <f t="shared" si="1"/>
        <v>4.5191909022802363</v>
      </c>
    </row>
    <row r="83" spans="1:12">
      <c r="A83" t="s">
        <v>1499</v>
      </c>
      <c r="B83" t="s">
        <v>344</v>
      </c>
      <c r="C83" t="s">
        <v>120</v>
      </c>
      <c r="D83" t="s">
        <v>21</v>
      </c>
      <c r="E83" s="13">
        <f>IF(B83="","",INDEX(Ingredients!$I$1:$I$5013,(MATCH(InterventionCosts!B83,Ingredients!$A$1:$A$5013,0))))</f>
        <v>0.42</v>
      </c>
      <c r="F83" s="13" t="str">
        <f>INDEX(Ingredients!J$1:J$265,(MATCH(InterventionCosts!B83,Ingredients!A$1:A$265,0)))</f>
        <v>per sachet</v>
      </c>
      <c r="G83">
        <f>IF(B83="","",INDEX(Ingredients!$E$1:$E$238,(MATCH(InterventionCosts!B83,Ingredients!A$1:A$238,0))))</f>
        <v>2024</v>
      </c>
      <c r="H83" t="str">
        <f>INDEX(Ingredients!$F$1:$F$318,(MATCH(InterventionCosts!B83,Ingredients!A$1:A$318,0)))</f>
        <v>https://www.treasury.gov.za/divisions/ocpo/ostb/contracts/RT75-2021.zip</v>
      </c>
      <c r="I83" s="3">
        <v>10</v>
      </c>
      <c r="J83" t="s">
        <v>66</v>
      </c>
      <c r="K83" s="85">
        <f t="shared" si="1"/>
        <v>4.2</v>
      </c>
      <c r="L83" s="85" t="s">
        <v>124</v>
      </c>
    </row>
    <row r="84" spans="1:12">
      <c r="A84" t="s">
        <v>1499</v>
      </c>
      <c r="B84" t="s">
        <v>43</v>
      </c>
      <c r="C84" t="s">
        <v>120</v>
      </c>
      <c r="D84" t="s">
        <v>21</v>
      </c>
      <c r="E84" s="13">
        <f>IF(B84="","",INDEX(Ingredients!$I$1:$I$5013,(MATCH(InterventionCosts!B84,Ingredients!$A$1:$A$5013,0))))</f>
        <v>0.61939459752201187</v>
      </c>
      <c r="F84" s="13" t="str">
        <f>INDEX(Ingredients!J$1:J$265,(MATCH(InterventionCosts!B84,Ingredients!A$1:A$265,0)))</f>
        <v>per condom</v>
      </c>
      <c r="G84">
        <f>IF(B84="","",INDEX(Ingredients!$E$1:$E$238,(MATCH(InterventionCosts!B84,Ingredients!A$1:A$238,0))))</f>
        <v>2024</v>
      </c>
      <c r="H84" t="str">
        <f>INDEX(Ingredients!$F$1:$F$318,(MATCH(InterventionCosts!B84,Ingredients!A$1:A$318,0)))</f>
        <v>https://www.treasury.gov.za/divisions/ocpo/ostb/contracts/RT75-2021.zip</v>
      </c>
      <c r="I84" s="3">
        <v>30</v>
      </c>
      <c r="J84" t="s">
        <v>66</v>
      </c>
      <c r="K84" s="85">
        <f t="shared" si="1"/>
        <v>18.581837925660356</v>
      </c>
      <c r="L84" s="85" t="s">
        <v>125</v>
      </c>
    </row>
    <row r="85" spans="1:12">
      <c r="A85" t="s">
        <v>1499</v>
      </c>
      <c r="B85" t="s">
        <v>34</v>
      </c>
      <c r="C85" t="s">
        <v>120</v>
      </c>
      <c r="D85" t="s">
        <v>21</v>
      </c>
      <c r="E85" s="13">
        <f>IF(B85="","",INDEX(Ingredients!$I$1:$I$5013,(MATCH(InterventionCosts!B85,Ingredients!$A$1:$A$5013,0))))</f>
        <v>9.8163589545625012</v>
      </c>
      <c r="F85" s="13" t="str">
        <f>INDEX(Ingredients!J$1:J$265,(MATCH(InterventionCosts!B85,Ingredients!A$1:A$265,0)))</f>
        <v>per condom</v>
      </c>
      <c r="G85">
        <f>IF(B85="","",INDEX(Ingredients!$E$1:$E$238,(MATCH(InterventionCosts!B85,Ingredients!A$1:A$238,0))))</f>
        <v>2024</v>
      </c>
      <c r="H85" t="str">
        <f>INDEX(Ingredients!$F$1:$F$318,(MATCH(InterventionCosts!B85,Ingredients!A$1:A$318,0)))</f>
        <v>http://www.treasury.gov.za/divisions/ocpo/ostb/contracts/RT75-2021.zip</v>
      </c>
      <c r="I85" s="3">
        <v>10</v>
      </c>
      <c r="J85" t="s">
        <v>66</v>
      </c>
      <c r="K85" s="85">
        <f t="shared" si="1"/>
        <v>98.163589545625015</v>
      </c>
      <c r="L85" s="85" t="s">
        <v>124</v>
      </c>
    </row>
    <row r="86" spans="1:12">
      <c r="A86" t="s">
        <v>1499</v>
      </c>
      <c r="B86" t="s">
        <v>95</v>
      </c>
      <c r="C86" t="s">
        <v>120</v>
      </c>
      <c r="D86" t="s">
        <v>81</v>
      </c>
      <c r="E86" s="13">
        <f>IF(B86="","",INDEX(Ingredients!$I$1:$I$5013,(MATCH(InterventionCosts!B86,Ingredients!$A$1:$A$5013,0))))</f>
        <v>0.1413681176978745</v>
      </c>
      <c r="F86" s="13" t="str">
        <f>INDEX(Ingredients!J$1:J$265,(MATCH(InterventionCosts!B86,Ingredients!A$1:A$265,0)))</f>
        <v>per form</v>
      </c>
      <c r="G86">
        <f>IF(B86="","",INDEX(Ingredients!$E$1:$E$238,(MATCH(InterventionCosts!B86,Ingredients!A$1:A$238,0))))</f>
        <v>2013</v>
      </c>
      <c r="H86" t="str">
        <f>INDEX(Ingredients!$F$1:$F$318,(MATCH(InterventionCosts!B86,Ingredients!A$1:A$318,0)))</f>
        <v>RSA GF proposal</v>
      </c>
      <c r="I86" s="3">
        <v>1</v>
      </c>
      <c r="J86" t="s">
        <v>66</v>
      </c>
      <c r="K86" s="85">
        <f t="shared" si="1"/>
        <v>0.1413681176978745</v>
      </c>
    </row>
    <row r="87" spans="1:12">
      <c r="A87" t="s">
        <v>1499</v>
      </c>
      <c r="B87" t="s">
        <v>79</v>
      </c>
      <c r="C87" t="s">
        <v>120</v>
      </c>
      <c r="D87" t="s">
        <v>21</v>
      </c>
      <c r="E87" s="13">
        <f>IF(B87="","",INDEX(Ingredients!$I$1:$I$5013,(MATCH(InterventionCosts!B87,Ingredients!$A$1:$A$5013,0))))</f>
        <v>9.3000000000000007</v>
      </c>
      <c r="F87" s="13" t="str">
        <f>INDEX(Ingredients!J$1:J$265,(MATCH(InterventionCosts!B87,Ingredients!A$1:A$265,0)))</f>
        <v>per test</v>
      </c>
      <c r="G87">
        <f>IF(B87="","",INDEX(Ingredients!$E$1:$E$238,(MATCH(InterventionCosts!B87,Ingredients!A$1:A$238,0))))</f>
        <v>2024</v>
      </c>
      <c r="H87" t="str">
        <f>INDEX(Ingredients!$F$1:$F$318,(MATCH(InterventionCosts!B87,Ingredients!A$1:A$318,0)))</f>
        <v>https://www.treasury.gov.za/divisions/ocpo/ostb/contracts/RT41-2020.zip</v>
      </c>
      <c r="I87" s="3">
        <f>1.31*0.8</f>
        <v>1.048</v>
      </c>
      <c r="J87" t="s">
        <v>66</v>
      </c>
      <c r="K87" s="85">
        <f t="shared" si="1"/>
        <v>9.7464000000000013</v>
      </c>
      <c r="L87" s="85" t="s">
        <v>121</v>
      </c>
    </row>
    <row r="88" spans="1:12">
      <c r="A88" t="s">
        <v>1499</v>
      </c>
      <c r="B88" t="s">
        <v>45</v>
      </c>
      <c r="C88" t="s">
        <v>120</v>
      </c>
      <c r="D88" t="s">
        <v>21</v>
      </c>
      <c r="E88" s="13">
        <f>IF(B88="","",INDEX(Ingredients!$I$1:$I$5013,(MATCH(InterventionCosts!B88,Ingredients!$A$1:$A$5013,0))))</f>
        <v>46</v>
      </c>
      <c r="F88" s="13" t="str">
        <f>INDEX(Ingredients!J$1:J$265,(MATCH(InterventionCosts!B88,Ingredients!A$1:A$265,0)))</f>
        <v>per pack 100</v>
      </c>
      <c r="G88">
        <f>IF(B88="","",INDEX(Ingredients!$E$1:$E$238,(MATCH(InterventionCosts!B88,Ingredients!A$1:A$238,0))))</f>
        <v>2024</v>
      </c>
      <c r="H88" t="str">
        <f>INDEX(Ingredients!$F$1:$F$318,(MATCH(InterventionCosts!B88,Ingredients!A$1:A$318,0)))</f>
        <v>https://www.treasury.gov.za/divisions/ocpo/ostb/contracts/RT284-2023.zip</v>
      </c>
      <c r="I88" s="3">
        <f>1/100*0.8</f>
        <v>8.0000000000000002E-3</v>
      </c>
      <c r="J88" t="s">
        <v>66</v>
      </c>
      <c r="K88" s="85">
        <f t="shared" si="1"/>
        <v>0.36799999999999999</v>
      </c>
      <c r="L88" s="85" t="s">
        <v>126</v>
      </c>
    </row>
    <row r="89" spans="1:12">
      <c r="A89" t="s">
        <v>1499</v>
      </c>
      <c r="B89" t="s">
        <v>1489</v>
      </c>
      <c r="C89" t="s">
        <v>120</v>
      </c>
      <c r="D89" t="s">
        <v>21</v>
      </c>
      <c r="E89" s="13">
        <f>IF(B89="","",INDEX(Ingredients!$I$1:$I$5013,(MATCH(InterventionCosts!B89,Ingredients!$A$1:$A$5013,0))))</f>
        <v>53.08</v>
      </c>
      <c r="F89" s="13" t="str">
        <f>INDEX(Ingredients!J$1:J$265,(MATCH(InterventionCosts!B89,Ingredients!A$1:A$265,0)))</f>
        <v>per pack 100, 50 pairs</v>
      </c>
      <c r="G89">
        <f>IF(B89="","",INDEX(Ingredients!$E$1:$E$238,(MATCH(InterventionCosts!B89,Ingredients!A$1:A$238,0))))</f>
        <v>2024</v>
      </c>
      <c r="H89" t="str">
        <f>INDEX(Ingredients!$F$1:$F$318,(MATCH(InterventionCosts!B89,Ingredients!A$1:A$318,0)))</f>
        <v>https://www.treasury.gov.za/divisions/ocpo/ostb/contracts/RT76-2023%20CPA%20Amendment%204-%20Effective%2001%20May%202024.pdf</v>
      </c>
      <c r="I89" s="3">
        <f>1/50*0.8</f>
        <v>1.6E-2</v>
      </c>
      <c r="J89" t="s">
        <v>66</v>
      </c>
      <c r="K89" s="85">
        <f t="shared" si="1"/>
        <v>0.84928000000000003</v>
      </c>
    </row>
    <row r="90" spans="1:12">
      <c r="A90" t="s">
        <v>1499</v>
      </c>
      <c r="B90" t="s">
        <v>32</v>
      </c>
      <c r="C90" t="s">
        <v>120</v>
      </c>
      <c r="D90" t="s">
        <v>21</v>
      </c>
      <c r="E90" s="13">
        <f>IF(B90="","",INDEX(Ingredients!$I$1:$I$5013,(MATCH(InterventionCosts!B90,Ingredients!$A$1:$A$5013,0))))</f>
        <v>17.920000000000002</v>
      </c>
      <c r="F90" s="13" t="str">
        <f>INDEX(Ingredients!J$1:J$265,(MATCH(InterventionCosts!B90,Ingredients!A$1:A$265,0)))</f>
        <v>per 500ml</v>
      </c>
      <c r="G90">
        <f>IF(B90="","",INDEX(Ingredients!$E$1:$E$238,(MATCH(InterventionCosts!B90,Ingredients!A$1:A$238,0))))</f>
        <v>2024</v>
      </c>
      <c r="H90" t="str">
        <f>INDEX(Ingredients!$F$1:$F$318,(MATCH(InterventionCosts!B90,Ingredients!A$1:A$318,0)))</f>
        <v>https://www.health.gov.za/wp-content/uploads/2024/04/HP12-2023LQ-CPA-Add-4-12-Effective-1-May-2024.pdf</v>
      </c>
      <c r="I90" s="3">
        <f>1/100*0.8</f>
        <v>8.0000000000000002E-3</v>
      </c>
      <c r="J90" t="s">
        <v>66</v>
      </c>
      <c r="K90" s="85">
        <f t="shared" si="1"/>
        <v>0.14336000000000002</v>
      </c>
    </row>
    <row r="91" spans="1:12">
      <c r="A91" t="s">
        <v>1499</v>
      </c>
      <c r="B91" t="s">
        <v>31</v>
      </c>
      <c r="C91" t="s">
        <v>120</v>
      </c>
      <c r="D91" t="s">
        <v>21</v>
      </c>
      <c r="E91" s="13">
        <f>IF(B91="","",INDEX(Ingredients!$I$1:$I$5013,(MATCH(InterventionCosts!B91,Ingredients!$A$1:$A$5013,0))))</f>
        <v>31.4</v>
      </c>
      <c r="F91" s="13" t="str">
        <f>INDEX(Ingredients!J$1:J$265,(MATCH(InterventionCosts!B91,Ingredients!A$1:A$265,0)))</f>
        <v>per 100 swabs</v>
      </c>
      <c r="G91">
        <f>IF(B91="","",INDEX(Ingredients!$E$1:$E$238,(MATCH(InterventionCosts!B91,Ingredients!A$1:A$238,0))))</f>
        <v>2024</v>
      </c>
      <c r="H91" t="str">
        <f>INDEX(Ingredients!$F$1:$F$318,(MATCH(InterventionCosts!B91,Ingredients!A$1:A$318,0)))</f>
        <v xml:space="preserve">http://www.treasury.gov.za/divisions/ocpo/ostb/contracts/RT42-2022zip </v>
      </c>
      <c r="I91" s="3">
        <f>1/100*0.8</f>
        <v>8.0000000000000002E-3</v>
      </c>
      <c r="J91" t="s">
        <v>66</v>
      </c>
      <c r="K91" s="85">
        <f t="shared" si="1"/>
        <v>0.25119999999999998</v>
      </c>
    </row>
    <row r="92" spans="1:12">
      <c r="A92" t="s">
        <v>1499</v>
      </c>
      <c r="B92" t="s">
        <v>346</v>
      </c>
      <c r="C92" t="s">
        <v>120</v>
      </c>
      <c r="D92" t="s">
        <v>21</v>
      </c>
      <c r="E92" s="13">
        <f>IF(B92="","",INDEX(Ingredients!$I$1:$I$5013,(MATCH(InterventionCosts!B92,Ingredients!$A$1:$A$5013,0))))</f>
        <v>13.5</v>
      </c>
      <c r="F92" s="13" t="str">
        <f>INDEX(Ingredients!J$1:J$265,(MATCH(InterventionCosts!B92,Ingredients!A$1:A$265,0)))</f>
        <v>per pack 100</v>
      </c>
      <c r="G92">
        <f>IF(B92="","",INDEX(Ingredients!$E$1:$E$238,(MATCH(InterventionCosts!B92,Ingredients!A$1:A$238,0))))</f>
        <v>2024</v>
      </c>
      <c r="H92" t="str">
        <f>INDEX(Ingredients!$F$1:$F$318,(MATCH(InterventionCosts!B92,Ingredients!A$1:A$318,0)))</f>
        <v xml:space="preserve">http://www.treasury.gov.za/divisions/ocpo/ostb/contracts/RT42-2022zip </v>
      </c>
      <c r="I92" s="3">
        <f>1/100*0.8</f>
        <v>8.0000000000000002E-3</v>
      </c>
      <c r="J92" t="s">
        <v>66</v>
      </c>
      <c r="K92" s="85">
        <f t="shared" si="1"/>
        <v>0.108</v>
      </c>
    </row>
    <row r="93" spans="1:12">
      <c r="A93" t="s">
        <v>1499</v>
      </c>
      <c r="B93" t="s">
        <v>46</v>
      </c>
      <c r="C93" t="s">
        <v>120</v>
      </c>
      <c r="D93" t="s">
        <v>67</v>
      </c>
      <c r="E93" s="13">
        <f>IF(B93="","",INDEX(Ingredients!$I$1:$I$5013,(MATCH(InterventionCosts!B93,Ingredients!$A$1:$A$5013,0))))</f>
        <v>60</v>
      </c>
      <c r="F93" s="13" t="str">
        <f>INDEX(Ingredients!J$1:J$265,(MATCH(InterventionCosts!B93,Ingredients!A$1:A$265,0)))</f>
        <v>per 5l container</v>
      </c>
      <c r="G93">
        <f>IF(B93="","",INDEX(Ingredients!$E$1:$E$238,(MATCH(InterventionCosts!B93,Ingredients!A$1:A$238,0))))</f>
        <v>2024</v>
      </c>
      <c r="H93" t="str">
        <f>INDEX(Ingredients!$F$1:$F$318,(MATCH(InterventionCosts!B93,Ingredients!A$1:A$318,0)))</f>
        <v>https://www.medicalinnovations.co.za/product/sharps-container-5l/</v>
      </c>
      <c r="I93" s="3">
        <f>1/1000*8</f>
        <v>8.0000000000000002E-3</v>
      </c>
      <c r="J93" t="s">
        <v>66</v>
      </c>
      <c r="K93" s="85">
        <f t="shared" si="1"/>
        <v>0.48</v>
      </c>
    </row>
    <row r="94" spans="1:12">
      <c r="A94" t="s">
        <v>1499</v>
      </c>
      <c r="B94" t="s">
        <v>93</v>
      </c>
      <c r="C94" t="s">
        <v>120</v>
      </c>
      <c r="D94" t="s">
        <v>81</v>
      </c>
      <c r="E94" s="13">
        <f>IF(B94="","",INDEX(Ingredients!$I$1:$I$5013,(MATCH(InterventionCosts!B94,Ingredients!$A$1:$A$5013,0))))</f>
        <v>4.84</v>
      </c>
      <c r="F94" s="13" t="str">
        <f>INDEX(Ingredients!J$1:J$265,(MATCH(InterventionCosts!B94,Ingredients!A$1:A$265,0)))</f>
        <v>per km</v>
      </c>
      <c r="G94">
        <f>IF(B94="","",INDEX(Ingredients!$E$1:$E$238,(MATCH(InterventionCosts!B94,Ingredients!A$1:A$238,0))))</f>
        <v>2024</v>
      </c>
      <c r="H94" t="str">
        <f>INDEX(Ingredients!$F$1:$F$318,(MATCH(InterventionCosts!B94,Ingredients!A$1:A$318,0)))</f>
        <v>https://www.sars.gov.za/wp-content/uploads/Ops/Guides/PAYE-GEN-01-G03-Guide-for-Employers-in-respect-of-Allowances-External-Guide.pdf</v>
      </c>
      <c r="I94" s="98">
        <f>500/160</f>
        <v>3.125</v>
      </c>
      <c r="J94" t="s">
        <v>66</v>
      </c>
      <c r="K94" s="85">
        <f t="shared" si="1"/>
        <v>15.125</v>
      </c>
      <c r="L94" s="85" t="s">
        <v>1186</v>
      </c>
    </row>
    <row r="95" spans="1:12">
      <c r="A95" t="s">
        <v>1499</v>
      </c>
      <c r="B95" t="s">
        <v>100</v>
      </c>
      <c r="C95" t="s">
        <v>120</v>
      </c>
      <c r="D95" t="s">
        <v>81</v>
      </c>
      <c r="E95" s="13">
        <f>IF(B95="","",INDEX(Ingredients!$I$1:$I$5013,(MATCH(InterventionCosts!B95,Ingredients!$A$1:$A$5013,0))))</f>
        <v>685.65659999999991</v>
      </c>
      <c r="F95" s="13" t="str">
        <f>INDEX(Ingredients!J$1:J$265,(MATCH(InterventionCosts!B95,Ingredients!A$1:A$265,0)))</f>
        <v>pp per month</v>
      </c>
      <c r="G95">
        <f>IF(B95="","",INDEX(Ingredients!$E$1:$E$238,(MATCH(InterventionCosts!B95,Ingredients!A$1:A$238,0))))</f>
        <v>2022</v>
      </c>
      <c r="H95" t="str">
        <f>INDEX(Ingredients!$F$1:$F$318,(MATCH(InterventionCosts!B95,Ingredients!A$1:A$318,0)))</f>
        <v>GF Grant Portfolio Budget 2022 (Steve's Cohen personal communication)</v>
      </c>
      <c r="I95" s="3">
        <f>1/20</f>
        <v>0.05</v>
      </c>
      <c r="J95" t="s">
        <v>66</v>
      </c>
      <c r="K95" s="85">
        <f t="shared" si="1"/>
        <v>34.282829999999997</v>
      </c>
      <c r="L95" s="85" t="s">
        <v>127</v>
      </c>
    </row>
    <row r="96" spans="1:12">
      <c r="A96" t="s">
        <v>1499</v>
      </c>
      <c r="B96" t="s">
        <v>1533</v>
      </c>
      <c r="C96" t="s">
        <v>120</v>
      </c>
      <c r="D96" t="s">
        <v>81</v>
      </c>
      <c r="E96" s="13">
        <f>IF(B96="","",INDEX(Ingredients!$I$1:$I$5013,(MATCH(InterventionCosts!B96,Ingredients!$A$1:$A$5013,0))))</f>
        <v>3771.1112999999996</v>
      </c>
      <c r="F96" s="13" t="str">
        <f>INDEX(Ingredients!J$1:J$265,(MATCH(InterventionCosts!B96,Ingredients!A$1:A$265,0)))</f>
        <v>pp trained</v>
      </c>
      <c r="G96">
        <f>IF(B96="","",INDEX(Ingredients!$E$1:$E$238,(MATCH(InterventionCosts!B96,Ingredients!A$1:A$238,0))))</f>
        <v>2022</v>
      </c>
      <c r="H96" t="str">
        <f>INDEX(Ingredients!$F$1:$F$318,(MATCH(InterventionCosts!B96,Ingredients!A$1:A$318,0)))</f>
        <v>GF Grant Portfolio Budget 2022 (Steve's Cohen personal communication)</v>
      </c>
      <c r="I96" s="96">
        <f>1/17360</f>
        <v>5.76036866359447E-5</v>
      </c>
      <c r="J96" t="s">
        <v>66</v>
      </c>
      <c r="K96" s="85">
        <f t="shared" si="1"/>
        <v>0.21722991359447003</v>
      </c>
    </row>
    <row r="97" spans="1:12">
      <c r="A97" t="s">
        <v>1499</v>
      </c>
      <c r="B97" t="s">
        <v>108</v>
      </c>
      <c r="C97" t="s">
        <v>120</v>
      </c>
      <c r="D97" t="s">
        <v>81</v>
      </c>
      <c r="E97" s="13">
        <f>IF(B97="","",INDEX(Ingredients!$I$1:$I$5013,(MATCH(InterventionCosts!B97,Ingredients!$A$1:$A$5013,0))))</f>
        <v>9427.7782499999994</v>
      </c>
      <c r="F97" s="13" t="str">
        <f>INDEX(Ingredients!J$1:J$265,(MATCH(InterventionCosts!B97,Ingredients!A$1:A$265,0)))</f>
        <v>pp trained</v>
      </c>
      <c r="G97">
        <f>IF(B97="","",INDEX(Ingredients!$E$1:$E$238,(MATCH(InterventionCosts!B97,Ingredients!A$1:A$238,0))))</f>
        <v>2022</v>
      </c>
      <c r="H97" t="str">
        <f>INDEX(Ingredients!$F$1:$F$318,(MATCH(InterventionCosts!B97,Ingredients!A$1:A$318,0)))</f>
        <v>GF Grant Portfolio Budget 2022 (Steve's Cohen personal communication)</v>
      </c>
      <c r="I97" s="96">
        <f>1/(60*4*2)</f>
        <v>2.0833333333333333E-3</v>
      </c>
      <c r="J97" t="s">
        <v>66</v>
      </c>
      <c r="K97" s="85">
        <f t="shared" si="1"/>
        <v>19.6412046875</v>
      </c>
      <c r="L97" s="85" t="s">
        <v>128</v>
      </c>
    </row>
    <row r="98" spans="1:12">
      <c r="A98" t="s">
        <v>1499</v>
      </c>
      <c r="B98" t="s">
        <v>104</v>
      </c>
      <c r="C98" t="s">
        <v>120</v>
      </c>
      <c r="D98" t="s">
        <v>81</v>
      </c>
      <c r="E98" s="13">
        <f>IF(B98="","",INDEX(Ingredients!$I$1:$I$5013,(MATCH(InterventionCosts!B98,Ingredients!$A$1:$A$5013,0))))</f>
        <v>5656.6669499999998</v>
      </c>
      <c r="F98" s="13" t="str">
        <f>INDEX(Ingredients!J$1:J$265,(MATCH(InterventionCosts!B98,Ingredients!A$1:A$265,0)))</f>
        <v>pp trained</v>
      </c>
      <c r="G98">
        <f>IF(B98="","",INDEX(Ingredients!$E$1:$E$238,(MATCH(InterventionCosts!B98,Ingredients!A$1:A$238,0))))</f>
        <v>2022</v>
      </c>
      <c r="H98" t="str">
        <f>INDEX(Ingredients!$F$1:$F$318,(MATCH(InterventionCosts!B98,Ingredients!A$1:A$318,0)))</f>
        <v>GF Grant Portfolio Budget 2022 (Steve's Cohen personal communication)</v>
      </c>
      <c r="I98" s="96">
        <f>1/(600*4*2)</f>
        <v>2.0833333333333335E-4</v>
      </c>
      <c r="J98" t="s">
        <v>66</v>
      </c>
      <c r="K98" s="85">
        <f t="shared" si="1"/>
        <v>1.1784722812500001</v>
      </c>
      <c r="L98" s="85" t="s">
        <v>128</v>
      </c>
    </row>
    <row r="99" spans="1:12">
      <c r="A99" t="s">
        <v>1499</v>
      </c>
      <c r="B99" t="s">
        <v>98</v>
      </c>
      <c r="C99" t="s">
        <v>120</v>
      </c>
      <c r="D99" t="s">
        <v>81</v>
      </c>
      <c r="E99" s="13">
        <f>IF(B99="","",INDEX(Ingredients!$I$1:$I$5013,(MATCH(InterventionCosts!B99,Ingredients!$A$1:$A$5013,0))))</f>
        <v>150</v>
      </c>
      <c r="F99" s="13" t="str">
        <f>INDEX(Ingredients!J$1:J$265,(MATCH(InterventionCosts!B99,Ingredients!A$1:A$265,0)))</f>
        <v>per square meter</v>
      </c>
      <c r="G99">
        <f>IF(B99="","",INDEX(Ingredients!$E$1:$E$238,(MATCH(InterventionCosts!B99,Ingredients!A$1:A$238,0))))</f>
        <v>2024</v>
      </c>
      <c r="H99" t="str">
        <f>INDEX(Ingredients!$F$1:$F$318,(MATCH(InterventionCosts!B99,Ingredients!A$1:A$318,0)))</f>
        <v xml:space="preserve">Average retail price for B &amp; C grade commercial property (property24.com) </v>
      </c>
      <c r="I99">
        <f>25*12/1920</f>
        <v>0.15625</v>
      </c>
      <c r="J99" t="s">
        <v>66</v>
      </c>
      <c r="K99" s="85">
        <f t="shared" si="1"/>
        <v>23.4375</v>
      </c>
      <c r="L99" s="85" t="s">
        <v>1182</v>
      </c>
    </row>
    <row r="100" spans="1:12">
      <c r="A100" t="s">
        <v>1499</v>
      </c>
      <c r="B100" t="s">
        <v>89</v>
      </c>
      <c r="C100" t="s">
        <v>120</v>
      </c>
      <c r="D100" t="s">
        <v>81</v>
      </c>
      <c r="E100" s="13">
        <f>IF(B100="","",INDEX(Ingredients!$I$1:$I$5013,(MATCH(InterventionCosts!B100,Ingredients!$A$1:$A$5013,0))))</f>
        <v>27.36845046388283</v>
      </c>
      <c r="F100" s="13" t="str">
        <f>INDEX(Ingredients!J$1:J$265,(MATCH(InterventionCosts!B100,Ingredients!A$1:A$265,0)))</f>
        <v>per square meter</v>
      </c>
      <c r="G100">
        <f>IF(B100="","",INDEX(Ingredients!$E$1:$E$238,(MATCH(InterventionCosts!B100,Ingredients!A$1:A$238,0))))</f>
        <v>2016</v>
      </c>
      <c r="H100" t="str">
        <f>INDEX(Ingredients!$F$1:$F$318,(MATCH(InterventionCosts!B100,Ingredients!A$1:A$318,0)))</f>
        <v>Estimate - HERO's Bills</v>
      </c>
      <c r="I100">
        <f>25*12/1920</f>
        <v>0.15625</v>
      </c>
      <c r="J100" t="s">
        <v>66</v>
      </c>
      <c r="K100" s="85">
        <f t="shared" si="1"/>
        <v>4.276320384981692</v>
      </c>
      <c r="L100" s="85" t="s">
        <v>1182</v>
      </c>
    </row>
    <row r="101" spans="1:12" s="4" customFormat="1">
      <c r="A101" s="4" t="s">
        <v>1499</v>
      </c>
      <c r="E101" s="88"/>
      <c r="F101" s="89" t="s">
        <v>1164</v>
      </c>
      <c r="G101" s="4" t="str">
        <f>IF(B101="","",INDEX(Ingredients!$E$1:$E$238,(MATCH(InterventionCosts!B101,Ingredients!A$1:A$238,0))))</f>
        <v/>
      </c>
      <c r="H101" s="4" t="str">
        <f>IF(B101="","",INDEX(Ingredients!$F$3:$F$119,(MATCH(InterventionCosts!B101,Ingredients!A$1:A$265,0))))</f>
        <v/>
      </c>
      <c r="K101" s="92"/>
      <c r="L101" s="90">
        <f>SUM(K74:K100)</f>
        <v>1118.1469111617159</v>
      </c>
    </row>
    <row r="102" spans="1:12" s="4" customFormat="1">
      <c r="A102" s="4" t="s">
        <v>1499</v>
      </c>
      <c r="E102" s="88"/>
      <c r="F102" s="89" t="s">
        <v>117</v>
      </c>
      <c r="G102" s="4" t="str">
        <f>IF(B102="","",INDEX(Ingredients!$E$1:$E$238,(MATCH(InterventionCosts!B102,Ingredients!A$1:A$238,0))))</f>
        <v/>
      </c>
      <c r="H102" s="4" t="str">
        <f>IF(B102="","",INDEX(Ingredients!$F$3:$F$119,(MATCH(InterventionCosts!B102,Ingredients!A$1:A$265,0))))</f>
        <v/>
      </c>
      <c r="K102" s="92"/>
      <c r="L102" s="90" t="s">
        <v>936</v>
      </c>
    </row>
    <row r="103" spans="1:12">
      <c r="F103" s="1"/>
      <c r="G103" t="str">
        <f>IF(B103="","",INDEX(Ingredients!$E$1:$E$238,(MATCH(InterventionCosts!B103,Ingredients!A$1:A$238,0))))</f>
        <v/>
      </c>
      <c r="I103" s="1"/>
      <c r="J103" s="1"/>
      <c r="K103" s="87"/>
      <c r="L103" s="87"/>
    </row>
    <row r="104" spans="1:12">
      <c r="A104" s="5" t="s">
        <v>1531</v>
      </c>
      <c r="B104" t="s">
        <v>320</v>
      </c>
      <c r="C104" s="5" t="s">
        <v>1539</v>
      </c>
      <c r="D104" t="s">
        <v>81</v>
      </c>
      <c r="E104" s="70">
        <f>IF(B104="","",INDEX(Ingredients!$I$1:$I$5013,(MATCH(InterventionCosts!B104,Ingredients!$A$1:$A$5013,0))))</f>
        <v>2698.1345728637612</v>
      </c>
      <c r="F104" s="5" t="str">
        <f>INDEX(Ingredients!J$1:J$265,(MATCH(InterventionCosts!B104,Ingredients!A$1:A$265,0)))</f>
        <v>monthly cost</v>
      </c>
      <c r="G104" s="5">
        <f>IF(B104="","",INDEX(Ingredients!$E$1:$E$238,(MATCH(InterventionCosts!B104,Ingredients!A$1:A$238,0))))</f>
        <v>2016</v>
      </c>
      <c r="H104" t="str">
        <f>INDEX(Ingredients!$F$1:$F$318,(MATCH(InterventionCosts!B104,Ingredients!A$1:A$318,0)))</f>
        <v>https://doi.org/10.1038/s41598-019-49109-w</v>
      </c>
      <c r="I104">
        <f>1/1000</f>
        <v>1E-3</v>
      </c>
      <c r="J104" t="s">
        <v>1474</v>
      </c>
      <c r="K104" s="85">
        <f t="shared" ref="K104:K126" si="2">I104*E104</f>
        <v>2.6981345728637613</v>
      </c>
      <c r="L104" s="12" t="s">
        <v>260</v>
      </c>
    </row>
    <row r="105" spans="1:12">
      <c r="A105" s="5" t="s">
        <v>1531</v>
      </c>
      <c r="B105" t="s">
        <v>322</v>
      </c>
      <c r="C105" s="5" t="s">
        <v>1539</v>
      </c>
      <c r="D105" t="s">
        <v>67</v>
      </c>
      <c r="E105" s="70">
        <f>IF(B105="","",INDEX(Ingredients!$I$1:$I$5013,(MATCH(InterventionCosts!B105,Ingredients!$A$1:$A$5013,0))))</f>
        <v>1016.3208420138025</v>
      </c>
      <c r="F105" s="5" t="str">
        <f>INDEX(Ingredients!J$1:J$265,(MATCH(InterventionCosts!B105,Ingredients!A$1:A$265,0)))</f>
        <v>monthly cost</v>
      </c>
      <c r="G105" s="5">
        <f>IF(B105="","",INDEX(Ingredients!$E$1:$E$238,(MATCH(InterventionCosts!B105,Ingredients!A$1:A$238,0))))</f>
        <v>2016</v>
      </c>
      <c r="H105" t="str">
        <f>INDEX(Ingredients!$F$1:$F$318,(MATCH(InterventionCosts!B105,Ingredients!A$1:A$318,0)))</f>
        <v>https://doi.org/10.1038/s41598-019-49109-w</v>
      </c>
      <c r="I105">
        <f>1/1000</f>
        <v>1E-3</v>
      </c>
      <c r="J105" t="s">
        <v>1474</v>
      </c>
      <c r="K105" s="85">
        <f t="shared" si="2"/>
        <v>1.0163208420138026</v>
      </c>
      <c r="L105" s="12" t="s">
        <v>260</v>
      </c>
    </row>
    <row r="106" spans="1:12" s="5" customFormat="1">
      <c r="A106" s="5" t="s">
        <v>1531</v>
      </c>
      <c r="B106" s="5" t="s">
        <v>243</v>
      </c>
      <c r="C106" s="5" t="s">
        <v>1539</v>
      </c>
      <c r="D106" s="5" t="s">
        <v>48</v>
      </c>
      <c r="E106" s="70">
        <f>IF(B106="","",INDEX(Ingredients!$I$1:$I$5013,(MATCH(InterventionCosts!B106,Ingredients!$A$1:$A$5013,0))))</f>
        <v>1.3151532137518684</v>
      </c>
      <c r="F106" s="5" t="str">
        <f>INDEX(Ingredients!J$1:J$265,(MATCH(InterventionCosts!B106,Ingredients!A$1:A$265,0)))</f>
        <v>per minute</v>
      </c>
      <c r="G106" s="5">
        <f>IF(B106="","",INDEX(Ingredients!$E$1:$E$238,(MATCH(InterventionCosts!B106,Ingredients!A$1:A$238,0))))</f>
        <v>2024</v>
      </c>
      <c r="H106" t="str">
        <f>INDEX(Ingredients!$F$1:$F$318,(MATCH(InterventionCosts!B106,Ingredients!A$1:A$318,0)))</f>
        <v>https://www.psira.co.za/dmdocuments/Illustrative%20Costing%20Guideline%202024-2025%20AREA%201%20and%202.pdf</v>
      </c>
      <c r="I106" s="5">
        <v>0.5</v>
      </c>
      <c r="J106" t="s">
        <v>1474</v>
      </c>
      <c r="K106" s="85">
        <f t="shared" si="2"/>
        <v>0.65757660687593422</v>
      </c>
      <c r="L106" s="12" t="s">
        <v>260</v>
      </c>
    </row>
    <row r="107" spans="1:12">
      <c r="A107" s="5" t="s">
        <v>1531</v>
      </c>
      <c r="B107" t="s">
        <v>52</v>
      </c>
      <c r="C107" s="5" t="s">
        <v>1539</v>
      </c>
      <c r="D107" s="5" t="s">
        <v>48</v>
      </c>
      <c r="E107" s="70">
        <f>IF(B107="","",INDEX(Ingredients!$I$1:$I$5013,(MATCH(InterventionCosts!B107,Ingredients!$A$1:$A$5013,0))))</f>
        <v>1.8019482436472347</v>
      </c>
      <c r="F107" s="5" t="str">
        <f>INDEX(Ingredients!J$1:J$265,(MATCH(InterventionCosts!B107,Ingredients!A$1:A$265,0)))</f>
        <v>per minute</v>
      </c>
      <c r="G107">
        <f>IF(B107="","",INDEX(Ingredients!$E$1:$E$238,(MATCH(InterventionCosts!B107,Ingredients!A$1:A$238,0))))</f>
        <v>2024</v>
      </c>
      <c r="H107" t="str">
        <f>INDEX(Ingredients!$F$1:$F$318,(MATCH(InterventionCosts!B107,Ingredients!A$1:A$318,0)))</f>
        <v xml:space="preserve">April 2024 Salary scale </v>
      </c>
      <c r="I107">
        <v>2</v>
      </c>
      <c r="J107" t="s">
        <v>1474</v>
      </c>
      <c r="K107" s="85">
        <f t="shared" si="2"/>
        <v>3.6038964872944694</v>
      </c>
      <c r="L107" s="12" t="s">
        <v>260</v>
      </c>
    </row>
    <row r="108" spans="1:12">
      <c r="A108" s="5" t="s">
        <v>1531</v>
      </c>
      <c r="B108" t="s">
        <v>245</v>
      </c>
      <c r="C108" s="5" t="s">
        <v>1539</v>
      </c>
      <c r="D108" t="s">
        <v>21</v>
      </c>
      <c r="E108" s="70">
        <f>IF(B108="","",INDEX(Ingredients!$I$1:$I$5013,(MATCH(InterventionCosts!B108,Ingredients!$A$1:$A$5013,0))))</f>
        <v>129</v>
      </c>
      <c r="F108" s="5" t="str">
        <f>INDEX(Ingredients!J$1:J$265,(MATCH(InterventionCosts!B108,Ingredients!A$1:A$265,0)))</f>
        <v>per 20 files</v>
      </c>
      <c r="G108">
        <f>IF(B108="","",INDEX(Ingredients!$E$1:$E$238,(MATCH(InterventionCosts!B108,Ingredients!A$1:A$238,0))))</f>
        <v>2024</v>
      </c>
      <c r="H108" t="str">
        <f>INDEX(Ingredients!$F$1:$F$318,(MATCH(InterventionCosts!B108,Ingredients!A$1:A$318,0)))</f>
        <v>https://www.makro.co.za/stationery-office-furniture/paper-filing/filing-folders/file-storage/tidy-files-medium-weight-files-/p/000000000000125629_PK</v>
      </c>
      <c r="I108">
        <f>1/20</f>
        <v>0.05</v>
      </c>
      <c r="J108" t="s">
        <v>1474</v>
      </c>
      <c r="K108" s="85">
        <f t="shared" si="2"/>
        <v>6.45</v>
      </c>
      <c r="L108" s="12" t="s">
        <v>262</v>
      </c>
    </row>
    <row r="109" spans="1:12">
      <c r="A109" s="5" t="s">
        <v>1531</v>
      </c>
      <c r="B109" t="s">
        <v>246</v>
      </c>
      <c r="C109" s="5" t="s">
        <v>1539</v>
      </c>
      <c r="D109" t="s">
        <v>21</v>
      </c>
      <c r="E109" s="70">
        <f>IF(B109="","",INDEX(Ingredients!$I$1:$I$5013,(MATCH(InterventionCosts!B109,Ingredients!$A$1:$A$5013,0))))</f>
        <v>0.16400000000000001</v>
      </c>
      <c r="F109" s="5" t="str">
        <f>INDEX(Ingredients!J$1:J$265,(MATCH(InterventionCosts!B109,Ingredients!A$1:A$265,0)))</f>
        <v>per page</v>
      </c>
      <c r="G109">
        <f>IF(B109="","",INDEX(Ingredients!$E$1:$E$238,(MATCH(InterventionCosts!B109,Ingredients!A$1:A$238,0))))</f>
        <v>2024</v>
      </c>
      <c r="H109" t="str">
        <f>INDEX(Ingredients!$F$1:$F$318,(MATCH(InterventionCosts!B109,Ingredients!A$1:A$318,0)))</f>
        <v>https://www.makro.co.za/stationery-office-furniture/paper-filing/paper/white-paper/copy-paper/typek-a4-office-paper-80-gsm/p/000000000000012434_BOX</v>
      </c>
      <c r="I109">
        <f>2</f>
        <v>2</v>
      </c>
      <c r="J109" t="s">
        <v>1474</v>
      </c>
      <c r="K109" s="85">
        <f t="shared" si="2"/>
        <v>0.32800000000000001</v>
      </c>
      <c r="L109" s="12" t="s">
        <v>261</v>
      </c>
    </row>
    <row r="110" spans="1:12">
      <c r="A110" s="5" t="s">
        <v>1531</v>
      </c>
      <c r="B110" t="s">
        <v>52</v>
      </c>
      <c r="C110" s="5" t="s">
        <v>1539</v>
      </c>
      <c r="D110" s="5" t="s">
        <v>48</v>
      </c>
      <c r="E110" s="70">
        <f>IF(B110="","",INDEX(Ingredients!$I$1:$I$5013,(MATCH(InterventionCosts!B110,Ingredients!$A$1:$A$5013,0))))</f>
        <v>1.8019482436472347</v>
      </c>
      <c r="F110" s="5" t="str">
        <f>INDEX(Ingredients!J$1:J$265,(MATCH(InterventionCosts!B110,Ingredients!A$1:A$265,0)))</f>
        <v>per minute</v>
      </c>
      <c r="G110">
        <f>IF(B110="","",INDEX(Ingredients!$E$1:$E$238,(MATCH(InterventionCosts!B110,Ingredients!A$1:A$238,0))))</f>
        <v>2024</v>
      </c>
      <c r="H110" t="str">
        <f>INDEX(Ingredients!$F$1:$F$318,(MATCH(InterventionCosts!B110,Ingredients!A$1:A$318,0)))</f>
        <v xml:space="preserve">April 2024 Salary scale </v>
      </c>
      <c r="I110">
        <v>2</v>
      </c>
      <c r="J110" t="s">
        <v>1474</v>
      </c>
      <c r="K110" s="85">
        <f t="shared" si="2"/>
        <v>3.6038964872944694</v>
      </c>
      <c r="L110" s="12" t="s">
        <v>277</v>
      </c>
    </row>
    <row r="111" spans="1:12">
      <c r="A111" s="5" t="s">
        <v>1531</v>
      </c>
      <c r="B111" t="s">
        <v>323</v>
      </c>
      <c r="C111" s="5" t="s">
        <v>1539</v>
      </c>
      <c r="D111" t="s">
        <v>81</v>
      </c>
      <c r="E111" s="70">
        <f>IF(B111="","",INDEX(Ingredients!$I$1:$I$5013,(MATCH(InterventionCosts!B111,Ingredients!$A$1:$A$5013,0))))</f>
        <v>1321.110140433256</v>
      </c>
      <c r="F111" s="5" t="str">
        <f>INDEX(Ingredients!J$1:J$265,(MATCH(InterventionCosts!B111,Ingredients!A$1:A$265,0)))</f>
        <v>monthly cost</v>
      </c>
      <c r="G111" s="5">
        <f>IF(B111="","",INDEX(Ingredients!$E$1:$E$238,(MATCH(InterventionCosts!B111,Ingredients!A$1:A$238,0))))</f>
        <v>2016</v>
      </c>
      <c r="H111" t="str">
        <f>INDEX(Ingredients!$F$1:$F$318,(MATCH(InterventionCosts!B111,Ingredients!A$1:A$318,0)))</f>
        <v>https://doi.org/10.1038/s41598-019-49109-w</v>
      </c>
      <c r="I111">
        <f>1/1000</f>
        <v>1E-3</v>
      </c>
      <c r="J111" t="s">
        <v>1474</v>
      </c>
      <c r="K111" s="85">
        <f t="shared" si="2"/>
        <v>1.3211101404332559</v>
      </c>
      <c r="L111" s="12" t="s">
        <v>277</v>
      </c>
    </row>
    <row r="112" spans="1:12">
      <c r="A112" s="5" t="s">
        <v>1531</v>
      </c>
      <c r="B112" t="s">
        <v>324</v>
      </c>
      <c r="C112" s="5" t="s">
        <v>1539</v>
      </c>
      <c r="D112" t="s">
        <v>67</v>
      </c>
      <c r="E112" s="70">
        <f>IF(B112="","",INDEX(Ingredients!$I$1:$I$5013,(MATCH(InterventionCosts!B112,Ingredients!$A$1:$A$5013,0))))</f>
        <v>284.21265617383841</v>
      </c>
      <c r="F112" s="5" t="str">
        <f>INDEX(Ingredients!J$1:J$265,(MATCH(InterventionCosts!B112,Ingredients!A$1:A$265,0)))</f>
        <v>monthly cost</v>
      </c>
      <c r="G112" s="5">
        <f>IF(B112="","",INDEX(Ingredients!$E$1:$E$238,(MATCH(InterventionCosts!B112,Ingredients!A$1:A$238,0))))</f>
        <v>2019</v>
      </c>
      <c r="H112" t="str">
        <f>INDEX(Ingredients!$F$1:$F$318,(MATCH(InterventionCosts!B112,Ingredients!A$1:A$318,0)))</f>
        <v>https://doi.org/10.1038/s41598-019-49109-w 2016 updated</v>
      </c>
      <c r="I112">
        <f>1/1000</f>
        <v>1E-3</v>
      </c>
      <c r="J112" t="s">
        <v>1474</v>
      </c>
      <c r="K112" s="85">
        <f t="shared" si="2"/>
        <v>0.2842126561738384</v>
      </c>
      <c r="L112" s="12" t="s">
        <v>277</v>
      </c>
    </row>
    <row r="113" spans="1:12">
      <c r="A113" s="5" t="s">
        <v>1531</v>
      </c>
      <c r="B113" t="s">
        <v>54</v>
      </c>
      <c r="C113" s="5" t="s">
        <v>1539</v>
      </c>
      <c r="D113" s="5" t="s">
        <v>48</v>
      </c>
      <c r="E113" s="70">
        <f>IF(B113="","",INDEX(Ingredients!$I$1:$I$5013,(MATCH(InterventionCosts!B113,Ingredients!$A$1:$A$5013,0))))</f>
        <v>1.2444366591928251</v>
      </c>
      <c r="F113" s="5" t="str">
        <f>INDEX(Ingredients!J$1:J$265,(MATCH(InterventionCosts!B113,Ingredients!A$1:A$265,0)))</f>
        <v>per minute</v>
      </c>
      <c r="G113">
        <f>IF(B113="","",INDEX(Ingredients!$E$1:$E$238,(MATCH(InterventionCosts!B113,Ingredients!A$1:A$238,0))))</f>
        <v>2024</v>
      </c>
      <c r="H113" t="str">
        <f>INDEX(Ingredients!$F$1:$F$318,(MATCH(InterventionCosts!B113,Ingredients!A$1:A$318,0)))</f>
        <v xml:space="preserve">April 2024 Salary scale </v>
      </c>
      <c r="I113">
        <v>5</v>
      </c>
      <c r="J113" t="s">
        <v>1474</v>
      </c>
      <c r="K113" s="85">
        <f t="shared" si="2"/>
        <v>6.2221832959641254</v>
      </c>
      <c r="L113" s="85" t="s">
        <v>259</v>
      </c>
    </row>
    <row r="114" spans="1:12">
      <c r="A114" s="5" t="s">
        <v>1531</v>
      </c>
      <c r="B114" t="s">
        <v>54</v>
      </c>
      <c r="C114" s="5" t="s">
        <v>1539</v>
      </c>
      <c r="D114" s="5" t="s">
        <v>48</v>
      </c>
      <c r="E114" s="70">
        <f>IF(B114="","",INDEX(Ingredients!$I$1:$I$5013,(MATCH(InterventionCosts!B114,Ingredients!$A$1:$A$5013,0))))</f>
        <v>1.2444366591928251</v>
      </c>
      <c r="F114" s="5" t="str">
        <f>INDEX(Ingredients!J$1:J$265,(MATCH(InterventionCosts!B114,Ingredients!A$1:A$265,0)))</f>
        <v>per minute</v>
      </c>
      <c r="G114">
        <f>IF(B114="","",INDEX(Ingredients!$E$1:$E$238,(MATCH(InterventionCosts!B114,Ingredients!A$1:A$238,0))))</f>
        <v>2024</v>
      </c>
      <c r="H114" t="str">
        <f>INDEX(Ingredients!$F$1:$F$318,(MATCH(InterventionCosts!B114,Ingredients!A$1:A$318,0)))</f>
        <v xml:space="preserve">April 2024 Salary scale </v>
      </c>
      <c r="I114">
        <v>10</v>
      </c>
      <c r="J114" t="s">
        <v>1474</v>
      </c>
      <c r="K114" s="85">
        <f t="shared" si="2"/>
        <v>12.444366591928251</v>
      </c>
      <c r="L114" s="85" t="s">
        <v>257</v>
      </c>
    </row>
    <row r="115" spans="1:12">
      <c r="A115" s="5" t="s">
        <v>1531</v>
      </c>
      <c r="B115" t="s">
        <v>246</v>
      </c>
      <c r="C115" s="5" t="s">
        <v>1539</v>
      </c>
      <c r="D115" t="s">
        <v>21</v>
      </c>
      <c r="E115" s="70">
        <f>IF(B115="","",INDEX(Ingredients!$I$1:$I$5013,(MATCH(InterventionCosts!B115,Ingredients!$A$1:$A$5013,0))))</f>
        <v>0.16400000000000001</v>
      </c>
      <c r="F115" s="5" t="str">
        <f>INDEX(Ingredients!J$1:J$265,(MATCH(InterventionCosts!B115,Ingredients!A$1:A$265,0)))</f>
        <v>per page</v>
      </c>
      <c r="G115">
        <f>IF(B115="","",INDEX(Ingredients!$E$1:$E$238,(MATCH(InterventionCosts!B115,Ingredients!A$1:A$238,0))))</f>
        <v>2024</v>
      </c>
      <c r="H115" t="str">
        <f>INDEX(Ingredients!$F$1:$F$318,(MATCH(InterventionCosts!B115,Ingredients!A$1:A$318,0)))</f>
        <v>https://www.makro.co.za/stationery-office-furniture/paper-filing/paper/white-paper/copy-paper/typek-a4-office-paper-80-gsm/p/000000000000012434_BOX</v>
      </c>
      <c r="I115">
        <f>1</f>
        <v>1</v>
      </c>
      <c r="J115" t="s">
        <v>1474</v>
      </c>
      <c r="K115" s="85">
        <f t="shared" si="2"/>
        <v>0.16400000000000001</v>
      </c>
      <c r="L115" s="85" t="s">
        <v>263</v>
      </c>
    </row>
    <row r="116" spans="1:12">
      <c r="A116" s="5" t="s">
        <v>1531</v>
      </c>
      <c r="B116" t="s">
        <v>325</v>
      </c>
      <c r="C116" s="5" t="s">
        <v>1539</v>
      </c>
      <c r="D116" t="s">
        <v>81</v>
      </c>
      <c r="E116" s="70">
        <f>IF(B116="","",INDEX(Ingredients!$I$1:$I$5013,(MATCH(InterventionCosts!B116,Ingredients!$A$1:$A$5013,0))))</f>
        <v>264.22202808665122</v>
      </c>
      <c r="F116" s="5" t="str">
        <f>INDEX(Ingredients!J$1:J$265,(MATCH(InterventionCosts!B116,Ingredients!A$1:A$265,0)))</f>
        <v>monthly cost</v>
      </c>
      <c r="G116">
        <f>IF(B116="","",INDEX(Ingredients!$E$1:$E$238,(MATCH(InterventionCosts!B116,Ingredients!A$1:A$238,0))))</f>
        <v>2016</v>
      </c>
      <c r="H116" t="str">
        <f>INDEX(Ingredients!$F$1:$F$318,(MATCH(InterventionCosts!B116,Ingredients!A$1:A$318,0)))</f>
        <v>https://doi.org/10.1038/s41598-019-49109-w</v>
      </c>
      <c r="I116">
        <f>1/1000</f>
        <v>1E-3</v>
      </c>
      <c r="J116" t="s">
        <v>1474</v>
      </c>
      <c r="K116" s="85">
        <f t="shared" si="2"/>
        <v>0.26422202808665124</v>
      </c>
      <c r="L116" s="85" t="s">
        <v>258</v>
      </c>
    </row>
    <row r="117" spans="1:12">
      <c r="A117" s="5" t="s">
        <v>1531</v>
      </c>
      <c r="B117" t="s">
        <v>326</v>
      </c>
      <c r="C117" s="5" t="s">
        <v>1539</v>
      </c>
      <c r="D117" t="s">
        <v>67</v>
      </c>
      <c r="E117" s="70">
        <f>IF(B117="","",INDEX(Ingredients!$I$1:$I$5013,(MATCH(InterventionCosts!B117,Ingredients!$A$1:$A$5013,0))))</f>
        <v>141.60550151947027</v>
      </c>
      <c r="F117" s="5" t="str">
        <f>INDEX(Ingredients!J$1:J$265,(MATCH(InterventionCosts!B117,Ingredients!A$1:A$265,0)))</f>
        <v>monthly cost</v>
      </c>
      <c r="G117">
        <f>IF(B117="","",INDEX(Ingredients!$E$1:$E$238,(MATCH(InterventionCosts!B117,Ingredients!A$1:A$238,0))))</f>
        <v>2019</v>
      </c>
      <c r="H117" t="str">
        <f>INDEX(Ingredients!$F$1:$F$318,(MATCH(InterventionCosts!B117,Ingredients!A$1:A$318,0)))</f>
        <v>https://doi.org/10.1038/s41598-019-49109-w 2016 updated</v>
      </c>
      <c r="I117">
        <f>1/1000</f>
        <v>1E-3</v>
      </c>
      <c r="J117" t="s">
        <v>1474</v>
      </c>
      <c r="K117" s="85">
        <f t="shared" si="2"/>
        <v>0.14160550151947027</v>
      </c>
      <c r="L117" s="85" t="s">
        <v>258</v>
      </c>
    </row>
    <row r="118" spans="1:12">
      <c r="A118" s="5" t="s">
        <v>1531</v>
      </c>
      <c r="B118" t="s">
        <v>54</v>
      </c>
      <c r="C118" s="5" t="s">
        <v>1539</v>
      </c>
      <c r="D118" t="s">
        <v>21</v>
      </c>
      <c r="E118" s="70">
        <f>IF(B118="","",INDEX(Ingredients!$I$1:$I$5013,(MATCH(InterventionCosts!B118,Ingredients!$A$1:$A$5013,0))))</f>
        <v>1.2444366591928251</v>
      </c>
      <c r="F118" s="5" t="str">
        <f>INDEX(Ingredients!J$1:J$265,(MATCH(InterventionCosts!B118,Ingredients!A$1:A$265,0)))</f>
        <v>per minute</v>
      </c>
      <c r="G118">
        <f>IF(B118="","",INDEX(Ingredients!$E$1:$E$238,(MATCH(InterventionCosts!B118,Ingredients!A$1:A$238,0))))</f>
        <v>2024</v>
      </c>
      <c r="H118" t="str">
        <f>INDEX(Ingredients!$F$1:$F$318,(MATCH(InterventionCosts!B118,Ingredients!A$1:A$318,0)))</f>
        <v xml:space="preserve">April 2024 Salary scale </v>
      </c>
      <c r="I118">
        <v>5</v>
      </c>
      <c r="J118" t="s">
        <v>1474</v>
      </c>
      <c r="K118" s="85">
        <f t="shared" si="2"/>
        <v>6.2221832959641254</v>
      </c>
      <c r="L118" s="85" t="s">
        <v>258</v>
      </c>
    </row>
    <row r="119" spans="1:12">
      <c r="A119" s="5" t="s">
        <v>1531</v>
      </c>
      <c r="B119" t="s">
        <v>247</v>
      </c>
      <c r="C119" s="5" t="s">
        <v>1539</v>
      </c>
      <c r="D119" t="s">
        <v>21</v>
      </c>
      <c r="E119" s="70">
        <f>IF(B119="","",INDEX(Ingredients!$I$1:$I$5013,(MATCH(InterventionCosts!B119,Ingredients!$A$1:$A$5013,0))))</f>
        <v>274.72000000000003</v>
      </c>
      <c r="F119" s="5" t="str">
        <f>INDEX(Ingredients!J$1:J$265,(MATCH(InterventionCosts!B119,Ingredients!A$1:A$265,0)))</f>
        <v>per 5L</v>
      </c>
      <c r="G119">
        <f>IF(B119="","",INDEX(Ingredients!$E$1:$E$238,(MATCH(InterventionCosts!B119,Ingredients!A$1:A$238,0))))</f>
        <v>2024</v>
      </c>
      <c r="H119" t="str">
        <f>INDEX(Ingredients!$F$1:$F$318,(MATCH(InterventionCosts!B119,Ingredients!A$1:A$318,0)))</f>
        <v>https://www.health.gov.za/wp-content/uploads/2024/04/HP12-2023LQ-CPA-Add-4-12-Effective-1-May-2024.pdf</v>
      </c>
      <c r="I119">
        <f>1/5000*1.01</f>
        <v>2.02E-4</v>
      </c>
      <c r="J119" t="s">
        <v>1474</v>
      </c>
      <c r="K119" s="85">
        <f t="shared" si="2"/>
        <v>5.5493440000000005E-2</v>
      </c>
      <c r="L119" s="85" t="s">
        <v>264</v>
      </c>
    </row>
    <row r="120" spans="1:12" ht="15" customHeight="1">
      <c r="A120" s="5" t="s">
        <v>1531</v>
      </c>
      <c r="B120" t="s">
        <v>1489</v>
      </c>
      <c r="C120" s="5" t="s">
        <v>1539</v>
      </c>
      <c r="D120" t="s">
        <v>21</v>
      </c>
      <c r="E120" s="70">
        <f>IF(B120="","",INDEX(Ingredients!$I$1:$I$5013,(MATCH(InterventionCosts!B120,Ingredients!$A$1:$A$5013,0))))</f>
        <v>53.08</v>
      </c>
      <c r="F120" s="5" t="str">
        <f>INDEX(Ingredients!J$1:J$265,(MATCH(InterventionCosts!B120,Ingredients!A$1:A$265,0)))</f>
        <v>per pack 100, 50 pairs</v>
      </c>
      <c r="G120">
        <f>IF(B120="","",INDEX(Ingredients!$E$1:$E$238,(MATCH(InterventionCosts!B120,Ingredients!A$1:A$238,0))))</f>
        <v>2024</v>
      </c>
      <c r="H120" t="str">
        <f>INDEX(Ingredients!$F$1:$F$318,(MATCH(InterventionCosts!B120,Ingredients!A$1:A$318,0)))</f>
        <v>https://www.treasury.gov.za/divisions/ocpo/ostb/contracts/RT76-2023%20CPA%20Amendment%204-%20Effective%2001%20May%202024.pdf</v>
      </c>
      <c r="I120">
        <f>1/50*1.01</f>
        <v>2.0199999999999999E-2</v>
      </c>
      <c r="J120" t="s">
        <v>1474</v>
      </c>
      <c r="K120" s="85">
        <f t="shared" si="2"/>
        <v>1.0722159999999998</v>
      </c>
      <c r="L120" s="85" t="s">
        <v>265</v>
      </c>
    </row>
    <row r="121" spans="1:12">
      <c r="A121" s="5" t="s">
        <v>1531</v>
      </c>
      <c r="B121" t="s">
        <v>79</v>
      </c>
      <c r="C121" s="5" t="s">
        <v>1539</v>
      </c>
      <c r="D121" t="s">
        <v>21</v>
      </c>
      <c r="E121" s="70">
        <f>IF(B121="","",INDEX(Ingredients!$I$1:$I$5013,(MATCH(InterventionCosts!B121,Ingredients!$A$1:$A$5013,0))))</f>
        <v>9.3000000000000007</v>
      </c>
      <c r="F121" s="5" t="str">
        <f>INDEX(Ingredients!J$1:J$265,(MATCH(InterventionCosts!B121,Ingredients!A$1:A$265,0)))</f>
        <v>per test</v>
      </c>
      <c r="G121">
        <f>IF(B121="","",INDEX(Ingredients!$E$1:$E$238,(MATCH(InterventionCosts!B121,Ingredients!A$1:A$238,0))))</f>
        <v>2024</v>
      </c>
      <c r="H121" t="str">
        <f>INDEX(Ingredients!$F$1:$F$318,(MATCH(InterventionCosts!B121,Ingredients!A$1:A$318,0)))</f>
        <v>https://www.treasury.gov.za/divisions/ocpo/ostb/contracts/RT41-2020.zip</v>
      </c>
      <c r="I121">
        <f>1*1.01</f>
        <v>1.01</v>
      </c>
      <c r="J121" t="s">
        <v>1474</v>
      </c>
      <c r="K121" s="85">
        <f t="shared" si="2"/>
        <v>9.3930000000000007</v>
      </c>
      <c r="L121" s="85" t="s">
        <v>258</v>
      </c>
    </row>
    <row r="122" spans="1:12">
      <c r="A122" s="5" t="s">
        <v>1531</v>
      </c>
      <c r="B122" t="s">
        <v>248</v>
      </c>
      <c r="C122" s="5" t="s">
        <v>1539</v>
      </c>
      <c r="D122" t="s">
        <v>21</v>
      </c>
      <c r="E122" s="70">
        <f>IF(B122="","",INDEX(Ingredients!$I$1:$I$5013,(MATCH(InterventionCosts!B122,Ingredients!$A$1:$A$5013,0))))</f>
        <v>2.645</v>
      </c>
      <c r="F122" s="5" t="str">
        <f>INDEX(Ingredients!J$1:J$265,(MATCH(InterventionCosts!B122,Ingredients!A$1:A$265,0)))</f>
        <v>per bag</v>
      </c>
      <c r="G122">
        <f>IF(B122="","",INDEX(Ingredients!$E$1:$E$238,(MATCH(InterventionCosts!B122,Ingredients!A$1:A$238,0))))</f>
        <v>2024</v>
      </c>
      <c r="H122" t="str">
        <f>INDEX(Ingredients!$F$1:$F$318,(MATCH(InterventionCosts!B122,Ingredients!A$1:A$318,0)))</f>
        <v>https://medqsupplies.co.za/product/bio-hazard-plastic-bags/</v>
      </c>
      <c r="I122">
        <f>1*1.01</f>
        <v>1.01</v>
      </c>
      <c r="J122" t="s">
        <v>1474</v>
      </c>
      <c r="K122" s="85">
        <f t="shared" si="2"/>
        <v>2.6714500000000001</v>
      </c>
      <c r="L122" s="85" t="s">
        <v>258</v>
      </c>
    </row>
    <row r="123" spans="1:12">
      <c r="A123" s="5" t="s">
        <v>1531</v>
      </c>
      <c r="B123" t="s">
        <v>31</v>
      </c>
      <c r="C123" s="5" t="s">
        <v>1539</v>
      </c>
      <c r="D123" t="s">
        <v>21</v>
      </c>
      <c r="E123" s="70">
        <f>IF(B123="","",INDEX(Ingredients!$I$1:$I$5013,(MATCH(InterventionCosts!B123,Ingredients!$A$1:$A$5013,0))))</f>
        <v>31.4</v>
      </c>
      <c r="F123" s="5" t="str">
        <f>INDEX(Ingredients!J$1:J$265,(MATCH(InterventionCosts!B123,Ingredients!A$1:A$265,0)))</f>
        <v>per 100 swabs</v>
      </c>
      <c r="G123">
        <f>IF(B123="","",INDEX(Ingredients!$E$1:$E$238,(MATCH(InterventionCosts!B123,Ingredients!A$1:A$238,0))))</f>
        <v>2024</v>
      </c>
      <c r="H123" t="str">
        <f>INDEX(Ingredients!$F$1:$F$318,(MATCH(InterventionCosts!B123,Ingredients!A$1:A$318,0)))</f>
        <v xml:space="preserve">http://www.treasury.gov.za/divisions/ocpo/ostb/contracts/RT42-2022zip </v>
      </c>
      <c r="I123">
        <f>1/100*1.01</f>
        <v>1.01E-2</v>
      </c>
      <c r="J123" t="s">
        <v>1474</v>
      </c>
      <c r="K123" s="85">
        <f t="shared" si="2"/>
        <v>0.31713999999999998</v>
      </c>
      <c r="L123" s="85" t="s">
        <v>258</v>
      </c>
    </row>
    <row r="124" spans="1:12">
      <c r="A124" s="5" t="s">
        <v>1531</v>
      </c>
      <c r="B124" t="s">
        <v>54</v>
      </c>
      <c r="C124" s="5" t="s">
        <v>1539</v>
      </c>
      <c r="D124" s="5" t="s">
        <v>48</v>
      </c>
      <c r="E124" s="70">
        <f>IF(B124="","",INDEX(Ingredients!$I$1:$I$5013,(MATCH(InterventionCosts!B124,Ingredients!$A$1:$A$5013,0))))</f>
        <v>1.2444366591928251</v>
      </c>
      <c r="F124" s="5" t="str">
        <f>INDEX(Ingredients!J$1:J$265,(MATCH(InterventionCosts!B124,Ingredients!A$1:A$265,0)))</f>
        <v>per minute</v>
      </c>
      <c r="G124">
        <f>IF(B124="","",INDEX(Ingredients!$E$1:$E$238,(MATCH(InterventionCosts!B124,Ingredients!A$1:A$238,0))))</f>
        <v>2024</v>
      </c>
      <c r="H124" t="str">
        <f>INDEX(Ingredients!$F$1:$F$318,(MATCH(InterventionCosts!B124,Ingredients!A$1:A$318,0)))</f>
        <v xml:space="preserve">April 2024 Salary scale </v>
      </c>
      <c r="I124">
        <f>5</f>
        <v>5</v>
      </c>
      <c r="J124" t="s">
        <v>1474</v>
      </c>
      <c r="K124" s="85">
        <f t="shared" si="2"/>
        <v>6.2221832959641254</v>
      </c>
      <c r="L124" s="85" t="s">
        <v>329</v>
      </c>
    </row>
    <row r="125" spans="1:12">
      <c r="A125" s="5" t="s">
        <v>1531</v>
      </c>
      <c r="B125" t="s">
        <v>251</v>
      </c>
      <c r="C125" s="5" t="s">
        <v>1539</v>
      </c>
      <c r="D125" t="s">
        <v>21</v>
      </c>
      <c r="E125" s="70">
        <f>IF(B125="","",INDEX(Ingredients!$I$1:$I$5013,(MATCH(InterventionCosts!B125,Ingredients!$A$1:$A$5013,0))))</f>
        <v>1.0227713593614072</v>
      </c>
      <c r="F125" s="5" t="str">
        <f>INDEX(Ingredients!J$1:J$265,(MATCH(InterventionCosts!B125,Ingredients!A$1:A$265,0)))</f>
        <v>per 1</v>
      </c>
      <c r="G125">
        <f>IF(B125="","",INDEX(Ingredients!$E$1:$E$238,(MATCH(InterventionCosts!B125,Ingredients!A$1:A$238,0))))</f>
        <v>2016</v>
      </c>
      <c r="H125" t="str">
        <f>INDEX(Ingredients!$F$1:$F$318,(MATCH(InterventionCosts!B125,Ingredients!A$1:A$318,0)))</f>
        <v>https://doi.org/10.1038/s41598-019-49109-w</v>
      </c>
      <c r="I125">
        <f>1</f>
        <v>1</v>
      </c>
      <c r="J125" t="s">
        <v>1474</v>
      </c>
      <c r="K125" s="85">
        <f t="shared" si="2"/>
        <v>1.0227713593614072</v>
      </c>
      <c r="L125" s="85" t="s">
        <v>329</v>
      </c>
    </row>
    <row r="126" spans="1:12">
      <c r="A126" s="5" t="s">
        <v>1531</v>
      </c>
      <c r="B126" t="s">
        <v>43</v>
      </c>
      <c r="C126" s="5" t="s">
        <v>1539</v>
      </c>
      <c r="D126" t="s">
        <v>21</v>
      </c>
      <c r="E126" s="70">
        <f>IF(B126="","",INDEX(Ingredients!$I$1:$I$5013,(MATCH(InterventionCosts!B126,Ingredients!$A$1:$A$5013,0))))</f>
        <v>0.61939459752201187</v>
      </c>
      <c r="F126" s="5" t="str">
        <f>INDEX(Ingredients!J$1:J$265,(MATCH(InterventionCosts!B126,Ingredients!A$1:A$265,0)))</f>
        <v>per condom</v>
      </c>
      <c r="G126">
        <f>IF(B126="","",INDEX(Ingredients!$E$1:$E$238,(MATCH(InterventionCosts!B126,Ingredients!A$1:A$238,0))))</f>
        <v>2024</v>
      </c>
      <c r="H126" t="str">
        <f>INDEX(Ingredients!$F$1:$F$318,(MATCH(InterventionCosts!B126,Ingredients!A$1:A$318,0)))</f>
        <v>https://www.treasury.gov.za/divisions/ocpo/ostb/contracts/RT75-2021.zip</v>
      </c>
      <c r="I126">
        <f>10</f>
        <v>10</v>
      </c>
      <c r="J126" t="s">
        <v>1474</v>
      </c>
      <c r="K126" s="85">
        <f t="shared" si="2"/>
        <v>6.1939459752201191</v>
      </c>
      <c r="L126" s="85" t="s">
        <v>329</v>
      </c>
    </row>
    <row r="127" spans="1:12" s="89" customFormat="1">
      <c r="A127" s="99" t="s">
        <v>1531</v>
      </c>
      <c r="E127" s="100"/>
      <c r="F127" s="89" t="s">
        <v>1164</v>
      </c>
      <c r="G127" s="89" t="str">
        <f>IF(B127="","",INDEX(Ingredients!$E$1:$E$238,(MATCH(InterventionCosts!B127,Ingredients!A$1:A$238,0))))</f>
        <v/>
      </c>
      <c r="K127" s="90"/>
      <c r="L127" s="90">
        <f>SUM(K104:K126)</f>
        <v>72.369908576957812</v>
      </c>
    </row>
    <row r="128" spans="1:12" s="89" customFormat="1">
      <c r="A128" s="99" t="s">
        <v>1531</v>
      </c>
      <c r="F128" s="89" t="s">
        <v>117</v>
      </c>
      <c r="G128" s="89" t="str">
        <f>IF(B128="","",INDEX(Ingredients!$E$1:$E$238,(MATCH(InterventionCosts!B128,Ingredients!A$1:A$238,0))))</f>
        <v/>
      </c>
      <c r="K128" s="90"/>
      <c r="L128" s="90" t="s">
        <v>936</v>
      </c>
    </row>
    <row r="129" spans="1:12">
      <c r="G129" t="str">
        <f>IF(B129="","",INDEX(Ingredients!$E$1:$E$238,(MATCH(InterventionCosts!B129,Ingredients!A$1:A$238,0))))</f>
        <v/>
      </c>
    </row>
    <row r="130" spans="1:12">
      <c r="A130" s="5" t="s">
        <v>1532</v>
      </c>
      <c r="B130" t="s">
        <v>320</v>
      </c>
      <c r="C130" s="5" t="s">
        <v>1539</v>
      </c>
      <c r="D130" t="s">
        <v>81</v>
      </c>
      <c r="E130" s="70">
        <f>IF(B130="","",INDEX(Ingredients!$I$1:$I$5013,(MATCH(InterventionCosts!B130,Ingredients!$A$1:$A$5013,0))))</f>
        <v>2698.1345728637612</v>
      </c>
      <c r="F130" s="5" t="str">
        <f>INDEX(Ingredients!J$1:J$265,(MATCH(InterventionCosts!B130,Ingredients!A$1:A$265,0)))</f>
        <v>monthly cost</v>
      </c>
      <c r="G130" s="5">
        <f>IF(B130="","",INDEX(Ingredients!$E$1:$E$238,(MATCH(InterventionCosts!B130,Ingredients!A$1:A$238,0))))</f>
        <v>2016</v>
      </c>
      <c r="H130" t="str">
        <f>INDEX(Ingredients!$F$1:$F$318,(MATCH(InterventionCosts!B130,Ingredients!A$1:A$318,0)))</f>
        <v>https://doi.org/10.1038/s41598-019-49109-w</v>
      </c>
      <c r="I130">
        <f>1/1000</f>
        <v>1E-3</v>
      </c>
      <c r="J130" t="s">
        <v>1474</v>
      </c>
      <c r="K130" s="85">
        <f t="shared" ref="K130:K160" si="3">I130*E130</f>
        <v>2.6981345728637613</v>
      </c>
      <c r="L130" s="12" t="s">
        <v>260</v>
      </c>
    </row>
    <row r="131" spans="1:12">
      <c r="A131" s="5" t="s">
        <v>1532</v>
      </c>
      <c r="B131" t="s">
        <v>322</v>
      </c>
      <c r="C131" s="5" t="s">
        <v>1539</v>
      </c>
      <c r="D131" t="s">
        <v>67</v>
      </c>
      <c r="E131" s="70">
        <f>IF(B131="","",INDEX(Ingredients!$I$1:$I$5013,(MATCH(InterventionCosts!B131,Ingredients!$A$1:$A$5013,0))))</f>
        <v>1016.3208420138025</v>
      </c>
      <c r="F131" s="5" t="str">
        <f>INDEX(Ingredients!J$1:J$265,(MATCH(InterventionCosts!B131,Ingredients!A$1:A$265,0)))</f>
        <v>monthly cost</v>
      </c>
      <c r="G131" s="5">
        <f>IF(B131="","",INDEX(Ingredients!$E$1:$E$238,(MATCH(InterventionCosts!B131,Ingredients!A$1:A$238,0))))</f>
        <v>2016</v>
      </c>
      <c r="H131" t="str">
        <f>INDEX(Ingredients!$F$1:$F$318,(MATCH(InterventionCosts!B131,Ingredients!A$1:A$318,0)))</f>
        <v>https://doi.org/10.1038/s41598-019-49109-w</v>
      </c>
      <c r="I131">
        <f>1/1000</f>
        <v>1E-3</v>
      </c>
      <c r="J131" t="s">
        <v>1474</v>
      </c>
      <c r="K131" s="85">
        <f t="shared" si="3"/>
        <v>1.0163208420138026</v>
      </c>
      <c r="L131" s="12" t="s">
        <v>260</v>
      </c>
    </row>
    <row r="132" spans="1:12" s="5" customFormat="1">
      <c r="A132" s="5" t="s">
        <v>1532</v>
      </c>
      <c r="B132" s="5" t="s">
        <v>243</v>
      </c>
      <c r="C132" s="5" t="s">
        <v>1539</v>
      </c>
      <c r="D132" s="5" t="s">
        <v>48</v>
      </c>
      <c r="E132" s="70">
        <f>IF(B132="","",INDEX(Ingredients!$I$1:$I$5013,(MATCH(InterventionCosts!B132,Ingredients!$A$1:$A$5013,0))))</f>
        <v>1.3151532137518684</v>
      </c>
      <c r="F132" s="5" t="str">
        <f>INDEX(Ingredients!J$1:J$265,(MATCH(InterventionCosts!B132,Ingredients!A$1:A$265,0)))</f>
        <v>per minute</v>
      </c>
      <c r="G132" s="5">
        <f>IF(B132="","",INDEX(Ingredients!$E$1:$E$238,(MATCH(InterventionCosts!B132,Ingredients!A$1:A$238,0))))</f>
        <v>2024</v>
      </c>
      <c r="H132" t="str">
        <f>INDEX(Ingredients!$F$1:$F$318,(MATCH(InterventionCosts!B132,Ingredients!A$1:A$318,0)))</f>
        <v>https://www.psira.co.za/dmdocuments/Illustrative%20Costing%20Guideline%202024-2025%20AREA%201%20and%202.pdf</v>
      </c>
      <c r="I132" s="5">
        <v>0.5</v>
      </c>
      <c r="J132" t="s">
        <v>1474</v>
      </c>
      <c r="K132" s="12">
        <f t="shared" si="3"/>
        <v>0.65757660687593422</v>
      </c>
      <c r="L132" s="12" t="s">
        <v>260</v>
      </c>
    </row>
    <row r="133" spans="1:12">
      <c r="A133" s="5" t="s">
        <v>1532</v>
      </c>
      <c r="B133" t="s">
        <v>52</v>
      </c>
      <c r="C133" s="5" t="s">
        <v>1539</v>
      </c>
      <c r="D133" s="5" t="s">
        <v>48</v>
      </c>
      <c r="E133" s="70">
        <f>IF(B133="","",INDEX(Ingredients!$I$1:$I$5013,(MATCH(InterventionCosts!B133,Ingredients!$A$1:$A$5013,0))))</f>
        <v>1.8019482436472347</v>
      </c>
      <c r="F133" s="5" t="str">
        <f>INDEX(Ingredients!J$1:J$265,(MATCH(InterventionCosts!B133,Ingredients!A$1:A$265,0)))</f>
        <v>per minute</v>
      </c>
      <c r="G133">
        <f>IF(B133="","",INDEX(Ingredients!$E$1:$E$238,(MATCH(InterventionCosts!B133,Ingredients!A$1:A$238,0))))</f>
        <v>2024</v>
      </c>
      <c r="H133" t="str">
        <f>INDEX(Ingredients!$F$1:$F$318,(MATCH(InterventionCosts!B133,Ingredients!A$1:A$318,0)))</f>
        <v xml:space="preserve">April 2024 Salary scale </v>
      </c>
      <c r="I133">
        <v>2</v>
      </c>
      <c r="J133" t="s">
        <v>1474</v>
      </c>
      <c r="K133" s="12">
        <f t="shared" si="3"/>
        <v>3.6038964872944694</v>
      </c>
      <c r="L133" s="12" t="s">
        <v>260</v>
      </c>
    </row>
    <row r="134" spans="1:12">
      <c r="A134" s="5" t="s">
        <v>1532</v>
      </c>
      <c r="B134" t="s">
        <v>245</v>
      </c>
      <c r="C134" s="5" t="s">
        <v>1539</v>
      </c>
      <c r="D134" t="s">
        <v>21</v>
      </c>
      <c r="E134" s="70">
        <f>IF(B134="","",INDEX(Ingredients!$I$1:$I$5013,(MATCH(InterventionCosts!B134,Ingredients!$A$1:$A$5013,0))))</f>
        <v>129</v>
      </c>
      <c r="F134" s="5" t="str">
        <f>INDEX(Ingredients!J$1:J$265,(MATCH(InterventionCosts!B134,Ingredients!A$1:A$265,0)))</f>
        <v>per 20 files</v>
      </c>
      <c r="G134">
        <f>IF(B134="","",INDEX(Ingredients!$E$1:$E$238,(MATCH(InterventionCosts!B134,Ingredients!A$1:A$238,0))))</f>
        <v>2024</v>
      </c>
      <c r="H134" t="str">
        <f>INDEX(Ingredients!$F$1:$F$318,(MATCH(InterventionCosts!B134,Ingredients!A$1:A$318,0)))</f>
        <v>https://www.makro.co.za/stationery-office-furniture/paper-filing/filing-folders/file-storage/tidy-files-medium-weight-files-/p/000000000000125629_PK</v>
      </c>
      <c r="I134">
        <f>1/20*1.01</f>
        <v>5.0500000000000003E-2</v>
      </c>
      <c r="J134" t="s">
        <v>1474</v>
      </c>
      <c r="K134" s="85">
        <f t="shared" si="3"/>
        <v>6.5145000000000008</v>
      </c>
      <c r="L134" s="12" t="s">
        <v>262</v>
      </c>
    </row>
    <row r="135" spans="1:12">
      <c r="A135" s="5" t="s">
        <v>1532</v>
      </c>
      <c r="B135" t="s">
        <v>246</v>
      </c>
      <c r="C135" s="5" t="s">
        <v>1539</v>
      </c>
      <c r="D135" t="s">
        <v>21</v>
      </c>
      <c r="E135" s="70">
        <f>IF(B135="","",INDEX(Ingredients!$I$1:$I$5013,(MATCH(InterventionCosts!B135,Ingredients!$A$1:$A$5013,0))))</f>
        <v>0.16400000000000001</v>
      </c>
      <c r="F135" s="5" t="str">
        <f>INDEX(Ingredients!J$1:J$265,(MATCH(InterventionCosts!B135,Ingredients!A$1:A$265,0)))</f>
        <v>per page</v>
      </c>
      <c r="G135">
        <f>IF(B135="","",INDEX(Ingredients!$E$1:$E$238,(MATCH(InterventionCosts!B135,Ingredients!A$1:A$238,0))))</f>
        <v>2024</v>
      </c>
      <c r="H135" t="str">
        <f>INDEX(Ingredients!$F$1:$F$318,(MATCH(InterventionCosts!B135,Ingredients!A$1:A$318,0)))</f>
        <v>https://www.makro.co.za/stationery-office-furniture/paper-filing/paper/white-paper/copy-paper/typek-a4-office-paper-80-gsm/p/000000000000012434_BOX</v>
      </c>
      <c r="I135">
        <f>1*2*1.01</f>
        <v>2.02</v>
      </c>
      <c r="J135" t="s">
        <v>1474</v>
      </c>
      <c r="K135" s="85">
        <f t="shared" si="3"/>
        <v>0.33128000000000002</v>
      </c>
      <c r="L135" s="12" t="s">
        <v>261</v>
      </c>
    </row>
    <row r="136" spans="1:12">
      <c r="A136" s="5" t="s">
        <v>1532</v>
      </c>
      <c r="B136" t="s">
        <v>52</v>
      </c>
      <c r="C136" s="5" t="s">
        <v>1539</v>
      </c>
      <c r="D136" s="5" t="s">
        <v>48</v>
      </c>
      <c r="E136" s="70">
        <f>IF(B136="","",INDEX(Ingredients!$I$1:$I$5013,(MATCH(InterventionCosts!B136,Ingredients!$A$1:$A$5013,0))))</f>
        <v>1.8019482436472347</v>
      </c>
      <c r="F136" s="5" t="str">
        <f>INDEX(Ingredients!J$1:J$265,(MATCH(InterventionCosts!B136,Ingredients!A$1:A$265,0)))</f>
        <v>per minute</v>
      </c>
      <c r="G136">
        <f>IF(B136="","",INDEX(Ingredients!$E$1:$E$238,(MATCH(InterventionCosts!B136,Ingredients!A$1:A$238,0))))</f>
        <v>2024</v>
      </c>
      <c r="H136" t="str">
        <f>INDEX(Ingredients!$F$1:$F$318,(MATCH(InterventionCosts!B136,Ingredients!A$1:A$318,0)))</f>
        <v xml:space="preserve">April 2024 Salary scale </v>
      </c>
      <c r="I136">
        <v>2</v>
      </c>
      <c r="J136" t="s">
        <v>1474</v>
      </c>
      <c r="K136" s="12">
        <f t="shared" si="3"/>
        <v>3.6038964872944694</v>
      </c>
      <c r="L136" s="12" t="s">
        <v>277</v>
      </c>
    </row>
    <row r="137" spans="1:12">
      <c r="A137" s="5" t="s">
        <v>1532</v>
      </c>
      <c r="B137" t="s">
        <v>323</v>
      </c>
      <c r="C137" s="5" t="s">
        <v>1539</v>
      </c>
      <c r="D137" t="s">
        <v>81</v>
      </c>
      <c r="E137" s="70">
        <f>IF(B137="","",INDEX(Ingredients!$I$1:$I$5013,(MATCH(InterventionCosts!B137,Ingredients!$A$1:$A$5013,0))))</f>
        <v>1321.110140433256</v>
      </c>
      <c r="F137" s="5" t="str">
        <f>INDEX(Ingredients!J$1:J$265,(MATCH(InterventionCosts!B137,Ingredients!A$1:A$265,0)))</f>
        <v>monthly cost</v>
      </c>
      <c r="G137" s="5">
        <f>IF(B137="","",INDEX(Ingredients!$E$1:$E$238,(MATCH(InterventionCosts!B137,Ingredients!A$1:A$238,0))))</f>
        <v>2016</v>
      </c>
      <c r="H137" t="str">
        <f>INDEX(Ingredients!$F$1:$F$318,(MATCH(InterventionCosts!B137,Ingredients!A$1:A$318,0)))</f>
        <v>https://doi.org/10.1038/s41598-019-49109-w</v>
      </c>
      <c r="I137">
        <f>1/1000</f>
        <v>1E-3</v>
      </c>
      <c r="J137" t="s">
        <v>1474</v>
      </c>
      <c r="K137" s="85">
        <f t="shared" si="3"/>
        <v>1.3211101404332559</v>
      </c>
      <c r="L137" s="12" t="s">
        <v>277</v>
      </c>
    </row>
    <row r="138" spans="1:12">
      <c r="A138" s="5" t="s">
        <v>1532</v>
      </c>
      <c r="B138" t="s">
        <v>324</v>
      </c>
      <c r="C138" s="5" t="s">
        <v>1539</v>
      </c>
      <c r="D138" t="s">
        <v>67</v>
      </c>
      <c r="E138" s="70">
        <f>IF(B138="","",INDEX(Ingredients!$I$1:$I$5013,(MATCH(InterventionCosts!B138,Ingredients!$A$1:$A$5013,0))))</f>
        <v>284.21265617383841</v>
      </c>
      <c r="F138" s="5" t="str">
        <f>INDEX(Ingredients!J$1:J$265,(MATCH(InterventionCosts!B138,Ingredients!A$1:A$265,0)))</f>
        <v>monthly cost</v>
      </c>
      <c r="G138" s="5">
        <f>IF(B138="","",INDEX(Ingredients!$E$1:$E$238,(MATCH(InterventionCosts!B138,Ingredients!A$1:A$238,0))))</f>
        <v>2019</v>
      </c>
      <c r="H138" t="str">
        <f>INDEX(Ingredients!$F$1:$F$318,(MATCH(InterventionCosts!B138,Ingredients!A$1:A$318,0)))</f>
        <v>https://doi.org/10.1038/s41598-019-49109-w 2016 updated</v>
      </c>
      <c r="I138">
        <f>1/1000</f>
        <v>1E-3</v>
      </c>
      <c r="J138" t="s">
        <v>1474</v>
      </c>
      <c r="K138" s="85">
        <f t="shared" si="3"/>
        <v>0.2842126561738384</v>
      </c>
      <c r="L138" s="12" t="s">
        <v>277</v>
      </c>
    </row>
    <row r="139" spans="1:12">
      <c r="A139" s="5" t="s">
        <v>1532</v>
      </c>
      <c r="B139" t="s">
        <v>54</v>
      </c>
      <c r="C139" s="5" t="s">
        <v>1539</v>
      </c>
      <c r="D139" s="5" t="s">
        <v>48</v>
      </c>
      <c r="E139" s="70">
        <f>IF(B139="","",INDEX(Ingredients!$I$1:$I$5013,(MATCH(InterventionCosts!B139,Ingredients!$A$1:$A$5013,0))))</f>
        <v>1.2444366591928251</v>
      </c>
      <c r="F139" s="5" t="str">
        <f>INDEX(Ingredients!J$1:J$265,(MATCH(InterventionCosts!B139,Ingredients!A$1:A$265,0)))</f>
        <v>per minute</v>
      </c>
      <c r="G139">
        <f>IF(B139="","",INDEX(Ingredients!$E$1:$E$238,(MATCH(InterventionCosts!B139,Ingredients!A$1:A$238,0))))</f>
        <v>2024</v>
      </c>
      <c r="H139" t="str">
        <f>INDEX(Ingredients!$F$1:$F$318,(MATCH(InterventionCosts!B139,Ingredients!A$1:A$318,0)))</f>
        <v xml:space="preserve">April 2024 Salary scale </v>
      </c>
      <c r="I139">
        <v>5</v>
      </c>
      <c r="J139" t="s">
        <v>1474</v>
      </c>
      <c r="K139" s="85">
        <f t="shared" si="3"/>
        <v>6.2221832959641254</v>
      </c>
      <c r="L139" s="85" t="s">
        <v>259</v>
      </c>
    </row>
    <row r="140" spans="1:12">
      <c r="A140" s="5" t="s">
        <v>1532</v>
      </c>
      <c r="B140" t="s">
        <v>54</v>
      </c>
      <c r="C140" s="5" t="s">
        <v>1539</v>
      </c>
      <c r="D140" s="5" t="s">
        <v>48</v>
      </c>
      <c r="E140" s="70">
        <f>IF(B140="","",INDEX(Ingredients!$I$1:$I$5013,(MATCH(InterventionCosts!B140,Ingredients!$A$1:$A$5013,0))))</f>
        <v>1.2444366591928251</v>
      </c>
      <c r="F140" s="5" t="str">
        <f>INDEX(Ingredients!J$1:J$265,(MATCH(InterventionCosts!B140,Ingredients!A$1:A$265,0)))</f>
        <v>per minute</v>
      </c>
      <c r="G140">
        <f>IF(B140="","",INDEX(Ingredients!$E$1:$E$238,(MATCH(InterventionCosts!B140,Ingredients!A$1:A$238,0))))</f>
        <v>2024</v>
      </c>
      <c r="H140" t="str">
        <f>INDEX(Ingredients!$F$1:$F$318,(MATCH(InterventionCosts!B140,Ingredients!A$1:A$318,0)))</f>
        <v xml:space="preserve">April 2024 Salary scale </v>
      </c>
      <c r="I140">
        <v>10</v>
      </c>
      <c r="J140" t="s">
        <v>1474</v>
      </c>
      <c r="K140" s="85">
        <f t="shared" si="3"/>
        <v>12.444366591928251</v>
      </c>
      <c r="L140" s="85" t="s">
        <v>257</v>
      </c>
    </row>
    <row r="141" spans="1:12">
      <c r="A141" s="5" t="s">
        <v>1532</v>
      </c>
      <c r="B141" t="s">
        <v>246</v>
      </c>
      <c r="C141" s="5" t="s">
        <v>1539</v>
      </c>
      <c r="D141" t="s">
        <v>21</v>
      </c>
      <c r="E141" s="70">
        <f>IF(B141="","",INDEX(Ingredients!$I$1:$I$5013,(MATCH(InterventionCosts!B141,Ingredients!$A$1:$A$5013,0))))</f>
        <v>0.16400000000000001</v>
      </c>
      <c r="F141" s="5" t="str">
        <f>INDEX(Ingredients!J$1:J$265,(MATCH(InterventionCosts!B141,Ingredients!A$1:A$265,0)))</f>
        <v>per page</v>
      </c>
      <c r="G141">
        <f>IF(B141="","",INDEX(Ingredients!$E$1:$E$238,(MATCH(InterventionCosts!B141,Ingredients!A$1:A$238,0))))</f>
        <v>2024</v>
      </c>
      <c r="H141" t="str">
        <f>INDEX(Ingredients!$F$1:$F$318,(MATCH(InterventionCosts!B141,Ingredients!A$1:A$318,0)))</f>
        <v>https://www.makro.co.za/stationery-office-furniture/paper-filing/paper/white-paper/copy-paper/typek-a4-office-paper-80-gsm/p/000000000000012434_BOX</v>
      </c>
      <c r="I141">
        <f>1*1.01</f>
        <v>1.01</v>
      </c>
      <c r="J141" t="s">
        <v>1474</v>
      </c>
      <c r="K141" s="85">
        <f t="shared" si="3"/>
        <v>0.16564000000000001</v>
      </c>
      <c r="L141" s="85" t="s">
        <v>263</v>
      </c>
    </row>
    <row r="142" spans="1:12">
      <c r="A142" s="5" t="s">
        <v>1532</v>
      </c>
      <c r="B142" t="s">
        <v>325</v>
      </c>
      <c r="C142" s="5" t="s">
        <v>1539</v>
      </c>
      <c r="D142" t="s">
        <v>81</v>
      </c>
      <c r="E142" s="70">
        <f>IF(B142="","",INDEX(Ingredients!$I$1:$I$5013,(MATCH(InterventionCosts!B142,Ingredients!$A$1:$A$5013,0))))</f>
        <v>264.22202808665122</v>
      </c>
      <c r="F142" s="5" t="str">
        <f>INDEX(Ingredients!J$1:J$265,(MATCH(InterventionCosts!B142,Ingredients!A$1:A$265,0)))</f>
        <v>monthly cost</v>
      </c>
      <c r="G142">
        <f>IF(B142="","",INDEX(Ingredients!$E$1:$E$238,(MATCH(InterventionCosts!B142,Ingredients!A$1:A$238,0))))</f>
        <v>2016</v>
      </c>
      <c r="H142" t="str">
        <f>INDEX(Ingredients!$F$1:$F$318,(MATCH(InterventionCosts!B142,Ingredients!A$1:A$318,0)))</f>
        <v>https://doi.org/10.1038/s41598-019-49109-w</v>
      </c>
      <c r="I142">
        <f>1/1000</f>
        <v>1E-3</v>
      </c>
      <c r="J142" t="s">
        <v>1474</v>
      </c>
      <c r="K142" s="85">
        <f t="shared" si="3"/>
        <v>0.26422202808665124</v>
      </c>
      <c r="L142" s="85" t="s">
        <v>258</v>
      </c>
    </row>
    <row r="143" spans="1:12">
      <c r="A143" s="5" t="s">
        <v>1532</v>
      </c>
      <c r="B143" t="s">
        <v>326</v>
      </c>
      <c r="C143" s="5" t="s">
        <v>1539</v>
      </c>
      <c r="D143" t="s">
        <v>67</v>
      </c>
      <c r="E143" s="70">
        <f>IF(B143="","",INDEX(Ingredients!$I$1:$I$5013,(MATCH(InterventionCosts!B143,Ingredients!$A$1:$A$5013,0))))</f>
        <v>141.60550151947027</v>
      </c>
      <c r="F143" s="5" t="str">
        <f>INDEX(Ingredients!J$1:J$265,(MATCH(InterventionCosts!B143,Ingredients!A$1:A$265,0)))</f>
        <v>monthly cost</v>
      </c>
      <c r="G143">
        <f>IF(B143="","",INDEX(Ingredients!$E$1:$E$238,(MATCH(InterventionCosts!B143,Ingredients!A$1:A$238,0))))</f>
        <v>2019</v>
      </c>
      <c r="H143" t="str">
        <f>INDEX(Ingredients!$F$1:$F$318,(MATCH(InterventionCosts!B143,Ingredients!A$1:A$318,0)))</f>
        <v>https://doi.org/10.1038/s41598-019-49109-w 2016 updated</v>
      </c>
      <c r="I143">
        <f>1/1000</f>
        <v>1E-3</v>
      </c>
      <c r="J143" t="s">
        <v>1474</v>
      </c>
      <c r="K143" s="85">
        <f t="shared" si="3"/>
        <v>0.14160550151947027</v>
      </c>
      <c r="L143" s="85" t="s">
        <v>258</v>
      </c>
    </row>
    <row r="144" spans="1:12">
      <c r="A144" s="5" t="s">
        <v>1532</v>
      </c>
      <c r="B144" t="s">
        <v>54</v>
      </c>
      <c r="C144" s="5" t="s">
        <v>1539</v>
      </c>
      <c r="D144" t="s">
        <v>21</v>
      </c>
      <c r="E144" s="70">
        <f>IF(B144="","",INDEX(Ingredients!$I$1:$I$5013,(MATCH(InterventionCosts!B144,Ingredients!$A$1:$A$5013,0))))</f>
        <v>1.2444366591928251</v>
      </c>
      <c r="F144" s="5" t="str">
        <f>INDEX(Ingredients!J$1:J$265,(MATCH(InterventionCosts!B144,Ingredients!A$1:A$265,0)))</f>
        <v>per minute</v>
      </c>
      <c r="G144">
        <f>IF(B144="","",INDEX(Ingredients!$E$1:$E$238,(MATCH(InterventionCosts!B144,Ingredients!A$1:A$238,0))))</f>
        <v>2024</v>
      </c>
      <c r="H144" t="str">
        <f>INDEX(Ingredients!$F$1:$F$318,(MATCH(InterventionCosts!B144,Ingredients!A$1:A$318,0)))</f>
        <v xml:space="preserve">April 2024 Salary scale </v>
      </c>
      <c r="I144">
        <v>5</v>
      </c>
      <c r="J144" t="s">
        <v>1474</v>
      </c>
      <c r="K144" s="85">
        <f t="shared" si="3"/>
        <v>6.2221832959641254</v>
      </c>
      <c r="L144" s="85" t="s">
        <v>258</v>
      </c>
    </row>
    <row r="145" spans="1:12">
      <c r="A145" s="5" t="s">
        <v>1532</v>
      </c>
      <c r="B145" t="s">
        <v>247</v>
      </c>
      <c r="C145" s="5" t="s">
        <v>1539</v>
      </c>
      <c r="D145" t="s">
        <v>21</v>
      </c>
      <c r="E145" s="70">
        <f>IF(B145="","",INDEX(Ingredients!$I$1:$I$5013,(MATCH(InterventionCosts!B145,Ingredients!$A$1:$A$5013,0))))</f>
        <v>274.72000000000003</v>
      </c>
      <c r="F145" s="5" t="str">
        <f>INDEX(Ingredients!J$1:J$265,(MATCH(InterventionCosts!B145,Ingredients!A$1:A$265,0)))</f>
        <v>per 5L</v>
      </c>
      <c r="G145">
        <f>IF(B145="","",INDEX(Ingredients!$E$1:$E$238,(MATCH(InterventionCosts!B145,Ingredients!A$1:A$238,0))))</f>
        <v>2024</v>
      </c>
      <c r="H145" t="str">
        <f>INDEX(Ingredients!$F$1:$F$318,(MATCH(InterventionCosts!B145,Ingredients!A$1:A$318,0)))</f>
        <v>https://www.health.gov.za/wp-content/uploads/2024/04/HP12-2023LQ-CPA-Add-4-12-Effective-1-May-2024.pdf</v>
      </c>
      <c r="I145">
        <f>1/5000*1.01</f>
        <v>2.02E-4</v>
      </c>
      <c r="J145" t="s">
        <v>1474</v>
      </c>
      <c r="K145" s="85">
        <f t="shared" si="3"/>
        <v>5.5493440000000005E-2</v>
      </c>
      <c r="L145" s="85" t="s">
        <v>357</v>
      </c>
    </row>
    <row r="146" spans="1:12">
      <c r="A146" s="5" t="s">
        <v>1532</v>
      </c>
      <c r="B146" t="s">
        <v>1489</v>
      </c>
      <c r="C146" s="5" t="s">
        <v>1539</v>
      </c>
      <c r="D146" t="s">
        <v>21</v>
      </c>
      <c r="E146" s="70">
        <f>IF(B146="","",INDEX(Ingredients!$I$1:$I$5013,(MATCH(InterventionCosts!B146,Ingredients!$A$1:$A$5013,0))))</f>
        <v>53.08</v>
      </c>
      <c r="F146" s="5" t="str">
        <f>INDEX(Ingredients!J$1:J$265,(MATCH(InterventionCosts!B146,Ingredients!A$1:A$265,0)))</f>
        <v>per pack 100, 50 pairs</v>
      </c>
      <c r="G146">
        <f>IF(B146="","",INDEX(Ingredients!$E$1:$E$238,(MATCH(InterventionCosts!B146,Ingredients!A$1:A$238,0))))</f>
        <v>2024</v>
      </c>
      <c r="H146" t="str">
        <f>INDEX(Ingredients!$F$1:$F$318,(MATCH(InterventionCosts!B146,Ingredients!A$1:A$318,0)))</f>
        <v>https://www.treasury.gov.za/divisions/ocpo/ostb/contracts/RT76-2023%20CPA%20Amendment%204-%20Effective%2001%20May%202024.pdf</v>
      </c>
      <c r="I146">
        <f>1/50*1.01</f>
        <v>2.0199999999999999E-2</v>
      </c>
      <c r="J146" t="s">
        <v>1474</v>
      </c>
      <c r="K146" s="85">
        <f t="shared" si="3"/>
        <v>1.0722159999999998</v>
      </c>
      <c r="L146" s="85" t="s">
        <v>265</v>
      </c>
    </row>
    <row r="147" spans="1:12">
      <c r="A147" s="5" t="s">
        <v>1532</v>
      </c>
      <c r="B147" t="s">
        <v>79</v>
      </c>
      <c r="C147" s="5" t="s">
        <v>1539</v>
      </c>
      <c r="D147" t="s">
        <v>21</v>
      </c>
      <c r="E147" s="70">
        <f>IF(B147="","",INDEX(Ingredients!$I$1:$I$5013,(MATCH(InterventionCosts!B147,Ingredients!$A$1:$A$5013,0))))</f>
        <v>9.3000000000000007</v>
      </c>
      <c r="F147" s="5" t="str">
        <f>INDEX(Ingredients!J$1:J$265,(MATCH(InterventionCosts!B147,Ingredients!A$1:A$265,0)))</f>
        <v>per test</v>
      </c>
      <c r="G147">
        <f>IF(B147="","",INDEX(Ingredients!$E$1:$E$238,(MATCH(InterventionCosts!B147,Ingredients!A$1:A$238,0))))</f>
        <v>2024</v>
      </c>
      <c r="H147" t="str">
        <f>INDEX(Ingredients!$F$1:$F$318,(MATCH(InterventionCosts!B147,Ingredients!A$1:A$318,0)))</f>
        <v>https://www.treasury.gov.za/divisions/ocpo/ostb/contracts/RT41-2020.zip</v>
      </c>
      <c r="I147">
        <f>1*1.01</f>
        <v>1.01</v>
      </c>
      <c r="J147" t="s">
        <v>1474</v>
      </c>
      <c r="K147" s="85">
        <f t="shared" si="3"/>
        <v>9.3930000000000007</v>
      </c>
      <c r="L147" s="85" t="s">
        <v>258</v>
      </c>
    </row>
    <row r="148" spans="1:12">
      <c r="A148" s="5" t="s">
        <v>1532</v>
      </c>
      <c r="B148" t="s">
        <v>248</v>
      </c>
      <c r="C148" s="5" t="s">
        <v>1539</v>
      </c>
      <c r="D148" t="s">
        <v>21</v>
      </c>
      <c r="E148" s="70">
        <f>IF(B148="","",INDEX(Ingredients!$I$1:$I$5013,(MATCH(InterventionCosts!B148,Ingredients!$A$1:$A$5013,0))))</f>
        <v>2.645</v>
      </c>
      <c r="F148" s="5" t="str">
        <f>INDEX(Ingredients!J$1:J$265,(MATCH(InterventionCosts!B148,Ingredients!A$1:A$265,0)))</f>
        <v>per bag</v>
      </c>
      <c r="G148">
        <f>IF(B148="","",INDEX(Ingredients!$E$1:$E$238,(MATCH(InterventionCosts!B148,Ingredients!A$1:A$238,0))))</f>
        <v>2024</v>
      </c>
      <c r="H148" t="str">
        <f>INDEX(Ingredients!$F$1:$F$318,(MATCH(InterventionCosts!B148,Ingredients!A$1:A$318,0)))</f>
        <v>https://medqsupplies.co.za/product/bio-hazard-plastic-bags/</v>
      </c>
      <c r="I148">
        <f>1*1.01</f>
        <v>1.01</v>
      </c>
      <c r="J148" t="s">
        <v>1474</v>
      </c>
      <c r="K148" s="85">
        <f t="shared" si="3"/>
        <v>2.6714500000000001</v>
      </c>
      <c r="L148" s="85" t="s">
        <v>258</v>
      </c>
    </row>
    <row r="149" spans="1:12">
      <c r="A149" s="5" t="s">
        <v>1532</v>
      </c>
      <c r="B149" t="s">
        <v>31</v>
      </c>
      <c r="C149" s="5" t="s">
        <v>1539</v>
      </c>
      <c r="D149" t="s">
        <v>21</v>
      </c>
      <c r="E149" s="70">
        <f>IF(B149="","",INDEX(Ingredients!$I$1:$I$5013,(MATCH(InterventionCosts!B149,Ingredients!$A$1:$A$5013,0))))</f>
        <v>31.4</v>
      </c>
      <c r="F149" s="5" t="str">
        <f>INDEX(Ingredients!J$1:J$265,(MATCH(InterventionCosts!B149,Ingredients!A$1:A$265,0)))</f>
        <v>per 100 swabs</v>
      </c>
      <c r="G149">
        <f>IF(B149="","",INDEX(Ingredients!$E$1:$E$238,(MATCH(InterventionCosts!B149,Ingredients!A$1:A$238,0))))</f>
        <v>2024</v>
      </c>
      <c r="H149" t="str">
        <f>INDEX(Ingredients!$F$1:$F$318,(MATCH(InterventionCosts!B149,Ingredients!A$1:A$318,0)))</f>
        <v xml:space="preserve">http://www.treasury.gov.za/divisions/ocpo/ostb/contracts/RT42-2022zip </v>
      </c>
      <c r="I149">
        <f>1/100</f>
        <v>0.01</v>
      </c>
      <c r="J149" t="s">
        <v>1474</v>
      </c>
      <c r="K149" s="85">
        <f t="shared" si="3"/>
        <v>0.314</v>
      </c>
      <c r="L149" s="85" t="s">
        <v>258</v>
      </c>
    </row>
    <row r="150" spans="1:12">
      <c r="A150" s="5" t="s">
        <v>1532</v>
      </c>
      <c r="B150" t="s">
        <v>54</v>
      </c>
      <c r="C150" s="5" t="s">
        <v>1539</v>
      </c>
      <c r="D150" s="5" t="s">
        <v>48</v>
      </c>
      <c r="E150" s="70">
        <f>IF(B150="","",INDEX(Ingredients!$I$1:$I$5013,(MATCH(InterventionCosts!B150,Ingredients!$A$1:$A$5013,0))))</f>
        <v>1.2444366591928251</v>
      </c>
      <c r="F150" s="5" t="str">
        <f>INDEX(Ingredients!J$1:J$265,(MATCH(InterventionCosts!B150,Ingredients!A$1:A$265,0)))</f>
        <v>per minute</v>
      </c>
      <c r="G150">
        <f>IF(B150="","",INDEX(Ingredients!$E$1:$E$238,(MATCH(InterventionCosts!B150,Ingredients!A$1:A$238,0))))</f>
        <v>2024</v>
      </c>
      <c r="H150" t="str">
        <f>INDEX(Ingredients!$F$1:$F$318,(MATCH(InterventionCosts!B150,Ingredients!A$1:A$318,0)))</f>
        <v xml:space="preserve">April 2024 Salary scale </v>
      </c>
      <c r="I150">
        <f>5</f>
        <v>5</v>
      </c>
      <c r="J150" t="s">
        <v>1474</v>
      </c>
      <c r="K150" s="85">
        <f t="shared" si="3"/>
        <v>6.2221832959641254</v>
      </c>
      <c r="L150" s="85" t="s">
        <v>316</v>
      </c>
    </row>
    <row r="151" spans="1:12">
      <c r="A151" s="5" t="s">
        <v>1532</v>
      </c>
      <c r="B151" t="s">
        <v>249</v>
      </c>
      <c r="C151" s="5" t="s">
        <v>1539</v>
      </c>
      <c r="D151" t="s">
        <v>21</v>
      </c>
      <c r="E151" s="70">
        <f>IF(B151="","",INDEX(Ingredients!$I$1:$I$5013,(MATCH(InterventionCosts!B151,Ingredients!$A$1:$A$5013,0))))</f>
        <v>7.86</v>
      </c>
      <c r="F151" s="5" t="str">
        <f>INDEX(Ingredients!J$1:J$265,(MATCH(InterventionCosts!B151,Ingredients!A$1:A$265,0)))</f>
        <v>per test kit</v>
      </c>
      <c r="G151">
        <f>IF(B151="","",INDEX(Ingredients!$E$1:$E$238,(MATCH(InterventionCosts!B151,Ingredients!A$1:A$238,0))))</f>
        <v>2024</v>
      </c>
      <c r="H151" t="str">
        <f>INDEX(Ingredients!$F$1:$F$318,(MATCH(InterventionCosts!B151,Ingredients!A$1:A$318,0)))</f>
        <v>https://www.treasury.gov.za/divisions/ocpo/ostb/contracts/RT41-2020.zip</v>
      </c>
      <c r="I151">
        <f>1*1.01</f>
        <v>1.01</v>
      </c>
      <c r="J151" t="s">
        <v>1474</v>
      </c>
      <c r="K151" s="85">
        <f t="shared" si="3"/>
        <v>7.9386000000000001</v>
      </c>
      <c r="L151" s="85" t="s">
        <v>316</v>
      </c>
    </row>
    <row r="152" spans="1:12">
      <c r="A152" s="5" t="s">
        <v>1532</v>
      </c>
      <c r="B152" t="s">
        <v>54</v>
      </c>
      <c r="C152" s="5" t="s">
        <v>1539</v>
      </c>
      <c r="D152" s="5" t="s">
        <v>48</v>
      </c>
      <c r="E152" s="70">
        <f>IF(B152="","",INDEX(Ingredients!$I$1:$I$5013,(MATCH(InterventionCosts!B152,Ingredients!$A$1:$A$5013,0))))</f>
        <v>1.2444366591928251</v>
      </c>
      <c r="F152" s="5" t="str">
        <f>INDEX(Ingredients!J$1:J$265,(MATCH(InterventionCosts!B152,Ingredients!A$1:A$265,0)))</f>
        <v>per minute</v>
      </c>
      <c r="G152">
        <f>IF(B152="","",INDEX(Ingredients!$E$1:$E$238,(MATCH(InterventionCosts!B152,Ingredients!A$1:A$238,0))))</f>
        <v>2024</v>
      </c>
      <c r="H152" t="str">
        <f>INDEX(Ingredients!$F$1:$F$318,(MATCH(InterventionCosts!B152,Ingredients!A$1:A$318,0)))</f>
        <v xml:space="preserve">April 2024 Salary scale </v>
      </c>
      <c r="I152">
        <f>5*0.0057</f>
        <v>2.8500000000000001E-2</v>
      </c>
      <c r="J152" t="s">
        <v>1474</v>
      </c>
      <c r="K152" s="85">
        <f t="shared" si="3"/>
        <v>3.5466444786995517E-2</v>
      </c>
      <c r="L152" s="85" t="s">
        <v>266</v>
      </c>
    </row>
    <row r="153" spans="1:12">
      <c r="A153" s="5" t="s">
        <v>1532</v>
      </c>
      <c r="B153" t="s">
        <v>79</v>
      </c>
      <c r="C153" s="5" t="s">
        <v>1539</v>
      </c>
      <c r="D153" t="s">
        <v>21</v>
      </c>
      <c r="E153" s="70">
        <f>IF(B153="","",INDEX(Ingredients!$I$1:$I$5013,(MATCH(InterventionCosts!B153,Ingredients!$A$1:$A$5013,0))))</f>
        <v>9.3000000000000007</v>
      </c>
      <c r="F153" s="5" t="str">
        <f>INDEX(Ingredients!J$1:J$265,(MATCH(InterventionCosts!B153,Ingredients!A$1:A$265,0)))</f>
        <v>per test</v>
      </c>
      <c r="G153">
        <f>IF(B153="","",INDEX(Ingredients!$E$1:$E$238,(MATCH(InterventionCosts!B153,Ingredients!A$1:A$238,0))))</f>
        <v>2024</v>
      </c>
      <c r="H153" t="str">
        <f>INDEX(Ingredients!$F$1:$F$318,(MATCH(InterventionCosts!B153,Ingredients!A$1:A$318,0)))</f>
        <v>https://www.treasury.gov.za/divisions/ocpo/ostb/contracts/RT41-2020.zip</v>
      </c>
      <c r="I153">
        <f>1*0.0057</f>
        <v>5.7000000000000002E-3</v>
      </c>
      <c r="J153" t="s">
        <v>1474</v>
      </c>
      <c r="K153" s="85">
        <f t="shared" si="3"/>
        <v>5.3010000000000009E-2</v>
      </c>
      <c r="L153" s="85" t="s">
        <v>266</v>
      </c>
    </row>
    <row r="154" spans="1:12">
      <c r="A154" s="5" t="s">
        <v>1532</v>
      </c>
      <c r="B154" t="s">
        <v>54</v>
      </c>
      <c r="C154" s="5" t="s">
        <v>1539</v>
      </c>
      <c r="D154" s="5" t="s">
        <v>48</v>
      </c>
      <c r="E154" s="70">
        <f>IF(B154="","",INDEX(Ingredients!$I$1:$I$5013,(MATCH(InterventionCosts!B154,Ingredients!$A$1:$A$5013,0))))</f>
        <v>1.2444366591928251</v>
      </c>
      <c r="F154" s="5" t="str">
        <f>INDEX(Ingredients!J$1:J$265,(MATCH(InterventionCosts!B154,Ingredients!A$1:A$265,0)))</f>
        <v>per minute</v>
      </c>
      <c r="G154">
        <f>IF(B154="","",INDEX(Ingredients!$E$1:$E$238,(MATCH(InterventionCosts!B154,Ingredients!A$1:A$238,0))))</f>
        <v>2024</v>
      </c>
      <c r="H154" t="str">
        <f>INDEX(Ingredients!$F$1:$F$318,(MATCH(InterventionCosts!B154,Ingredients!A$1:A$318,0)))</f>
        <v xml:space="preserve">April 2024 Salary scale </v>
      </c>
      <c r="I154">
        <f>5*0.0057</f>
        <v>2.8500000000000001E-2</v>
      </c>
      <c r="J154" t="s">
        <v>1474</v>
      </c>
      <c r="K154" s="85">
        <f t="shared" si="3"/>
        <v>3.5466444786995517E-2</v>
      </c>
      <c r="L154" s="85" t="s">
        <v>330</v>
      </c>
    </row>
    <row r="155" spans="1:12">
      <c r="A155" s="5" t="s">
        <v>1532</v>
      </c>
      <c r="B155" t="s">
        <v>249</v>
      </c>
      <c r="C155" s="5" t="s">
        <v>1539</v>
      </c>
      <c r="D155" t="s">
        <v>21</v>
      </c>
      <c r="E155" s="70">
        <f>IF(B155="","",INDEX(Ingredients!$I$1:$I$5013,(MATCH(InterventionCosts!B155,Ingredients!$A$1:$A$5013,0))))</f>
        <v>7.86</v>
      </c>
      <c r="F155" s="5" t="str">
        <f>INDEX(Ingredients!J$1:J$265,(MATCH(InterventionCosts!B155,Ingredients!A$1:A$265,0)))</f>
        <v>per test kit</v>
      </c>
      <c r="G155">
        <f>IF(B155="","",INDEX(Ingredients!$E$1:$E$238,(MATCH(InterventionCosts!B155,Ingredients!A$1:A$238,0))))</f>
        <v>2024</v>
      </c>
      <c r="H155" t="str">
        <f>INDEX(Ingredients!$F$1:$F$318,(MATCH(InterventionCosts!B155,Ingredients!A$1:A$318,0)))</f>
        <v>https://www.treasury.gov.za/divisions/ocpo/ostb/contracts/RT41-2020.zip</v>
      </c>
      <c r="I155">
        <f>1*0.0057</f>
        <v>5.7000000000000002E-3</v>
      </c>
      <c r="J155" t="s">
        <v>1474</v>
      </c>
      <c r="K155" s="85">
        <f t="shared" si="3"/>
        <v>4.4802000000000002E-2</v>
      </c>
      <c r="L155" s="85" t="s">
        <v>330</v>
      </c>
    </row>
    <row r="156" spans="1:12">
      <c r="A156" s="5" t="s">
        <v>1532</v>
      </c>
      <c r="B156" t="s">
        <v>54</v>
      </c>
      <c r="C156" s="5" t="s">
        <v>1539</v>
      </c>
      <c r="D156" s="5" t="s">
        <v>48</v>
      </c>
      <c r="E156" s="70">
        <f>IF(B156="","",INDEX(Ingredients!$I$1:$I$5013,(MATCH(InterventionCosts!B156,Ingredients!$A$1:$A$5013,0))))</f>
        <v>1.2444366591928251</v>
      </c>
      <c r="F156" s="5" t="str">
        <f>INDEX(Ingredients!J$1:J$265,(MATCH(InterventionCosts!B156,Ingredients!A$1:A$265,0)))</f>
        <v>per minute</v>
      </c>
      <c r="G156">
        <f>IF(B156="","",INDEX(Ingredients!$E$1:$E$238,(MATCH(InterventionCosts!B156,Ingredients!A$1:A$238,0))))</f>
        <v>2024</v>
      </c>
      <c r="H156" t="str">
        <f>INDEX(Ingredients!$F$1:$F$318,(MATCH(InterventionCosts!B156,Ingredients!A$1:A$318,0)))</f>
        <v xml:space="preserve">April 2024 Salary scale </v>
      </c>
      <c r="I156">
        <f>3*0.0002</f>
        <v>6.0000000000000006E-4</v>
      </c>
      <c r="J156" t="s">
        <v>1474</v>
      </c>
      <c r="K156" s="85">
        <f t="shared" si="3"/>
        <v>7.4666199551569508E-4</v>
      </c>
      <c r="L156" s="85" t="s">
        <v>267</v>
      </c>
    </row>
    <row r="157" spans="1:12">
      <c r="A157" s="5" t="s">
        <v>1532</v>
      </c>
      <c r="B157" t="s">
        <v>250</v>
      </c>
      <c r="C157" s="5" t="s">
        <v>1539</v>
      </c>
      <c r="D157" t="s">
        <v>75</v>
      </c>
      <c r="E157" s="70">
        <f>IF(B157="","",INDEX(Ingredients!$I$1:$I$5013,(MATCH(InterventionCosts!B157,Ingredients!$A$1:$A$5013,0))))</f>
        <v>71.889951748999991</v>
      </c>
      <c r="F157" s="5" t="str">
        <f>INDEX(Ingredients!J$1:J$265,(MATCH(InterventionCosts!B157,Ingredients!A$1:A$265,0)))</f>
        <v>per test</v>
      </c>
      <c r="G157">
        <f>IF(B157="","",INDEX(Ingredients!$E$1:$E$238,(MATCH(InterventionCosts!B157,Ingredients!A$1:A$238,0))))</f>
        <v>2021</v>
      </c>
      <c r="H157" t="str">
        <f>INDEX(Ingredients!$F$1:$F$318,(MATCH(InterventionCosts!B157,Ingredients!A$1:A$318,0)))</f>
        <v>NHLS 2021 price-list</v>
      </c>
      <c r="I157" s="101">
        <f>1*0.0002</f>
        <v>2.0000000000000001E-4</v>
      </c>
      <c r="J157" t="s">
        <v>1474</v>
      </c>
      <c r="K157" s="85">
        <f t="shared" si="3"/>
        <v>1.4377990349799998E-2</v>
      </c>
      <c r="L157" s="85" t="s">
        <v>267</v>
      </c>
    </row>
    <row r="158" spans="1:12">
      <c r="A158" s="5" t="s">
        <v>1532</v>
      </c>
      <c r="B158" t="s">
        <v>54</v>
      </c>
      <c r="C158" s="5" t="s">
        <v>1539</v>
      </c>
      <c r="D158" s="5" t="s">
        <v>48</v>
      </c>
      <c r="E158" s="70">
        <f>IF(B158="","",INDEX(Ingredients!$I$1:$I$5013,(MATCH(InterventionCosts!B158,Ingredients!$A$1:$A$5013,0))))</f>
        <v>1.2444366591928251</v>
      </c>
      <c r="F158" s="5" t="str">
        <f>INDEX(Ingredients!J$1:J$265,(MATCH(InterventionCosts!B158,Ingredients!A$1:A$265,0)))</f>
        <v>per minute</v>
      </c>
      <c r="G158">
        <f>IF(B158="","",INDEX(Ingredients!$E$1:$E$238,(MATCH(InterventionCosts!B158,Ingredients!A$1:A$238,0))))</f>
        <v>2024</v>
      </c>
      <c r="H158" t="str">
        <f>INDEX(Ingredients!$F$1:$F$318,(MATCH(InterventionCosts!B158,Ingredients!A$1:A$318,0)))</f>
        <v xml:space="preserve">April 2024 Salary scale </v>
      </c>
      <c r="I158">
        <f>20</f>
        <v>20</v>
      </c>
      <c r="J158" t="s">
        <v>1474</v>
      </c>
      <c r="K158" s="85">
        <f t="shared" si="3"/>
        <v>24.888733183856502</v>
      </c>
      <c r="L158" s="85" t="s">
        <v>268</v>
      </c>
    </row>
    <row r="159" spans="1:12">
      <c r="A159" s="5" t="s">
        <v>1532</v>
      </c>
      <c r="B159" t="s">
        <v>251</v>
      </c>
      <c r="C159" s="5" t="s">
        <v>1539</v>
      </c>
      <c r="D159" t="s">
        <v>21</v>
      </c>
      <c r="E159" s="70">
        <f>IF(B159="","",INDEX(Ingredients!$I$1:$I$5013,(MATCH(InterventionCosts!B159,Ingredients!$A$1:$A$5013,0))))</f>
        <v>1.0227713593614072</v>
      </c>
      <c r="F159" s="5" t="str">
        <f>INDEX(Ingredients!J$1:J$265,(MATCH(InterventionCosts!B159,Ingredients!A$1:A$265,0)))</f>
        <v>per 1</v>
      </c>
      <c r="G159">
        <f>IF(B159="","",INDEX(Ingredients!$E$1:$E$238,(MATCH(InterventionCosts!B159,Ingredients!A$1:A$238,0))))</f>
        <v>2016</v>
      </c>
      <c r="H159" t="str">
        <f>INDEX(Ingredients!$F$1:$F$318,(MATCH(InterventionCosts!B159,Ingredients!A$1:A$318,0)))</f>
        <v>https://doi.org/10.1038/s41598-019-49109-w</v>
      </c>
      <c r="I159">
        <f>1</f>
        <v>1</v>
      </c>
      <c r="J159" t="s">
        <v>1474</v>
      </c>
      <c r="K159" s="85">
        <f t="shared" si="3"/>
        <v>1.0227713593614072</v>
      </c>
      <c r="L159" s="85" t="s">
        <v>268</v>
      </c>
    </row>
    <row r="160" spans="1:12">
      <c r="A160" s="5" t="s">
        <v>1532</v>
      </c>
      <c r="B160" t="s">
        <v>43</v>
      </c>
      <c r="C160" s="5" t="s">
        <v>1539</v>
      </c>
      <c r="D160" t="s">
        <v>21</v>
      </c>
      <c r="E160" s="70">
        <f>IF(B160="","",INDEX(Ingredients!$I$1:$I$5013,(MATCH(InterventionCosts!B160,Ingredients!$A$1:$A$5013,0))))</f>
        <v>0.61939459752201187</v>
      </c>
      <c r="F160" s="5" t="str">
        <f>INDEX(Ingredients!J$1:J$265,(MATCH(InterventionCosts!B160,Ingredients!A$1:A$265,0)))</f>
        <v>per condom</v>
      </c>
      <c r="G160">
        <f>IF(B160="","",INDEX(Ingredients!$E$1:$E$238,(MATCH(InterventionCosts!B160,Ingredients!A$1:A$238,0))))</f>
        <v>2024</v>
      </c>
      <c r="H160" t="str">
        <f>INDEX(Ingredients!$F$1:$F$318,(MATCH(InterventionCosts!B160,Ingredients!A$1:A$318,0)))</f>
        <v>https://www.treasury.gov.za/divisions/ocpo/ostb/contracts/RT75-2021.zip</v>
      </c>
      <c r="I160">
        <f>10</f>
        <v>10</v>
      </c>
      <c r="J160" t="s">
        <v>1474</v>
      </c>
      <c r="K160" s="85">
        <f t="shared" si="3"/>
        <v>6.1939459752201191</v>
      </c>
      <c r="L160" s="85" t="s">
        <v>268</v>
      </c>
    </row>
    <row r="161" spans="1:12" s="89" customFormat="1">
      <c r="A161" s="99" t="s">
        <v>1532</v>
      </c>
      <c r="E161" s="100"/>
      <c r="F161" s="89" t="s">
        <v>1164</v>
      </c>
      <c r="G161" s="89" t="str">
        <f>IF(B161="","",INDEX(Ingredients!$E$1:$E$238,(MATCH(InterventionCosts!B161,Ingredients!A$1:A$238,0))))</f>
        <v/>
      </c>
      <c r="K161" s="90"/>
      <c r="L161" s="90">
        <f>SUM(K130:K160)</f>
        <v>105.44739130273362</v>
      </c>
    </row>
    <row r="162" spans="1:12" s="89" customFormat="1">
      <c r="A162" s="99" t="s">
        <v>1532</v>
      </c>
      <c r="F162" s="89" t="s">
        <v>117</v>
      </c>
      <c r="G162" s="89" t="str">
        <f>IF(B162="","",INDEX(Ingredients!$E$1:$E$238,(MATCH(InterventionCosts!B162,Ingredients!A$1:A$238,0))))</f>
        <v/>
      </c>
      <c r="K162" s="90"/>
      <c r="L162" s="90" t="s">
        <v>936</v>
      </c>
    </row>
    <row r="163" spans="1:12">
      <c r="G163" t="str">
        <f>IF(B163="","",INDEX(Ingredients!$E$1:$E$238,(MATCH(InterventionCosts!B163,Ingredients!A$1:A$238,0))))</f>
        <v/>
      </c>
    </row>
    <row r="164" spans="1:12">
      <c r="A164" t="s">
        <v>278</v>
      </c>
      <c r="B164" t="s">
        <v>320</v>
      </c>
      <c r="C164" s="5" t="s">
        <v>1539</v>
      </c>
      <c r="D164" t="s">
        <v>81</v>
      </c>
      <c r="E164" s="70">
        <f>IF(B164="","",INDEX(Ingredients!$I$1:$I$5013,(MATCH(InterventionCosts!B164,Ingredients!$A$1:$A$5013,0))))</f>
        <v>2698.1345728637612</v>
      </c>
      <c r="F164" s="5" t="str">
        <f>INDEX(Ingredients!J$1:J$265,(MATCH(InterventionCosts!B164,Ingredients!A$1:A$265,0)))</f>
        <v>monthly cost</v>
      </c>
      <c r="G164" s="5">
        <f>IF(B164="","",INDEX(Ingredients!$E$1:$E$238,(MATCH(InterventionCosts!B164,Ingredients!A$1:A$238,0))))</f>
        <v>2016</v>
      </c>
      <c r="H164" t="str">
        <f>INDEX(Ingredients!$F$1:$F$318,(MATCH(InterventionCosts!B164,Ingredients!A$1:A$318,0)))</f>
        <v>https://doi.org/10.1038/s41598-019-49109-w</v>
      </c>
      <c r="I164">
        <f>1/1000</f>
        <v>1E-3</v>
      </c>
      <c r="J164" t="s">
        <v>1474</v>
      </c>
      <c r="K164" s="85">
        <f t="shared" ref="K164:K187" si="4">I164*E164</f>
        <v>2.6981345728637613</v>
      </c>
      <c r="L164" s="12" t="s">
        <v>260</v>
      </c>
    </row>
    <row r="165" spans="1:12">
      <c r="A165" t="s">
        <v>278</v>
      </c>
      <c r="B165" t="s">
        <v>322</v>
      </c>
      <c r="C165" s="5" t="s">
        <v>1539</v>
      </c>
      <c r="D165" t="s">
        <v>67</v>
      </c>
      <c r="E165" s="70">
        <f>IF(B165="","",INDEX(Ingredients!$I$1:$I$5013,(MATCH(InterventionCosts!B165,Ingredients!$A$1:$A$5013,0))))</f>
        <v>1016.3208420138025</v>
      </c>
      <c r="F165" s="5" t="str">
        <f>INDEX(Ingredients!J$1:J$265,(MATCH(InterventionCosts!B165,Ingredients!A$1:A$265,0)))</f>
        <v>monthly cost</v>
      </c>
      <c r="G165" s="5">
        <f>IF(B165="","",INDEX(Ingredients!$E$1:$E$238,(MATCH(InterventionCosts!B165,Ingredients!A$1:A$238,0))))</f>
        <v>2016</v>
      </c>
      <c r="H165" t="str">
        <f>INDEX(Ingredients!$F$1:$F$318,(MATCH(InterventionCosts!B165,Ingredients!A$1:A$318,0)))</f>
        <v>https://doi.org/10.1038/s41598-019-49109-w</v>
      </c>
      <c r="I165">
        <f>1/1000</f>
        <v>1E-3</v>
      </c>
      <c r="J165" t="s">
        <v>1474</v>
      </c>
      <c r="K165" s="85">
        <f t="shared" si="4"/>
        <v>1.0163208420138026</v>
      </c>
      <c r="L165" s="12" t="s">
        <v>260</v>
      </c>
    </row>
    <row r="166" spans="1:12">
      <c r="A166" t="s">
        <v>278</v>
      </c>
      <c r="B166" s="5" t="s">
        <v>243</v>
      </c>
      <c r="C166" s="5" t="s">
        <v>1539</v>
      </c>
      <c r="D166" s="5" t="s">
        <v>48</v>
      </c>
      <c r="E166" s="70">
        <f>IF(B166="","",INDEX(Ingredients!$I$1:$I$5013,(MATCH(InterventionCosts!B166,Ingredients!$A$1:$A$5013,0))))</f>
        <v>1.3151532137518684</v>
      </c>
      <c r="F166" s="5" t="str">
        <f>INDEX(Ingredients!J$1:J$265,(MATCH(InterventionCosts!B166,Ingredients!A$1:A$265,0)))</f>
        <v>per minute</v>
      </c>
      <c r="G166" s="5">
        <f>IF(B166="","",INDEX(Ingredients!$E$1:$E$238,(MATCH(InterventionCosts!B166,Ingredients!A$1:A$238,0))))</f>
        <v>2024</v>
      </c>
      <c r="H166" t="str">
        <f>INDEX(Ingredients!$F$1:$F$318,(MATCH(InterventionCosts!B166,Ingredients!A$1:A$318,0)))</f>
        <v>https://www.psira.co.za/dmdocuments/Illustrative%20Costing%20Guideline%202024-2025%20AREA%201%20and%202.pdf</v>
      </c>
      <c r="I166" s="5">
        <v>0.5</v>
      </c>
      <c r="J166" t="s">
        <v>1474</v>
      </c>
      <c r="K166" s="85">
        <f t="shared" si="4"/>
        <v>0.65757660687593422</v>
      </c>
      <c r="L166" s="12" t="s">
        <v>260</v>
      </c>
    </row>
    <row r="167" spans="1:12">
      <c r="A167" t="s">
        <v>278</v>
      </c>
      <c r="B167" t="s">
        <v>52</v>
      </c>
      <c r="C167" s="5" t="s">
        <v>1539</v>
      </c>
      <c r="D167" s="5" t="s">
        <v>48</v>
      </c>
      <c r="E167" s="70">
        <f>IF(B167="","",INDEX(Ingredients!$I$1:$I$5013,(MATCH(InterventionCosts!B167,Ingredients!$A$1:$A$5013,0))))</f>
        <v>1.8019482436472347</v>
      </c>
      <c r="F167" s="5" t="str">
        <f>INDEX(Ingredients!J$1:J$265,(MATCH(InterventionCosts!B167,Ingredients!A$1:A$265,0)))</f>
        <v>per minute</v>
      </c>
      <c r="G167">
        <f>IF(B167="","",INDEX(Ingredients!$E$1:$E$238,(MATCH(InterventionCosts!B167,Ingredients!A$1:A$238,0))))</f>
        <v>2024</v>
      </c>
      <c r="H167" t="str">
        <f>INDEX(Ingredients!$F$1:$F$318,(MATCH(InterventionCosts!B167,Ingredients!A$1:A$318,0)))</f>
        <v xml:space="preserve">April 2024 Salary scale </v>
      </c>
      <c r="I167">
        <v>2</v>
      </c>
      <c r="J167" t="s">
        <v>1474</v>
      </c>
      <c r="K167" s="85">
        <f t="shared" si="4"/>
        <v>3.6038964872944694</v>
      </c>
      <c r="L167" s="12" t="s">
        <v>260</v>
      </c>
    </row>
    <row r="168" spans="1:12">
      <c r="A168" t="s">
        <v>278</v>
      </c>
      <c r="B168" t="s">
        <v>323</v>
      </c>
      <c r="C168" s="5" t="s">
        <v>1539</v>
      </c>
      <c r="D168" t="s">
        <v>81</v>
      </c>
      <c r="E168" s="70">
        <f>IF(B168="","",INDEX(Ingredients!$I$1:$I$5013,(MATCH(InterventionCosts!B168,Ingredients!$A$1:$A$5013,0))))</f>
        <v>1321.110140433256</v>
      </c>
      <c r="F168" s="5" t="str">
        <f>INDEX(Ingredients!J$1:J$265,(MATCH(InterventionCosts!B168,Ingredients!A$1:A$265,0)))</f>
        <v>monthly cost</v>
      </c>
      <c r="G168" s="5">
        <f>IF(B168="","",INDEX(Ingredients!$E$1:$E$238,(MATCH(InterventionCosts!B168,Ingredients!A$1:A$238,0))))</f>
        <v>2016</v>
      </c>
      <c r="H168" t="str">
        <f>INDEX(Ingredients!$F$1:$F$318,(MATCH(InterventionCosts!B168,Ingredients!A$1:A$318,0)))</f>
        <v>https://doi.org/10.1038/s41598-019-49109-w</v>
      </c>
      <c r="I168">
        <f>1/1000</f>
        <v>1E-3</v>
      </c>
      <c r="J168" t="s">
        <v>1474</v>
      </c>
      <c r="K168" s="85">
        <f t="shared" si="4"/>
        <v>1.3211101404332559</v>
      </c>
      <c r="L168" s="12" t="s">
        <v>277</v>
      </c>
    </row>
    <row r="169" spans="1:12">
      <c r="A169" t="s">
        <v>278</v>
      </c>
      <c r="B169" t="s">
        <v>324</v>
      </c>
      <c r="C169" s="5" t="s">
        <v>1539</v>
      </c>
      <c r="D169" t="s">
        <v>67</v>
      </c>
      <c r="E169" s="70">
        <f>IF(B169="","",INDEX(Ingredients!$I$1:$I$5013,(MATCH(InterventionCosts!B169,Ingredients!$A$1:$A$5013,0))))</f>
        <v>284.21265617383841</v>
      </c>
      <c r="F169" s="5" t="str">
        <f>INDEX(Ingredients!J$1:J$265,(MATCH(InterventionCosts!B169,Ingredients!A$1:A$265,0)))</f>
        <v>monthly cost</v>
      </c>
      <c r="G169" s="5">
        <f>IF(B169="","",INDEX(Ingredients!$E$1:$E$238,(MATCH(InterventionCosts!B169,Ingredients!A$1:A$238,0))))</f>
        <v>2019</v>
      </c>
      <c r="H169" t="str">
        <f>INDEX(Ingredients!$F$1:$F$318,(MATCH(InterventionCosts!B169,Ingredients!A$1:A$318,0)))</f>
        <v>https://doi.org/10.1038/s41598-019-49109-w 2016 updated</v>
      </c>
      <c r="I169">
        <f>1/1000</f>
        <v>1E-3</v>
      </c>
      <c r="J169" t="s">
        <v>1474</v>
      </c>
      <c r="K169" s="85">
        <f t="shared" si="4"/>
        <v>0.2842126561738384</v>
      </c>
      <c r="L169" s="12" t="s">
        <v>277</v>
      </c>
    </row>
    <row r="170" spans="1:12">
      <c r="A170" t="s">
        <v>278</v>
      </c>
      <c r="B170" t="s">
        <v>245</v>
      </c>
      <c r="C170" s="5" t="s">
        <v>1539</v>
      </c>
      <c r="D170" t="s">
        <v>21</v>
      </c>
      <c r="E170" s="70">
        <f>IF(B170="","",INDEX(Ingredients!$I$1:$I$5013,(MATCH(InterventionCosts!B170,Ingredients!$A$1:$A$5013,0))))</f>
        <v>129</v>
      </c>
      <c r="F170" s="5" t="str">
        <f>INDEX(Ingredients!J$1:J$265,(MATCH(InterventionCosts!B170,Ingredients!A$1:A$265,0)))</f>
        <v>per 20 files</v>
      </c>
      <c r="G170">
        <f>IF(B170="","",INDEX(Ingredients!$E$1:$E$238,(MATCH(InterventionCosts!B170,Ingredients!A$1:A$238,0))))</f>
        <v>2024</v>
      </c>
      <c r="H170" t="str">
        <f>INDEX(Ingredients!$F$1:$F$318,(MATCH(InterventionCosts!B170,Ingredients!A$1:A$318,0)))</f>
        <v>https://www.makro.co.za/stationery-office-furniture/paper-filing/filing-folders/file-storage/tidy-files-medium-weight-files-/p/000000000000125629_PK</v>
      </c>
      <c r="I170">
        <f>1/20*1.01</f>
        <v>5.0500000000000003E-2</v>
      </c>
      <c r="J170" t="s">
        <v>1474</v>
      </c>
      <c r="K170" s="85">
        <f t="shared" si="4"/>
        <v>6.5145000000000008</v>
      </c>
      <c r="L170" s="12" t="s">
        <v>262</v>
      </c>
    </row>
    <row r="171" spans="1:12">
      <c r="A171" t="s">
        <v>278</v>
      </c>
      <c r="B171" t="s">
        <v>246</v>
      </c>
      <c r="C171" s="5" t="s">
        <v>1539</v>
      </c>
      <c r="D171" t="s">
        <v>21</v>
      </c>
      <c r="E171" s="70">
        <f>IF(B171="","",INDEX(Ingredients!$I$1:$I$5013,(MATCH(InterventionCosts!B171,Ingredients!$A$1:$A$5013,0))))</f>
        <v>0.16400000000000001</v>
      </c>
      <c r="F171" s="5" t="str">
        <f>INDEX(Ingredients!J$1:J$265,(MATCH(InterventionCosts!B171,Ingredients!A$1:A$265,0)))</f>
        <v>per page</v>
      </c>
      <c r="G171">
        <f>IF(B171="","",INDEX(Ingredients!$E$1:$E$238,(MATCH(InterventionCosts!B171,Ingredients!A$1:A$238,0))))</f>
        <v>2024</v>
      </c>
      <c r="H171" t="str">
        <f>INDEX(Ingredients!$F$1:$F$318,(MATCH(InterventionCosts!B171,Ingredients!A$1:A$318,0)))</f>
        <v>https://www.makro.co.za/stationery-office-furniture/paper-filing/paper/white-paper/copy-paper/typek-a4-office-paper-80-gsm/p/000000000000012434_BOX</v>
      </c>
      <c r="I171">
        <f>1*2*1.01</f>
        <v>2.02</v>
      </c>
      <c r="J171" t="s">
        <v>1474</v>
      </c>
      <c r="K171" s="85">
        <f t="shared" si="4"/>
        <v>0.33128000000000002</v>
      </c>
      <c r="L171" s="12" t="s">
        <v>261</v>
      </c>
    </row>
    <row r="172" spans="1:12">
      <c r="A172" t="s">
        <v>278</v>
      </c>
      <c r="B172" t="s">
        <v>52</v>
      </c>
      <c r="C172" s="5" t="s">
        <v>1539</v>
      </c>
      <c r="D172" s="5" t="s">
        <v>48</v>
      </c>
      <c r="E172" s="70">
        <f>IF(B172="","",INDEX(Ingredients!$I$1:$I$5013,(MATCH(InterventionCosts!B172,Ingredients!$A$1:$A$5013,0))))</f>
        <v>1.8019482436472347</v>
      </c>
      <c r="F172" s="5" t="str">
        <f>INDEX(Ingredients!J$1:J$265,(MATCH(InterventionCosts!B172,Ingredients!A$1:A$265,0)))</f>
        <v>per minute</v>
      </c>
      <c r="G172">
        <f>IF(B172="","",INDEX(Ingredients!$E$1:$E$238,(MATCH(InterventionCosts!B172,Ingredients!A$1:A$238,0))))</f>
        <v>2024</v>
      </c>
      <c r="H172" t="str">
        <f>INDEX(Ingredients!$F$1:$F$318,(MATCH(InterventionCosts!B172,Ingredients!A$1:A$318,0)))</f>
        <v xml:space="preserve">April 2024 Salary scale </v>
      </c>
      <c r="I172">
        <v>2</v>
      </c>
      <c r="J172" t="s">
        <v>1474</v>
      </c>
      <c r="K172" s="85">
        <f t="shared" si="4"/>
        <v>3.6038964872944694</v>
      </c>
      <c r="L172" s="12" t="s">
        <v>277</v>
      </c>
    </row>
    <row r="173" spans="1:12">
      <c r="A173" t="s">
        <v>278</v>
      </c>
      <c r="B173" t="s">
        <v>54</v>
      </c>
      <c r="C173" s="5" t="s">
        <v>1539</v>
      </c>
      <c r="D173" s="5" t="s">
        <v>48</v>
      </c>
      <c r="E173" s="70">
        <f>IF(B173="","",INDEX(Ingredients!$I$1:$I$5013,(MATCH(InterventionCosts!B173,Ingredients!$A$1:$A$5013,0))))</f>
        <v>1.2444366591928251</v>
      </c>
      <c r="F173" s="5" t="str">
        <f>INDEX(Ingredients!J$1:J$265,(MATCH(InterventionCosts!B173,Ingredients!A$1:A$265,0)))</f>
        <v>per minute</v>
      </c>
      <c r="G173">
        <f>IF(B173="","",INDEX(Ingredients!$E$1:$E$238,(MATCH(InterventionCosts!B173,Ingredients!A$1:A$238,0))))</f>
        <v>2024</v>
      </c>
      <c r="H173" t="str">
        <f>INDEX(Ingredients!$F$1:$F$318,(MATCH(InterventionCosts!B173,Ingredients!A$1:A$318,0)))</f>
        <v xml:space="preserve">April 2024 Salary scale </v>
      </c>
      <c r="I173">
        <v>5</v>
      </c>
      <c r="J173" t="s">
        <v>1474</v>
      </c>
      <c r="K173" s="85">
        <f t="shared" si="4"/>
        <v>6.2221832959641254</v>
      </c>
      <c r="L173" s="85" t="s">
        <v>259</v>
      </c>
    </row>
    <row r="174" spans="1:12">
      <c r="A174" t="s">
        <v>278</v>
      </c>
      <c r="B174" t="s">
        <v>54</v>
      </c>
      <c r="C174" s="5" t="s">
        <v>1539</v>
      </c>
      <c r="D174" t="s">
        <v>21</v>
      </c>
      <c r="E174" s="70">
        <f>IF(B174="","",INDEX(Ingredients!$I$1:$I$5013,(MATCH(InterventionCosts!B174,Ingredients!$A$1:$A$5013,0))))</f>
        <v>1.2444366591928251</v>
      </c>
      <c r="F174" s="5" t="str">
        <f>INDEX(Ingredients!J$1:J$265,(MATCH(InterventionCosts!B174,Ingredients!A$1:A$265,0)))</f>
        <v>per minute</v>
      </c>
      <c r="G174">
        <f>IF(B174="","",INDEX(Ingredients!$E$1:$E$238,(MATCH(InterventionCosts!B174,Ingredients!A$1:A$238,0))))</f>
        <v>2024</v>
      </c>
      <c r="H174" t="str">
        <f>INDEX(Ingredients!$F$1:$F$318,(MATCH(InterventionCosts!B174,Ingredients!A$1:A$318,0)))</f>
        <v xml:space="preserve">April 2024 Salary scale </v>
      </c>
      <c r="I174">
        <v>2</v>
      </c>
      <c r="J174" t="s">
        <v>1474</v>
      </c>
      <c r="K174" s="85">
        <f t="shared" si="4"/>
        <v>2.4888733183856502</v>
      </c>
      <c r="L174" s="85" t="s">
        <v>257</v>
      </c>
    </row>
    <row r="175" spans="1:12">
      <c r="A175" t="s">
        <v>278</v>
      </c>
      <c r="B175" t="s">
        <v>246</v>
      </c>
      <c r="C175" s="5" t="s">
        <v>1539</v>
      </c>
      <c r="D175" t="s">
        <v>21</v>
      </c>
      <c r="E175" s="70">
        <f>IF(B175="","",INDEX(Ingredients!$I$1:$I$5013,(MATCH(InterventionCosts!B175,Ingredients!$A$1:$A$5013,0))))</f>
        <v>0.16400000000000001</v>
      </c>
      <c r="F175" s="5" t="str">
        <f>INDEX(Ingredients!J$1:J$265,(MATCH(InterventionCosts!B175,Ingredients!A$1:A$265,0)))</f>
        <v>per page</v>
      </c>
      <c r="G175">
        <f>IF(B175="","",INDEX(Ingredients!$E$1:$E$238,(MATCH(InterventionCosts!B175,Ingredients!A$1:A$238,0))))</f>
        <v>2024</v>
      </c>
      <c r="H175" t="str">
        <f>INDEX(Ingredients!$F$1:$F$318,(MATCH(InterventionCosts!B175,Ingredients!A$1:A$318,0)))</f>
        <v>https://www.makro.co.za/stationery-office-furniture/paper-filing/paper/white-paper/copy-paper/typek-a4-office-paper-80-gsm/p/000000000000012434_BOX</v>
      </c>
      <c r="I175">
        <f>1*1.01</f>
        <v>1.01</v>
      </c>
      <c r="J175" t="s">
        <v>1474</v>
      </c>
      <c r="K175" s="85">
        <f t="shared" si="4"/>
        <v>0.16564000000000001</v>
      </c>
      <c r="L175" s="85" t="s">
        <v>263</v>
      </c>
    </row>
    <row r="176" spans="1:12">
      <c r="A176" t="s">
        <v>278</v>
      </c>
      <c r="B176" t="s">
        <v>325</v>
      </c>
      <c r="C176" s="5" t="s">
        <v>1539</v>
      </c>
      <c r="D176" t="s">
        <v>81</v>
      </c>
      <c r="E176" s="70">
        <f>IF(B176="","",INDEX(Ingredients!$I$1:$I$5013,(MATCH(InterventionCosts!B176,Ingredients!$A$1:$A$5013,0))))</f>
        <v>264.22202808665122</v>
      </c>
      <c r="F176" s="5" t="str">
        <f>INDEX(Ingredients!J$1:J$265,(MATCH(InterventionCosts!B176,Ingredients!A$1:A$265,0)))</f>
        <v>monthly cost</v>
      </c>
      <c r="G176">
        <f>IF(B176="","",INDEX(Ingredients!$E$1:$E$238,(MATCH(InterventionCosts!B176,Ingredients!A$1:A$238,0))))</f>
        <v>2016</v>
      </c>
      <c r="H176" t="str">
        <f>INDEX(Ingredients!$F$1:$F$318,(MATCH(InterventionCosts!B176,Ingredients!A$1:A$318,0)))</f>
        <v>https://doi.org/10.1038/s41598-019-49109-w</v>
      </c>
      <c r="I176">
        <f>1/1000</f>
        <v>1E-3</v>
      </c>
      <c r="J176" t="s">
        <v>1474</v>
      </c>
      <c r="K176" s="85">
        <f t="shared" si="4"/>
        <v>0.26422202808665124</v>
      </c>
      <c r="L176" s="85" t="s">
        <v>263</v>
      </c>
    </row>
    <row r="177" spans="1:12">
      <c r="A177" t="s">
        <v>278</v>
      </c>
      <c r="B177" t="s">
        <v>325</v>
      </c>
      <c r="C177" s="5" t="s">
        <v>1539</v>
      </c>
      <c r="D177" t="s">
        <v>81</v>
      </c>
      <c r="E177" s="70">
        <f>IF(B177="","",INDEX(Ingredients!$I$1:$I$5013,(MATCH(InterventionCosts!B177,Ingredients!$A$1:$A$5013,0))))</f>
        <v>264.22202808665122</v>
      </c>
      <c r="F177" s="5" t="str">
        <f>INDEX(Ingredients!J$1:J$265,(MATCH(InterventionCosts!B177,Ingredients!A$1:A$265,0)))</f>
        <v>monthly cost</v>
      </c>
      <c r="G177">
        <f>IF(B177="","",INDEX(Ingredients!$E$1:$E$238,(MATCH(InterventionCosts!B177,Ingredients!A$1:A$238,0))))</f>
        <v>2016</v>
      </c>
      <c r="H177" t="str">
        <f>INDEX(Ingredients!$F$1:$F$318,(MATCH(InterventionCosts!B177,Ingredients!A$1:A$318,0)))</f>
        <v>https://doi.org/10.1038/s41598-019-49109-w</v>
      </c>
      <c r="I177">
        <f>1/1000</f>
        <v>1E-3</v>
      </c>
      <c r="J177" t="s">
        <v>1474</v>
      </c>
      <c r="K177" s="85">
        <f t="shared" si="4"/>
        <v>0.26422202808665124</v>
      </c>
      <c r="L177" s="85" t="s">
        <v>258</v>
      </c>
    </row>
    <row r="178" spans="1:12">
      <c r="A178" t="s">
        <v>278</v>
      </c>
      <c r="B178" t="s">
        <v>326</v>
      </c>
      <c r="C178" s="5" t="s">
        <v>1539</v>
      </c>
      <c r="D178" t="s">
        <v>67</v>
      </c>
      <c r="E178" s="70">
        <f>IF(B178="","",INDEX(Ingredients!$I$1:$I$5013,(MATCH(InterventionCosts!B178,Ingredients!$A$1:$A$5013,0))))</f>
        <v>141.60550151947027</v>
      </c>
      <c r="F178" s="5" t="str">
        <f>INDEX(Ingredients!J$1:J$265,(MATCH(InterventionCosts!B178,Ingredients!A$1:A$265,0)))</f>
        <v>monthly cost</v>
      </c>
      <c r="G178">
        <f>IF(B178="","",INDEX(Ingredients!$E$1:$E$238,(MATCH(InterventionCosts!B178,Ingredients!A$1:A$238,0))))</f>
        <v>2019</v>
      </c>
      <c r="H178" t="str">
        <f>INDEX(Ingredients!$F$1:$F$318,(MATCH(InterventionCosts!B178,Ingredients!A$1:A$318,0)))</f>
        <v>https://doi.org/10.1038/s41598-019-49109-w 2016 updated</v>
      </c>
      <c r="I178">
        <f>1/1000</f>
        <v>1E-3</v>
      </c>
      <c r="J178" t="s">
        <v>1474</v>
      </c>
      <c r="K178" s="85">
        <f t="shared" si="4"/>
        <v>0.14160550151947027</v>
      </c>
      <c r="L178" s="85" t="s">
        <v>258</v>
      </c>
    </row>
    <row r="179" spans="1:12">
      <c r="A179" t="s">
        <v>278</v>
      </c>
      <c r="B179" t="s">
        <v>54</v>
      </c>
      <c r="C179" s="5" t="s">
        <v>1539</v>
      </c>
      <c r="D179" t="s">
        <v>21</v>
      </c>
      <c r="E179" s="70">
        <f>IF(B179="","",INDEX(Ingredients!$I$1:$I$5013,(MATCH(InterventionCosts!B179,Ingredients!$A$1:$A$5013,0))))</f>
        <v>1.2444366591928251</v>
      </c>
      <c r="F179" s="5" t="str">
        <f>INDEX(Ingredients!J$1:J$265,(MATCH(InterventionCosts!B179,Ingredients!A$1:A$265,0)))</f>
        <v>per minute</v>
      </c>
      <c r="G179">
        <f>IF(B179="","",INDEX(Ingredients!$E$1:$E$238,(MATCH(InterventionCosts!B179,Ingredients!A$1:A$238,0))))</f>
        <v>2024</v>
      </c>
      <c r="H179" t="str">
        <f>INDEX(Ingredients!$F$1:$F$318,(MATCH(InterventionCosts!B179,Ingredients!A$1:A$318,0)))</f>
        <v xml:space="preserve">April 2024 Salary scale </v>
      </c>
      <c r="I179">
        <v>5</v>
      </c>
      <c r="J179" t="s">
        <v>1474</v>
      </c>
      <c r="K179" s="85">
        <f t="shared" si="4"/>
        <v>6.2221832959641254</v>
      </c>
      <c r="L179" s="85" t="s">
        <v>258</v>
      </c>
    </row>
    <row r="180" spans="1:12">
      <c r="A180" t="s">
        <v>278</v>
      </c>
      <c r="B180" t="s">
        <v>247</v>
      </c>
      <c r="C180" s="5" t="s">
        <v>1539</v>
      </c>
      <c r="D180" t="s">
        <v>21</v>
      </c>
      <c r="E180" s="70">
        <f>IF(B180="","",INDEX(Ingredients!$I$1:$I$5013,(MATCH(InterventionCosts!B180,Ingredients!$A$1:$A$5013,0))))</f>
        <v>274.72000000000003</v>
      </c>
      <c r="F180" s="5" t="str">
        <f>INDEX(Ingredients!J$1:J$265,(MATCH(InterventionCosts!B180,Ingredients!A$1:A$265,0)))</f>
        <v>per 5L</v>
      </c>
      <c r="G180">
        <f>IF(B180="","",INDEX(Ingredients!$E$1:$E$238,(MATCH(InterventionCosts!B180,Ingredients!A$1:A$238,0))))</f>
        <v>2024</v>
      </c>
      <c r="H180" t="str">
        <f>INDEX(Ingredients!$F$1:$F$318,(MATCH(InterventionCosts!B180,Ingredients!A$1:A$318,0)))</f>
        <v>https://www.health.gov.za/wp-content/uploads/2024/04/HP12-2023LQ-CPA-Add-4-12-Effective-1-May-2024.pdf</v>
      </c>
      <c r="I180">
        <f>1/5000*1.01</f>
        <v>2.02E-4</v>
      </c>
      <c r="J180" t="s">
        <v>1474</v>
      </c>
      <c r="K180" s="85">
        <f t="shared" si="4"/>
        <v>5.5493440000000005E-2</v>
      </c>
      <c r="L180" s="85" t="s">
        <v>357</v>
      </c>
    </row>
    <row r="181" spans="1:12">
      <c r="A181" t="s">
        <v>278</v>
      </c>
      <c r="B181" t="s">
        <v>1489</v>
      </c>
      <c r="C181" s="5" t="s">
        <v>1539</v>
      </c>
      <c r="D181" t="s">
        <v>21</v>
      </c>
      <c r="E181" s="70">
        <f>IF(B181="","",INDEX(Ingredients!$I$1:$I$5013,(MATCH(InterventionCosts!B181,Ingredients!$A$1:$A$5013,0))))</f>
        <v>53.08</v>
      </c>
      <c r="F181" s="5" t="str">
        <f>INDEX(Ingredients!J$1:J$265,(MATCH(InterventionCosts!B181,Ingredients!A$1:A$265,0)))</f>
        <v>per pack 100, 50 pairs</v>
      </c>
      <c r="G181">
        <f>IF(B181="","",INDEX(Ingredients!$E$1:$E$238,(MATCH(InterventionCosts!B181,Ingredients!A$1:A$238,0))))</f>
        <v>2024</v>
      </c>
      <c r="H181" t="str">
        <f>INDEX(Ingredients!$F$1:$F$318,(MATCH(InterventionCosts!B181,Ingredients!A$1:A$318,0)))</f>
        <v>https://www.treasury.gov.za/divisions/ocpo/ostb/contracts/RT76-2023%20CPA%20Amendment%204-%20Effective%2001%20May%202024.pdf</v>
      </c>
      <c r="I181">
        <f>1/50*1.01</f>
        <v>2.0199999999999999E-2</v>
      </c>
      <c r="J181" t="s">
        <v>1474</v>
      </c>
      <c r="K181" s="85">
        <f t="shared" si="4"/>
        <v>1.0722159999999998</v>
      </c>
      <c r="L181" s="85" t="s">
        <v>265</v>
      </c>
    </row>
    <row r="182" spans="1:12">
      <c r="A182" t="s">
        <v>278</v>
      </c>
      <c r="B182" t="s">
        <v>79</v>
      </c>
      <c r="C182" s="5" t="s">
        <v>1539</v>
      </c>
      <c r="D182" t="s">
        <v>21</v>
      </c>
      <c r="E182" s="70">
        <f>IF(B182="","",INDEX(Ingredients!$I$1:$I$5013,(MATCH(InterventionCosts!B182,Ingredients!$A$1:$A$5013,0))))</f>
        <v>9.3000000000000007</v>
      </c>
      <c r="F182" s="5" t="str">
        <f>INDEX(Ingredients!J$1:J$265,(MATCH(InterventionCosts!B182,Ingredients!A$1:A$265,0)))</f>
        <v>per test</v>
      </c>
      <c r="G182">
        <f>IF(B182="","",INDEX(Ingredients!$E$1:$E$238,(MATCH(InterventionCosts!B182,Ingredients!A$1:A$238,0))))</f>
        <v>2024</v>
      </c>
      <c r="H182" t="str">
        <f>INDEX(Ingredients!$F$1:$F$318,(MATCH(InterventionCosts!B182,Ingredients!A$1:A$318,0)))</f>
        <v>https://www.treasury.gov.za/divisions/ocpo/ostb/contracts/RT41-2020.zip</v>
      </c>
      <c r="I182">
        <f>1*1.01</f>
        <v>1.01</v>
      </c>
      <c r="J182" t="s">
        <v>1474</v>
      </c>
      <c r="K182" s="85">
        <f t="shared" si="4"/>
        <v>9.3930000000000007</v>
      </c>
      <c r="L182" s="85" t="s">
        <v>258</v>
      </c>
    </row>
    <row r="183" spans="1:12">
      <c r="A183" t="s">
        <v>278</v>
      </c>
      <c r="B183" t="s">
        <v>248</v>
      </c>
      <c r="C183" s="5" t="s">
        <v>1539</v>
      </c>
      <c r="D183" t="s">
        <v>21</v>
      </c>
      <c r="E183" s="70">
        <f>IF(B183="","",INDEX(Ingredients!$I$1:$I$5013,(MATCH(InterventionCosts!B183,Ingredients!$A$1:$A$5013,0))))</f>
        <v>2.645</v>
      </c>
      <c r="F183" s="5" t="str">
        <f>INDEX(Ingredients!J$1:J$265,(MATCH(InterventionCosts!B183,Ingredients!A$1:A$265,0)))</f>
        <v>per bag</v>
      </c>
      <c r="G183">
        <f>IF(B183="","",INDEX(Ingredients!$E$1:$E$238,(MATCH(InterventionCosts!B183,Ingredients!A$1:A$238,0))))</f>
        <v>2024</v>
      </c>
      <c r="H183" t="str">
        <f>INDEX(Ingredients!$F$1:$F$318,(MATCH(InterventionCosts!B183,Ingredients!A$1:A$318,0)))</f>
        <v>https://medqsupplies.co.za/product/bio-hazard-plastic-bags/</v>
      </c>
      <c r="I183">
        <f>1*1.01</f>
        <v>1.01</v>
      </c>
      <c r="J183" t="s">
        <v>1474</v>
      </c>
      <c r="K183" s="85">
        <f t="shared" si="4"/>
        <v>2.6714500000000001</v>
      </c>
      <c r="L183" s="85" t="s">
        <v>258</v>
      </c>
    </row>
    <row r="184" spans="1:12">
      <c r="A184" t="s">
        <v>278</v>
      </c>
      <c r="B184" t="s">
        <v>31</v>
      </c>
      <c r="C184" s="5" t="s">
        <v>1539</v>
      </c>
      <c r="D184" t="s">
        <v>21</v>
      </c>
      <c r="E184" s="70">
        <f>IF(B184="","",INDEX(Ingredients!$I$1:$I$5013,(MATCH(InterventionCosts!B184,Ingredients!$A$1:$A$5013,0))))</f>
        <v>31.4</v>
      </c>
      <c r="F184" s="5" t="str">
        <f>INDEX(Ingredients!J$1:J$265,(MATCH(InterventionCosts!B184,Ingredients!A$1:A$265,0)))</f>
        <v>per 100 swabs</v>
      </c>
      <c r="G184">
        <f>IF(B184="","",INDEX(Ingredients!$E$1:$E$238,(MATCH(InterventionCosts!B184,Ingredients!A$1:A$238,0))))</f>
        <v>2024</v>
      </c>
      <c r="H184" t="str">
        <f>INDEX(Ingredients!$F$1:$F$318,(MATCH(InterventionCosts!B184,Ingredients!A$1:A$318,0)))</f>
        <v xml:space="preserve">http://www.treasury.gov.za/divisions/ocpo/ostb/contracts/RT42-2022zip </v>
      </c>
      <c r="I184">
        <f>1/100*1.01</f>
        <v>1.01E-2</v>
      </c>
      <c r="J184" t="s">
        <v>1474</v>
      </c>
      <c r="K184" s="85">
        <f t="shared" si="4"/>
        <v>0.31713999999999998</v>
      </c>
      <c r="L184" s="85" t="s">
        <v>258</v>
      </c>
    </row>
    <row r="185" spans="1:12">
      <c r="A185" t="s">
        <v>278</v>
      </c>
      <c r="B185" t="s">
        <v>54</v>
      </c>
      <c r="C185" s="5" t="s">
        <v>1539</v>
      </c>
      <c r="D185" s="5" t="s">
        <v>48</v>
      </c>
      <c r="E185" s="70">
        <f>IF(B185="","",INDEX(Ingredients!$I$1:$I$5013,(MATCH(InterventionCosts!B185,Ingredients!$A$1:$A$5013,0))))</f>
        <v>1.2444366591928251</v>
      </c>
      <c r="F185" s="5" t="str">
        <f>INDEX(Ingredients!J$1:J$265,(MATCH(InterventionCosts!B185,Ingredients!A$1:A$265,0)))</f>
        <v>per minute</v>
      </c>
      <c r="G185">
        <f>IF(B185="","",INDEX(Ingredients!$E$1:$E$238,(MATCH(InterventionCosts!B185,Ingredients!A$1:A$238,0))))</f>
        <v>2024</v>
      </c>
      <c r="H185" t="str">
        <f>INDEX(Ingredients!$F$1:$F$318,(MATCH(InterventionCosts!B185,Ingredients!A$1:A$318,0)))</f>
        <v xml:space="preserve">April 2024 Salary scale </v>
      </c>
      <c r="I185">
        <f>5</f>
        <v>5</v>
      </c>
      <c r="J185" t="s">
        <v>1474</v>
      </c>
      <c r="K185" s="85">
        <f t="shared" si="4"/>
        <v>6.2221832959641254</v>
      </c>
      <c r="L185" s="85" t="s">
        <v>329</v>
      </c>
    </row>
    <row r="186" spans="1:12">
      <c r="A186" t="s">
        <v>278</v>
      </c>
      <c r="B186" t="s">
        <v>251</v>
      </c>
      <c r="C186" s="5" t="s">
        <v>1539</v>
      </c>
      <c r="D186" t="s">
        <v>21</v>
      </c>
      <c r="E186" s="70">
        <f>IF(B186="","",INDEX(Ingredients!$I$1:$I$5013,(MATCH(InterventionCosts!B186,Ingredients!$A$1:$A$5013,0))))</f>
        <v>1.0227713593614072</v>
      </c>
      <c r="F186" s="5" t="str">
        <f>INDEX(Ingredients!J$1:J$265,(MATCH(InterventionCosts!B186,Ingredients!A$1:A$265,0)))</f>
        <v>per 1</v>
      </c>
      <c r="G186">
        <f>IF(B186="","",INDEX(Ingredients!$E$1:$E$238,(MATCH(InterventionCosts!B186,Ingredients!A$1:A$238,0))))</f>
        <v>2016</v>
      </c>
      <c r="H186" t="str">
        <f>INDEX(Ingredients!$F$1:$F$318,(MATCH(InterventionCosts!B186,Ingredients!A$1:A$318,0)))</f>
        <v>https://doi.org/10.1038/s41598-019-49109-w</v>
      </c>
      <c r="I186">
        <f>1*1.01</f>
        <v>1.01</v>
      </c>
      <c r="J186" t="s">
        <v>1474</v>
      </c>
      <c r="K186" s="85">
        <f t="shared" si="4"/>
        <v>1.0329990729550214</v>
      </c>
      <c r="L186" s="85" t="s">
        <v>329</v>
      </c>
    </row>
    <row r="187" spans="1:12">
      <c r="A187" t="s">
        <v>278</v>
      </c>
      <c r="B187" t="s">
        <v>43</v>
      </c>
      <c r="C187" s="5" t="s">
        <v>1539</v>
      </c>
      <c r="D187" t="s">
        <v>21</v>
      </c>
      <c r="E187" s="70">
        <f>IF(B187="","",INDEX(Ingredients!$I$1:$I$5013,(MATCH(InterventionCosts!B187,Ingredients!$A$1:$A$5013,0))))</f>
        <v>0.61939459752201187</v>
      </c>
      <c r="F187" s="5" t="str">
        <f>INDEX(Ingredients!J$1:J$265,(MATCH(InterventionCosts!B187,Ingredients!A$1:A$265,0)))</f>
        <v>per condom</v>
      </c>
      <c r="G187">
        <f>IF(B187="","",INDEX(Ingredients!$E$1:$E$238,(MATCH(InterventionCosts!B187,Ingredients!A$1:A$238,0))))</f>
        <v>2024</v>
      </c>
      <c r="H187" t="str">
        <f>INDEX(Ingredients!$F$1:$F$318,(MATCH(InterventionCosts!B187,Ingredients!A$1:A$318,0)))</f>
        <v>https://www.treasury.gov.za/divisions/ocpo/ostb/contracts/RT75-2021.zip</v>
      </c>
      <c r="I187">
        <f>10*1.01</f>
        <v>10.1</v>
      </c>
      <c r="J187" t="s">
        <v>1474</v>
      </c>
      <c r="K187" s="85">
        <f t="shared" si="4"/>
        <v>6.2558854349723196</v>
      </c>
      <c r="L187" s="85" t="s">
        <v>329</v>
      </c>
    </row>
    <row r="188" spans="1:12" s="89" customFormat="1">
      <c r="A188" s="4" t="s">
        <v>278</v>
      </c>
      <c r="F188" s="89" t="s">
        <v>1164</v>
      </c>
      <c r="G188" s="89" t="str">
        <f>IF(B188="","",INDEX(Ingredients!$E$1:$E$238,(MATCH(InterventionCosts!B188,Ingredients!A$1:A$238,0))))</f>
        <v/>
      </c>
      <c r="K188" s="90"/>
      <c r="L188" s="90">
        <f>SUM(K164:K187)</f>
        <v>62.820224504847666</v>
      </c>
    </row>
    <row r="189" spans="1:12" s="89" customFormat="1">
      <c r="A189" s="4" t="s">
        <v>278</v>
      </c>
      <c r="F189" s="89" t="s">
        <v>117</v>
      </c>
      <c r="G189" s="89" t="str">
        <f>IF(B189="","",INDEX(Ingredients!$E$1:$E$238,(MATCH(InterventionCosts!B189,Ingredients!A$1:A$238,0))))</f>
        <v/>
      </c>
      <c r="K189" s="90"/>
      <c r="L189" s="90" t="s">
        <v>936</v>
      </c>
    </row>
    <row r="190" spans="1:12">
      <c r="G190" t="str">
        <f>IF(B190="","",INDEX(Ingredients!$E$1:$E$238,(MATCH(InterventionCosts!B190,Ingredients!A$1:A$238,0))))</f>
        <v/>
      </c>
    </row>
    <row r="191" spans="1:12">
      <c r="A191" t="s">
        <v>279</v>
      </c>
      <c r="B191" t="s">
        <v>320</v>
      </c>
      <c r="C191" s="5" t="s">
        <v>1539</v>
      </c>
      <c r="D191" t="s">
        <v>81</v>
      </c>
      <c r="E191" s="70">
        <f>IF(B191="","",INDEX(Ingredients!$I$1:$I$5013,(MATCH(InterventionCosts!B191,Ingredients!$A$1:$A$5013,0))))</f>
        <v>2698.1345728637612</v>
      </c>
      <c r="F191" s="5" t="str">
        <f>INDEX(Ingredients!J$1:J$265,(MATCH(InterventionCosts!B191,Ingredients!A$1:A$265,0)))</f>
        <v>monthly cost</v>
      </c>
      <c r="G191" s="5">
        <f>IF(B191="","",INDEX(Ingredients!$E$1:$E$238,(MATCH(InterventionCosts!B191,Ingredients!A$1:A$238,0))))</f>
        <v>2016</v>
      </c>
      <c r="H191" t="str">
        <f>INDEX(Ingredients!$F$1:$F$318,(MATCH(InterventionCosts!B191,Ingredients!A$1:A$318,0)))</f>
        <v>https://doi.org/10.1038/s41598-019-49109-w</v>
      </c>
      <c r="I191">
        <f>1/1000</f>
        <v>1E-3</v>
      </c>
      <c r="J191" t="s">
        <v>1474</v>
      </c>
      <c r="K191" s="85">
        <f t="shared" ref="K191:K221" si="5">I191*E191</f>
        <v>2.6981345728637613</v>
      </c>
      <c r="L191" s="12" t="s">
        <v>260</v>
      </c>
    </row>
    <row r="192" spans="1:12">
      <c r="A192" t="s">
        <v>279</v>
      </c>
      <c r="B192" t="s">
        <v>322</v>
      </c>
      <c r="C192" s="5" t="s">
        <v>1539</v>
      </c>
      <c r="D192" t="s">
        <v>67</v>
      </c>
      <c r="E192" s="70">
        <f>IF(B192="","",INDEX(Ingredients!$I$1:$I$5013,(MATCH(InterventionCosts!B192,Ingredients!$A$1:$A$5013,0))))</f>
        <v>1016.3208420138025</v>
      </c>
      <c r="F192" s="5" t="str">
        <f>INDEX(Ingredients!J$1:J$265,(MATCH(InterventionCosts!B192,Ingredients!A$1:A$265,0)))</f>
        <v>monthly cost</v>
      </c>
      <c r="G192" s="5">
        <f>IF(B192="","",INDEX(Ingredients!$E$1:$E$238,(MATCH(InterventionCosts!B192,Ingredients!A$1:A$238,0))))</f>
        <v>2016</v>
      </c>
      <c r="H192" t="str">
        <f>INDEX(Ingredients!$F$1:$F$318,(MATCH(InterventionCosts!B192,Ingredients!A$1:A$318,0)))</f>
        <v>https://doi.org/10.1038/s41598-019-49109-w</v>
      </c>
      <c r="I192">
        <f>1/1000</f>
        <v>1E-3</v>
      </c>
      <c r="J192" t="s">
        <v>1474</v>
      </c>
      <c r="K192" s="85">
        <f t="shared" si="5"/>
        <v>1.0163208420138026</v>
      </c>
      <c r="L192" s="12" t="s">
        <v>260</v>
      </c>
    </row>
    <row r="193" spans="1:12">
      <c r="A193" t="s">
        <v>279</v>
      </c>
      <c r="B193" s="5" t="s">
        <v>243</v>
      </c>
      <c r="C193" s="5" t="s">
        <v>1539</v>
      </c>
      <c r="D193" s="5" t="s">
        <v>48</v>
      </c>
      <c r="E193" s="70">
        <f>IF(B193="","",INDEX(Ingredients!$I$1:$I$5013,(MATCH(InterventionCosts!B193,Ingredients!$A$1:$A$5013,0))))</f>
        <v>1.3151532137518684</v>
      </c>
      <c r="F193" s="5" t="str">
        <f>INDEX(Ingredients!J$1:J$265,(MATCH(InterventionCosts!B193,Ingredients!A$1:A$265,0)))</f>
        <v>per minute</v>
      </c>
      <c r="G193" s="5">
        <f>IF(B193="","",INDEX(Ingredients!$E$1:$E$238,(MATCH(InterventionCosts!B193,Ingredients!A$1:A$238,0))))</f>
        <v>2024</v>
      </c>
      <c r="H193" t="str">
        <f>INDEX(Ingredients!$F$1:$F$318,(MATCH(InterventionCosts!B193,Ingredients!A$1:A$318,0)))</f>
        <v>https://www.psira.co.za/dmdocuments/Illustrative%20Costing%20Guideline%202024-2025%20AREA%201%20and%202.pdf</v>
      </c>
      <c r="I193" s="5">
        <v>0.5</v>
      </c>
      <c r="J193" t="s">
        <v>1474</v>
      </c>
      <c r="K193" s="85">
        <f t="shared" si="5"/>
        <v>0.65757660687593422</v>
      </c>
      <c r="L193" s="12" t="s">
        <v>260</v>
      </c>
    </row>
    <row r="194" spans="1:12">
      <c r="A194" t="s">
        <v>279</v>
      </c>
      <c r="B194" t="s">
        <v>52</v>
      </c>
      <c r="C194" s="5" t="s">
        <v>1539</v>
      </c>
      <c r="D194" s="5" t="s">
        <v>48</v>
      </c>
      <c r="E194" s="70">
        <f>IF(B194="","",INDEX(Ingredients!$I$1:$I$5013,(MATCH(InterventionCosts!B194,Ingredients!$A$1:$A$5013,0))))</f>
        <v>1.8019482436472347</v>
      </c>
      <c r="F194" s="5" t="str">
        <f>INDEX(Ingredients!J$1:J$265,(MATCH(InterventionCosts!B194,Ingredients!A$1:A$265,0)))</f>
        <v>per minute</v>
      </c>
      <c r="G194">
        <f>IF(B194="","",INDEX(Ingredients!$E$1:$E$238,(MATCH(InterventionCosts!B194,Ingredients!A$1:A$238,0))))</f>
        <v>2024</v>
      </c>
      <c r="H194" t="str">
        <f>INDEX(Ingredients!$F$1:$F$318,(MATCH(InterventionCosts!B194,Ingredients!A$1:A$318,0)))</f>
        <v xml:space="preserve">April 2024 Salary scale </v>
      </c>
      <c r="I194">
        <v>2</v>
      </c>
      <c r="J194" t="s">
        <v>1474</v>
      </c>
      <c r="K194" s="85">
        <f t="shared" si="5"/>
        <v>3.6038964872944694</v>
      </c>
      <c r="L194" s="12" t="s">
        <v>260</v>
      </c>
    </row>
    <row r="195" spans="1:12">
      <c r="A195" t="s">
        <v>279</v>
      </c>
      <c r="B195" t="s">
        <v>245</v>
      </c>
      <c r="C195" s="5" t="s">
        <v>1539</v>
      </c>
      <c r="D195" t="s">
        <v>21</v>
      </c>
      <c r="E195" s="70">
        <f>IF(B195="","",INDEX(Ingredients!$I$1:$I$5013,(MATCH(InterventionCosts!B195,Ingredients!$A$1:$A$5013,0))))</f>
        <v>129</v>
      </c>
      <c r="F195" s="5" t="str">
        <f>INDEX(Ingredients!J$1:J$265,(MATCH(InterventionCosts!B195,Ingredients!A$1:A$265,0)))</f>
        <v>per 20 files</v>
      </c>
      <c r="G195">
        <f>IF(B195="","",INDEX(Ingredients!$E$1:$E$238,(MATCH(InterventionCosts!B195,Ingredients!A$1:A$238,0))))</f>
        <v>2024</v>
      </c>
      <c r="H195" t="str">
        <f>INDEX(Ingredients!$F$1:$F$318,(MATCH(InterventionCosts!B195,Ingredients!A$1:A$318,0)))</f>
        <v>https://www.makro.co.za/stationery-office-furniture/paper-filing/filing-folders/file-storage/tidy-files-medium-weight-files-/p/000000000000125629_PK</v>
      </c>
      <c r="I195">
        <f>1/20*1.01</f>
        <v>5.0500000000000003E-2</v>
      </c>
      <c r="J195" t="s">
        <v>1474</v>
      </c>
      <c r="K195" s="85">
        <f t="shared" si="5"/>
        <v>6.5145000000000008</v>
      </c>
      <c r="L195" s="12" t="s">
        <v>262</v>
      </c>
    </row>
    <row r="196" spans="1:12">
      <c r="A196" t="s">
        <v>279</v>
      </c>
      <c r="B196" t="s">
        <v>246</v>
      </c>
      <c r="C196" s="5" t="s">
        <v>1539</v>
      </c>
      <c r="D196" t="s">
        <v>21</v>
      </c>
      <c r="E196" s="70">
        <f>IF(B196="","",INDEX(Ingredients!$I$1:$I$5013,(MATCH(InterventionCosts!B196,Ingredients!$A$1:$A$5013,0))))</f>
        <v>0.16400000000000001</v>
      </c>
      <c r="F196" s="5" t="str">
        <f>INDEX(Ingredients!J$1:J$265,(MATCH(InterventionCosts!B196,Ingredients!A$1:A$265,0)))</f>
        <v>per page</v>
      </c>
      <c r="G196">
        <f>IF(B196="","",INDEX(Ingredients!$E$1:$E$238,(MATCH(InterventionCosts!B196,Ingredients!A$1:A$238,0))))</f>
        <v>2024</v>
      </c>
      <c r="H196" t="str">
        <f>INDEX(Ingredients!$F$1:$F$318,(MATCH(InterventionCosts!B196,Ingredients!A$1:A$318,0)))</f>
        <v>https://www.makro.co.za/stationery-office-furniture/paper-filing/paper/white-paper/copy-paper/typek-a4-office-paper-80-gsm/p/000000000000012434_BOX</v>
      </c>
      <c r="I196">
        <f>1*2*1.01</f>
        <v>2.02</v>
      </c>
      <c r="J196" t="s">
        <v>1474</v>
      </c>
      <c r="K196" s="85">
        <f t="shared" si="5"/>
        <v>0.33128000000000002</v>
      </c>
      <c r="L196" s="12" t="s">
        <v>261</v>
      </c>
    </row>
    <row r="197" spans="1:12">
      <c r="A197" t="s">
        <v>279</v>
      </c>
      <c r="B197" t="s">
        <v>52</v>
      </c>
      <c r="C197" s="5" t="s">
        <v>1539</v>
      </c>
      <c r="D197" s="5" t="s">
        <v>48</v>
      </c>
      <c r="E197" s="70">
        <f>IF(B197="","",INDEX(Ingredients!$I$1:$I$5013,(MATCH(InterventionCosts!B197,Ingredients!$A$1:$A$5013,0))))</f>
        <v>1.8019482436472347</v>
      </c>
      <c r="F197" s="5" t="str">
        <f>INDEX(Ingredients!J$1:J$265,(MATCH(InterventionCosts!B197,Ingredients!A$1:A$265,0)))</f>
        <v>per minute</v>
      </c>
      <c r="G197">
        <f>IF(B197="","",INDEX(Ingredients!$E$1:$E$238,(MATCH(InterventionCosts!B197,Ingredients!A$1:A$238,0))))</f>
        <v>2024</v>
      </c>
      <c r="H197" t="str">
        <f>INDEX(Ingredients!$F$1:$F$318,(MATCH(InterventionCosts!B197,Ingredients!A$1:A$318,0)))</f>
        <v xml:space="preserve">April 2024 Salary scale </v>
      </c>
      <c r="I197">
        <v>2</v>
      </c>
      <c r="J197" t="s">
        <v>1474</v>
      </c>
      <c r="K197" s="85">
        <f t="shared" si="5"/>
        <v>3.6038964872944694</v>
      </c>
      <c r="L197" s="12" t="s">
        <v>277</v>
      </c>
    </row>
    <row r="198" spans="1:12">
      <c r="A198" t="s">
        <v>279</v>
      </c>
      <c r="B198" t="s">
        <v>323</v>
      </c>
      <c r="C198" s="5" t="s">
        <v>1539</v>
      </c>
      <c r="D198" t="s">
        <v>81</v>
      </c>
      <c r="E198" s="70">
        <f>IF(B198="","",INDEX(Ingredients!$I$1:$I$5013,(MATCH(InterventionCosts!B198,Ingredients!$A$1:$A$5013,0))))</f>
        <v>1321.110140433256</v>
      </c>
      <c r="F198" s="5" t="str">
        <f>INDEX(Ingredients!J$1:J$265,(MATCH(InterventionCosts!B198,Ingredients!A$1:A$265,0)))</f>
        <v>monthly cost</v>
      </c>
      <c r="G198" s="5">
        <f>IF(B198="","",INDEX(Ingredients!$E$1:$E$238,(MATCH(InterventionCosts!B198,Ingredients!A$1:A$238,0))))</f>
        <v>2016</v>
      </c>
      <c r="H198" t="str">
        <f>INDEX(Ingredients!$F$1:$F$318,(MATCH(InterventionCosts!B198,Ingredients!A$1:A$318,0)))</f>
        <v>https://doi.org/10.1038/s41598-019-49109-w</v>
      </c>
      <c r="I198">
        <f>1/1000</f>
        <v>1E-3</v>
      </c>
      <c r="J198" t="s">
        <v>1474</v>
      </c>
      <c r="K198" s="85">
        <f t="shared" si="5"/>
        <v>1.3211101404332559</v>
      </c>
      <c r="L198" s="12" t="s">
        <v>277</v>
      </c>
    </row>
    <row r="199" spans="1:12">
      <c r="A199" t="s">
        <v>279</v>
      </c>
      <c r="B199" t="s">
        <v>324</v>
      </c>
      <c r="C199" s="5" t="s">
        <v>1539</v>
      </c>
      <c r="D199" t="s">
        <v>67</v>
      </c>
      <c r="E199" s="70">
        <f>IF(B199="","",INDEX(Ingredients!$I$1:$I$5013,(MATCH(InterventionCosts!B199,Ingredients!$A$1:$A$5013,0))))</f>
        <v>284.21265617383841</v>
      </c>
      <c r="F199" s="5" t="str">
        <f>INDEX(Ingredients!J$1:J$265,(MATCH(InterventionCosts!B199,Ingredients!A$1:A$265,0)))</f>
        <v>monthly cost</v>
      </c>
      <c r="G199" s="5">
        <f>IF(B199="","",INDEX(Ingredients!$E$1:$E$238,(MATCH(InterventionCosts!B199,Ingredients!A$1:A$238,0))))</f>
        <v>2019</v>
      </c>
      <c r="H199" t="str">
        <f>INDEX(Ingredients!$F$1:$F$318,(MATCH(InterventionCosts!B199,Ingredients!A$1:A$318,0)))</f>
        <v>https://doi.org/10.1038/s41598-019-49109-w 2016 updated</v>
      </c>
      <c r="I199">
        <f>1/1000</f>
        <v>1E-3</v>
      </c>
      <c r="J199" t="s">
        <v>1474</v>
      </c>
      <c r="K199" s="85">
        <f t="shared" si="5"/>
        <v>0.2842126561738384</v>
      </c>
      <c r="L199" s="12" t="s">
        <v>277</v>
      </c>
    </row>
    <row r="200" spans="1:12">
      <c r="A200" t="s">
        <v>279</v>
      </c>
      <c r="B200" t="s">
        <v>54</v>
      </c>
      <c r="C200" s="5" t="s">
        <v>1539</v>
      </c>
      <c r="D200" s="5" t="s">
        <v>48</v>
      </c>
      <c r="E200" s="70">
        <f>IF(B200="","",INDEX(Ingredients!$I$1:$I$5013,(MATCH(InterventionCosts!B200,Ingredients!$A$1:$A$5013,0))))</f>
        <v>1.2444366591928251</v>
      </c>
      <c r="F200" s="5" t="str">
        <f>INDEX(Ingredients!J$1:J$265,(MATCH(InterventionCosts!B200,Ingredients!A$1:A$265,0)))</f>
        <v>per minute</v>
      </c>
      <c r="G200">
        <f>IF(B200="","",INDEX(Ingredients!$E$1:$E$238,(MATCH(InterventionCosts!B200,Ingredients!A$1:A$238,0))))</f>
        <v>2024</v>
      </c>
      <c r="H200" t="str">
        <f>INDEX(Ingredients!$F$1:$F$318,(MATCH(InterventionCosts!B200,Ingredients!A$1:A$318,0)))</f>
        <v xml:space="preserve">April 2024 Salary scale </v>
      </c>
      <c r="I200">
        <v>5</v>
      </c>
      <c r="J200" t="s">
        <v>1474</v>
      </c>
      <c r="K200" s="85">
        <f t="shared" si="5"/>
        <v>6.2221832959641254</v>
      </c>
      <c r="L200" s="85" t="s">
        <v>259</v>
      </c>
    </row>
    <row r="201" spans="1:12">
      <c r="A201" t="s">
        <v>279</v>
      </c>
      <c r="B201" t="s">
        <v>54</v>
      </c>
      <c r="C201" s="5" t="s">
        <v>1539</v>
      </c>
      <c r="D201" t="s">
        <v>21</v>
      </c>
      <c r="E201" s="70">
        <f>IF(B201="","",INDEX(Ingredients!$I$1:$I$5013,(MATCH(InterventionCosts!B201,Ingredients!$A$1:$A$5013,0))))</f>
        <v>1.2444366591928251</v>
      </c>
      <c r="F201" s="5" t="str">
        <f>INDEX(Ingredients!J$1:J$265,(MATCH(InterventionCosts!B201,Ingredients!A$1:A$265,0)))</f>
        <v>per minute</v>
      </c>
      <c r="G201">
        <f>IF(B201="","",INDEX(Ingredients!$E$1:$E$238,(MATCH(InterventionCosts!B201,Ingredients!A$1:A$238,0))))</f>
        <v>2024</v>
      </c>
      <c r="H201" t="str">
        <f>INDEX(Ingredients!$F$1:$F$318,(MATCH(InterventionCosts!B201,Ingredients!A$1:A$318,0)))</f>
        <v xml:space="preserve">April 2024 Salary scale </v>
      </c>
      <c r="I201">
        <v>2</v>
      </c>
      <c r="J201" t="s">
        <v>1474</v>
      </c>
      <c r="K201" s="85">
        <f t="shared" si="5"/>
        <v>2.4888733183856502</v>
      </c>
      <c r="L201" s="85" t="s">
        <v>257</v>
      </c>
    </row>
    <row r="202" spans="1:12">
      <c r="A202" t="s">
        <v>279</v>
      </c>
      <c r="B202" t="s">
        <v>246</v>
      </c>
      <c r="C202" s="5" t="s">
        <v>1539</v>
      </c>
      <c r="D202" s="5" t="s">
        <v>48</v>
      </c>
      <c r="E202" s="70">
        <f>IF(B202="","",INDEX(Ingredients!$I$1:$I$5013,(MATCH(InterventionCosts!B202,Ingredients!$A$1:$A$5013,0))))</f>
        <v>0.16400000000000001</v>
      </c>
      <c r="F202" s="5" t="str">
        <f>INDEX(Ingredients!J$1:J$265,(MATCH(InterventionCosts!B202,Ingredients!A$1:A$265,0)))</f>
        <v>per page</v>
      </c>
      <c r="G202">
        <f>IF(B202="","",INDEX(Ingredients!$E$1:$E$238,(MATCH(InterventionCosts!B202,Ingredients!A$1:A$238,0))))</f>
        <v>2024</v>
      </c>
      <c r="H202" t="str">
        <f>INDEX(Ingredients!$F$1:$F$318,(MATCH(InterventionCosts!B202,Ingredients!A$1:A$318,0)))</f>
        <v>https://www.makro.co.za/stationery-office-furniture/paper-filing/paper/white-paper/copy-paper/typek-a4-office-paper-80-gsm/p/000000000000012434_BOX</v>
      </c>
      <c r="I202">
        <f>1</f>
        <v>1</v>
      </c>
      <c r="J202" t="s">
        <v>1474</v>
      </c>
      <c r="K202" s="85">
        <f t="shared" si="5"/>
        <v>0.16400000000000001</v>
      </c>
      <c r="L202" s="85" t="s">
        <v>1507</v>
      </c>
    </row>
    <row r="203" spans="1:12">
      <c r="A203" t="s">
        <v>279</v>
      </c>
      <c r="B203" t="s">
        <v>325</v>
      </c>
      <c r="C203" s="5" t="s">
        <v>1539</v>
      </c>
      <c r="D203" t="s">
        <v>81</v>
      </c>
      <c r="E203" s="70">
        <f>IF(B203="","",INDEX(Ingredients!$I$1:$I$5013,(MATCH(InterventionCosts!B203,Ingredients!$A$1:$A$5013,0))))</f>
        <v>264.22202808665122</v>
      </c>
      <c r="F203" s="5" t="str">
        <f>INDEX(Ingredients!J$1:J$265,(MATCH(InterventionCosts!B203,Ingredients!A$1:A$265,0)))</f>
        <v>monthly cost</v>
      </c>
      <c r="G203">
        <f>IF(B203="","",INDEX(Ingredients!$E$1:$E$238,(MATCH(InterventionCosts!B203,Ingredients!A$1:A$238,0))))</f>
        <v>2016</v>
      </c>
      <c r="H203" t="str">
        <f>INDEX(Ingredients!$F$1:$F$318,(MATCH(InterventionCosts!B203,Ingredients!A$1:A$318,0)))</f>
        <v>https://doi.org/10.1038/s41598-019-49109-w</v>
      </c>
      <c r="I203">
        <f>1/1000</f>
        <v>1E-3</v>
      </c>
      <c r="J203" t="s">
        <v>1474</v>
      </c>
      <c r="K203" s="85">
        <f t="shared" si="5"/>
        <v>0.26422202808665124</v>
      </c>
      <c r="L203" s="85" t="s">
        <v>258</v>
      </c>
    </row>
    <row r="204" spans="1:12">
      <c r="A204" t="s">
        <v>279</v>
      </c>
      <c r="B204" t="s">
        <v>326</v>
      </c>
      <c r="C204" s="5" t="s">
        <v>1539</v>
      </c>
      <c r="D204" t="s">
        <v>67</v>
      </c>
      <c r="E204" s="70">
        <f>IF(B204="","",INDEX(Ingredients!$I$1:$I$5013,(MATCH(InterventionCosts!B204,Ingredients!$A$1:$A$5013,0))))</f>
        <v>141.60550151947027</v>
      </c>
      <c r="F204" s="5" t="str">
        <f>INDEX(Ingredients!J$1:J$265,(MATCH(InterventionCosts!B204,Ingredients!A$1:A$265,0)))</f>
        <v>monthly cost</v>
      </c>
      <c r="G204">
        <f>IF(B204="","",INDEX(Ingredients!$E$1:$E$238,(MATCH(InterventionCosts!B204,Ingredients!A$1:A$238,0))))</f>
        <v>2019</v>
      </c>
      <c r="H204" t="str">
        <f>INDEX(Ingredients!$F$1:$F$318,(MATCH(InterventionCosts!B204,Ingredients!A$1:A$318,0)))</f>
        <v>https://doi.org/10.1038/s41598-019-49109-w 2016 updated</v>
      </c>
      <c r="I204">
        <f>1/1000</f>
        <v>1E-3</v>
      </c>
      <c r="J204" t="s">
        <v>1474</v>
      </c>
      <c r="K204" s="85">
        <f t="shared" si="5"/>
        <v>0.14160550151947027</v>
      </c>
      <c r="L204" s="85" t="s">
        <v>258</v>
      </c>
    </row>
    <row r="205" spans="1:12">
      <c r="A205" t="s">
        <v>279</v>
      </c>
      <c r="B205" t="s">
        <v>54</v>
      </c>
      <c r="C205" s="5" t="s">
        <v>1539</v>
      </c>
      <c r="D205" t="s">
        <v>21</v>
      </c>
      <c r="E205" s="70">
        <f>IF(B205="","",INDEX(Ingredients!$I$1:$I$5013,(MATCH(InterventionCosts!B205,Ingredients!$A$1:$A$5013,0))))</f>
        <v>1.2444366591928251</v>
      </c>
      <c r="F205" s="5" t="str">
        <f>INDEX(Ingredients!J$1:J$265,(MATCH(InterventionCosts!B205,Ingredients!A$1:A$265,0)))</f>
        <v>per minute</v>
      </c>
      <c r="G205">
        <f>IF(B205="","",INDEX(Ingredients!$E$1:$E$238,(MATCH(InterventionCosts!B205,Ingredients!A$1:A$238,0))))</f>
        <v>2024</v>
      </c>
      <c r="H205" t="str">
        <f>INDEX(Ingredients!$F$1:$F$318,(MATCH(InterventionCosts!B205,Ingredients!A$1:A$318,0)))</f>
        <v xml:space="preserve">April 2024 Salary scale </v>
      </c>
      <c r="I205">
        <v>5</v>
      </c>
      <c r="J205" t="s">
        <v>1474</v>
      </c>
      <c r="K205" s="85">
        <f t="shared" si="5"/>
        <v>6.2221832959641254</v>
      </c>
      <c r="L205" s="85" t="s">
        <v>258</v>
      </c>
    </row>
    <row r="206" spans="1:12">
      <c r="A206" t="s">
        <v>279</v>
      </c>
      <c r="B206" t="s">
        <v>247</v>
      </c>
      <c r="C206" s="5" t="s">
        <v>1539</v>
      </c>
      <c r="D206" t="s">
        <v>21</v>
      </c>
      <c r="E206" s="70">
        <f>IF(B206="","",INDEX(Ingredients!$I$1:$I$5013,(MATCH(InterventionCosts!B206,Ingredients!$A$1:$A$5013,0))))</f>
        <v>274.72000000000003</v>
      </c>
      <c r="F206" s="5" t="str">
        <f>INDEX(Ingredients!J$1:J$265,(MATCH(InterventionCosts!B206,Ingredients!A$1:A$265,0)))</f>
        <v>per 5L</v>
      </c>
      <c r="G206">
        <f>IF(B206="","",INDEX(Ingredients!$E$1:$E$238,(MATCH(InterventionCosts!B206,Ingredients!A$1:A$238,0))))</f>
        <v>2024</v>
      </c>
      <c r="H206" t="str">
        <f>INDEX(Ingredients!$F$1:$F$318,(MATCH(InterventionCosts!B206,Ingredients!A$1:A$318,0)))</f>
        <v>https://www.health.gov.za/wp-content/uploads/2024/04/HP12-2023LQ-CPA-Add-4-12-Effective-1-May-2024.pdf</v>
      </c>
      <c r="I206">
        <f>1/5000*1.01</f>
        <v>2.02E-4</v>
      </c>
      <c r="J206" t="s">
        <v>1474</v>
      </c>
      <c r="K206" s="85">
        <f t="shared" si="5"/>
        <v>5.5493440000000005E-2</v>
      </c>
      <c r="L206" s="85" t="s">
        <v>357</v>
      </c>
    </row>
    <row r="207" spans="1:12">
      <c r="A207" t="s">
        <v>279</v>
      </c>
      <c r="B207" t="s">
        <v>1489</v>
      </c>
      <c r="C207" s="5" t="s">
        <v>1539</v>
      </c>
      <c r="D207" t="s">
        <v>21</v>
      </c>
      <c r="E207" s="70">
        <f>IF(B207="","",INDEX(Ingredients!$I$1:$I$5013,(MATCH(InterventionCosts!B207,Ingredients!$A$1:$A$5013,0))))</f>
        <v>53.08</v>
      </c>
      <c r="F207" s="5" t="str">
        <f>INDEX(Ingredients!J$1:J$265,(MATCH(InterventionCosts!B207,Ingredients!A$1:A$265,0)))</f>
        <v>per pack 100, 50 pairs</v>
      </c>
      <c r="G207">
        <f>IF(B207="","",INDEX(Ingredients!$E$1:$E$238,(MATCH(InterventionCosts!B207,Ingredients!A$1:A$238,0))))</f>
        <v>2024</v>
      </c>
      <c r="H207" t="str">
        <f>INDEX(Ingredients!$F$1:$F$318,(MATCH(InterventionCosts!B207,Ingredients!A$1:A$318,0)))</f>
        <v>https://www.treasury.gov.za/divisions/ocpo/ostb/contracts/RT76-2023%20CPA%20Amendment%204-%20Effective%2001%20May%202024.pdf</v>
      </c>
      <c r="I207">
        <f>1/50*1.01</f>
        <v>2.0199999999999999E-2</v>
      </c>
      <c r="J207" t="s">
        <v>1474</v>
      </c>
      <c r="K207" s="85">
        <f t="shared" si="5"/>
        <v>1.0722159999999998</v>
      </c>
      <c r="L207" s="85" t="s">
        <v>265</v>
      </c>
    </row>
    <row r="208" spans="1:12">
      <c r="A208" t="s">
        <v>279</v>
      </c>
      <c r="B208" t="s">
        <v>79</v>
      </c>
      <c r="C208" s="5" t="s">
        <v>1539</v>
      </c>
      <c r="D208" t="s">
        <v>21</v>
      </c>
      <c r="E208" s="70">
        <f>IF(B208="","",INDEX(Ingredients!$I$1:$I$5013,(MATCH(InterventionCosts!B208,Ingredients!$A$1:$A$5013,0))))</f>
        <v>9.3000000000000007</v>
      </c>
      <c r="F208" s="5" t="str">
        <f>INDEX(Ingredients!J$1:J$265,(MATCH(InterventionCosts!B208,Ingredients!A$1:A$265,0)))</f>
        <v>per test</v>
      </c>
      <c r="G208">
        <f>IF(B208="","",INDEX(Ingredients!$E$1:$E$238,(MATCH(InterventionCosts!B208,Ingredients!A$1:A$238,0))))</f>
        <v>2024</v>
      </c>
      <c r="H208" t="str">
        <f>INDEX(Ingredients!$F$1:$F$318,(MATCH(InterventionCosts!B208,Ingredients!A$1:A$318,0)))</f>
        <v>https://www.treasury.gov.za/divisions/ocpo/ostb/contracts/RT41-2020.zip</v>
      </c>
      <c r="I208">
        <f>1*1.01</f>
        <v>1.01</v>
      </c>
      <c r="J208" t="s">
        <v>1474</v>
      </c>
      <c r="K208" s="85">
        <f t="shared" si="5"/>
        <v>9.3930000000000007</v>
      </c>
      <c r="L208" s="85" t="s">
        <v>258</v>
      </c>
    </row>
    <row r="209" spans="1:12">
      <c r="A209" t="s">
        <v>279</v>
      </c>
      <c r="B209" t="s">
        <v>248</v>
      </c>
      <c r="C209" s="5" t="s">
        <v>1539</v>
      </c>
      <c r="D209" t="s">
        <v>21</v>
      </c>
      <c r="E209" s="70">
        <f>IF(B209="","",INDEX(Ingredients!$I$1:$I$5013,(MATCH(InterventionCosts!B209,Ingredients!$A$1:$A$5013,0))))</f>
        <v>2.645</v>
      </c>
      <c r="F209" s="5" t="str">
        <f>INDEX(Ingredients!J$1:J$265,(MATCH(InterventionCosts!B209,Ingredients!A$1:A$265,0)))</f>
        <v>per bag</v>
      </c>
      <c r="G209">
        <f>IF(B209="","",INDEX(Ingredients!$E$1:$E$238,(MATCH(InterventionCosts!B209,Ingredients!A$1:A$238,0))))</f>
        <v>2024</v>
      </c>
      <c r="H209" t="str">
        <f>INDEX(Ingredients!$F$1:$F$318,(MATCH(InterventionCosts!B209,Ingredients!A$1:A$318,0)))</f>
        <v>https://medqsupplies.co.za/product/bio-hazard-plastic-bags/</v>
      </c>
      <c r="I209">
        <f>1*1.01</f>
        <v>1.01</v>
      </c>
      <c r="J209" t="s">
        <v>1474</v>
      </c>
      <c r="K209" s="85">
        <f t="shared" si="5"/>
        <v>2.6714500000000001</v>
      </c>
      <c r="L209" s="85" t="s">
        <v>258</v>
      </c>
    </row>
    <row r="210" spans="1:12">
      <c r="A210" t="s">
        <v>279</v>
      </c>
      <c r="B210" t="s">
        <v>31</v>
      </c>
      <c r="C210" s="5" t="s">
        <v>1539</v>
      </c>
      <c r="D210" t="s">
        <v>21</v>
      </c>
      <c r="E210" s="70">
        <f>IF(B210="","",INDEX(Ingredients!$I$1:$I$5013,(MATCH(InterventionCosts!B210,Ingredients!$A$1:$A$5013,0))))</f>
        <v>31.4</v>
      </c>
      <c r="F210" s="5" t="str">
        <f>INDEX(Ingredients!J$1:J$265,(MATCH(InterventionCosts!B210,Ingredients!A$1:A$265,0)))</f>
        <v>per 100 swabs</v>
      </c>
      <c r="G210">
        <f>IF(B210="","",INDEX(Ingredients!$E$1:$E$238,(MATCH(InterventionCosts!B210,Ingredients!A$1:A$238,0))))</f>
        <v>2024</v>
      </c>
      <c r="H210" t="str">
        <f>INDEX(Ingredients!$F$1:$F$318,(MATCH(InterventionCosts!B210,Ingredients!A$1:A$318,0)))</f>
        <v xml:space="preserve">http://www.treasury.gov.za/divisions/ocpo/ostb/contracts/RT42-2022zip </v>
      </c>
      <c r="I210">
        <f>1/100*1.01</f>
        <v>1.01E-2</v>
      </c>
      <c r="J210" t="s">
        <v>1474</v>
      </c>
      <c r="K210" s="85">
        <f t="shared" si="5"/>
        <v>0.31713999999999998</v>
      </c>
      <c r="L210" s="85" t="s">
        <v>258</v>
      </c>
    </row>
    <row r="211" spans="1:12">
      <c r="A211" t="s">
        <v>279</v>
      </c>
      <c r="B211" t="s">
        <v>54</v>
      </c>
      <c r="C211" s="5" t="s">
        <v>1539</v>
      </c>
      <c r="D211" s="5" t="s">
        <v>48</v>
      </c>
      <c r="E211" s="70">
        <f>IF(B211="","",INDEX(Ingredients!$I$1:$I$5013,(MATCH(InterventionCosts!B211,Ingredients!$A$1:$A$5013,0))))</f>
        <v>1.2444366591928251</v>
      </c>
      <c r="F211" s="5" t="str">
        <f>INDEX(Ingredients!J$1:J$265,(MATCH(InterventionCosts!B211,Ingredients!A$1:A$265,0)))</f>
        <v>per minute</v>
      </c>
      <c r="G211">
        <f>IF(B211="","",INDEX(Ingredients!$E$1:$E$238,(MATCH(InterventionCosts!B211,Ingredients!A$1:A$238,0))))</f>
        <v>2024</v>
      </c>
      <c r="H211" t="str">
        <f>INDEX(Ingredients!$F$1:$F$318,(MATCH(InterventionCosts!B211,Ingredients!A$1:A$318,0)))</f>
        <v xml:space="preserve">April 2024 Salary scale </v>
      </c>
      <c r="I211">
        <f>5</f>
        <v>5</v>
      </c>
      <c r="J211" t="s">
        <v>1474</v>
      </c>
      <c r="K211" s="85">
        <f t="shared" si="5"/>
        <v>6.2221832959641254</v>
      </c>
      <c r="L211" s="85" t="s">
        <v>316</v>
      </c>
    </row>
    <row r="212" spans="1:12">
      <c r="A212" t="s">
        <v>279</v>
      </c>
      <c r="B212" t="s">
        <v>249</v>
      </c>
      <c r="C212" s="5" t="s">
        <v>1539</v>
      </c>
      <c r="D212" t="s">
        <v>21</v>
      </c>
      <c r="E212" s="70">
        <f>IF(B212="","",INDEX(Ingredients!$I$1:$I$5013,(MATCH(InterventionCosts!B212,Ingredients!$A$1:$A$5013,0))))</f>
        <v>7.86</v>
      </c>
      <c r="F212" s="5" t="str">
        <f>INDEX(Ingredients!J$1:J$265,(MATCH(InterventionCosts!B212,Ingredients!A$1:A$265,0)))</f>
        <v>per test kit</v>
      </c>
      <c r="G212">
        <f>IF(B212="","",INDEX(Ingredients!$E$1:$E$238,(MATCH(InterventionCosts!B212,Ingredients!A$1:A$238,0))))</f>
        <v>2024</v>
      </c>
      <c r="H212" t="str">
        <f>INDEX(Ingredients!$F$1:$F$318,(MATCH(InterventionCosts!B212,Ingredients!A$1:A$318,0)))</f>
        <v>https://www.treasury.gov.za/divisions/ocpo/ostb/contracts/RT41-2020.zip</v>
      </c>
      <c r="I212">
        <f>1*1.01</f>
        <v>1.01</v>
      </c>
      <c r="J212" t="s">
        <v>1474</v>
      </c>
      <c r="K212" s="85">
        <f t="shared" si="5"/>
        <v>7.9386000000000001</v>
      </c>
      <c r="L212" s="85" t="s">
        <v>316</v>
      </c>
    </row>
    <row r="213" spans="1:12">
      <c r="A213" t="s">
        <v>279</v>
      </c>
      <c r="B213" t="s">
        <v>54</v>
      </c>
      <c r="C213" s="5" t="s">
        <v>1539</v>
      </c>
      <c r="D213" s="5" t="s">
        <v>48</v>
      </c>
      <c r="E213" s="70">
        <f>IF(B213="","",INDEX(Ingredients!$I$1:$I$5013,(MATCH(InterventionCosts!B213,Ingredients!$A$1:$A$5013,0))))</f>
        <v>1.2444366591928251</v>
      </c>
      <c r="F213" s="5" t="str">
        <f>INDEX(Ingredients!J$1:J$265,(MATCH(InterventionCosts!B213,Ingredients!A$1:A$265,0)))</f>
        <v>per minute</v>
      </c>
      <c r="G213">
        <f>IF(B213="","",INDEX(Ingredients!$E$1:$E$238,(MATCH(InterventionCosts!B213,Ingredients!A$1:A$238,0))))</f>
        <v>2024</v>
      </c>
      <c r="H213" t="str">
        <f>INDEX(Ingredients!$F$1:$F$318,(MATCH(InterventionCosts!B213,Ingredients!A$1:A$318,0)))</f>
        <v xml:space="preserve">April 2024 Salary scale </v>
      </c>
      <c r="I213">
        <f>5*0.0069</f>
        <v>3.4500000000000003E-2</v>
      </c>
      <c r="J213" t="s">
        <v>1474</v>
      </c>
      <c r="K213" s="85">
        <f t="shared" si="5"/>
        <v>4.2933064742152471E-2</v>
      </c>
      <c r="L213" s="85" t="s">
        <v>280</v>
      </c>
    </row>
    <row r="214" spans="1:12">
      <c r="A214" t="s">
        <v>279</v>
      </c>
      <c r="B214" t="s">
        <v>79</v>
      </c>
      <c r="C214" s="5" t="s">
        <v>1539</v>
      </c>
      <c r="D214" t="s">
        <v>21</v>
      </c>
      <c r="E214" s="70">
        <f>IF(B214="","",INDEX(Ingredients!$I$1:$I$5013,(MATCH(InterventionCosts!B214,Ingredients!$A$1:$A$5013,0))))</f>
        <v>9.3000000000000007</v>
      </c>
      <c r="F214" s="5" t="str">
        <f>INDEX(Ingredients!J$1:J$265,(MATCH(InterventionCosts!B214,Ingredients!A$1:A$265,0)))</f>
        <v>per test</v>
      </c>
      <c r="G214">
        <f>IF(B214="","",INDEX(Ingredients!$E$1:$E$238,(MATCH(InterventionCosts!B214,Ingredients!A$1:A$238,0))))</f>
        <v>2024</v>
      </c>
      <c r="H214" t="str">
        <f>INDEX(Ingredients!$F$1:$F$318,(MATCH(InterventionCosts!B214,Ingredients!A$1:A$318,0)))</f>
        <v>https://www.treasury.gov.za/divisions/ocpo/ostb/contracts/RT41-2020.zip</v>
      </c>
      <c r="I214">
        <f>1*0.0069*1.01</f>
        <v>6.9690000000000004E-3</v>
      </c>
      <c r="J214" t="s">
        <v>1474</v>
      </c>
      <c r="K214" s="85">
        <f t="shared" si="5"/>
        <v>6.4811700000000014E-2</v>
      </c>
      <c r="L214" s="85" t="s">
        <v>280</v>
      </c>
    </row>
    <row r="215" spans="1:12">
      <c r="A215" t="s">
        <v>279</v>
      </c>
      <c r="B215" t="s">
        <v>54</v>
      </c>
      <c r="C215" s="5" t="s">
        <v>1539</v>
      </c>
      <c r="D215" s="5" t="s">
        <v>48</v>
      </c>
      <c r="E215" s="70">
        <f>IF(B215="","",INDEX(Ingredients!$I$1:$I$5013,(MATCH(InterventionCosts!B215,Ingredients!$A$1:$A$5013,0))))</f>
        <v>1.2444366591928251</v>
      </c>
      <c r="F215" s="5" t="str">
        <f>INDEX(Ingredients!J$1:J$265,(MATCH(InterventionCosts!B215,Ingredients!A$1:A$265,0)))</f>
        <v>per minute</v>
      </c>
      <c r="G215">
        <f>IF(B215="","",INDEX(Ingredients!$E$1:$E$238,(MATCH(InterventionCosts!B215,Ingredients!A$1:A$238,0))))</f>
        <v>2024</v>
      </c>
      <c r="H215" t="str">
        <f>INDEX(Ingredients!$F$1:$F$318,(MATCH(InterventionCosts!B215,Ingredients!A$1:A$318,0)))</f>
        <v xml:space="preserve">April 2024 Salary scale </v>
      </c>
      <c r="I215">
        <f>5*0.0069</f>
        <v>3.4500000000000003E-2</v>
      </c>
      <c r="J215" t="s">
        <v>1474</v>
      </c>
      <c r="K215" s="85">
        <f t="shared" si="5"/>
        <v>4.2933064742152471E-2</v>
      </c>
      <c r="L215" s="85" t="s">
        <v>328</v>
      </c>
    </row>
    <row r="216" spans="1:12">
      <c r="A216" t="s">
        <v>279</v>
      </c>
      <c r="B216" t="s">
        <v>249</v>
      </c>
      <c r="C216" s="5" t="s">
        <v>1539</v>
      </c>
      <c r="D216" t="s">
        <v>21</v>
      </c>
      <c r="E216" s="70">
        <f>IF(B216="","",INDEX(Ingredients!$I$1:$I$5013,(MATCH(InterventionCosts!B216,Ingredients!$A$1:$A$5013,0))))</f>
        <v>7.86</v>
      </c>
      <c r="F216" s="5" t="str">
        <f>INDEX(Ingredients!J$1:J$265,(MATCH(InterventionCosts!B216,Ingredients!A$1:A$265,0)))</f>
        <v>per test kit</v>
      </c>
      <c r="G216">
        <f>IF(B216="","",INDEX(Ingredients!$E$1:$E$238,(MATCH(InterventionCosts!B216,Ingredients!A$1:A$238,0))))</f>
        <v>2024</v>
      </c>
      <c r="H216" t="str">
        <f>INDEX(Ingredients!$F$1:$F$318,(MATCH(InterventionCosts!B216,Ingredients!A$1:A$318,0)))</f>
        <v>https://www.treasury.gov.za/divisions/ocpo/ostb/contracts/RT41-2020.zip</v>
      </c>
      <c r="I216">
        <f>1*0.0069*1.01</f>
        <v>6.9690000000000004E-3</v>
      </c>
      <c r="J216" t="s">
        <v>1474</v>
      </c>
      <c r="K216" s="85">
        <f t="shared" si="5"/>
        <v>5.4776340000000007E-2</v>
      </c>
      <c r="L216" s="85" t="s">
        <v>328</v>
      </c>
    </row>
    <row r="217" spans="1:12">
      <c r="A217" t="s">
        <v>279</v>
      </c>
      <c r="B217" t="s">
        <v>54</v>
      </c>
      <c r="C217" s="5" t="s">
        <v>1539</v>
      </c>
      <c r="D217" s="5" t="s">
        <v>48</v>
      </c>
      <c r="E217" s="70">
        <f>IF(B217="","",INDEX(Ingredients!$I$1:$I$5013,(MATCH(InterventionCosts!B217,Ingredients!$A$1:$A$5013,0))))</f>
        <v>1.2444366591928251</v>
      </c>
      <c r="F217" s="5" t="str">
        <f>INDEX(Ingredients!J$1:J$265,(MATCH(InterventionCosts!B217,Ingredients!A$1:A$265,0)))</f>
        <v>per minute</v>
      </c>
      <c r="G217">
        <f>IF(B217="","",INDEX(Ingredients!$E$1:$E$238,(MATCH(InterventionCosts!B217,Ingredients!A$1:A$238,0))))</f>
        <v>2024</v>
      </c>
      <c r="H217" t="str">
        <f>INDEX(Ingredients!$F$1:$F$318,(MATCH(InterventionCosts!B217,Ingredients!A$1:A$318,0)))</f>
        <v xml:space="preserve">April 2024 Salary scale </v>
      </c>
      <c r="I217">
        <f>3*0.0002</f>
        <v>6.0000000000000006E-4</v>
      </c>
      <c r="J217" t="s">
        <v>1474</v>
      </c>
      <c r="K217" s="85">
        <f t="shared" si="5"/>
        <v>7.4666199551569508E-4</v>
      </c>
      <c r="L217" s="85" t="s">
        <v>267</v>
      </c>
    </row>
    <row r="218" spans="1:12">
      <c r="A218" t="s">
        <v>279</v>
      </c>
      <c r="B218" t="s">
        <v>250</v>
      </c>
      <c r="C218" s="5" t="s">
        <v>1539</v>
      </c>
      <c r="D218" t="s">
        <v>75</v>
      </c>
      <c r="E218" s="70">
        <f>IF(B218="","",INDEX(Ingredients!$I$1:$I$5013,(MATCH(InterventionCosts!B218,Ingredients!$A$1:$A$5013,0))))</f>
        <v>71.889951748999991</v>
      </c>
      <c r="F218" s="5" t="str">
        <f>INDEX(Ingredients!J$1:J$265,(MATCH(InterventionCosts!B218,Ingredients!A$1:A$265,0)))</f>
        <v>per test</v>
      </c>
      <c r="G218">
        <f>IF(B218="","",INDEX(Ingredients!$E$1:$E$238,(MATCH(InterventionCosts!B218,Ingredients!A$1:A$238,0))))</f>
        <v>2021</v>
      </c>
      <c r="H218" t="str">
        <f>INDEX(Ingredients!$F$1:$F$318,(MATCH(InterventionCosts!B218,Ingredients!A$1:A$318,0)))</f>
        <v>NHLS 2021 price-list</v>
      </c>
      <c r="I218" s="101">
        <f>1*0.0002</f>
        <v>2.0000000000000001E-4</v>
      </c>
      <c r="J218" t="s">
        <v>1474</v>
      </c>
      <c r="K218" s="85">
        <f t="shared" si="5"/>
        <v>1.4377990349799998E-2</v>
      </c>
      <c r="L218" s="85" t="s">
        <v>267</v>
      </c>
    </row>
    <row r="219" spans="1:12">
      <c r="A219" t="s">
        <v>279</v>
      </c>
      <c r="B219" t="s">
        <v>54</v>
      </c>
      <c r="C219" s="5" t="s">
        <v>1539</v>
      </c>
      <c r="D219" s="5" t="s">
        <v>48</v>
      </c>
      <c r="E219" s="70">
        <f>IF(B219="","",INDEX(Ingredients!$I$1:$I$5013,(MATCH(InterventionCosts!B219,Ingredients!$A$1:$A$5013,0))))</f>
        <v>1.2444366591928251</v>
      </c>
      <c r="F219" s="5" t="str">
        <f>INDEX(Ingredients!J$1:J$265,(MATCH(InterventionCosts!B219,Ingredients!A$1:A$265,0)))</f>
        <v>per minute</v>
      </c>
      <c r="G219">
        <f>IF(B219="","",INDEX(Ingredients!$E$1:$E$238,(MATCH(InterventionCosts!B219,Ingredients!A$1:A$238,0))))</f>
        <v>2024</v>
      </c>
      <c r="H219" t="str">
        <f>INDEX(Ingredients!$F$1:$F$318,(MATCH(InterventionCosts!B219,Ingredients!A$1:A$318,0)))</f>
        <v xml:space="preserve">April 2024 Salary scale </v>
      </c>
      <c r="I219">
        <f>20</f>
        <v>20</v>
      </c>
      <c r="J219" t="s">
        <v>1474</v>
      </c>
      <c r="K219" s="85">
        <f t="shared" si="5"/>
        <v>24.888733183856502</v>
      </c>
      <c r="L219" s="85" t="s">
        <v>268</v>
      </c>
    </row>
    <row r="220" spans="1:12">
      <c r="A220" t="s">
        <v>279</v>
      </c>
      <c r="B220" t="s">
        <v>251</v>
      </c>
      <c r="C220" s="5" t="s">
        <v>1539</v>
      </c>
      <c r="D220" t="s">
        <v>21</v>
      </c>
      <c r="E220" s="70">
        <f>IF(B220="","",INDEX(Ingredients!$I$1:$I$5013,(MATCH(InterventionCosts!B220,Ingredients!$A$1:$A$5013,0))))</f>
        <v>1.0227713593614072</v>
      </c>
      <c r="F220" s="5" t="str">
        <f>INDEX(Ingredients!J$1:J$265,(MATCH(InterventionCosts!B220,Ingredients!A$1:A$265,0)))</f>
        <v>per 1</v>
      </c>
      <c r="G220">
        <f>IF(B220="","",INDEX(Ingredients!$E$1:$E$238,(MATCH(InterventionCosts!B220,Ingredients!A$1:A$238,0))))</f>
        <v>2016</v>
      </c>
      <c r="H220" t="str">
        <f>INDEX(Ingredients!$F$1:$F$318,(MATCH(InterventionCosts!B220,Ingredients!A$1:A$318,0)))</f>
        <v>https://doi.org/10.1038/s41598-019-49109-w</v>
      </c>
      <c r="I220">
        <f>1</f>
        <v>1</v>
      </c>
      <c r="J220" t="s">
        <v>1474</v>
      </c>
      <c r="K220" s="85">
        <f t="shared" si="5"/>
        <v>1.0227713593614072</v>
      </c>
      <c r="L220" s="85" t="s">
        <v>268</v>
      </c>
    </row>
    <row r="221" spans="1:12">
      <c r="A221" t="s">
        <v>279</v>
      </c>
      <c r="B221" t="s">
        <v>43</v>
      </c>
      <c r="C221" s="5" t="s">
        <v>1539</v>
      </c>
      <c r="D221" t="s">
        <v>21</v>
      </c>
      <c r="E221" s="70">
        <f>IF(B221="","",INDEX(Ingredients!$I$1:$I$5013,(MATCH(InterventionCosts!B221,Ingredients!$A$1:$A$5013,0))))</f>
        <v>0.61939459752201187</v>
      </c>
      <c r="F221" s="5" t="str">
        <f>INDEX(Ingredients!J$1:J$265,(MATCH(InterventionCosts!B221,Ingredients!A$1:A$265,0)))</f>
        <v>per condom</v>
      </c>
      <c r="G221">
        <f>IF(B221="","",INDEX(Ingredients!$E$1:$E$238,(MATCH(InterventionCosts!B221,Ingredients!A$1:A$238,0))))</f>
        <v>2024</v>
      </c>
      <c r="H221" t="str">
        <f>INDEX(Ingredients!$F$1:$F$318,(MATCH(InterventionCosts!B221,Ingredients!A$1:A$318,0)))</f>
        <v>https://www.treasury.gov.za/divisions/ocpo/ostb/contracts/RT75-2021.zip</v>
      </c>
      <c r="I221">
        <f>10</f>
        <v>10</v>
      </c>
      <c r="J221" t="s">
        <v>1474</v>
      </c>
      <c r="K221" s="85">
        <f t="shared" si="5"/>
        <v>6.1939459752201191</v>
      </c>
      <c r="L221" s="85" t="s">
        <v>268</v>
      </c>
    </row>
    <row r="222" spans="1:12" s="89" customFormat="1">
      <c r="A222" s="4" t="s">
        <v>279</v>
      </c>
      <c r="F222" s="89" t="s">
        <v>1164</v>
      </c>
      <c r="G222" s="89" t="str">
        <f>IF(B222="","",INDEX(Ingredients!$E$1:$E$238,(MATCH(InterventionCosts!B222,Ingredients!A$1:A$238,0))))</f>
        <v/>
      </c>
      <c r="K222" s="90"/>
      <c r="L222" s="90">
        <f>SUM(K191:K221)</f>
        <v>95.530107309101325</v>
      </c>
    </row>
    <row r="223" spans="1:12" s="89" customFormat="1">
      <c r="A223" s="4" t="s">
        <v>279</v>
      </c>
      <c r="F223" s="89" t="s">
        <v>117</v>
      </c>
      <c r="G223" s="89" t="str">
        <f>IF(B223="","",INDEX(Ingredients!$E$1:$E$238,(MATCH(InterventionCosts!B223,Ingredients!A$1:A$238,0))))</f>
        <v/>
      </c>
      <c r="K223" s="90"/>
      <c r="L223" s="90" t="s">
        <v>936</v>
      </c>
    </row>
    <row r="224" spans="1:12" s="1" customFormat="1">
      <c r="A224"/>
      <c r="G224" s="1" t="str">
        <f>IF(B224="","",INDEX(Ingredients!$E$1:$E$238,(MATCH(InterventionCosts!B224,Ingredients!A$1:A$238,0))))</f>
        <v/>
      </c>
      <c r="K224" s="87"/>
      <c r="L224" s="87"/>
    </row>
    <row r="225" spans="1:12">
      <c r="A225" t="s">
        <v>281</v>
      </c>
      <c r="B225" t="s">
        <v>320</v>
      </c>
      <c r="C225" s="5" t="s">
        <v>1539</v>
      </c>
      <c r="D225" t="s">
        <v>81</v>
      </c>
      <c r="E225" s="70">
        <f>IF(B225="","",INDEX(Ingredients!$I$1:$I$5013,(MATCH(InterventionCosts!B225,Ingredients!$A$1:$A$5013,0))))</f>
        <v>2698.1345728637612</v>
      </c>
      <c r="F225" s="5" t="str">
        <f>INDEX(Ingredients!J$1:J$265,(MATCH(InterventionCosts!B225,Ingredients!A$1:A$265,0)))</f>
        <v>monthly cost</v>
      </c>
      <c r="G225" s="5">
        <f>IF(B225="","",INDEX(Ingredients!$E$1:$E$238,(MATCH(InterventionCosts!B225,Ingredients!A$1:A$238,0))))</f>
        <v>2016</v>
      </c>
      <c r="H225" t="str">
        <f>INDEX(Ingredients!$F$1:$F$318,(MATCH(InterventionCosts!B225,Ingredients!A$1:A$318,0)))</f>
        <v>https://doi.org/10.1038/s41598-019-49109-w</v>
      </c>
      <c r="I225">
        <f>1/1000</f>
        <v>1E-3</v>
      </c>
      <c r="J225" t="s">
        <v>1474</v>
      </c>
      <c r="K225" s="85">
        <f t="shared" ref="K225:K247" si="6">I225*E225</f>
        <v>2.6981345728637613</v>
      </c>
      <c r="L225" s="12" t="s">
        <v>260</v>
      </c>
    </row>
    <row r="226" spans="1:12">
      <c r="A226" t="s">
        <v>281</v>
      </c>
      <c r="B226" t="s">
        <v>322</v>
      </c>
      <c r="C226" s="5" t="s">
        <v>1539</v>
      </c>
      <c r="D226" t="s">
        <v>67</v>
      </c>
      <c r="E226" s="70">
        <f>IF(B226="","",INDEX(Ingredients!$I$1:$I$5013,(MATCH(InterventionCosts!B226,Ingredients!$A$1:$A$5013,0))))</f>
        <v>1016.3208420138025</v>
      </c>
      <c r="F226" s="5" t="str">
        <f>INDEX(Ingredients!J$1:J$265,(MATCH(InterventionCosts!B226,Ingredients!A$1:A$265,0)))</f>
        <v>monthly cost</v>
      </c>
      <c r="G226" s="5">
        <f>IF(B226="","",INDEX(Ingredients!$E$1:$E$238,(MATCH(InterventionCosts!B226,Ingredients!A$1:A$238,0))))</f>
        <v>2016</v>
      </c>
      <c r="H226" t="str">
        <f>INDEX(Ingredients!$F$1:$F$318,(MATCH(InterventionCosts!B226,Ingredients!A$1:A$318,0)))</f>
        <v>https://doi.org/10.1038/s41598-019-49109-w</v>
      </c>
      <c r="I226">
        <f>1/1000</f>
        <v>1E-3</v>
      </c>
      <c r="J226" t="s">
        <v>1474</v>
      </c>
      <c r="K226" s="85">
        <f t="shared" si="6"/>
        <v>1.0163208420138026</v>
      </c>
      <c r="L226" s="12" t="s">
        <v>260</v>
      </c>
    </row>
    <row r="227" spans="1:12">
      <c r="A227" t="s">
        <v>281</v>
      </c>
      <c r="B227" s="5" t="s">
        <v>243</v>
      </c>
      <c r="C227" s="5" t="s">
        <v>1539</v>
      </c>
      <c r="D227" s="5" t="s">
        <v>48</v>
      </c>
      <c r="E227" s="70">
        <f>IF(B227="","",INDEX(Ingredients!$I$1:$I$5013,(MATCH(InterventionCosts!B227,Ingredients!$A$1:$A$5013,0))))</f>
        <v>1.3151532137518684</v>
      </c>
      <c r="F227" s="5" t="str">
        <f>INDEX(Ingredients!J$1:J$265,(MATCH(InterventionCosts!B227,Ingredients!A$1:A$265,0)))</f>
        <v>per minute</v>
      </c>
      <c r="G227" s="5">
        <f>IF(B227="","",INDEX(Ingredients!$E$1:$E$238,(MATCH(InterventionCosts!B227,Ingredients!A$1:A$238,0))))</f>
        <v>2024</v>
      </c>
      <c r="H227" t="str">
        <f>INDEX(Ingredients!$F$1:$F$318,(MATCH(InterventionCosts!B227,Ingredients!A$1:A$318,0)))</f>
        <v>https://www.psira.co.za/dmdocuments/Illustrative%20Costing%20Guideline%202024-2025%20AREA%201%20and%202.pdf</v>
      </c>
      <c r="I227" s="5">
        <v>0.5</v>
      </c>
      <c r="J227" t="s">
        <v>1474</v>
      </c>
      <c r="K227" s="85">
        <f t="shared" si="6"/>
        <v>0.65757660687593422</v>
      </c>
      <c r="L227" s="12" t="s">
        <v>260</v>
      </c>
    </row>
    <row r="228" spans="1:12">
      <c r="A228" t="s">
        <v>281</v>
      </c>
      <c r="B228" t="s">
        <v>52</v>
      </c>
      <c r="C228" s="5" t="s">
        <v>1539</v>
      </c>
      <c r="D228" s="5" t="s">
        <v>48</v>
      </c>
      <c r="E228" s="70">
        <f>IF(B228="","",INDEX(Ingredients!$I$1:$I$5013,(MATCH(InterventionCosts!B228,Ingredients!$A$1:$A$5013,0))))</f>
        <v>1.8019482436472347</v>
      </c>
      <c r="F228" s="5" t="str">
        <f>INDEX(Ingredients!J$1:J$265,(MATCH(InterventionCosts!B228,Ingredients!A$1:A$265,0)))</f>
        <v>per minute</v>
      </c>
      <c r="G228">
        <f>IF(B228="","",INDEX(Ingredients!$E$1:$E$238,(MATCH(InterventionCosts!B228,Ingredients!A$1:A$238,0))))</f>
        <v>2024</v>
      </c>
      <c r="H228" t="str">
        <f>INDEX(Ingredients!$F$1:$F$318,(MATCH(InterventionCosts!B228,Ingredients!A$1:A$318,0)))</f>
        <v xml:space="preserve">April 2024 Salary scale </v>
      </c>
      <c r="I228">
        <v>2</v>
      </c>
      <c r="J228" t="s">
        <v>1474</v>
      </c>
      <c r="K228" s="85">
        <f t="shared" si="6"/>
        <v>3.6038964872944694</v>
      </c>
      <c r="L228" s="12" t="s">
        <v>260</v>
      </c>
    </row>
    <row r="229" spans="1:12">
      <c r="A229" t="s">
        <v>281</v>
      </c>
      <c r="B229" t="s">
        <v>245</v>
      </c>
      <c r="C229" s="5" t="s">
        <v>1539</v>
      </c>
      <c r="D229" t="s">
        <v>21</v>
      </c>
      <c r="E229" s="70">
        <f>IF(B229="","",INDEX(Ingredients!$I$1:$I$5013,(MATCH(InterventionCosts!B229,Ingredients!$A$1:$A$5013,0))))</f>
        <v>129</v>
      </c>
      <c r="F229" s="5" t="str">
        <f>INDEX(Ingredients!J$1:J$265,(MATCH(InterventionCosts!B229,Ingredients!A$1:A$265,0)))</f>
        <v>per 20 files</v>
      </c>
      <c r="G229">
        <f>IF(B229="","",INDEX(Ingredients!$E$1:$E$238,(MATCH(InterventionCosts!B229,Ingredients!A$1:A$238,0))))</f>
        <v>2024</v>
      </c>
      <c r="H229" t="str">
        <f>INDEX(Ingredients!$F$1:$F$318,(MATCH(InterventionCosts!B229,Ingredients!A$1:A$318,0)))</f>
        <v>https://www.makro.co.za/stationery-office-furniture/paper-filing/filing-folders/file-storage/tidy-files-medium-weight-files-/p/000000000000125629_PK</v>
      </c>
      <c r="I229">
        <f>1/100</f>
        <v>0.01</v>
      </c>
      <c r="J229" t="s">
        <v>1474</v>
      </c>
      <c r="K229" s="85">
        <f t="shared" si="6"/>
        <v>1.29</v>
      </c>
      <c r="L229" s="12" t="s">
        <v>262</v>
      </c>
    </row>
    <row r="230" spans="1:12">
      <c r="A230" t="s">
        <v>281</v>
      </c>
      <c r="B230" t="s">
        <v>246</v>
      </c>
      <c r="C230" s="5" t="s">
        <v>1539</v>
      </c>
      <c r="D230" t="s">
        <v>21</v>
      </c>
      <c r="E230" s="70">
        <f>IF(B230="","",INDEX(Ingredients!$I$1:$I$5013,(MATCH(InterventionCosts!B230,Ingredients!$A$1:$A$5013,0))))</f>
        <v>0.16400000000000001</v>
      </c>
      <c r="F230" s="5" t="str">
        <f>INDEX(Ingredients!J$1:J$265,(MATCH(InterventionCosts!B230,Ingredients!A$1:A$265,0)))</f>
        <v>per page</v>
      </c>
      <c r="G230">
        <f>IF(B230="","",INDEX(Ingredients!$E$1:$E$238,(MATCH(InterventionCosts!B230,Ingredients!A$1:A$238,0))))</f>
        <v>2024</v>
      </c>
      <c r="H230" t="str">
        <f>INDEX(Ingredients!$F$1:$F$318,(MATCH(InterventionCosts!B230,Ingredients!A$1:A$318,0)))</f>
        <v>https://www.makro.co.za/stationery-office-furniture/paper-filing/paper/white-paper/copy-paper/typek-a4-office-paper-80-gsm/p/000000000000012434_BOX</v>
      </c>
      <c r="I230">
        <f>1*2</f>
        <v>2</v>
      </c>
      <c r="J230" t="s">
        <v>1474</v>
      </c>
      <c r="K230" s="85">
        <f t="shared" si="6"/>
        <v>0.32800000000000001</v>
      </c>
      <c r="L230" s="12" t="s">
        <v>261</v>
      </c>
    </row>
    <row r="231" spans="1:12">
      <c r="A231" t="s">
        <v>281</v>
      </c>
      <c r="B231" t="s">
        <v>52</v>
      </c>
      <c r="C231" s="5" t="s">
        <v>1539</v>
      </c>
      <c r="D231" s="5" t="s">
        <v>48</v>
      </c>
      <c r="E231" s="70">
        <f>IF(B231="","",INDEX(Ingredients!$I$1:$I$5013,(MATCH(InterventionCosts!B231,Ingredients!$A$1:$A$5013,0))))</f>
        <v>1.8019482436472347</v>
      </c>
      <c r="F231" s="5" t="str">
        <f>INDEX(Ingredients!J$1:J$265,(MATCH(InterventionCosts!B231,Ingredients!A$1:A$265,0)))</f>
        <v>per minute</v>
      </c>
      <c r="G231">
        <f>IF(B231="","",INDEX(Ingredients!$E$1:$E$238,(MATCH(InterventionCosts!B231,Ingredients!A$1:A$238,0))))</f>
        <v>2024</v>
      </c>
      <c r="H231" t="str">
        <f>INDEX(Ingredients!$F$1:$F$318,(MATCH(InterventionCosts!B231,Ingredients!A$1:A$318,0)))</f>
        <v xml:space="preserve">April 2024 Salary scale </v>
      </c>
      <c r="I231">
        <v>2</v>
      </c>
      <c r="J231" t="s">
        <v>1474</v>
      </c>
      <c r="K231" s="85">
        <f t="shared" si="6"/>
        <v>3.6038964872944694</v>
      </c>
      <c r="L231" s="12" t="s">
        <v>277</v>
      </c>
    </row>
    <row r="232" spans="1:12">
      <c r="A232" t="s">
        <v>281</v>
      </c>
      <c r="B232" t="s">
        <v>323</v>
      </c>
      <c r="C232" s="5" t="s">
        <v>1539</v>
      </c>
      <c r="D232" t="s">
        <v>81</v>
      </c>
      <c r="E232" s="70">
        <f>IF(B232="","",INDEX(Ingredients!$I$1:$I$5013,(MATCH(InterventionCosts!B232,Ingredients!$A$1:$A$5013,0))))</f>
        <v>1321.110140433256</v>
      </c>
      <c r="F232" s="5" t="str">
        <f>INDEX(Ingredients!J$1:J$265,(MATCH(InterventionCosts!B232,Ingredients!A$1:A$265,0)))</f>
        <v>monthly cost</v>
      </c>
      <c r="G232" s="5">
        <f>IF(B232="","",INDEX(Ingredients!$E$1:$E$238,(MATCH(InterventionCosts!B232,Ingredients!A$1:A$238,0))))</f>
        <v>2016</v>
      </c>
      <c r="H232" t="str">
        <f>INDEX(Ingredients!$F$1:$F$318,(MATCH(InterventionCosts!B232,Ingredients!A$1:A$318,0)))</f>
        <v>https://doi.org/10.1038/s41598-019-49109-w</v>
      </c>
      <c r="I232">
        <f>1/1000</f>
        <v>1E-3</v>
      </c>
      <c r="J232" t="s">
        <v>1474</v>
      </c>
      <c r="K232" s="85">
        <f t="shared" si="6"/>
        <v>1.3211101404332559</v>
      </c>
      <c r="L232" s="12" t="s">
        <v>277</v>
      </c>
    </row>
    <row r="233" spans="1:12">
      <c r="A233" t="s">
        <v>281</v>
      </c>
      <c r="B233" t="s">
        <v>324</v>
      </c>
      <c r="C233" s="5" t="s">
        <v>1539</v>
      </c>
      <c r="D233" t="s">
        <v>67</v>
      </c>
      <c r="E233" s="70">
        <f>IF(B233="","",INDEX(Ingredients!$I$1:$I$5013,(MATCH(InterventionCosts!B233,Ingredients!$A$1:$A$5013,0))))</f>
        <v>284.21265617383841</v>
      </c>
      <c r="F233" s="5" t="str">
        <f>INDEX(Ingredients!J$1:J$265,(MATCH(InterventionCosts!B233,Ingredients!A$1:A$265,0)))</f>
        <v>monthly cost</v>
      </c>
      <c r="G233" s="5">
        <f>IF(B233="","",INDEX(Ingredients!$E$1:$E$238,(MATCH(InterventionCosts!B233,Ingredients!A$1:A$238,0))))</f>
        <v>2019</v>
      </c>
      <c r="H233" t="str">
        <f>INDEX(Ingredients!$F$1:$F$318,(MATCH(InterventionCosts!B233,Ingredients!A$1:A$318,0)))</f>
        <v>https://doi.org/10.1038/s41598-019-49109-w 2016 updated</v>
      </c>
      <c r="I233">
        <f>1/1000</f>
        <v>1E-3</v>
      </c>
      <c r="J233" t="s">
        <v>1474</v>
      </c>
      <c r="K233" s="85">
        <f t="shared" si="6"/>
        <v>0.2842126561738384</v>
      </c>
      <c r="L233" s="12" t="s">
        <v>277</v>
      </c>
    </row>
    <row r="234" spans="1:12">
      <c r="A234" t="s">
        <v>281</v>
      </c>
      <c r="B234" t="s">
        <v>54</v>
      </c>
      <c r="C234" s="5" t="s">
        <v>1539</v>
      </c>
      <c r="D234" s="5" t="s">
        <v>48</v>
      </c>
      <c r="E234" s="70">
        <f>IF(B234="","",INDEX(Ingredients!$I$1:$I$5013,(MATCH(InterventionCosts!B234,Ingredients!$A$1:$A$5013,0))))</f>
        <v>1.2444366591928251</v>
      </c>
      <c r="F234" s="5" t="str">
        <f>INDEX(Ingredients!J$1:J$265,(MATCH(InterventionCosts!B234,Ingredients!A$1:A$265,0)))</f>
        <v>per minute</v>
      </c>
      <c r="G234">
        <f>IF(B234="","",INDEX(Ingredients!$E$1:$E$238,(MATCH(InterventionCosts!B234,Ingredients!A$1:A$238,0))))</f>
        <v>2024</v>
      </c>
      <c r="H234" t="str">
        <f>INDEX(Ingredients!$F$1:$F$318,(MATCH(InterventionCosts!B234,Ingredients!A$1:A$318,0)))</f>
        <v xml:space="preserve">April 2024 Salary scale </v>
      </c>
      <c r="I234">
        <v>5</v>
      </c>
      <c r="J234" t="s">
        <v>1474</v>
      </c>
      <c r="K234" s="85">
        <f t="shared" si="6"/>
        <v>6.2221832959641254</v>
      </c>
      <c r="L234" s="85" t="s">
        <v>259</v>
      </c>
    </row>
    <row r="235" spans="1:12">
      <c r="A235" t="s">
        <v>281</v>
      </c>
      <c r="B235" t="s">
        <v>54</v>
      </c>
      <c r="C235" s="5" t="s">
        <v>1539</v>
      </c>
      <c r="D235" t="s">
        <v>21</v>
      </c>
      <c r="E235" s="70">
        <f>IF(B235="","",INDEX(Ingredients!$I$1:$I$5013,(MATCH(InterventionCosts!B235,Ingredients!$A$1:$A$5013,0))))</f>
        <v>1.2444366591928251</v>
      </c>
      <c r="F235" s="5" t="str">
        <f>INDEX(Ingredients!J$1:J$265,(MATCH(InterventionCosts!B235,Ingredients!A$1:A$265,0)))</f>
        <v>per minute</v>
      </c>
      <c r="G235">
        <f>IF(B235="","",INDEX(Ingredients!$E$1:$E$238,(MATCH(InterventionCosts!B235,Ingredients!A$1:A$238,0))))</f>
        <v>2024</v>
      </c>
      <c r="H235" t="str">
        <f>INDEX(Ingredients!$F$1:$F$318,(MATCH(InterventionCosts!B235,Ingredients!A$1:A$318,0)))</f>
        <v xml:space="preserve">April 2024 Salary scale </v>
      </c>
      <c r="I235">
        <v>10</v>
      </c>
      <c r="J235" s="86" t="s">
        <v>1474</v>
      </c>
      <c r="K235" s="85">
        <f t="shared" si="6"/>
        <v>12.444366591928251</v>
      </c>
      <c r="L235" s="85" t="s">
        <v>257</v>
      </c>
    </row>
    <row r="236" spans="1:12">
      <c r="A236" t="s">
        <v>281</v>
      </c>
      <c r="B236" t="s">
        <v>246</v>
      </c>
      <c r="C236" s="5" t="s">
        <v>1539</v>
      </c>
      <c r="D236" s="5" t="s">
        <v>48</v>
      </c>
      <c r="E236" s="70">
        <f>IF(B236="","",INDEX(Ingredients!$I$1:$I$5013,(MATCH(InterventionCosts!B236,Ingredients!$A$1:$A$5013,0))))</f>
        <v>0.16400000000000001</v>
      </c>
      <c r="F236" s="5" t="str">
        <f>INDEX(Ingredients!J$1:J$265,(MATCH(InterventionCosts!B236,Ingredients!A$1:A$265,0)))</f>
        <v>per page</v>
      </c>
      <c r="G236">
        <f>IF(B236="","",INDEX(Ingredients!$E$1:$E$238,(MATCH(InterventionCosts!B236,Ingredients!A$1:A$238,0))))</f>
        <v>2024</v>
      </c>
      <c r="H236" t="str">
        <f>INDEX(Ingredients!$F$1:$F$318,(MATCH(InterventionCosts!B236,Ingredients!A$1:A$318,0)))</f>
        <v>https://www.makro.co.za/stationery-office-furniture/paper-filing/paper/white-paper/copy-paper/typek-a4-office-paper-80-gsm/p/000000000000012434_BOX</v>
      </c>
      <c r="I236">
        <f>1</f>
        <v>1</v>
      </c>
      <c r="J236" t="s">
        <v>1474</v>
      </c>
      <c r="K236" s="85">
        <f t="shared" si="6"/>
        <v>0.16400000000000001</v>
      </c>
      <c r="L236" s="85" t="s">
        <v>263</v>
      </c>
    </row>
    <row r="237" spans="1:12">
      <c r="A237" t="s">
        <v>281</v>
      </c>
      <c r="B237" t="s">
        <v>325</v>
      </c>
      <c r="C237" s="5" t="s">
        <v>1539</v>
      </c>
      <c r="D237" t="s">
        <v>81</v>
      </c>
      <c r="E237" s="70">
        <f>IF(B237="","",INDEX(Ingredients!$I$1:$I$5013,(MATCH(InterventionCosts!B237,Ingredients!$A$1:$A$5013,0))))</f>
        <v>264.22202808665122</v>
      </c>
      <c r="F237" s="5" t="str">
        <f>INDEX(Ingredients!J$1:J$265,(MATCH(InterventionCosts!B237,Ingredients!A$1:A$265,0)))</f>
        <v>monthly cost</v>
      </c>
      <c r="G237">
        <f>IF(B237="","",INDEX(Ingredients!$E$1:$E$238,(MATCH(InterventionCosts!B237,Ingredients!A$1:A$238,0))))</f>
        <v>2016</v>
      </c>
      <c r="H237" t="str">
        <f>INDEX(Ingredients!$F$1:$F$318,(MATCH(InterventionCosts!B237,Ingredients!A$1:A$318,0)))</f>
        <v>https://doi.org/10.1038/s41598-019-49109-w</v>
      </c>
      <c r="I237">
        <f>1/1000</f>
        <v>1E-3</v>
      </c>
      <c r="J237" t="s">
        <v>1474</v>
      </c>
      <c r="K237" s="85">
        <f t="shared" si="6"/>
        <v>0.26422202808665124</v>
      </c>
      <c r="L237" s="85" t="s">
        <v>258</v>
      </c>
    </row>
    <row r="238" spans="1:12">
      <c r="A238" t="s">
        <v>281</v>
      </c>
      <c r="B238" t="s">
        <v>326</v>
      </c>
      <c r="C238" s="5" t="s">
        <v>1539</v>
      </c>
      <c r="D238" t="s">
        <v>67</v>
      </c>
      <c r="E238" s="70">
        <f>IF(B238="","",INDEX(Ingredients!$I$1:$I$5013,(MATCH(InterventionCosts!B238,Ingredients!$A$1:$A$5013,0))))</f>
        <v>141.60550151947027</v>
      </c>
      <c r="F238" s="5" t="str">
        <f>INDEX(Ingredients!J$1:J$265,(MATCH(InterventionCosts!B238,Ingredients!A$1:A$265,0)))</f>
        <v>monthly cost</v>
      </c>
      <c r="G238">
        <f>IF(B238="","",INDEX(Ingredients!$E$1:$E$238,(MATCH(InterventionCosts!B238,Ingredients!A$1:A$238,0))))</f>
        <v>2019</v>
      </c>
      <c r="H238" t="str">
        <f>INDEX(Ingredients!$F$1:$F$318,(MATCH(InterventionCosts!B238,Ingredients!A$1:A$318,0)))</f>
        <v>https://doi.org/10.1038/s41598-019-49109-w 2016 updated</v>
      </c>
      <c r="I238">
        <f>1/1000</f>
        <v>1E-3</v>
      </c>
      <c r="J238" t="s">
        <v>1474</v>
      </c>
      <c r="K238" s="85">
        <f t="shared" si="6"/>
        <v>0.14160550151947027</v>
      </c>
      <c r="L238" s="85" t="s">
        <v>258</v>
      </c>
    </row>
    <row r="239" spans="1:12">
      <c r="A239" t="s">
        <v>281</v>
      </c>
      <c r="B239" t="s">
        <v>54</v>
      </c>
      <c r="C239" s="5" t="s">
        <v>1539</v>
      </c>
      <c r="D239" t="s">
        <v>21</v>
      </c>
      <c r="E239" s="70">
        <f>IF(B239="","",INDEX(Ingredients!$I$1:$I$5013,(MATCH(InterventionCosts!B239,Ingredients!$A$1:$A$5013,0))))</f>
        <v>1.2444366591928251</v>
      </c>
      <c r="F239" s="5" t="str">
        <f>INDEX(Ingredients!J$1:J$265,(MATCH(InterventionCosts!B239,Ingredients!A$1:A$265,0)))</f>
        <v>per minute</v>
      </c>
      <c r="G239">
        <f>IF(B239="","",INDEX(Ingredients!$E$1:$E$238,(MATCH(InterventionCosts!B239,Ingredients!A$1:A$238,0))))</f>
        <v>2024</v>
      </c>
      <c r="H239" t="str">
        <f>INDEX(Ingredients!$F$1:$F$318,(MATCH(InterventionCosts!B239,Ingredients!A$1:A$318,0)))</f>
        <v xml:space="preserve">April 2024 Salary scale </v>
      </c>
      <c r="I239">
        <v>5</v>
      </c>
      <c r="J239" t="s">
        <v>1474</v>
      </c>
      <c r="K239" s="85">
        <f t="shared" si="6"/>
        <v>6.2221832959641254</v>
      </c>
      <c r="L239" s="85" t="s">
        <v>258</v>
      </c>
    </row>
    <row r="240" spans="1:12">
      <c r="A240" t="s">
        <v>281</v>
      </c>
      <c r="B240" t="s">
        <v>352</v>
      </c>
      <c r="C240" s="5" t="s">
        <v>1539</v>
      </c>
      <c r="D240" t="s">
        <v>21</v>
      </c>
      <c r="E240" s="70">
        <f>IF(B240="","",INDEX(Ingredients!$I$1:$I$5013,(MATCH(InterventionCosts!B240,Ingredients!$A$1:$A$5013,0))))</f>
        <v>17.920000000000002</v>
      </c>
      <c r="F240" s="5" t="str">
        <f>INDEX(Ingredients!J$1:J$265,(MATCH(InterventionCosts!B240,Ingredients!A$1:A$265,0)))</f>
        <v>per 500ml</v>
      </c>
      <c r="G240">
        <f>IF(B240="","",INDEX(Ingredients!$E$1:$E$238,(MATCH(InterventionCosts!B240,Ingredients!A$1:A$238,0))))</f>
        <v>2024</v>
      </c>
      <c r="H240" t="str">
        <f>INDEX(Ingredients!$F$1:$F$318,(MATCH(InterventionCosts!B240,Ingredients!A$1:A$318,0)))</f>
        <v>https://www.health.gov.za/wp-content/uploads/2024/04/HP12-2023LQ-CPA-Add-4-12-Effective-1-May-2024.pdf</v>
      </c>
      <c r="I240">
        <f>1/100*1.01</f>
        <v>1.01E-2</v>
      </c>
      <c r="J240" t="s">
        <v>1474</v>
      </c>
      <c r="K240" s="85">
        <f t="shared" si="6"/>
        <v>0.18099200000000001</v>
      </c>
      <c r="L240" s="85" t="s">
        <v>357</v>
      </c>
    </row>
    <row r="241" spans="1:12">
      <c r="A241" t="s">
        <v>281</v>
      </c>
      <c r="B241" t="s">
        <v>1489</v>
      </c>
      <c r="C241" s="5" t="s">
        <v>1539</v>
      </c>
      <c r="D241" t="s">
        <v>21</v>
      </c>
      <c r="E241" s="70">
        <f>IF(B241="","",INDEX(Ingredients!$I$1:$I$5013,(MATCH(InterventionCosts!B241,Ingredients!$A$1:$A$5013,0))))</f>
        <v>53.08</v>
      </c>
      <c r="F241" s="5" t="str">
        <f>INDEX(Ingredients!J$1:J$265,(MATCH(InterventionCosts!B241,Ingredients!A$1:A$265,0)))</f>
        <v>per pack 100, 50 pairs</v>
      </c>
      <c r="G241">
        <f>IF(B241="","",INDEX(Ingredients!$E$1:$E$238,(MATCH(InterventionCosts!B241,Ingredients!A$1:A$238,0))))</f>
        <v>2024</v>
      </c>
      <c r="H241" t="str">
        <f>INDEX(Ingredients!$F$1:$F$318,(MATCH(InterventionCosts!B241,Ingredients!A$1:A$318,0)))</f>
        <v>https://www.treasury.gov.za/divisions/ocpo/ostb/contracts/RT76-2023%20CPA%20Amendment%204-%20Effective%2001%20May%202024.pdf</v>
      </c>
      <c r="I241">
        <f>1/50</f>
        <v>0.02</v>
      </c>
      <c r="J241" t="s">
        <v>1474</v>
      </c>
      <c r="K241" s="85">
        <f t="shared" si="6"/>
        <v>1.0615999999999999</v>
      </c>
      <c r="L241" s="85" t="s">
        <v>265</v>
      </c>
    </row>
    <row r="242" spans="1:12">
      <c r="A242" t="s">
        <v>281</v>
      </c>
      <c r="B242" t="s">
        <v>79</v>
      </c>
      <c r="C242" s="5" t="s">
        <v>1539</v>
      </c>
      <c r="D242" t="s">
        <v>21</v>
      </c>
      <c r="E242" s="70">
        <f>IF(B242="","",INDEX(Ingredients!$I$1:$I$5013,(MATCH(InterventionCosts!B242,Ingredients!$A$1:$A$5013,0))))</f>
        <v>9.3000000000000007</v>
      </c>
      <c r="F242" s="5" t="str">
        <f>INDEX(Ingredients!J$1:J$265,(MATCH(InterventionCosts!B242,Ingredients!A$1:A$265,0)))</f>
        <v>per test</v>
      </c>
      <c r="G242">
        <f>IF(B242="","",INDEX(Ingredients!$E$1:$E$238,(MATCH(InterventionCosts!B242,Ingredients!A$1:A$238,0))))</f>
        <v>2024</v>
      </c>
      <c r="H242" t="str">
        <f>INDEX(Ingredients!$F$1:$F$318,(MATCH(InterventionCosts!B242,Ingredients!A$1:A$318,0)))</f>
        <v>https://www.treasury.gov.za/divisions/ocpo/ostb/contracts/RT41-2020.zip</v>
      </c>
      <c r="I242">
        <v>1</v>
      </c>
      <c r="J242" t="s">
        <v>1474</v>
      </c>
      <c r="K242" s="85">
        <f t="shared" si="6"/>
        <v>9.3000000000000007</v>
      </c>
      <c r="L242" s="85" t="s">
        <v>258</v>
      </c>
    </row>
    <row r="243" spans="1:12">
      <c r="A243" t="s">
        <v>281</v>
      </c>
      <c r="B243" t="s">
        <v>248</v>
      </c>
      <c r="C243" s="5" t="s">
        <v>1539</v>
      </c>
      <c r="D243" t="s">
        <v>21</v>
      </c>
      <c r="E243" s="70">
        <f>IF(B243="","",INDEX(Ingredients!$I$1:$I$5013,(MATCH(InterventionCosts!B243,Ingredients!$A$1:$A$5013,0))))</f>
        <v>2.645</v>
      </c>
      <c r="F243" s="5" t="str">
        <f>INDEX(Ingredients!J$1:J$265,(MATCH(InterventionCosts!B243,Ingredients!A$1:A$265,0)))</f>
        <v>per bag</v>
      </c>
      <c r="G243">
        <f>IF(B243="","",INDEX(Ingredients!$E$1:$E$238,(MATCH(InterventionCosts!B243,Ingredients!A$1:A$238,0))))</f>
        <v>2024</v>
      </c>
      <c r="H243" t="str">
        <f>INDEX(Ingredients!$F$1:$F$318,(MATCH(InterventionCosts!B243,Ingredients!A$1:A$318,0)))</f>
        <v>https://medqsupplies.co.za/product/bio-hazard-plastic-bags/</v>
      </c>
      <c r="I243">
        <v>1</v>
      </c>
      <c r="J243" t="s">
        <v>1474</v>
      </c>
      <c r="K243" s="85">
        <f t="shared" si="6"/>
        <v>2.645</v>
      </c>
      <c r="L243" s="85" t="s">
        <v>258</v>
      </c>
    </row>
    <row r="244" spans="1:12">
      <c r="A244" t="s">
        <v>281</v>
      </c>
      <c r="B244" t="s">
        <v>31</v>
      </c>
      <c r="C244" s="5" t="s">
        <v>1539</v>
      </c>
      <c r="D244" t="s">
        <v>21</v>
      </c>
      <c r="E244" s="70">
        <f>IF(B244="","",INDEX(Ingredients!$I$1:$I$5013,(MATCH(InterventionCosts!B244,Ingredients!$A$1:$A$5013,0))))</f>
        <v>31.4</v>
      </c>
      <c r="F244" s="5" t="str">
        <f>INDEX(Ingredients!J$1:J$265,(MATCH(InterventionCosts!B244,Ingredients!A$1:A$265,0)))</f>
        <v>per 100 swabs</v>
      </c>
      <c r="G244">
        <f>IF(B244="","",INDEX(Ingredients!$E$1:$E$238,(MATCH(InterventionCosts!B244,Ingredients!A$1:A$238,0))))</f>
        <v>2024</v>
      </c>
      <c r="H244" t="str">
        <f>INDEX(Ingredients!$F$1:$F$318,(MATCH(InterventionCosts!B244,Ingredients!A$1:A$318,0)))</f>
        <v xml:space="preserve">http://www.treasury.gov.za/divisions/ocpo/ostb/contracts/RT42-2022zip </v>
      </c>
      <c r="I244">
        <f>1/100</f>
        <v>0.01</v>
      </c>
      <c r="J244" t="s">
        <v>1474</v>
      </c>
      <c r="K244" s="85">
        <f t="shared" si="6"/>
        <v>0.314</v>
      </c>
      <c r="L244" s="85" t="s">
        <v>258</v>
      </c>
    </row>
    <row r="245" spans="1:12">
      <c r="A245" t="s">
        <v>281</v>
      </c>
      <c r="B245" t="s">
        <v>54</v>
      </c>
      <c r="C245" s="5" t="s">
        <v>1539</v>
      </c>
      <c r="D245" s="5" t="s">
        <v>48</v>
      </c>
      <c r="E245" s="70">
        <f>IF(B245="","",INDEX(Ingredients!$I$1:$I$5013,(MATCH(InterventionCosts!B245,Ingredients!$A$1:$A$5013,0))))</f>
        <v>1.2444366591928251</v>
      </c>
      <c r="F245" s="5" t="str">
        <f>INDEX(Ingredients!J$1:J$265,(MATCH(InterventionCosts!B245,Ingredients!A$1:A$265,0)))</f>
        <v>per minute</v>
      </c>
      <c r="G245">
        <f>IF(B245="","",INDEX(Ingredients!$E$1:$E$238,(MATCH(InterventionCosts!B245,Ingredients!A$1:A$238,0))))</f>
        <v>2024</v>
      </c>
      <c r="H245" t="str">
        <f>INDEX(Ingredients!$F$1:$F$318,(MATCH(InterventionCosts!B245,Ingredients!A$1:A$318,0)))</f>
        <v xml:space="preserve">April 2024 Salary scale </v>
      </c>
      <c r="I245">
        <f>5*0.94</f>
        <v>4.6999999999999993</v>
      </c>
      <c r="J245" t="s">
        <v>1474</v>
      </c>
      <c r="K245" s="85">
        <f t="shared" si="6"/>
        <v>5.8488522982062774</v>
      </c>
      <c r="L245" s="85" t="s">
        <v>282</v>
      </c>
    </row>
    <row r="246" spans="1:12">
      <c r="A246" t="s">
        <v>281</v>
      </c>
      <c r="B246" t="s">
        <v>251</v>
      </c>
      <c r="C246" s="5" t="s">
        <v>1539</v>
      </c>
      <c r="D246" t="s">
        <v>21</v>
      </c>
      <c r="E246" s="70">
        <f>IF(B246="","",INDEX(Ingredients!$I$1:$I$5013,(MATCH(InterventionCosts!B246,Ingredients!$A$1:$A$5013,0))))</f>
        <v>1.0227713593614072</v>
      </c>
      <c r="F246" s="5" t="str">
        <f>INDEX(Ingredients!J$1:J$265,(MATCH(InterventionCosts!B246,Ingredients!A$1:A$265,0)))</f>
        <v>per 1</v>
      </c>
      <c r="G246">
        <f>IF(B246="","",INDEX(Ingredients!$E$1:$E$238,(MATCH(InterventionCosts!B246,Ingredients!A$1:A$238,0))))</f>
        <v>2016</v>
      </c>
      <c r="H246" t="str">
        <f>INDEX(Ingredients!$F$1:$F$318,(MATCH(InterventionCosts!B246,Ingredients!A$1:A$318,0)))</f>
        <v>https://doi.org/10.1038/s41598-019-49109-w</v>
      </c>
      <c r="I246">
        <f>1*0.94</f>
        <v>0.94</v>
      </c>
      <c r="J246" t="s">
        <v>1474</v>
      </c>
      <c r="K246" s="85">
        <f t="shared" si="6"/>
        <v>0.96140507779972273</v>
      </c>
      <c r="L246" s="85" t="s">
        <v>282</v>
      </c>
    </row>
    <row r="247" spans="1:12">
      <c r="A247" t="s">
        <v>281</v>
      </c>
      <c r="B247" t="s">
        <v>43</v>
      </c>
      <c r="C247" s="5" t="s">
        <v>1539</v>
      </c>
      <c r="D247" t="s">
        <v>21</v>
      </c>
      <c r="E247" s="70">
        <f>IF(B247="","",INDEX(Ingredients!$I$1:$I$5013,(MATCH(InterventionCosts!B247,Ingredients!$A$1:$A$5013,0))))</f>
        <v>0.61939459752201187</v>
      </c>
      <c r="F247" s="5" t="str">
        <f>INDEX(Ingredients!J$1:J$265,(MATCH(InterventionCosts!B247,Ingredients!A$1:A$265,0)))</f>
        <v>per condom</v>
      </c>
      <c r="G247">
        <f>IF(B247="","",INDEX(Ingredients!$E$1:$E$238,(MATCH(InterventionCosts!B247,Ingredients!A$1:A$238,0))))</f>
        <v>2024</v>
      </c>
      <c r="H247" t="str">
        <f>INDEX(Ingredients!$F$1:$F$318,(MATCH(InterventionCosts!B247,Ingredients!A$1:A$318,0)))</f>
        <v>https://www.treasury.gov.za/divisions/ocpo/ostb/contracts/RT75-2021.zip</v>
      </c>
      <c r="I247">
        <f>10*0.94</f>
        <v>9.3999999999999986</v>
      </c>
      <c r="J247" t="s">
        <v>1474</v>
      </c>
      <c r="K247" s="85">
        <f t="shared" si="6"/>
        <v>5.8223092167069108</v>
      </c>
      <c r="L247" s="85" t="s">
        <v>282</v>
      </c>
    </row>
    <row r="248" spans="1:12" s="89" customFormat="1">
      <c r="A248" s="4" t="s">
        <v>281</v>
      </c>
      <c r="F248" s="89" t="s">
        <v>1164</v>
      </c>
      <c r="G248" s="89" t="str">
        <f>IF(B248="","",INDEX(Ingredients!$E$1:$E$238,(MATCH(InterventionCosts!B248,Ingredients!A$1:A$238,0))))</f>
        <v/>
      </c>
      <c r="K248" s="90"/>
      <c r="L248" s="90">
        <f>SUM(K225:K247)</f>
        <v>66.395867099125056</v>
      </c>
    </row>
    <row r="249" spans="1:12" s="89" customFormat="1">
      <c r="A249" s="4" t="s">
        <v>281</v>
      </c>
      <c r="F249" s="89" t="s">
        <v>117</v>
      </c>
      <c r="G249" s="89" t="str">
        <f>IF(B249="","",INDEX(Ingredients!$E$1:$E$238,(MATCH(InterventionCosts!B249,Ingredients!A$1:A$238,0))))</f>
        <v/>
      </c>
      <c r="K249" s="90"/>
      <c r="L249" s="90" t="s">
        <v>936</v>
      </c>
    </row>
    <row r="250" spans="1:12">
      <c r="G250" t="str">
        <f>IF(B250="","",INDEX(Ingredients!$E$1:$E$238,(MATCH(InterventionCosts!B250,Ingredients!A$1:A$238,0))))</f>
        <v/>
      </c>
    </row>
    <row r="251" spans="1:12">
      <c r="A251" t="s">
        <v>283</v>
      </c>
      <c r="B251" t="s">
        <v>320</v>
      </c>
      <c r="C251" s="5" t="s">
        <v>1539</v>
      </c>
      <c r="D251" t="s">
        <v>81</v>
      </c>
      <c r="E251" s="70">
        <f>IF(B251="","",INDEX(Ingredients!$I$1:$I$5013,(MATCH(InterventionCosts!B251,Ingredients!$A$1:$A$5013,0))))</f>
        <v>2698.1345728637612</v>
      </c>
      <c r="F251" s="5" t="str">
        <f>INDEX(Ingredients!J$1:J$265,(MATCH(InterventionCosts!B251,Ingredients!A$1:A$265,0)))</f>
        <v>monthly cost</v>
      </c>
      <c r="G251" s="5">
        <f>IF(B251="","",INDEX(Ingredients!$E$1:$E$238,(MATCH(InterventionCosts!B251,Ingredients!A$1:A$238,0))))</f>
        <v>2016</v>
      </c>
      <c r="H251" t="str">
        <f>INDEX(Ingredients!$F$1:$F$318,(MATCH(InterventionCosts!B251,Ingredients!A$1:A$318,0)))</f>
        <v>https://doi.org/10.1038/s41598-019-49109-w</v>
      </c>
      <c r="I251">
        <f>1/1000</f>
        <v>1E-3</v>
      </c>
      <c r="J251" t="s">
        <v>1474</v>
      </c>
      <c r="K251" s="85">
        <f t="shared" ref="K251:K285" si="7">I251*E251</f>
        <v>2.6981345728637613</v>
      </c>
      <c r="L251" s="12" t="s">
        <v>260</v>
      </c>
    </row>
    <row r="252" spans="1:12">
      <c r="A252" t="s">
        <v>283</v>
      </c>
      <c r="B252" t="s">
        <v>322</v>
      </c>
      <c r="C252" s="5" t="s">
        <v>1539</v>
      </c>
      <c r="D252" t="s">
        <v>67</v>
      </c>
      <c r="E252" s="70">
        <f>IF(B252="","",INDEX(Ingredients!$I$1:$I$5013,(MATCH(InterventionCosts!B252,Ingredients!$A$1:$A$5013,0))))</f>
        <v>1016.3208420138025</v>
      </c>
      <c r="F252" s="5" t="str">
        <f>INDEX(Ingredients!J$1:J$265,(MATCH(InterventionCosts!B252,Ingredients!A$1:A$265,0)))</f>
        <v>monthly cost</v>
      </c>
      <c r="G252" s="5">
        <f>IF(B252="","",INDEX(Ingredients!$E$1:$E$238,(MATCH(InterventionCosts!B252,Ingredients!A$1:A$238,0))))</f>
        <v>2016</v>
      </c>
      <c r="H252" t="str">
        <f>INDEX(Ingredients!$F$1:$F$318,(MATCH(InterventionCosts!B252,Ingredients!A$1:A$318,0)))</f>
        <v>https://doi.org/10.1038/s41598-019-49109-w</v>
      </c>
      <c r="I252">
        <f>1/1000</f>
        <v>1E-3</v>
      </c>
      <c r="J252" t="s">
        <v>1474</v>
      </c>
      <c r="K252" s="85">
        <f t="shared" si="7"/>
        <v>1.0163208420138026</v>
      </c>
      <c r="L252" s="12" t="s">
        <v>260</v>
      </c>
    </row>
    <row r="253" spans="1:12">
      <c r="A253" t="s">
        <v>283</v>
      </c>
      <c r="B253" s="5" t="s">
        <v>243</v>
      </c>
      <c r="C253" s="5" t="s">
        <v>1539</v>
      </c>
      <c r="D253" s="5" t="s">
        <v>48</v>
      </c>
      <c r="E253" s="70">
        <f>IF(B253="","",INDEX(Ingredients!$I$1:$I$5013,(MATCH(InterventionCosts!B253,Ingredients!$A$1:$A$5013,0))))</f>
        <v>1.3151532137518684</v>
      </c>
      <c r="F253" s="5" t="str">
        <f>INDEX(Ingredients!J$1:J$265,(MATCH(InterventionCosts!B253,Ingredients!A$1:A$265,0)))</f>
        <v>per minute</v>
      </c>
      <c r="G253" s="5">
        <f>IF(B253="","",INDEX(Ingredients!$E$1:$E$238,(MATCH(InterventionCosts!B253,Ingredients!A$1:A$238,0))))</f>
        <v>2024</v>
      </c>
      <c r="H253" t="str">
        <f>INDEX(Ingredients!$F$1:$F$318,(MATCH(InterventionCosts!B253,Ingredients!A$1:A$318,0)))</f>
        <v>https://www.psira.co.za/dmdocuments/Illustrative%20Costing%20Guideline%202024-2025%20AREA%201%20and%202.pdf</v>
      </c>
      <c r="I253" s="5">
        <v>0.5</v>
      </c>
      <c r="J253" t="s">
        <v>1474</v>
      </c>
      <c r="K253" s="85">
        <f t="shared" si="7"/>
        <v>0.65757660687593422</v>
      </c>
      <c r="L253" s="12" t="s">
        <v>260</v>
      </c>
    </row>
    <row r="254" spans="1:12">
      <c r="A254" t="s">
        <v>283</v>
      </c>
      <c r="B254" t="s">
        <v>52</v>
      </c>
      <c r="C254" s="5" t="s">
        <v>1539</v>
      </c>
      <c r="D254" s="5" t="s">
        <v>48</v>
      </c>
      <c r="E254" s="70">
        <f>IF(B254="","",INDEX(Ingredients!$I$1:$I$5013,(MATCH(InterventionCosts!B254,Ingredients!$A$1:$A$5013,0))))</f>
        <v>1.8019482436472347</v>
      </c>
      <c r="F254" s="5" t="str">
        <f>INDEX(Ingredients!J$1:J$265,(MATCH(InterventionCosts!B254,Ingredients!A$1:A$265,0)))</f>
        <v>per minute</v>
      </c>
      <c r="G254">
        <f>IF(B254="","",INDEX(Ingredients!$E$1:$E$238,(MATCH(InterventionCosts!B254,Ingredients!A$1:A$238,0))))</f>
        <v>2024</v>
      </c>
      <c r="H254" t="str">
        <f>INDEX(Ingredients!$F$1:$F$318,(MATCH(InterventionCosts!B254,Ingredients!A$1:A$318,0)))</f>
        <v xml:space="preserve">April 2024 Salary scale </v>
      </c>
      <c r="I254">
        <v>2</v>
      </c>
      <c r="J254" t="s">
        <v>1474</v>
      </c>
      <c r="K254" s="85">
        <f t="shared" si="7"/>
        <v>3.6038964872944694</v>
      </c>
      <c r="L254" s="12" t="s">
        <v>260</v>
      </c>
    </row>
    <row r="255" spans="1:12">
      <c r="A255" t="s">
        <v>283</v>
      </c>
      <c r="B255" t="s">
        <v>245</v>
      </c>
      <c r="C255" s="5" t="s">
        <v>1539</v>
      </c>
      <c r="D255" t="s">
        <v>21</v>
      </c>
      <c r="E255" s="70">
        <f>IF(B255="","",INDEX(Ingredients!$I$1:$I$5013,(MATCH(InterventionCosts!B255,Ingredients!$A$1:$A$5013,0))))</f>
        <v>129</v>
      </c>
      <c r="F255" s="5" t="str">
        <f>INDEX(Ingredients!J$1:J$265,(MATCH(InterventionCosts!B255,Ingredients!A$1:A$265,0)))</f>
        <v>per 20 files</v>
      </c>
      <c r="G255">
        <f>IF(B255="","",INDEX(Ingredients!$E$1:$E$238,(MATCH(InterventionCosts!B255,Ingredients!A$1:A$238,0))))</f>
        <v>2024</v>
      </c>
      <c r="H255" t="str">
        <f>INDEX(Ingredients!$F$1:$F$318,(MATCH(InterventionCosts!B255,Ingredients!A$1:A$318,0)))</f>
        <v>https://www.makro.co.za/stationery-office-furniture/paper-filing/filing-folders/file-storage/tidy-files-medium-weight-files-/p/000000000000125629_PK</v>
      </c>
      <c r="I255">
        <f>1/20*1.01</f>
        <v>5.0500000000000003E-2</v>
      </c>
      <c r="J255" t="s">
        <v>1474</v>
      </c>
      <c r="K255" s="85">
        <f t="shared" si="7"/>
        <v>6.5145000000000008</v>
      </c>
      <c r="L255" s="12" t="s">
        <v>262</v>
      </c>
    </row>
    <row r="256" spans="1:12">
      <c r="A256" t="s">
        <v>283</v>
      </c>
      <c r="B256" t="s">
        <v>246</v>
      </c>
      <c r="C256" s="5" t="s">
        <v>1539</v>
      </c>
      <c r="D256" t="s">
        <v>21</v>
      </c>
      <c r="E256" s="70">
        <f>IF(B256="","",INDEX(Ingredients!$I$1:$I$5013,(MATCH(InterventionCosts!B256,Ingredients!$A$1:$A$5013,0))))</f>
        <v>0.16400000000000001</v>
      </c>
      <c r="F256" s="5" t="str">
        <f>INDEX(Ingredients!J$1:J$265,(MATCH(InterventionCosts!B256,Ingredients!A$1:A$265,0)))</f>
        <v>per page</v>
      </c>
      <c r="G256">
        <f>IF(B256="","",INDEX(Ingredients!$E$1:$E$238,(MATCH(InterventionCosts!B256,Ingredients!A$1:A$238,0))))</f>
        <v>2024</v>
      </c>
      <c r="H256" t="str">
        <f>INDEX(Ingredients!$F$1:$F$318,(MATCH(InterventionCosts!B256,Ingredients!A$1:A$318,0)))</f>
        <v>https://www.makro.co.za/stationery-office-furniture/paper-filing/paper/white-paper/copy-paper/typek-a4-office-paper-80-gsm/p/000000000000012434_BOX</v>
      </c>
      <c r="I256">
        <f>1*2*1.01</f>
        <v>2.02</v>
      </c>
      <c r="J256" t="s">
        <v>1474</v>
      </c>
      <c r="K256" s="85">
        <f t="shared" si="7"/>
        <v>0.33128000000000002</v>
      </c>
      <c r="L256" s="12" t="s">
        <v>261</v>
      </c>
    </row>
    <row r="257" spans="1:12">
      <c r="A257" t="s">
        <v>283</v>
      </c>
      <c r="B257" t="s">
        <v>52</v>
      </c>
      <c r="C257" s="5" t="s">
        <v>1539</v>
      </c>
      <c r="D257" s="5" t="s">
        <v>48</v>
      </c>
      <c r="E257" s="70">
        <f>IF(B257="","",INDEX(Ingredients!$I$1:$I$5013,(MATCH(InterventionCosts!B257,Ingredients!$A$1:$A$5013,0))))</f>
        <v>1.8019482436472347</v>
      </c>
      <c r="F257" s="5" t="str">
        <f>INDEX(Ingredients!J$1:J$265,(MATCH(InterventionCosts!B257,Ingredients!A$1:A$265,0)))</f>
        <v>per minute</v>
      </c>
      <c r="G257">
        <f>IF(B257="","",INDEX(Ingredients!$E$1:$E$238,(MATCH(InterventionCosts!B257,Ingredients!A$1:A$238,0))))</f>
        <v>2024</v>
      </c>
      <c r="H257" t="str">
        <f>INDEX(Ingredients!$F$1:$F$318,(MATCH(InterventionCosts!B257,Ingredients!A$1:A$318,0)))</f>
        <v xml:space="preserve">April 2024 Salary scale </v>
      </c>
      <c r="I257">
        <v>2</v>
      </c>
      <c r="J257" t="s">
        <v>1474</v>
      </c>
      <c r="K257" s="85">
        <f t="shared" si="7"/>
        <v>3.6038964872944694</v>
      </c>
      <c r="L257" s="12" t="s">
        <v>277</v>
      </c>
    </row>
    <row r="258" spans="1:12">
      <c r="A258" t="s">
        <v>283</v>
      </c>
      <c r="B258" t="s">
        <v>323</v>
      </c>
      <c r="C258" s="5" t="s">
        <v>1539</v>
      </c>
      <c r="D258" t="s">
        <v>81</v>
      </c>
      <c r="E258" s="70">
        <f>IF(B258="","",INDEX(Ingredients!$I$1:$I$5013,(MATCH(InterventionCosts!B258,Ingredients!$A$1:$A$5013,0))))</f>
        <v>1321.110140433256</v>
      </c>
      <c r="F258" s="5" t="str">
        <f>INDEX(Ingredients!J$1:J$265,(MATCH(InterventionCosts!B258,Ingredients!A$1:A$265,0)))</f>
        <v>monthly cost</v>
      </c>
      <c r="G258" s="5">
        <f>IF(B258="","",INDEX(Ingredients!$E$1:$E$238,(MATCH(InterventionCosts!B258,Ingredients!A$1:A$238,0))))</f>
        <v>2016</v>
      </c>
      <c r="H258" t="str">
        <f>INDEX(Ingredients!$F$1:$F$318,(MATCH(InterventionCosts!B258,Ingredients!A$1:A$318,0)))</f>
        <v>https://doi.org/10.1038/s41598-019-49109-w</v>
      </c>
      <c r="I258">
        <f>1/1000</f>
        <v>1E-3</v>
      </c>
      <c r="J258" t="s">
        <v>1474</v>
      </c>
      <c r="K258" s="85">
        <f t="shared" si="7"/>
        <v>1.3211101404332559</v>
      </c>
      <c r="L258" s="12" t="s">
        <v>277</v>
      </c>
    </row>
    <row r="259" spans="1:12">
      <c r="A259" t="s">
        <v>283</v>
      </c>
      <c r="B259" t="s">
        <v>324</v>
      </c>
      <c r="C259" s="5" t="s">
        <v>1539</v>
      </c>
      <c r="D259" t="s">
        <v>67</v>
      </c>
      <c r="E259" s="70">
        <f>IF(B259="","",INDEX(Ingredients!$I$1:$I$5013,(MATCH(InterventionCosts!B259,Ingredients!$A$1:$A$5013,0))))</f>
        <v>284.21265617383841</v>
      </c>
      <c r="F259" s="5" t="str">
        <f>INDEX(Ingredients!J$1:J$265,(MATCH(InterventionCosts!B259,Ingredients!A$1:A$265,0)))</f>
        <v>monthly cost</v>
      </c>
      <c r="G259" s="5">
        <f>IF(B259="","",INDEX(Ingredients!$E$1:$E$238,(MATCH(InterventionCosts!B259,Ingredients!A$1:A$238,0))))</f>
        <v>2019</v>
      </c>
      <c r="H259" t="str">
        <f>INDEX(Ingredients!$F$1:$F$318,(MATCH(InterventionCosts!B259,Ingredients!A$1:A$318,0)))</f>
        <v>https://doi.org/10.1038/s41598-019-49109-w 2016 updated</v>
      </c>
      <c r="I259">
        <f>1/1000</f>
        <v>1E-3</v>
      </c>
      <c r="J259" t="s">
        <v>1474</v>
      </c>
      <c r="K259" s="85">
        <f t="shared" si="7"/>
        <v>0.2842126561738384</v>
      </c>
      <c r="L259" s="12" t="s">
        <v>277</v>
      </c>
    </row>
    <row r="260" spans="1:12">
      <c r="A260" t="s">
        <v>283</v>
      </c>
      <c r="B260" t="s">
        <v>54</v>
      </c>
      <c r="C260" s="5" t="s">
        <v>1539</v>
      </c>
      <c r="D260" s="5" t="s">
        <v>48</v>
      </c>
      <c r="E260" s="70">
        <f>IF(B260="","",INDEX(Ingredients!$I$1:$I$5013,(MATCH(InterventionCosts!B260,Ingredients!$A$1:$A$5013,0))))</f>
        <v>1.2444366591928251</v>
      </c>
      <c r="F260" s="5" t="str">
        <f>INDEX(Ingredients!J$1:J$265,(MATCH(InterventionCosts!B260,Ingredients!A$1:A$265,0)))</f>
        <v>per minute</v>
      </c>
      <c r="G260">
        <f>IF(B260="","",INDEX(Ingredients!$E$1:$E$238,(MATCH(InterventionCosts!B260,Ingredients!A$1:A$238,0))))</f>
        <v>2024</v>
      </c>
      <c r="H260" t="str">
        <f>INDEX(Ingredients!$F$1:$F$318,(MATCH(InterventionCosts!B260,Ingredients!A$1:A$318,0)))</f>
        <v xml:space="preserve">April 2024 Salary scale </v>
      </c>
      <c r="I260">
        <v>5</v>
      </c>
      <c r="J260" t="s">
        <v>1474</v>
      </c>
      <c r="K260" s="85">
        <f t="shared" si="7"/>
        <v>6.2221832959641254</v>
      </c>
      <c r="L260" s="85" t="s">
        <v>259</v>
      </c>
    </row>
    <row r="261" spans="1:12">
      <c r="A261" t="s">
        <v>283</v>
      </c>
      <c r="B261" t="s">
        <v>54</v>
      </c>
      <c r="C261" s="5" t="s">
        <v>1539</v>
      </c>
      <c r="D261" t="s">
        <v>21</v>
      </c>
      <c r="E261" s="70">
        <f>IF(B261="","",INDEX(Ingredients!$I$1:$I$5013,(MATCH(InterventionCosts!B261,Ingredients!$A$1:$A$5013,0))))</f>
        <v>1.2444366591928251</v>
      </c>
      <c r="F261" s="5" t="str">
        <f>INDEX(Ingredients!J$1:J$265,(MATCH(InterventionCosts!B261,Ingredients!A$1:A$265,0)))</f>
        <v>per minute</v>
      </c>
      <c r="G261">
        <f>IF(B261="","",INDEX(Ingredients!$E$1:$E$238,(MATCH(InterventionCosts!B261,Ingredients!A$1:A$238,0))))</f>
        <v>2024</v>
      </c>
      <c r="H261" t="str">
        <f>INDEX(Ingredients!$F$1:$F$318,(MATCH(InterventionCosts!B261,Ingredients!A$1:A$318,0)))</f>
        <v xml:space="preserve">April 2024 Salary scale </v>
      </c>
      <c r="I261">
        <v>10</v>
      </c>
      <c r="J261" t="s">
        <v>1474</v>
      </c>
      <c r="K261" s="85">
        <f t="shared" si="7"/>
        <v>12.444366591928251</v>
      </c>
      <c r="L261" s="85" t="s">
        <v>257</v>
      </c>
    </row>
    <row r="262" spans="1:12">
      <c r="A262" t="s">
        <v>283</v>
      </c>
      <c r="B262" t="s">
        <v>246</v>
      </c>
      <c r="C262" s="5" t="s">
        <v>1539</v>
      </c>
      <c r="D262" s="5" t="s">
        <v>48</v>
      </c>
      <c r="E262" s="70">
        <f>IF(B262="","",INDEX(Ingredients!$I$1:$I$5013,(MATCH(InterventionCosts!B262,Ingredients!$A$1:$A$5013,0))))</f>
        <v>0.16400000000000001</v>
      </c>
      <c r="F262" s="5" t="str">
        <f>INDEX(Ingredients!J$1:J$265,(MATCH(InterventionCosts!B262,Ingredients!A$1:A$265,0)))</f>
        <v>per page</v>
      </c>
      <c r="G262">
        <f>IF(B262="","",INDEX(Ingredients!$E$1:$E$238,(MATCH(InterventionCosts!B262,Ingredients!A$1:A$238,0))))</f>
        <v>2024</v>
      </c>
      <c r="H262" t="str">
        <f>INDEX(Ingredients!$F$1:$F$318,(MATCH(InterventionCosts!B262,Ingredients!A$1:A$318,0)))</f>
        <v>https://www.makro.co.za/stationery-office-furniture/paper-filing/paper/white-paper/copy-paper/typek-a4-office-paper-80-gsm/p/000000000000012434_BOX</v>
      </c>
      <c r="I262">
        <f>1</f>
        <v>1</v>
      </c>
      <c r="J262" t="s">
        <v>1474</v>
      </c>
      <c r="K262" s="85">
        <f t="shared" si="7"/>
        <v>0.16400000000000001</v>
      </c>
      <c r="L262" s="85" t="s">
        <v>263</v>
      </c>
    </row>
    <row r="263" spans="1:12">
      <c r="A263" t="s">
        <v>283</v>
      </c>
      <c r="B263" t="s">
        <v>325</v>
      </c>
      <c r="C263" s="5" t="s">
        <v>1539</v>
      </c>
      <c r="D263" t="s">
        <v>81</v>
      </c>
      <c r="E263" s="70">
        <f>IF(B263="","",INDEX(Ingredients!$I$1:$I$5013,(MATCH(InterventionCosts!B263,Ingredients!$A$1:$A$5013,0))))</f>
        <v>264.22202808665122</v>
      </c>
      <c r="F263" s="5" t="str">
        <f>INDEX(Ingredients!J$1:J$265,(MATCH(InterventionCosts!B263,Ingredients!A$1:A$265,0)))</f>
        <v>monthly cost</v>
      </c>
      <c r="G263">
        <f>IF(B263="","",INDEX(Ingredients!$E$1:$E$238,(MATCH(InterventionCosts!B263,Ingredients!A$1:A$238,0))))</f>
        <v>2016</v>
      </c>
      <c r="H263" t="str">
        <f>INDEX(Ingredients!$F$1:$F$318,(MATCH(InterventionCosts!B263,Ingredients!A$1:A$318,0)))</f>
        <v>https://doi.org/10.1038/s41598-019-49109-w</v>
      </c>
      <c r="I263">
        <f>1/1000</f>
        <v>1E-3</v>
      </c>
      <c r="J263" t="s">
        <v>1474</v>
      </c>
      <c r="K263" s="85">
        <f t="shared" si="7"/>
        <v>0.26422202808665124</v>
      </c>
      <c r="L263" s="85" t="s">
        <v>258</v>
      </c>
    </row>
    <row r="264" spans="1:12">
      <c r="A264" t="s">
        <v>283</v>
      </c>
      <c r="B264" t="s">
        <v>326</v>
      </c>
      <c r="C264" s="5" t="s">
        <v>1539</v>
      </c>
      <c r="D264" t="s">
        <v>67</v>
      </c>
      <c r="E264" s="70">
        <f>IF(B264="","",INDEX(Ingredients!$I$1:$I$5013,(MATCH(InterventionCosts!B264,Ingredients!$A$1:$A$5013,0))))</f>
        <v>141.60550151947027</v>
      </c>
      <c r="F264" s="5" t="str">
        <f>INDEX(Ingredients!J$1:J$265,(MATCH(InterventionCosts!B264,Ingredients!A$1:A$265,0)))</f>
        <v>monthly cost</v>
      </c>
      <c r="G264">
        <f>IF(B264="","",INDEX(Ingredients!$E$1:$E$238,(MATCH(InterventionCosts!B264,Ingredients!A$1:A$238,0))))</f>
        <v>2019</v>
      </c>
      <c r="H264" t="str">
        <f>INDEX(Ingredients!$F$1:$F$318,(MATCH(InterventionCosts!B264,Ingredients!A$1:A$318,0)))</f>
        <v>https://doi.org/10.1038/s41598-019-49109-w 2016 updated</v>
      </c>
      <c r="I264">
        <f>1/1000</f>
        <v>1E-3</v>
      </c>
      <c r="J264" t="s">
        <v>1474</v>
      </c>
      <c r="K264" s="85">
        <f t="shared" si="7"/>
        <v>0.14160550151947027</v>
      </c>
      <c r="L264" s="85" t="s">
        <v>258</v>
      </c>
    </row>
    <row r="265" spans="1:12">
      <c r="A265" t="s">
        <v>283</v>
      </c>
      <c r="B265" t="s">
        <v>54</v>
      </c>
      <c r="C265" s="5" t="s">
        <v>1539</v>
      </c>
      <c r="D265" t="s">
        <v>21</v>
      </c>
      <c r="E265" s="70">
        <f>IF(B265="","",INDEX(Ingredients!$I$1:$I$5013,(MATCH(InterventionCosts!B265,Ingredients!$A$1:$A$5013,0))))</f>
        <v>1.2444366591928251</v>
      </c>
      <c r="F265" s="5" t="str">
        <f>INDEX(Ingredients!J$1:J$265,(MATCH(InterventionCosts!B265,Ingredients!A$1:A$265,0)))</f>
        <v>per minute</v>
      </c>
      <c r="G265">
        <f>IF(B265="","",INDEX(Ingredients!$E$1:$E$238,(MATCH(InterventionCosts!B265,Ingredients!A$1:A$238,0))))</f>
        <v>2024</v>
      </c>
      <c r="H265" t="str">
        <f>INDEX(Ingredients!$F$1:$F$318,(MATCH(InterventionCosts!B265,Ingredients!A$1:A$318,0)))</f>
        <v xml:space="preserve">April 2024 Salary scale </v>
      </c>
      <c r="I265">
        <v>5</v>
      </c>
      <c r="J265" t="s">
        <v>1474</v>
      </c>
      <c r="K265" s="85">
        <f t="shared" si="7"/>
        <v>6.2221832959641254</v>
      </c>
      <c r="L265" s="85" t="s">
        <v>258</v>
      </c>
    </row>
    <row r="266" spans="1:12">
      <c r="A266" t="s">
        <v>283</v>
      </c>
      <c r="B266" t="s">
        <v>352</v>
      </c>
      <c r="C266" s="5" t="s">
        <v>1539</v>
      </c>
      <c r="D266" t="s">
        <v>21</v>
      </c>
      <c r="E266" s="70">
        <f>IF(B266="","",INDEX(Ingredients!$I$1:$I$5013,(MATCH(InterventionCosts!B266,Ingredients!$A$1:$A$5013,0))))</f>
        <v>17.920000000000002</v>
      </c>
      <c r="F266" s="5" t="str">
        <f>INDEX(Ingredients!J$1:J$265,(MATCH(InterventionCosts!B266,Ingredients!A$1:A$265,0)))</f>
        <v>per 500ml</v>
      </c>
      <c r="G266">
        <f>IF(B266="","",INDEX(Ingredients!$E$1:$E$238,(MATCH(InterventionCosts!B266,Ingredients!A$1:A$238,0))))</f>
        <v>2024</v>
      </c>
      <c r="H266" t="str">
        <f>INDEX(Ingredients!$F$1:$F$318,(MATCH(InterventionCosts!B266,Ingredients!A$1:A$318,0)))</f>
        <v>https://www.health.gov.za/wp-content/uploads/2024/04/HP12-2023LQ-CPA-Add-4-12-Effective-1-May-2024.pdf</v>
      </c>
      <c r="I266">
        <f>1/100*1.01</f>
        <v>1.01E-2</v>
      </c>
      <c r="J266" t="s">
        <v>1474</v>
      </c>
      <c r="K266" s="85">
        <f t="shared" si="7"/>
        <v>0.18099200000000001</v>
      </c>
      <c r="L266" s="85" t="s">
        <v>357</v>
      </c>
    </row>
    <row r="267" spans="1:12">
      <c r="A267" t="s">
        <v>283</v>
      </c>
      <c r="B267" t="s">
        <v>1489</v>
      </c>
      <c r="C267" s="5" t="s">
        <v>1539</v>
      </c>
      <c r="D267" t="s">
        <v>21</v>
      </c>
      <c r="E267" s="70">
        <f>IF(B267="","",INDEX(Ingredients!$I$1:$I$5013,(MATCH(InterventionCosts!B267,Ingredients!$A$1:$A$5013,0))))</f>
        <v>53.08</v>
      </c>
      <c r="F267" s="5" t="str">
        <f>INDEX(Ingredients!J$1:J$265,(MATCH(InterventionCosts!B267,Ingredients!A$1:A$265,0)))</f>
        <v>per pack 100, 50 pairs</v>
      </c>
      <c r="G267">
        <f>IF(B267="","",INDEX(Ingredients!$E$1:$E$238,(MATCH(InterventionCosts!B267,Ingredients!A$1:A$238,0))))</f>
        <v>2024</v>
      </c>
      <c r="H267" t="str">
        <f>INDEX(Ingredients!$F$1:$F$318,(MATCH(InterventionCosts!B267,Ingredients!A$1:A$318,0)))</f>
        <v>https://www.treasury.gov.za/divisions/ocpo/ostb/contracts/RT76-2023%20CPA%20Amendment%204-%20Effective%2001%20May%202024.pdf</v>
      </c>
      <c r="I267">
        <f>1/50</f>
        <v>0.02</v>
      </c>
      <c r="J267" t="s">
        <v>1474</v>
      </c>
      <c r="K267" s="85">
        <f t="shared" si="7"/>
        <v>1.0615999999999999</v>
      </c>
      <c r="L267" s="85" t="s">
        <v>265</v>
      </c>
    </row>
    <row r="268" spans="1:12">
      <c r="A268" t="s">
        <v>283</v>
      </c>
      <c r="B268" t="s">
        <v>79</v>
      </c>
      <c r="C268" s="5" t="s">
        <v>1539</v>
      </c>
      <c r="D268" t="s">
        <v>21</v>
      </c>
      <c r="E268" s="70">
        <f>IF(B268="","",INDEX(Ingredients!$I$1:$I$5013,(MATCH(InterventionCosts!B268,Ingredients!$A$1:$A$5013,0))))</f>
        <v>9.3000000000000007</v>
      </c>
      <c r="F268" s="5" t="str">
        <f>INDEX(Ingredients!J$1:J$265,(MATCH(InterventionCosts!B268,Ingredients!A$1:A$265,0)))</f>
        <v>per test</v>
      </c>
      <c r="G268">
        <f>IF(B268="","",INDEX(Ingredients!$E$1:$E$238,(MATCH(InterventionCosts!B268,Ingredients!A$1:A$238,0))))</f>
        <v>2024</v>
      </c>
      <c r="H268" t="str">
        <f>INDEX(Ingredients!$F$1:$F$318,(MATCH(InterventionCosts!B268,Ingredients!A$1:A$318,0)))</f>
        <v>https://www.treasury.gov.za/divisions/ocpo/ostb/contracts/RT41-2020.zip</v>
      </c>
      <c r="I268">
        <v>1</v>
      </c>
      <c r="J268" t="s">
        <v>1474</v>
      </c>
      <c r="K268" s="85">
        <f t="shared" si="7"/>
        <v>9.3000000000000007</v>
      </c>
      <c r="L268" s="85" t="s">
        <v>258</v>
      </c>
    </row>
    <row r="269" spans="1:12">
      <c r="A269" t="s">
        <v>283</v>
      </c>
      <c r="B269" t="s">
        <v>248</v>
      </c>
      <c r="C269" s="5" t="s">
        <v>1539</v>
      </c>
      <c r="D269" t="s">
        <v>21</v>
      </c>
      <c r="E269" s="70">
        <f>IF(B269="","",INDEX(Ingredients!$I$1:$I$5013,(MATCH(InterventionCosts!B269,Ingredients!$A$1:$A$5013,0))))</f>
        <v>2.645</v>
      </c>
      <c r="F269" s="5" t="str">
        <f>INDEX(Ingredients!J$1:J$265,(MATCH(InterventionCosts!B269,Ingredients!A$1:A$265,0)))</f>
        <v>per bag</v>
      </c>
      <c r="G269">
        <f>IF(B269="","",INDEX(Ingredients!$E$1:$E$238,(MATCH(InterventionCosts!B269,Ingredients!A$1:A$238,0))))</f>
        <v>2024</v>
      </c>
      <c r="H269" t="str">
        <f>INDEX(Ingredients!$F$1:$F$318,(MATCH(InterventionCosts!B269,Ingredients!A$1:A$318,0)))</f>
        <v>https://medqsupplies.co.za/product/bio-hazard-plastic-bags/</v>
      </c>
      <c r="I269">
        <v>1</v>
      </c>
      <c r="J269" t="s">
        <v>1474</v>
      </c>
      <c r="K269" s="85">
        <f t="shared" si="7"/>
        <v>2.645</v>
      </c>
      <c r="L269" s="85" t="s">
        <v>258</v>
      </c>
    </row>
    <row r="270" spans="1:12">
      <c r="A270" t="s">
        <v>283</v>
      </c>
      <c r="B270" t="s">
        <v>31</v>
      </c>
      <c r="C270" s="5" t="s">
        <v>1539</v>
      </c>
      <c r="D270" t="s">
        <v>21</v>
      </c>
      <c r="E270" s="70">
        <f>IF(B270="","",INDEX(Ingredients!$I$1:$I$5013,(MATCH(InterventionCosts!B270,Ingredients!$A$1:$A$5013,0))))</f>
        <v>31.4</v>
      </c>
      <c r="F270" s="5" t="str">
        <f>INDEX(Ingredients!J$1:J$265,(MATCH(InterventionCosts!B270,Ingredients!A$1:A$265,0)))</f>
        <v>per 100 swabs</v>
      </c>
      <c r="G270">
        <f>IF(B270="","",INDEX(Ingredients!$E$1:$E$238,(MATCH(InterventionCosts!B270,Ingredients!A$1:A$238,0))))</f>
        <v>2024</v>
      </c>
      <c r="H270" t="str">
        <f>INDEX(Ingredients!$F$1:$F$318,(MATCH(InterventionCosts!B270,Ingredients!A$1:A$318,0)))</f>
        <v xml:space="preserve">http://www.treasury.gov.za/divisions/ocpo/ostb/contracts/RT42-2022zip </v>
      </c>
      <c r="I270">
        <f>1/100</f>
        <v>0.01</v>
      </c>
      <c r="J270" t="s">
        <v>1474</v>
      </c>
      <c r="K270" s="85">
        <f t="shared" si="7"/>
        <v>0.314</v>
      </c>
      <c r="L270" s="85" t="s">
        <v>258</v>
      </c>
    </row>
    <row r="271" spans="1:12">
      <c r="A271" t="s">
        <v>283</v>
      </c>
      <c r="B271" t="s">
        <v>54</v>
      </c>
      <c r="C271" s="5" t="s">
        <v>1539</v>
      </c>
      <c r="D271" s="5" t="s">
        <v>48</v>
      </c>
      <c r="E271" s="70">
        <f>IF(B271="","",INDEX(Ingredients!$I$1:$I$5013,(MATCH(InterventionCosts!B271,Ingredients!$A$1:$A$5013,0))))</f>
        <v>1.2444366591928251</v>
      </c>
      <c r="F271" s="5" t="str">
        <f>INDEX(Ingredients!J$1:J$265,(MATCH(InterventionCosts!B271,Ingredients!A$1:A$265,0)))</f>
        <v>per minute</v>
      </c>
      <c r="G271">
        <f>IF(B271="","",INDEX(Ingredients!$E$1:$E$238,(MATCH(InterventionCosts!B271,Ingredients!A$1:A$238,0))))</f>
        <v>2024</v>
      </c>
      <c r="H271" t="str">
        <f>INDEX(Ingredients!$F$1:$F$318,(MATCH(InterventionCosts!B271,Ingredients!A$1:A$318,0)))</f>
        <v xml:space="preserve">April 2024 Salary scale </v>
      </c>
      <c r="I271">
        <f>5</f>
        <v>5</v>
      </c>
      <c r="J271" t="s">
        <v>1474</v>
      </c>
      <c r="K271" s="85">
        <f t="shared" si="7"/>
        <v>6.2221832959641254</v>
      </c>
      <c r="L271" s="85" t="s">
        <v>316</v>
      </c>
    </row>
    <row r="272" spans="1:12">
      <c r="A272" t="s">
        <v>283</v>
      </c>
      <c r="B272" t="s">
        <v>249</v>
      </c>
      <c r="C272" s="5" t="s">
        <v>1539</v>
      </c>
      <c r="D272" t="s">
        <v>21</v>
      </c>
      <c r="E272" s="70">
        <f>IF(B272="","",INDEX(Ingredients!$I$1:$I$5013,(MATCH(InterventionCosts!B272,Ingredients!$A$1:$A$5013,0))))</f>
        <v>7.86</v>
      </c>
      <c r="F272" s="5" t="str">
        <f>INDEX(Ingredients!J$1:J$265,(MATCH(InterventionCosts!B272,Ingredients!A$1:A$265,0)))</f>
        <v>per test kit</v>
      </c>
      <c r="G272">
        <f>IF(B272="","",INDEX(Ingredients!$E$1:$E$238,(MATCH(InterventionCosts!B272,Ingredients!A$1:A$238,0))))</f>
        <v>2024</v>
      </c>
      <c r="H272" t="str">
        <f>INDEX(Ingredients!$F$1:$F$318,(MATCH(InterventionCosts!B272,Ingredients!A$1:A$318,0)))</f>
        <v>https://www.treasury.gov.za/divisions/ocpo/ostb/contracts/RT41-2020.zip</v>
      </c>
      <c r="I272">
        <f>1*1.01</f>
        <v>1.01</v>
      </c>
      <c r="J272" t="s">
        <v>1474</v>
      </c>
      <c r="K272" s="85">
        <f t="shared" si="7"/>
        <v>7.9386000000000001</v>
      </c>
      <c r="L272" s="85" t="s">
        <v>316</v>
      </c>
    </row>
    <row r="273" spans="1:12">
      <c r="A273" t="s">
        <v>283</v>
      </c>
      <c r="B273" t="s">
        <v>31</v>
      </c>
      <c r="C273" s="5" t="s">
        <v>1539</v>
      </c>
      <c r="D273" t="s">
        <v>21</v>
      </c>
      <c r="E273" s="70">
        <f>IF(B273="","",INDEX(Ingredients!$I$1:$I$5013,(MATCH(InterventionCosts!B273,Ingredients!$A$1:$A$5013,0))))</f>
        <v>31.4</v>
      </c>
      <c r="F273" s="5" t="str">
        <f>INDEX(Ingredients!J$1:J$265,(MATCH(InterventionCosts!B273,Ingredients!A$1:A$265,0)))</f>
        <v>per 100 swabs</v>
      </c>
      <c r="G273">
        <f>IF(B273="","",INDEX(Ingredients!$E$1:$E$238,(MATCH(InterventionCosts!B273,Ingredients!A$1:A$238,0))))</f>
        <v>2024</v>
      </c>
      <c r="H273" t="str">
        <f>INDEX(Ingredients!$F$1:$F$318,(MATCH(InterventionCosts!B273,Ingredients!A$1:A$318,0)))</f>
        <v xml:space="preserve">http://www.treasury.gov.za/divisions/ocpo/ostb/contracts/RT42-2022zip </v>
      </c>
      <c r="I273">
        <f>1/100*1.01</f>
        <v>1.01E-2</v>
      </c>
      <c r="J273" t="s">
        <v>1474</v>
      </c>
      <c r="K273" s="85">
        <f t="shared" si="7"/>
        <v>0.31713999999999998</v>
      </c>
      <c r="L273" s="85" t="s">
        <v>316</v>
      </c>
    </row>
    <row r="274" spans="1:12">
      <c r="A274" t="s">
        <v>283</v>
      </c>
      <c r="B274" t="s">
        <v>54</v>
      </c>
      <c r="C274" s="5" t="s">
        <v>1539</v>
      </c>
      <c r="D274" s="5" t="s">
        <v>48</v>
      </c>
      <c r="E274" s="70">
        <f>IF(B274="","",INDEX(Ingredients!$I$1:$I$5013,(MATCH(InterventionCosts!B274,Ingredients!$A$1:$A$5013,0))))</f>
        <v>1.2444366591928251</v>
      </c>
      <c r="F274" s="5" t="str">
        <f>INDEX(Ingredients!J$1:J$265,(MATCH(InterventionCosts!B274,Ingredients!A$1:A$265,0)))</f>
        <v>per minute</v>
      </c>
      <c r="G274">
        <f>IF(B274="","",INDEX(Ingredients!$E$1:$E$238,(MATCH(InterventionCosts!B274,Ingredients!A$1:A$238,0))))</f>
        <v>2024</v>
      </c>
      <c r="H274" t="str">
        <f>INDEX(Ingredients!$F$1:$F$318,(MATCH(InterventionCosts!B274,Ingredients!A$1:A$318,0)))</f>
        <v xml:space="preserve">April 2024 Salary scale </v>
      </c>
      <c r="I274">
        <f>5*0.0067</f>
        <v>3.3500000000000002E-2</v>
      </c>
      <c r="J274" t="s">
        <v>1474</v>
      </c>
      <c r="K274" s="85">
        <f t="shared" si="7"/>
        <v>4.1688628082959645E-2</v>
      </c>
      <c r="L274" s="85" t="s">
        <v>284</v>
      </c>
    </row>
    <row r="275" spans="1:12">
      <c r="A275" t="s">
        <v>283</v>
      </c>
      <c r="B275" t="s">
        <v>79</v>
      </c>
      <c r="C275" s="5" t="s">
        <v>1539</v>
      </c>
      <c r="D275" t="s">
        <v>21</v>
      </c>
      <c r="E275" s="70">
        <f>IF(B275="","",INDEX(Ingredients!$I$1:$I$5013,(MATCH(InterventionCosts!B275,Ingredients!$A$1:$A$5013,0))))</f>
        <v>9.3000000000000007</v>
      </c>
      <c r="F275" s="5" t="str">
        <f>INDEX(Ingredients!J$1:J$265,(MATCH(InterventionCosts!B275,Ingredients!A$1:A$265,0)))</f>
        <v>per test</v>
      </c>
      <c r="G275">
        <f>IF(B275="","",INDEX(Ingredients!$E$1:$E$238,(MATCH(InterventionCosts!B275,Ingredients!A$1:A$238,0))))</f>
        <v>2024</v>
      </c>
      <c r="H275" t="str">
        <f>INDEX(Ingredients!$F$1:$F$318,(MATCH(InterventionCosts!B275,Ingredients!A$1:A$318,0)))</f>
        <v>https://www.treasury.gov.za/divisions/ocpo/ostb/contracts/RT41-2020.zip</v>
      </c>
      <c r="I275">
        <f>1*0.0067*1.01</f>
        <v>6.7670000000000004E-3</v>
      </c>
      <c r="J275" t="s">
        <v>1474</v>
      </c>
      <c r="K275" s="85">
        <f t="shared" si="7"/>
        <v>6.2933100000000006E-2</v>
      </c>
      <c r="L275" s="85" t="s">
        <v>284</v>
      </c>
    </row>
    <row r="276" spans="1:12">
      <c r="A276" t="s">
        <v>283</v>
      </c>
      <c r="B276" t="s">
        <v>31</v>
      </c>
      <c r="C276" s="5" t="s">
        <v>1539</v>
      </c>
      <c r="D276" t="s">
        <v>21</v>
      </c>
      <c r="E276" s="70">
        <f>IF(B276="","",INDEX(Ingredients!$I$1:$I$5013,(MATCH(InterventionCosts!B276,Ingredients!$A$1:$A$5013,0))))</f>
        <v>31.4</v>
      </c>
      <c r="F276" s="5" t="str">
        <f>INDEX(Ingredients!J$1:J$265,(MATCH(InterventionCosts!B276,Ingredients!A$1:A$265,0)))</f>
        <v>per 100 swabs</v>
      </c>
      <c r="G276">
        <f>IF(B276="","",INDEX(Ingredients!$E$1:$E$238,(MATCH(InterventionCosts!B276,Ingredients!A$1:A$238,0))))</f>
        <v>2024</v>
      </c>
      <c r="H276" t="str">
        <f>INDEX(Ingredients!$F$1:$F$318,(MATCH(InterventionCosts!B276,Ingredients!A$1:A$318,0)))</f>
        <v xml:space="preserve">http://www.treasury.gov.za/divisions/ocpo/ostb/contracts/RT42-2022zip </v>
      </c>
      <c r="I276">
        <f>1/100*0.0067</f>
        <v>6.7000000000000002E-5</v>
      </c>
      <c r="J276" t="s">
        <v>1474</v>
      </c>
      <c r="K276" s="85">
        <f t="shared" si="7"/>
        <v>2.1037999999999999E-3</v>
      </c>
      <c r="L276" s="85" t="s">
        <v>284</v>
      </c>
    </row>
    <row r="277" spans="1:12">
      <c r="A277" t="s">
        <v>283</v>
      </c>
      <c r="B277" t="s">
        <v>54</v>
      </c>
      <c r="C277" s="5" t="s">
        <v>1539</v>
      </c>
      <c r="D277" s="5" t="s">
        <v>48</v>
      </c>
      <c r="E277" s="70">
        <f>IF(B277="","",INDEX(Ingredients!$I$1:$I$5013,(MATCH(InterventionCosts!B277,Ingredients!$A$1:$A$5013,0))))</f>
        <v>1.2444366591928251</v>
      </c>
      <c r="F277" s="5" t="str">
        <f>INDEX(Ingredients!J$1:J$265,(MATCH(InterventionCosts!B277,Ingredients!A$1:A$265,0)))</f>
        <v>per minute</v>
      </c>
      <c r="G277">
        <f>IF(B277="","",INDEX(Ingredients!$E$1:$E$238,(MATCH(InterventionCosts!B277,Ingredients!A$1:A$238,0))))</f>
        <v>2024</v>
      </c>
      <c r="H277" t="str">
        <f>INDEX(Ingredients!$F$1:$F$318,(MATCH(InterventionCosts!B277,Ingredients!A$1:A$318,0)))</f>
        <v xml:space="preserve">April 2024 Salary scale </v>
      </c>
      <c r="I277">
        <f>5*0.0067</f>
        <v>3.3500000000000002E-2</v>
      </c>
      <c r="J277" t="s">
        <v>1474</v>
      </c>
      <c r="K277" s="85">
        <f t="shared" si="7"/>
        <v>4.1688628082959645E-2</v>
      </c>
      <c r="L277" s="85" t="s">
        <v>327</v>
      </c>
    </row>
    <row r="278" spans="1:12">
      <c r="A278" t="s">
        <v>283</v>
      </c>
      <c r="B278" t="s">
        <v>249</v>
      </c>
      <c r="C278" s="5" t="s">
        <v>1539</v>
      </c>
      <c r="D278" t="s">
        <v>21</v>
      </c>
      <c r="E278" s="70">
        <f>IF(B278="","",INDEX(Ingredients!$I$1:$I$5013,(MATCH(InterventionCosts!B278,Ingredients!$A$1:$A$5013,0))))</f>
        <v>7.86</v>
      </c>
      <c r="F278" s="5" t="str">
        <f>INDEX(Ingredients!J$1:J$265,(MATCH(InterventionCosts!B278,Ingredients!A$1:A$265,0)))</f>
        <v>per test kit</v>
      </c>
      <c r="G278">
        <f>IF(B278="","",INDEX(Ingredients!$E$1:$E$238,(MATCH(InterventionCosts!B278,Ingredients!A$1:A$238,0))))</f>
        <v>2024</v>
      </c>
      <c r="H278" t="str">
        <f>INDEX(Ingredients!$F$1:$F$318,(MATCH(InterventionCosts!B278,Ingredients!A$1:A$318,0)))</f>
        <v>https://www.treasury.gov.za/divisions/ocpo/ostb/contracts/RT41-2020.zip</v>
      </c>
      <c r="I278">
        <f>1*0.0067*1.01</f>
        <v>6.7670000000000004E-3</v>
      </c>
      <c r="J278" t="s">
        <v>1474</v>
      </c>
      <c r="K278" s="85">
        <f t="shared" si="7"/>
        <v>5.3188620000000006E-2</v>
      </c>
      <c r="L278" s="85" t="s">
        <v>327</v>
      </c>
    </row>
    <row r="279" spans="1:12">
      <c r="A279" t="s">
        <v>283</v>
      </c>
      <c r="B279" t="s">
        <v>31</v>
      </c>
      <c r="C279" s="5" t="s">
        <v>1539</v>
      </c>
      <c r="D279" t="s">
        <v>21</v>
      </c>
      <c r="E279" s="70">
        <f>IF(B279="","",INDEX(Ingredients!$I$1:$I$5013,(MATCH(InterventionCosts!B279,Ingredients!$A$1:$A$5013,0))))</f>
        <v>31.4</v>
      </c>
      <c r="F279" s="5" t="str">
        <f>INDEX(Ingredients!J$1:J$265,(MATCH(InterventionCosts!B279,Ingredients!A$1:A$265,0)))</f>
        <v>per 100 swabs</v>
      </c>
      <c r="G279">
        <f>IF(B279="","",INDEX(Ingredients!$E$1:$E$238,(MATCH(InterventionCosts!B279,Ingredients!A$1:A$238,0))))</f>
        <v>2024</v>
      </c>
      <c r="H279" t="str">
        <f>INDEX(Ingredients!$F$1:$F$318,(MATCH(InterventionCosts!B279,Ingredients!A$1:A$318,0)))</f>
        <v xml:space="preserve">http://www.treasury.gov.za/divisions/ocpo/ostb/contracts/RT42-2022zip </v>
      </c>
      <c r="I279">
        <f>1/100*0.0067*1.01</f>
        <v>6.7670000000000008E-5</v>
      </c>
      <c r="J279" t="s">
        <v>1474</v>
      </c>
      <c r="K279" s="85">
        <f t="shared" si="7"/>
        <v>2.124838E-3</v>
      </c>
      <c r="L279" s="85" t="s">
        <v>327</v>
      </c>
    </row>
    <row r="280" spans="1:12">
      <c r="A280" t="s">
        <v>283</v>
      </c>
      <c r="B280" t="s">
        <v>286</v>
      </c>
      <c r="C280" s="5" t="s">
        <v>1539</v>
      </c>
      <c r="D280" s="5" t="s">
        <v>48</v>
      </c>
      <c r="E280" s="70">
        <f>(IF(B280="","",INDEX(Ingredients!$I$1:$I$5013,(MATCH(InterventionCosts!B280,Ingredients!$A$1:$A$5013,0)))))/30/24/60</f>
        <v>7.498212852239384E-5</v>
      </c>
      <c r="F280" s="5" t="str">
        <f>INDEX(Ingredients!J$1:J$265,(MATCH(InterventionCosts!B280,Ingredients!A$1:A$265,0)))</f>
        <v>per minute</v>
      </c>
      <c r="G280">
        <f>IF(B280="","",INDEX(Ingredients!$E$1:$E$238,(MATCH(InterventionCosts!B280,Ingredients!A$1:A$238,0))))</f>
        <v>2024</v>
      </c>
      <c r="H280" t="str">
        <f>INDEX(Ingredients!$F$1:$F$318,(MATCH(InterventionCosts!B280,Ingredients!A$1:A$318,0)))</f>
        <v xml:space="preserve">April 2024 Salary scale </v>
      </c>
      <c r="I280">
        <f>3*0.00023</f>
        <v>6.9000000000000008E-4</v>
      </c>
      <c r="J280" t="s">
        <v>1474</v>
      </c>
      <c r="K280" s="85">
        <f t="shared" si="7"/>
        <v>5.1737668680451752E-8</v>
      </c>
      <c r="L280" s="85" t="s">
        <v>285</v>
      </c>
    </row>
    <row r="281" spans="1:12">
      <c r="A281" t="s">
        <v>283</v>
      </c>
      <c r="B281" t="s">
        <v>250</v>
      </c>
      <c r="C281" s="5" t="s">
        <v>1539</v>
      </c>
      <c r="D281" t="s">
        <v>75</v>
      </c>
      <c r="E281" s="70">
        <f>IF(B281="","",INDEX(Ingredients!$I$1:$I$5013,(MATCH(InterventionCosts!B281,Ingredients!$A$1:$A$5013,0))))</f>
        <v>71.889951748999991</v>
      </c>
      <c r="F281" s="5" t="str">
        <f>INDEX(Ingredients!J$1:J$265,(MATCH(InterventionCosts!B281,Ingredients!A$1:A$265,0)))</f>
        <v>per test</v>
      </c>
      <c r="G281">
        <f>IF(B281="","",INDEX(Ingredients!$E$1:$E$238,(MATCH(InterventionCosts!B281,Ingredients!A$1:A$238,0))))</f>
        <v>2021</v>
      </c>
      <c r="H281" t="str">
        <f>INDEX(Ingredients!$F$1:$F$318,(MATCH(InterventionCosts!B281,Ingredients!A$1:A$318,0)))</f>
        <v>NHLS 2021 price-list</v>
      </c>
      <c r="I281" s="101">
        <f>1*0.00023</f>
        <v>2.3000000000000001E-4</v>
      </c>
      <c r="J281" t="s">
        <v>1474</v>
      </c>
      <c r="K281" s="85">
        <f t="shared" si="7"/>
        <v>1.6534688902269997E-2</v>
      </c>
      <c r="L281" s="85" t="s">
        <v>285</v>
      </c>
    </row>
    <row r="282" spans="1:12">
      <c r="A282" t="s">
        <v>283</v>
      </c>
      <c r="B282" t="s">
        <v>31</v>
      </c>
      <c r="C282" s="5" t="s">
        <v>1539</v>
      </c>
      <c r="D282" t="s">
        <v>21</v>
      </c>
      <c r="E282" s="70">
        <f>IF(B282="","",INDEX(Ingredients!$I$1:$I$5013,(MATCH(InterventionCosts!B282,Ingredients!$A$1:$A$5013,0))))</f>
        <v>31.4</v>
      </c>
      <c r="F282" s="5" t="str">
        <f>INDEX(Ingredients!J$1:J$265,(MATCH(InterventionCosts!B282,Ingredients!A$1:A$265,0)))</f>
        <v>per 100 swabs</v>
      </c>
      <c r="G282">
        <f>IF(B282="","",INDEX(Ingredients!$E$1:$E$238,(MATCH(InterventionCosts!B282,Ingredients!A$1:A$238,0))))</f>
        <v>2024</v>
      </c>
      <c r="H282" t="str">
        <f>INDEX(Ingredients!$F$1:$F$318,(MATCH(InterventionCosts!B282,Ingredients!A$1:A$318,0)))</f>
        <v xml:space="preserve">http://www.treasury.gov.za/divisions/ocpo/ostb/contracts/RT42-2022zip </v>
      </c>
      <c r="I282">
        <f>1/100*0.00023</f>
        <v>2.3E-6</v>
      </c>
      <c r="J282" t="s">
        <v>1474</v>
      </c>
      <c r="K282" s="85">
        <f t="shared" si="7"/>
        <v>7.2219999999999996E-5</v>
      </c>
      <c r="L282" s="85" t="s">
        <v>285</v>
      </c>
    </row>
    <row r="283" spans="1:12">
      <c r="A283" t="s">
        <v>283</v>
      </c>
      <c r="B283" t="s">
        <v>54</v>
      </c>
      <c r="C283" s="5" t="s">
        <v>1539</v>
      </c>
      <c r="D283" s="5" t="s">
        <v>48</v>
      </c>
      <c r="E283" s="70">
        <f>IF(B283="","",INDEX(Ingredients!$I$1:$I$5013,(MATCH(InterventionCosts!B283,Ingredients!$A$1:$A$5013,0))))</f>
        <v>1.2444366591928251</v>
      </c>
      <c r="F283" s="5" t="str">
        <f>INDEX(Ingredients!J$1:J$265,(MATCH(InterventionCosts!B283,Ingredients!A$1:A$265,0)))</f>
        <v>per minute</v>
      </c>
      <c r="G283">
        <f>IF(B283="","",INDEX(Ingredients!$E$1:$E$238,(MATCH(InterventionCosts!B283,Ingredients!A$1:A$238,0))))</f>
        <v>2024</v>
      </c>
      <c r="H283" t="str">
        <f>INDEX(Ingredients!$F$1:$F$318,(MATCH(InterventionCosts!B283,Ingredients!A$1:A$318,0)))</f>
        <v xml:space="preserve">April 2024 Salary scale </v>
      </c>
      <c r="I283">
        <f>20</f>
        <v>20</v>
      </c>
      <c r="J283" t="s">
        <v>1474</v>
      </c>
      <c r="K283" s="85">
        <f t="shared" si="7"/>
        <v>24.888733183856502</v>
      </c>
      <c r="L283" s="85" t="s">
        <v>268</v>
      </c>
    </row>
    <row r="284" spans="1:12">
      <c r="A284" t="s">
        <v>283</v>
      </c>
      <c r="B284" t="s">
        <v>251</v>
      </c>
      <c r="C284" s="5" t="s">
        <v>1539</v>
      </c>
      <c r="D284" t="s">
        <v>21</v>
      </c>
      <c r="E284" s="70">
        <f>IF(B284="","",INDEX(Ingredients!$I$1:$I$5013,(MATCH(InterventionCosts!B284,Ingredients!$A$1:$A$5013,0))))</f>
        <v>1.0227713593614072</v>
      </c>
      <c r="F284" s="5" t="str">
        <f>INDEX(Ingredients!J$1:J$265,(MATCH(InterventionCosts!B284,Ingredients!A$1:A$265,0)))</f>
        <v>per 1</v>
      </c>
      <c r="G284">
        <f>IF(B284="","",INDEX(Ingredients!$E$1:$E$238,(MATCH(InterventionCosts!B284,Ingredients!A$1:A$238,0))))</f>
        <v>2016</v>
      </c>
      <c r="H284" t="str">
        <f>INDEX(Ingredients!$F$1:$F$318,(MATCH(InterventionCosts!B284,Ingredients!A$1:A$318,0)))</f>
        <v>https://doi.org/10.1038/s41598-019-49109-w</v>
      </c>
      <c r="I284">
        <f>1</f>
        <v>1</v>
      </c>
      <c r="J284" t="s">
        <v>1474</v>
      </c>
      <c r="K284" s="85">
        <f t="shared" si="7"/>
        <v>1.0227713593614072</v>
      </c>
      <c r="L284" s="85" t="s">
        <v>268</v>
      </c>
    </row>
    <row r="285" spans="1:12">
      <c r="A285" t="s">
        <v>283</v>
      </c>
      <c r="B285" t="s">
        <v>43</v>
      </c>
      <c r="C285" s="5" t="s">
        <v>1539</v>
      </c>
      <c r="D285" t="s">
        <v>21</v>
      </c>
      <c r="E285" s="70">
        <f>IF(B285="","",INDEX(Ingredients!$I$1:$I$5013,(MATCH(InterventionCosts!B285,Ingredients!$A$1:$A$5013,0))))</f>
        <v>0.61939459752201187</v>
      </c>
      <c r="F285" s="5" t="str">
        <f>INDEX(Ingredients!J$1:J$265,(MATCH(InterventionCosts!B285,Ingredients!A$1:A$265,0)))</f>
        <v>per condom</v>
      </c>
      <c r="G285">
        <f>IF(B285="","",INDEX(Ingredients!$E$1:$E$238,(MATCH(InterventionCosts!B285,Ingredients!A$1:A$238,0))))</f>
        <v>2024</v>
      </c>
      <c r="H285" t="str">
        <f>INDEX(Ingredients!$F$1:$F$318,(MATCH(InterventionCosts!B285,Ingredients!A$1:A$318,0)))</f>
        <v>https://www.treasury.gov.za/divisions/ocpo/ostb/contracts/RT75-2021.zip</v>
      </c>
      <c r="I285">
        <f>10</f>
        <v>10</v>
      </c>
      <c r="J285" t="s">
        <v>1474</v>
      </c>
      <c r="K285" s="85">
        <f t="shared" si="7"/>
        <v>6.1939459752201191</v>
      </c>
      <c r="L285" s="85" t="s">
        <v>268</v>
      </c>
    </row>
    <row r="286" spans="1:12" s="89" customFormat="1">
      <c r="A286" s="4" t="s">
        <v>283</v>
      </c>
      <c r="F286" s="89" t="s">
        <v>1164</v>
      </c>
      <c r="G286" s="89" t="str">
        <f>IF(B286="","",INDEX(Ingredients!$E$1:$E$238,(MATCH(InterventionCosts!B286,Ingredients!A$1:A$238,0))))</f>
        <v/>
      </c>
      <c r="K286" s="90"/>
      <c r="L286" s="90">
        <f>SUM(K251:K285)</f>
        <v>105.79478889562019</v>
      </c>
    </row>
    <row r="287" spans="1:12" s="89" customFormat="1">
      <c r="A287" s="4" t="s">
        <v>283</v>
      </c>
      <c r="F287" s="89" t="s">
        <v>117</v>
      </c>
      <c r="G287" s="89" t="str">
        <f>IF(B287="","",INDEX(Ingredients!$E$1:$E$238,(MATCH(InterventionCosts!B287,Ingredients!A$1:A$238,0))))</f>
        <v/>
      </c>
      <c r="K287" s="90"/>
      <c r="L287" s="90" t="s">
        <v>936</v>
      </c>
    </row>
    <row r="288" spans="1:12">
      <c r="G288" t="str">
        <f>IF(B288="","",INDEX(Ingredients!$E$1:$E$238,(MATCH(InterventionCosts!B288,Ingredients!A$1:A$238,0))))</f>
        <v/>
      </c>
    </row>
    <row r="289" spans="1:12">
      <c r="A289" t="s">
        <v>296</v>
      </c>
      <c r="B289" t="s">
        <v>308</v>
      </c>
      <c r="C289" s="5" t="s">
        <v>1539</v>
      </c>
      <c r="D289" t="s">
        <v>67</v>
      </c>
      <c r="E289" s="70">
        <f>IF(B289="","",INDEX(Ingredients!$I$1:$I$5013,(MATCH(InterventionCosts!B289,Ingredients!$A$1:$A$5013,0))))</f>
        <v>2577.4452112671624</v>
      </c>
      <c r="F289" s="5" t="str">
        <f>INDEX(Ingredients!J$1:J$265,(MATCH(InterventionCosts!B289,Ingredients!A$1:A$265,0)))</f>
        <v>per month</v>
      </c>
      <c r="G289">
        <f>IF(B289="","",INDEX(Ingredients!$E$1:$E$238,(MATCH(InterventionCosts!B289,Ingredients!A$1:A$238,0))))</f>
        <v>2016</v>
      </c>
      <c r="H289" t="str">
        <f>INDEX(Ingredients!$F$1:$F$318,(MATCH(InterventionCosts!B289,Ingredients!A$1:A$318,0)))</f>
        <v>https://doi.org/10.1038/s41598-019-49109-w; Tabana Operational Vehicle 2016</v>
      </c>
      <c r="I289">
        <f>1/5733</f>
        <v>1.7442874585731728E-4</v>
      </c>
      <c r="J289" t="s">
        <v>1474</v>
      </c>
      <c r="K289" s="85">
        <f t="shared" ref="K289:K305" si="8">I289*E289</f>
        <v>0.44958053571727929</v>
      </c>
      <c r="L289" s="85" t="s">
        <v>67</v>
      </c>
    </row>
    <row r="290" spans="1:12">
      <c r="A290" t="s">
        <v>296</v>
      </c>
      <c r="B290" t="s">
        <v>287</v>
      </c>
      <c r="C290" s="5" t="s">
        <v>1539</v>
      </c>
      <c r="D290" s="5" t="s">
        <v>48</v>
      </c>
      <c r="E290" s="70">
        <f>IF(B290="","",INDEX(Ingredients!$I$1:$I$5013,(MATCH(InterventionCosts!B290,Ingredients!$A$1:$A$5013,0))))</f>
        <v>21800.311666666668</v>
      </c>
      <c r="F290" s="5" t="str">
        <f>INDEX(Ingredients!J$1:J$265,(MATCH(InterventionCosts!B290,Ingredients!A$1:A$265,0)))</f>
        <v>per month</v>
      </c>
      <c r="G290">
        <f>IF(B290="","",INDEX(Ingredients!$E$1:$E$238,(MATCH(InterventionCosts!B290,Ingredients!A$1:A$238,0))))</f>
        <v>2024</v>
      </c>
      <c r="H290" t="str">
        <f>INDEX(Ingredients!$F$1:$F$318,(MATCH(InterventionCosts!B290,Ingredients!A$1:A$318,0)))</f>
        <v xml:space="preserve">April 2024 Salary scale </v>
      </c>
      <c r="I290">
        <f>1/5733</f>
        <v>1.7442874585731728E-4</v>
      </c>
      <c r="J290" t="s">
        <v>1474</v>
      </c>
      <c r="K290" s="85">
        <f t="shared" si="8"/>
        <v>3.8026010233153094</v>
      </c>
      <c r="L290" s="85" t="s">
        <v>291</v>
      </c>
    </row>
    <row r="291" spans="1:12">
      <c r="A291" t="s">
        <v>296</v>
      </c>
      <c r="B291" t="s">
        <v>288</v>
      </c>
      <c r="C291" s="5" t="s">
        <v>1539</v>
      </c>
      <c r="D291" s="5" t="s">
        <v>48</v>
      </c>
      <c r="E291" s="70">
        <f>IF(B291="","",INDEX(Ingredients!$I$1:$I$5013,(MATCH(InterventionCosts!B291,Ingredients!$A$1:$A$5013,0))))</f>
        <v>62408.151666666665</v>
      </c>
      <c r="F291" s="5" t="str">
        <f>INDEX(Ingredients!J$1:J$265,(MATCH(InterventionCosts!B291,Ingredients!A$1:A$265,0)))</f>
        <v>per month</v>
      </c>
      <c r="G291">
        <f>IF(B291="","",INDEX(Ingredients!$E$1:$E$238,(MATCH(InterventionCosts!B291,Ingredients!A$1:A$238,0))))</f>
        <v>2024</v>
      </c>
      <c r="H291" t="str">
        <f>INDEX(Ingredients!$F$1:$F$318,(MATCH(InterventionCosts!B291,Ingredients!A$1:A$318,0)))</f>
        <v xml:space="preserve">April 2024 Salary scale </v>
      </c>
      <c r="I291">
        <f>1/5733</f>
        <v>1.7442874585731728E-4</v>
      </c>
      <c r="J291" t="s">
        <v>1474</v>
      </c>
      <c r="K291" s="85">
        <f t="shared" si="8"/>
        <v>10.885775626489911</v>
      </c>
      <c r="L291" s="85" t="s">
        <v>291</v>
      </c>
    </row>
    <row r="292" spans="1:12">
      <c r="A292" t="s">
        <v>296</v>
      </c>
      <c r="B292" t="s">
        <v>289</v>
      </c>
      <c r="C292" s="5" t="s">
        <v>1539</v>
      </c>
      <c r="D292" s="5" t="s">
        <v>48</v>
      </c>
      <c r="E292" s="70">
        <f>IF(B292="","",INDEX(Ingredients!$I$1:$I$5013,(MATCH(InterventionCosts!B292,Ingredients!$A$1:$A$5013,0))))</f>
        <v>34361.648333333331</v>
      </c>
      <c r="F292" s="5" t="str">
        <f>INDEX(Ingredients!J$1:J$265,(MATCH(InterventionCosts!B292,Ingredients!A$1:A$265,0)))</f>
        <v>per month</v>
      </c>
      <c r="G292">
        <f>IF(B292="","",INDEX(Ingredients!$E$1:$E$238,(MATCH(InterventionCosts!B292,Ingredients!A$1:A$238,0))))</f>
        <v>2024</v>
      </c>
      <c r="H292" t="str">
        <f>INDEX(Ingredients!$F$1:$F$318,(MATCH(InterventionCosts!B292,Ingredients!A$1:A$318,0)))</f>
        <v xml:space="preserve">April 2024 Salary scale </v>
      </c>
      <c r="I292">
        <f>4/5733</f>
        <v>6.9771498342926911E-4</v>
      </c>
      <c r="J292" t="s">
        <v>1474</v>
      </c>
      <c r="K292" s="85">
        <f t="shared" si="8"/>
        <v>23.974636897494037</v>
      </c>
      <c r="L292" s="85" t="s">
        <v>291</v>
      </c>
    </row>
    <row r="293" spans="1:12">
      <c r="A293" t="s">
        <v>296</v>
      </c>
      <c r="B293" t="s">
        <v>310</v>
      </c>
      <c r="C293" s="5" t="s">
        <v>1539</v>
      </c>
      <c r="D293" t="s">
        <v>81</v>
      </c>
      <c r="E293" s="70">
        <f>IF(B293="","",INDEX(Ingredients!$I$1:$I$5013,(MATCH(InterventionCosts!B293,Ingredients!$A$1:$A$5013,0))))</f>
        <v>1321.110140433256</v>
      </c>
      <c r="F293" s="5" t="str">
        <f>INDEX(Ingredients!J$1:J$265,(MATCH(InterventionCosts!B293,Ingredients!A$1:A$265,0)))</f>
        <v>per room</v>
      </c>
      <c r="G293">
        <f>IF(B293="","",INDEX(Ingredients!$E$1:$E$238,(MATCH(InterventionCosts!B293,Ingredients!A$1:A$238,0))))</f>
        <v>2016</v>
      </c>
      <c r="H293" t="str">
        <f>INDEX(Ingredients!$F$1:$F$318,(MATCH(InterventionCosts!B293,Ingredients!A$1:A$318,0)))</f>
        <v>https://doi.org/10.1038/s41598-019-49109-w</v>
      </c>
      <c r="I293">
        <f>1/5733</f>
        <v>1.7442874585731728E-4</v>
      </c>
      <c r="J293" t="s">
        <v>1474</v>
      </c>
      <c r="K293" s="85">
        <f t="shared" si="8"/>
        <v>0.23043958493515715</v>
      </c>
      <c r="L293" s="85" t="s">
        <v>257</v>
      </c>
    </row>
    <row r="294" spans="1:12">
      <c r="A294" t="s">
        <v>296</v>
      </c>
      <c r="B294" t="s">
        <v>312</v>
      </c>
      <c r="C294" s="5" t="s">
        <v>1539</v>
      </c>
      <c r="D294" t="s">
        <v>67</v>
      </c>
      <c r="E294" s="70">
        <f>IF(B294="","",INDEX(Ingredients!$I$1:$I$5013,(MATCH(InterventionCosts!B294,Ingredients!$A$1:$A$5013,0))))</f>
        <v>251.97502074147175</v>
      </c>
      <c r="F294" s="5" t="str">
        <f>INDEX(Ingredients!J$1:J$265,(MATCH(InterventionCosts!B294,Ingredients!A$1:A$265,0)))</f>
        <v>per room</v>
      </c>
      <c r="G294">
        <f>IF(B294="","",INDEX(Ingredients!$E$1:$E$238,(MATCH(InterventionCosts!B294,Ingredients!A$1:A$238,0))))</f>
        <v>2016</v>
      </c>
      <c r="H294" t="str">
        <f>INDEX(Ingredients!$F$1:$F$318,(MATCH(InterventionCosts!B294,Ingredients!A$1:A$318,0)))</f>
        <v>https://doi.org/10.1038/s41598-019-49109-w</v>
      </c>
      <c r="I294">
        <f>1/5733</f>
        <v>1.7442874585731728E-4</v>
      </c>
      <c r="J294" t="s">
        <v>1474</v>
      </c>
      <c r="K294" s="85">
        <f t="shared" si="8"/>
        <v>4.3951686855306427E-2</v>
      </c>
      <c r="L294" s="85" t="s">
        <v>257</v>
      </c>
    </row>
    <row r="295" spans="1:12">
      <c r="A295" t="s">
        <v>296</v>
      </c>
      <c r="B295" s="79" t="s">
        <v>53</v>
      </c>
      <c r="C295" s="5" t="s">
        <v>1539</v>
      </c>
      <c r="D295" s="5" t="s">
        <v>48</v>
      </c>
      <c r="E295" s="70">
        <f>IF(B295="","",INDEX(Ingredients!$I$1:$I$5013,(MATCH(InterventionCosts!B295,Ingredients!$A$1:$A$5013,0))))</f>
        <v>4100.2266666666665</v>
      </c>
      <c r="F295" s="5" t="str">
        <f>INDEX(Ingredients!J$1:J$265,(MATCH(InterventionCosts!B295,Ingredients!A$1:A$265,0)))</f>
        <v>per month</v>
      </c>
      <c r="G295">
        <f>IF(B295="","",INDEX(Ingredients!$E$1:$E$238,(MATCH(InterventionCosts!B295,Ingredients!A$1:A$238,0))))</f>
        <v>2024</v>
      </c>
      <c r="H295" t="str">
        <f>INDEX(Ingredients!$F$1:$F$318,(MATCH(InterventionCosts!B295,Ingredients!A$1:A$318,0)))</f>
        <v>https://www.health.gov.za/wp-content/uploads/2022/07/Health-Department-welcomes-Bargaining-Council-resolution-to-improve-work-conditions-of-CHWs-27-July-2022.pdf</v>
      </c>
      <c r="I295">
        <f>4/5733</f>
        <v>6.9771498342926911E-4</v>
      </c>
      <c r="J295" t="s">
        <v>1474</v>
      </c>
      <c r="K295" s="85">
        <f t="shared" si="8"/>
        <v>2.8607895807895805</v>
      </c>
      <c r="L295" s="85" t="s">
        <v>358</v>
      </c>
    </row>
    <row r="296" spans="1:12">
      <c r="A296" t="s">
        <v>296</v>
      </c>
      <c r="B296" s="79" t="s">
        <v>53</v>
      </c>
      <c r="C296" s="5" t="s">
        <v>1539</v>
      </c>
      <c r="D296" s="5" t="s">
        <v>48</v>
      </c>
      <c r="E296" s="70">
        <f>IF(B296="","",INDEX(Ingredients!$I$1:$I$5013,(MATCH(InterventionCosts!B296,Ingredients!$A$1:$A$5013,0))))</f>
        <v>4100.2266666666665</v>
      </c>
      <c r="F296" s="5" t="str">
        <f>INDEX(Ingredients!J$1:J$265,(MATCH(InterventionCosts!B296,Ingredients!A$1:A$265,0)))</f>
        <v>per month</v>
      </c>
      <c r="G296">
        <f>IF(B296="","",INDEX(Ingredients!$E$1:$E$238,(MATCH(InterventionCosts!B296,Ingredients!A$1:A$238,0))))</f>
        <v>2024</v>
      </c>
      <c r="H296" t="str">
        <f>INDEX(Ingredients!$F$1:$F$318,(MATCH(InterventionCosts!B296,Ingredients!A$1:A$318,0)))</f>
        <v>https://www.health.gov.za/wp-content/uploads/2022/07/Health-Department-welcomes-Bargaining-Council-resolution-to-improve-work-conditions-of-CHWs-27-July-2022.pdf</v>
      </c>
      <c r="I296">
        <f>20/5733</f>
        <v>3.4885749171463458E-3</v>
      </c>
      <c r="J296" t="s">
        <v>1474</v>
      </c>
      <c r="K296" s="85">
        <f t="shared" si="8"/>
        <v>14.303947903947904</v>
      </c>
      <c r="L296" s="85" t="s">
        <v>257</v>
      </c>
    </row>
    <row r="297" spans="1:12">
      <c r="A297" t="s">
        <v>296</v>
      </c>
      <c r="B297" t="s">
        <v>246</v>
      </c>
      <c r="C297" s="5" t="s">
        <v>1539</v>
      </c>
      <c r="D297" s="5" t="s">
        <v>48</v>
      </c>
      <c r="E297" s="70">
        <f>IF(B297="","",INDEX(Ingredients!$I$1:$I$5013,(MATCH(InterventionCosts!B297,Ingredients!$A$1:$A$5013,0))))</f>
        <v>0.16400000000000001</v>
      </c>
      <c r="F297" s="5" t="str">
        <f>INDEX(Ingredients!J$1:J$265,(MATCH(InterventionCosts!B297,Ingredients!A$1:A$265,0)))</f>
        <v>per page</v>
      </c>
      <c r="G297">
        <f>IF(B297="","",INDEX(Ingredients!$E$1:$E$238,(MATCH(InterventionCosts!B297,Ingredients!A$1:A$238,0))))</f>
        <v>2024</v>
      </c>
      <c r="H297" t="str">
        <f>INDEX(Ingredients!$F$1:$F$318,(MATCH(InterventionCosts!B297,Ingredients!A$1:A$318,0)))</f>
        <v>https://www.makro.co.za/stationery-office-furniture/paper-filing/paper/white-paper/copy-paper/typek-a4-office-paper-80-gsm/p/000000000000012434_BOX</v>
      </c>
      <c r="I297">
        <f>1*1.01</f>
        <v>1.01</v>
      </c>
      <c r="J297" t="s">
        <v>1474</v>
      </c>
      <c r="K297" s="85">
        <f t="shared" si="8"/>
        <v>0.16564000000000001</v>
      </c>
      <c r="L297" s="85" t="s">
        <v>257</v>
      </c>
    </row>
    <row r="298" spans="1:12">
      <c r="A298" t="s">
        <v>296</v>
      </c>
      <c r="B298" t="s">
        <v>290</v>
      </c>
      <c r="C298" s="5" t="s">
        <v>1539</v>
      </c>
      <c r="D298" s="5" t="s">
        <v>48</v>
      </c>
      <c r="E298" s="70">
        <f>IF(B298="","",INDEX(Ingredients!$I$1:$I$5013,(MATCH(InterventionCosts!B298,Ingredients!$A$1:$A$5013,0))))</f>
        <v>25449.108333333334</v>
      </c>
      <c r="F298" s="5" t="str">
        <f>INDEX(Ingredients!J$1:J$265,(MATCH(InterventionCosts!B298,Ingredients!A$1:A$265,0)))</f>
        <v>per month</v>
      </c>
      <c r="G298">
        <f>IF(B298="","",INDEX(Ingredients!$E$1:$E$238,(MATCH(InterventionCosts!B298,Ingredients!A$1:A$238,0))))</f>
        <v>2024</v>
      </c>
      <c r="H298" t="str">
        <f>INDEX(Ingredients!$F$1:$F$318,(MATCH(InterventionCosts!B298,Ingredients!A$1:A$318,0)))</f>
        <v xml:space="preserve">April 2024 Salary scale </v>
      </c>
      <c r="I298">
        <f>0.5/5733</f>
        <v>8.7214372928658639E-5</v>
      </c>
      <c r="J298" t="s">
        <v>1474</v>
      </c>
      <c r="K298" s="85">
        <f t="shared" si="8"/>
        <v>2.2195280248851676</v>
      </c>
      <c r="L298" s="85" t="s">
        <v>258</v>
      </c>
    </row>
    <row r="299" spans="1:12">
      <c r="A299" t="s">
        <v>296</v>
      </c>
      <c r="B299" t="s">
        <v>56</v>
      </c>
      <c r="C299" s="5" t="s">
        <v>1539</v>
      </c>
      <c r="D299" s="5" t="s">
        <v>48</v>
      </c>
      <c r="E299" s="70">
        <f>IF(B299="","",INDEX(Ingredients!$I$1:$I$5013,(MATCH(InterventionCosts!B299,Ingredients!$A$1:$A$5013,0))))</f>
        <v>23181.75</v>
      </c>
      <c r="F299" s="5" t="str">
        <f>INDEX(Ingredients!J$1:J$265,(MATCH(InterventionCosts!B299,Ingredients!A$1:A$265,0)))</f>
        <v>per month</v>
      </c>
      <c r="G299">
        <f>IF(B299="","",INDEX(Ingredients!$E$1:$E$238,(MATCH(InterventionCosts!B299,Ingredients!A$1:A$238,0))))</f>
        <v>2024</v>
      </c>
      <c r="H299" t="str">
        <f>INDEX(Ingredients!$F$1:$F$318,(MATCH(InterventionCosts!B299,Ingredients!A$1:A$318,0)))</f>
        <v xml:space="preserve">April 2024 Salary scale </v>
      </c>
      <c r="I299">
        <f>4/5733</f>
        <v>6.9771498342926911E-4</v>
      </c>
      <c r="J299" t="s">
        <v>1474</v>
      </c>
      <c r="K299" s="85">
        <f t="shared" si="8"/>
        <v>16.174254317111458</v>
      </c>
      <c r="L299" s="85" t="s">
        <v>258</v>
      </c>
    </row>
    <row r="300" spans="1:12">
      <c r="A300" t="s">
        <v>296</v>
      </c>
      <c r="B300" t="s">
        <v>51</v>
      </c>
      <c r="C300" s="5" t="s">
        <v>1539</v>
      </c>
      <c r="D300" s="5" t="s">
        <v>48</v>
      </c>
      <c r="E300" s="70">
        <f>(IF(B300="","",INDEX(Ingredients!$I$1:$I$5013,(MATCH(InterventionCosts!B300,Ingredients!$A$1:$A$5013,0)))))</f>
        <v>4100.2266666666665</v>
      </c>
      <c r="F300" s="5" t="str">
        <f>INDEX(Ingredients!J$1:J$265,(MATCH(InterventionCosts!B300,Ingredients!A$1:A$265,0)))</f>
        <v>per month</v>
      </c>
      <c r="G300">
        <f>IF(B300="","",INDEX(Ingredients!$E$1:$E$238,(MATCH(InterventionCosts!B300,Ingredients!A$1:A$238,0))))</f>
        <v>2024</v>
      </c>
      <c r="H300" t="str">
        <f>INDEX(Ingredients!$F$1:$F$318,(MATCH(InterventionCosts!B300,Ingredients!A$1:A$318,0)))</f>
        <v>https://www.gov.za/news/media-statements/government-activities/minister-thulas-nxesi-announces-national-minimum-wage</v>
      </c>
      <c r="I300">
        <f>0.5/5733</f>
        <v>8.7214372928658639E-5</v>
      </c>
      <c r="J300" t="s">
        <v>1474</v>
      </c>
      <c r="K300" s="85">
        <f t="shared" si="8"/>
        <v>0.35759869759869756</v>
      </c>
      <c r="L300" s="85" t="s">
        <v>258</v>
      </c>
    </row>
    <row r="301" spans="1:12">
      <c r="A301" t="s">
        <v>296</v>
      </c>
      <c r="B301" t="s">
        <v>247</v>
      </c>
      <c r="C301" s="5" t="s">
        <v>1539</v>
      </c>
      <c r="D301" s="5" t="s">
        <v>21</v>
      </c>
      <c r="E301" s="70">
        <f>IF(B301="","",INDEX(Ingredients!$I$1:$I$5013,(MATCH(InterventionCosts!B301,Ingredients!$A$1:$A$5013,0))))</f>
        <v>274.72000000000003</v>
      </c>
      <c r="F301" s="5" t="str">
        <f>INDEX(Ingredients!J$1:J$265,(MATCH(InterventionCosts!B301,Ingredients!A$1:A$265,0)))</f>
        <v>per 5L</v>
      </c>
      <c r="G301">
        <f>IF(B301="","",INDEX(Ingredients!$E$1:$E$238,(MATCH(InterventionCosts!B301,Ingredients!A$1:A$238,0))))</f>
        <v>2024</v>
      </c>
      <c r="H301" t="str">
        <f>INDEX(Ingredients!$F$1:$F$318,(MATCH(InterventionCosts!B301,Ingredients!A$1:A$318,0)))</f>
        <v>https://www.health.gov.za/wp-content/uploads/2024/04/HP12-2023LQ-CPA-Add-4-12-Effective-1-May-2024.pdf</v>
      </c>
      <c r="I301">
        <f>1/5000*1.01</f>
        <v>2.02E-4</v>
      </c>
      <c r="J301" t="s">
        <v>1474</v>
      </c>
      <c r="K301" s="85">
        <f t="shared" si="8"/>
        <v>5.5493440000000005E-2</v>
      </c>
      <c r="L301" s="85" t="s">
        <v>258</v>
      </c>
    </row>
    <row r="302" spans="1:12">
      <c r="A302" t="s">
        <v>296</v>
      </c>
      <c r="B302" t="s">
        <v>1489</v>
      </c>
      <c r="C302" s="5" t="s">
        <v>1539</v>
      </c>
      <c r="D302" s="5" t="s">
        <v>21</v>
      </c>
      <c r="E302" s="70">
        <f>IF(B302="","",INDEX(Ingredients!$I$1:$I$5013,(MATCH(InterventionCosts!B302,Ingredients!$A$1:$A$5013,0))))</f>
        <v>53.08</v>
      </c>
      <c r="F302" s="5" t="str">
        <f>INDEX(Ingredients!J$1:J$265,(MATCH(InterventionCosts!B302,Ingredients!A$1:A$265,0)))</f>
        <v>per pack 100, 50 pairs</v>
      </c>
      <c r="G302">
        <f>IF(B302="","",INDEX(Ingredients!$E$1:$E$238,(MATCH(InterventionCosts!B302,Ingredients!A$1:A$238,0))))</f>
        <v>2024</v>
      </c>
      <c r="H302" t="str">
        <f>INDEX(Ingredients!$F$1:$F$318,(MATCH(InterventionCosts!B302,Ingredients!A$1:A$318,0)))</f>
        <v>https://www.treasury.gov.za/divisions/ocpo/ostb/contracts/RT76-2023%20CPA%20Amendment%204-%20Effective%2001%20May%202024.pdf</v>
      </c>
      <c r="I302">
        <f>1/50*1.01</f>
        <v>2.0199999999999999E-2</v>
      </c>
      <c r="J302" t="s">
        <v>1474</v>
      </c>
      <c r="K302" s="85">
        <f t="shared" si="8"/>
        <v>1.0722159999999998</v>
      </c>
      <c r="L302" s="85" t="s">
        <v>265</v>
      </c>
    </row>
    <row r="303" spans="1:12">
      <c r="A303" t="s">
        <v>296</v>
      </c>
      <c r="B303" t="s">
        <v>79</v>
      </c>
      <c r="C303" s="5" t="s">
        <v>1539</v>
      </c>
      <c r="D303" s="5" t="s">
        <v>21</v>
      </c>
      <c r="E303" s="70">
        <f>IF(B303="","",INDEX(Ingredients!$I$1:$I$5013,(MATCH(InterventionCosts!B303,Ingredients!$A$1:$A$5013,0))))</f>
        <v>9.3000000000000007</v>
      </c>
      <c r="F303" s="5" t="str">
        <f>INDEX(Ingredients!J$1:J$265,(MATCH(InterventionCosts!B303,Ingredients!A$1:A$265,0)))</f>
        <v>per test</v>
      </c>
      <c r="G303">
        <f>IF(B303="","",INDEX(Ingredients!$E$1:$E$238,(MATCH(InterventionCosts!B303,Ingredients!A$1:A$238,0))))</f>
        <v>2024</v>
      </c>
      <c r="H303" t="str">
        <f>INDEX(Ingredients!$F$1:$F$318,(MATCH(InterventionCosts!B303,Ingredients!A$1:A$318,0)))</f>
        <v>https://www.treasury.gov.za/divisions/ocpo/ostb/contracts/RT41-2020.zip</v>
      </c>
      <c r="I303">
        <f>1*1.01</f>
        <v>1.01</v>
      </c>
      <c r="J303" t="s">
        <v>1474</v>
      </c>
      <c r="K303" s="85">
        <f t="shared" si="8"/>
        <v>9.3930000000000007</v>
      </c>
      <c r="L303" s="85" t="s">
        <v>258</v>
      </c>
    </row>
    <row r="304" spans="1:12">
      <c r="A304" t="s">
        <v>296</v>
      </c>
      <c r="B304" t="s">
        <v>248</v>
      </c>
      <c r="C304" s="5" t="s">
        <v>1539</v>
      </c>
      <c r="D304" s="5" t="s">
        <v>21</v>
      </c>
      <c r="E304" s="70">
        <f>IF(B304="","",INDEX(Ingredients!$I$1:$I$5013,(MATCH(InterventionCosts!B304,Ingredients!$A$1:$A$5013,0))))</f>
        <v>2.645</v>
      </c>
      <c r="F304" s="5" t="str">
        <f>INDEX(Ingredients!J$1:J$265,(MATCH(InterventionCosts!B304,Ingredients!A$1:A$265,0)))</f>
        <v>per bag</v>
      </c>
      <c r="G304">
        <f>IF(B304="","",INDEX(Ingredients!$E$1:$E$238,(MATCH(InterventionCosts!B304,Ingredients!A$1:A$238,0))))</f>
        <v>2024</v>
      </c>
      <c r="H304" t="str">
        <f>INDEX(Ingredients!$F$1:$F$318,(MATCH(InterventionCosts!B304,Ingredients!A$1:A$318,0)))</f>
        <v>https://medqsupplies.co.za/product/bio-hazard-plastic-bags/</v>
      </c>
      <c r="I304">
        <f>1*1.01</f>
        <v>1.01</v>
      </c>
      <c r="J304" t="s">
        <v>1474</v>
      </c>
      <c r="K304" s="85">
        <f t="shared" si="8"/>
        <v>2.6714500000000001</v>
      </c>
      <c r="L304" s="85" t="s">
        <v>258</v>
      </c>
    </row>
    <row r="305" spans="1:12">
      <c r="A305" t="s">
        <v>296</v>
      </c>
      <c r="B305" t="s">
        <v>31</v>
      </c>
      <c r="C305" s="5" t="s">
        <v>1539</v>
      </c>
      <c r="D305" s="5" t="s">
        <v>21</v>
      </c>
      <c r="E305" s="70">
        <f>IF(B305="","",INDEX(Ingredients!$I$1:$I$5013,(MATCH(InterventionCosts!B305,Ingredients!$A$1:$A$5013,0))))</f>
        <v>31.4</v>
      </c>
      <c r="F305" s="5" t="str">
        <f>INDEX(Ingredients!J$1:J$265,(MATCH(InterventionCosts!B305,Ingredients!A$1:A$265,0)))</f>
        <v>per 100 swabs</v>
      </c>
      <c r="G305">
        <f>IF(B305="","",INDEX(Ingredients!$E$1:$E$238,(MATCH(InterventionCosts!B305,Ingredients!A$1:A$238,0))))</f>
        <v>2024</v>
      </c>
      <c r="H305" t="str">
        <f>INDEX(Ingredients!$F$1:$F$318,(MATCH(InterventionCosts!B305,Ingredients!A$1:A$318,0)))</f>
        <v xml:space="preserve">http://www.treasury.gov.za/divisions/ocpo/ostb/contracts/RT42-2022zip </v>
      </c>
      <c r="I305">
        <f>1/100*1.01</f>
        <v>1.01E-2</v>
      </c>
      <c r="J305" t="s">
        <v>1474</v>
      </c>
      <c r="K305" s="85">
        <f t="shared" si="8"/>
        <v>0.31713999999999998</v>
      </c>
      <c r="L305" s="85" t="s">
        <v>258</v>
      </c>
    </row>
    <row r="306" spans="1:12" s="89" customFormat="1">
      <c r="A306" s="4" t="s">
        <v>296</v>
      </c>
      <c r="F306" s="89" t="s">
        <v>1164</v>
      </c>
      <c r="G306" s="89" t="str">
        <f>IF(B306="","",INDEX(Ingredients!$E$1:$E$238,(MATCH(InterventionCosts!B306,Ingredients!A$1:A$238,0))))</f>
        <v/>
      </c>
      <c r="K306" s="90"/>
      <c r="L306" s="90">
        <f>SUM(K289:K305)</f>
        <v>88.9780433191398</v>
      </c>
    </row>
    <row r="307" spans="1:12" s="89" customFormat="1">
      <c r="A307" s="4" t="s">
        <v>296</v>
      </c>
      <c r="F307" s="89" t="s">
        <v>117</v>
      </c>
      <c r="G307" s="89" t="str">
        <f>IF(B307="","",INDEX(Ingredients!$E$1:$E$238,(MATCH(InterventionCosts!B307,Ingredients!A$1:A$238,0))))</f>
        <v/>
      </c>
      <c r="K307" s="90"/>
      <c r="L307" s="90" t="s">
        <v>936</v>
      </c>
    </row>
    <row r="308" spans="1:12">
      <c r="G308" t="str">
        <f>IF(B308="","",INDEX(Ingredients!$E$1:$E$238,(MATCH(InterventionCosts!B308,Ingredients!A$1:A$238,0))))</f>
        <v/>
      </c>
    </row>
    <row r="309" spans="1:12">
      <c r="A309" t="s">
        <v>297</v>
      </c>
      <c r="B309" t="s">
        <v>308</v>
      </c>
      <c r="C309" s="5" t="s">
        <v>1539</v>
      </c>
      <c r="D309" t="s">
        <v>67</v>
      </c>
      <c r="E309" s="70">
        <f>IF(B309="","",INDEX(Ingredients!$I$1:$I$5013,(MATCH(InterventionCosts!B309,Ingredients!$A$1:$A$5013,0))))</f>
        <v>2577.4452112671624</v>
      </c>
      <c r="F309" s="5" t="str">
        <f>INDEX(Ingredients!J$1:J$265,(MATCH(InterventionCosts!B309,Ingredients!A$1:A$265,0)))</f>
        <v>per month</v>
      </c>
      <c r="G309">
        <f>IF(B309="","",INDEX(Ingredients!$E$1:$E$238,(MATCH(InterventionCosts!B309,Ingredients!A$1:A$238,0))))</f>
        <v>2016</v>
      </c>
      <c r="H309" t="str">
        <f>INDEX(Ingredients!$F$1:$F$318,(MATCH(InterventionCosts!B309,Ingredients!A$1:A$318,0)))</f>
        <v>https://doi.org/10.1038/s41598-019-49109-w; Tabana Operational Vehicle 2016</v>
      </c>
      <c r="I309">
        <f>1/5733</f>
        <v>1.7442874585731728E-4</v>
      </c>
      <c r="J309" t="s">
        <v>1474</v>
      </c>
      <c r="K309" s="85">
        <f t="shared" ref="K309:K331" si="9">I309*E309</f>
        <v>0.44958053571727929</v>
      </c>
      <c r="L309" s="85" t="s">
        <v>67</v>
      </c>
    </row>
    <row r="310" spans="1:12">
      <c r="A310" t="s">
        <v>297</v>
      </c>
      <c r="B310" t="s">
        <v>287</v>
      </c>
      <c r="C310" s="5" t="s">
        <v>1539</v>
      </c>
      <c r="D310" s="5" t="s">
        <v>48</v>
      </c>
      <c r="E310" s="70">
        <f>IF(B310="","",INDEX(Ingredients!$I$1:$I$5013,(MATCH(InterventionCosts!B310,Ingredients!$A$1:$A$5013,0))))</f>
        <v>21800.311666666668</v>
      </c>
      <c r="F310" s="5" t="str">
        <f>INDEX(Ingredients!J$1:J$265,(MATCH(InterventionCosts!B310,Ingredients!A$1:A$265,0)))</f>
        <v>per month</v>
      </c>
      <c r="G310">
        <f>IF(B310="","",INDEX(Ingredients!$E$1:$E$238,(MATCH(InterventionCosts!B310,Ingredients!A$1:A$238,0))))</f>
        <v>2024</v>
      </c>
      <c r="H310" t="str">
        <f>INDEX(Ingredients!$F$1:$F$318,(MATCH(InterventionCosts!B310,Ingredients!A$1:A$318,0)))</f>
        <v xml:space="preserve">April 2024 Salary scale </v>
      </c>
      <c r="I310">
        <f>1/5733</f>
        <v>1.7442874585731728E-4</v>
      </c>
      <c r="J310" t="s">
        <v>1474</v>
      </c>
      <c r="K310" s="85">
        <f t="shared" si="9"/>
        <v>3.8026010233153094</v>
      </c>
      <c r="L310" s="85" t="s">
        <v>291</v>
      </c>
    </row>
    <row r="311" spans="1:12">
      <c r="A311" t="s">
        <v>297</v>
      </c>
      <c r="B311" t="s">
        <v>288</v>
      </c>
      <c r="C311" s="5" t="s">
        <v>1539</v>
      </c>
      <c r="D311" s="5" t="s">
        <v>48</v>
      </c>
      <c r="E311" s="70">
        <f>IF(B311="","",INDEX(Ingredients!$I$1:$I$5013,(MATCH(InterventionCosts!B311,Ingredients!$A$1:$A$5013,0))))</f>
        <v>62408.151666666665</v>
      </c>
      <c r="F311" s="5" t="str">
        <f>INDEX(Ingredients!J$1:J$265,(MATCH(InterventionCosts!B311,Ingredients!A$1:A$265,0)))</f>
        <v>per month</v>
      </c>
      <c r="G311">
        <f>IF(B311="","",INDEX(Ingredients!$E$1:$E$238,(MATCH(InterventionCosts!B311,Ingredients!A$1:A$238,0))))</f>
        <v>2024</v>
      </c>
      <c r="H311" t="str">
        <f>INDEX(Ingredients!$F$1:$F$318,(MATCH(InterventionCosts!B311,Ingredients!A$1:A$318,0)))</f>
        <v xml:space="preserve">April 2024 Salary scale </v>
      </c>
      <c r="I311">
        <f>1/5733</f>
        <v>1.7442874585731728E-4</v>
      </c>
      <c r="J311" t="s">
        <v>1474</v>
      </c>
      <c r="K311" s="85">
        <f t="shared" si="9"/>
        <v>10.885775626489911</v>
      </c>
      <c r="L311" s="85" t="s">
        <v>291</v>
      </c>
    </row>
    <row r="312" spans="1:12">
      <c r="A312" t="s">
        <v>297</v>
      </c>
      <c r="B312" t="s">
        <v>289</v>
      </c>
      <c r="C312" s="5" t="s">
        <v>1539</v>
      </c>
      <c r="D312" s="5" t="s">
        <v>48</v>
      </c>
      <c r="E312" s="70">
        <f>IF(B312="","",INDEX(Ingredients!$I$1:$I$5013,(MATCH(InterventionCosts!B312,Ingredients!$A$1:$A$5013,0))))</f>
        <v>34361.648333333331</v>
      </c>
      <c r="F312" s="5" t="str">
        <f>INDEX(Ingredients!J$1:J$265,(MATCH(InterventionCosts!B312,Ingredients!A$1:A$265,0)))</f>
        <v>per month</v>
      </c>
      <c r="G312">
        <f>IF(B312="","",INDEX(Ingredients!$E$1:$E$238,(MATCH(InterventionCosts!B312,Ingredients!A$1:A$238,0))))</f>
        <v>2024</v>
      </c>
      <c r="H312" t="str">
        <f>INDEX(Ingredients!$F$1:$F$318,(MATCH(InterventionCosts!B312,Ingredients!A$1:A$318,0)))</f>
        <v xml:space="preserve">April 2024 Salary scale </v>
      </c>
      <c r="I312">
        <f>4/5733</f>
        <v>6.9771498342926911E-4</v>
      </c>
      <c r="J312" t="s">
        <v>1474</v>
      </c>
      <c r="K312" s="85">
        <f t="shared" si="9"/>
        <v>23.974636897494037</v>
      </c>
      <c r="L312" s="85" t="s">
        <v>291</v>
      </c>
    </row>
    <row r="313" spans="1:12">
      <c r="A313" t="s">
        <v>297</v>
      </c>
      <c r="B313" t="s">
        <v>310</v>
      </c>
      <c r="C313" s="5" t="s">
        <v>1539</v>
      </c>
      <c r="D313" t="s">
        <v>81</v>
      </c>
      <c r="E313" s="70">
        <f>IF(B313="","",INDEX(Ingredients!$I$1:$I$5013,(MATCH(InterventionCosts!B313,Ingredients!$A$1:$A$5013,0))))</f>
        <v>1321.110140433256</v>
      </c>
      <c r="F313" s="5" t="str">
        <f>INDEX(Ingredients!J$1:J$265,(MATCH(InterventionCosts!B313,Ingredients!A$1:A$265,0)))</f>
        <v>per room</v>
      </c>
      <c r="G313">
        <f>IF(B313="","",INDEX(Ingredients!$E$1:$E$238,(MATCH(InterventionCosts!B313,Ingredients!A$1:A$238,0))))</f>
        <v>2016</v>
      </c>
      <c r="H313" t="str">
        <f>INDEX(Ingredients!$F$1:$F$318,(MATCH(InterventionCosts!B313,Ingredients!A$1:A$318,0)))</f>
        <v>https://doi.org/10.1038/s41598-019-49109-w</v>
      </c>
      <c r="I313">
        <f>1/5733</f>
        <v>1.7442874585731728E-4</v>
      </c>
      <c r="J313" t="s">
        <v>1474</v>
      </c>
      <c r="K313" s="85">
        <f t="shared" si="9"/>
        <v>0.23043958493515715</v>
      </c>
      <c r="L313" s="85" t="s">
        <v>257</v>
      </c>
    </row>
    <row r="314" spans="1:12">
      <c r="A314" t="s">
        <v>297</v>
      </c>
      <c r="B314" t="s">
        <v>312</v>
      </c>
      <c r="C314" s="86" t="s">
        <v>1539</v>
      </c>
      <c r="D314" t="s">
        <v>67</v>
      </c>
      <c r="E314" s="70">
        <f>IF(B314="","",INDEX(Ingredients!$I$1:$I$5013,(MATCH(InterventionCosts!B314,Ingredients!$A$1:$A$5013,0))))</f>
        <v>251.97502074147175</v>
      </c>
      <c r="F314" s="5" t="str">
        <f>INDEX(Ingredients!J$1:J$265,(MATCH(InterventionCosts!B314,Ingredients!A$1:A$265,0)))</f>
        <v>per room</v>
      </c>
      <c r="G314">
        <f>IF(B314="","",INDEX(Ingredients!$E$1:$E$238,(MATCH(InterventionCosts!B314,Ingredients!A$1:A$238,0))))</f>
        <v>2016</v>
      </c>
      <c r="H314" t="str">
        <f>INDEX(Ingredients!$F$1:$F$318,(MATCH(InterventionCosts!B314,Ingredients!A$1:A$318,0)))</f>
        <v>https://doi.org/10.1038/s41598-019-49109-w</v>
      </c>
      <c r="I314">
        <f>1/5733</f>
        <v>1.7442874585731728E-4</v>
      </c>
      <c r="J314" t="s">
        <v>1474</v>
      </c>
      <c r="K314" s="85">
        <f t="shared" si="9"/>
        <v>4.3951686855306427E-2</v>
      </c>
      <c r="L314" s="85" t="s">
        <v>257</v>
      </c>
    </row>
    <row r="315" spans="1:12">
      <c r="A315" t="s">
        <v>297</v>
      </c>
      <c r="B315" s="79" t="s">
        <v>53</v>
      </c>
      <c r="C315" s="5" t="s">
        <v>1539</v>
      </c>
      <c r="D315" s="5" t="s">
        <v>48</v>
      </c>
      <c r="E315" s="70">
        <f>IF(B315="","",INDEX(Ingredients!$I$1:$I$5013,(MATCH(InterventionCosts!B315,Ingredients!$A$1:$A$5013,0))))</f>
        <v>4100.2266666666665</v>
      </c>
      <c r="F315" s="5" t="str">
        <f>INDEX(Ingredients!J$1:J$265,(MATCH(InterventionCosts!B315,Ingredients!A$1:A$265,0)))</f>
        <v>per month</v>
      </c>
      <c r="G315">
        <f>IF(B315="","",INDEX(Ingredients!$E$1:$E$238,(MATCH(InterventionCosts!B315,Ingredients!A$1:A$238,0))))</f>
        <v>2024</v>
      </c>
      <c r="H315" t="str">
        <f>INDEX(Ingredients!$F$1:$F$318,(MATCH(InterventionCosts!B315,Ingredients!A$1:A$318,0)))</f>
        <v>https://www.health.gov.za/wp-content/uploads/2022/07/Health-Department-welcomes-Bargaining-Council-resolution-to-improve-work-conditions-of-CHWs-27-July-2022.pdf</v>
      </c>
      <c r="I315">
        <f>4/5733</f>
        <v>6.9771498342926911E-4</v>
      </c>
      <c r="J315" t="s">
        <v>1474</v>
      </c>
      <c r="K315" s="85">
        <f t="shared" si="9"/>
        <v>2.8607895807895805</v>
      </c>
      <c r="L315" s="85" t="s">
        <v>359</v>
      </c>
    </row>
    <row r="316" spans="1:12">
      <c r="A316" t="s">
        <v>297</v>
      </c>
      <c r="B316" s="79" t="s">
        <v>53</v>
      </c>
      <c r="C316" s="5" t="s">
        <v>1539</v>
      </c>
      <c r="D316" s="5" t="s">
        <v>48</v>
      </c>
      <c r="E316" s="70">
        <f>IF(B316="","",INDEX(Ingredients!$I$1:$I$5013,(MATCH(InterventionCosts!B316,Ingredients!$A$1:$A$5013,0))))</f>
        <v>4100.2266666666665</v>
      </c>
      <c r="F316" s="5" t="str">
        <f>INDEX(Ingredients!J$1:J$265,(MATCH(InterventionCosts!B316,Ingredients!A$1:A$265,0)))</f>
        <v>per month</v>
      </c>
      <c r="G316">
        <f>IF(B316="","",INDEX(Ingredients!$E$1:$E$238,(MATCH(InterventionCosts!B316,Ingredients!A$1:A$238,0))))</f>
        <v>2024</v>
      </c>
      <c r="H316" t="str">
        <f>INDEX(Ingredients!$F$1:$F$318,(MATCH(InterventionCosts!B316,Ingredients!A$1:A$318,0)))</f>
        <v>https://www.health.gov.za/wp-content/uploads/2022/07/Health-Department-welcomes-Bargaining-Council-resolution-to-improve-work-conditions-of-CHWs-27-July-2022.pdf</v>
      </c>
      <c r="I316">
        <f>20/5733</f>
        <v>3.4885749171463458E-3</v>
      </c>
      <c r="J316" t="s">
        <v>1474</v>
      </c>
      <c r="K316" s="85">
        <f t="shared" si="9"/>
        <v>14.303947903947904</v>
      </c>
      <c r="L316" s="85" t="s">
        <v>257</v>
      </c>
    </row>
    <row r="317" spans="1:12">
      <c r="A317" t="s">
        <v>297</v>
      </c>
      <c r="B317" t="s">
        <v>246</v>
      </c>
      <c r="C317" s="5" t="s">
        <v>1539</v>
      </c>
      <c r="D317" s="5" t="s">
        <v>48</v>
      </c>
      <c r="E317" s="70">
        <f>IF(B317="","",INDEX(Ingredients!$I$1:$I$5013,(MATCH(InterventionCosts!B317,Ingredients!$A$1:$A$5013,0))))</f>
        <v>0.16400000000000001</v>
      </c>
      <c r="F317" s="5" t="str">
        <f>INDEX(Ingredients!J$1:J$265,(MATCH(InterventionCosts!B317,Ingredients!A$1:A$265,0)))</f>
        <v>per page</v>
      </c>
      <c r="G317">
        <f>IF(B317="","",INDEX(Ingredients!$E$1:$E$238,(MATCH(InterventionCosts!B317,Ingredients!A$1:A$238,0))))</f>
        <v>2024</v>
      </c>
      <c r="H317" t="str">
        <f>INDEX(Ingredients!$F$1:$F$318,(MATCH(InterventionCosts!B317,Ingredients!A$1:A$318,0)))</f>
        <v>https://www.makro.co.za/stationery-office-furniture/paper-filing/paper/white-paper/copy-paper/typek-a4-office-paper-80-gsm/p/000000000000012434_BOX</v>
      </c>
      <c r="I317">
        <f>1</f>
        <v>1</v>
      </c>
      <c r="J317" t="s">
        <v>1474</v>
      </c>
      <c r="K317" s="85">
        <f t="shared" si="9"/>
        <v>0.16400000000000001</v>
      </c>
      <c r="L317" s="85" t="s">
        <v>257</v>
      </c>
    </row>
    <row r="318" spans="1:12">
      <c r="A318" t="s">
        <v>297</v>
      </c>
      <c r="B318" t="s">
        <v>290</v>
      </c>
      <c r="C318" s="5" t="s">
        <v>1539</v>
      </c>
      <c r="D318" s="5" t="s">
        <v>48</v>
      </c>
      <c r="E318" s="70">
        <f>IF(B318="","",INDEX(Ingredients!$I$1:$I$5013,(MATCH(InterventionCosts!B318,Ingredients!$A$1:$A$5013,0))))</f>
        <v>25449.108333333334</v>
      </c>
      <c r="F318" s="5" t="str">
        <f>INDEX(Ingredients!J$1:J$265,(MATCH(InterventionCosts!B318,Ingredients!A$1:A$265,0)))</f>
        <v>per month</v>
      </c>
      <c r="G318">
        <f>IF(B318="","",INDEX(Ingredients!$E$1:$E$238,(MATCH(InterventionCosts!B318,Ingredients!A$1:A$238,0))))</f>
        <v>2024</v>
      </c>
      <c r="H318" t="str">
        <f>INDEX(Ingredients!$F$1:$F$318,(MATCH(InterventionCosts!B318,Ingredients!A$1:A$318,0)))</f>
        <v xml:space="preserve">April 2024 Salary scale </v>
      </c>
      <c r="I318">
        <f>0.5/5733</f>
        <v>8.7214372928658639E-5</v>
      </c>
      <c r="J318" t="s">
        <v>1474</v>
      </c>
      <c r="K318" s="85">
        <f t="shared" si="9"/>
        <v>2.2195280248851676</v>
      </c>
      <c r="L318" s="85" t="s">
        <v>258</v>
      </c>
    </row>
    <row r="319" spans="1:12">
      <c r="A319" t="s">
        <v>297</v>
      </c>
      <c r="B319" t="s">
        <v>56</v>
      </c>
      <c r="C319" s="5" t="s">
        <v>1539</v>
      </c>
      <c r="D319" s="5" t="s">
        <v>48</v>
      </c>
      <c r="E319" s="70">
        <f>IF(B319="","",INDEX(Ingredients!$I$1:$I$5013,(MATCH(InterventionCosts!B319,Ingredients!$A$1:$A$5013,0))))</f>
        <v>23181.75</v>
      </c>
      <c r="F319" s="5" t="str">
        <f>INDEX(Ingredients!J$1:J$265,(MATCH(InterventionCosts!B319,Ingredients!A$1:A$265,0)))</f>
        <v>per month</v>
      </c>
      <c r="G319">
        <f>IF(B319="","",INDEX(Ingredients!$E$1:$E$238,(MATCH(InterventionCosts!B319,Ingredients!A$1:A$238,0))))</f>
        <v>2024</v>
      </c>
      <c r="H319" t="str">
        <f>INDEX(Ingredients!$F$1:$F$318,(MATCH(InterventionCosts!B319,Ingredients!A$1:A$318,0)))</f>
        <v xml:space="preserve">April 2024 Salary scale </v>
      </c>
      <c r="I319">
        <f>4/5733</f>
        <v>6.9771498342926911E-4</v>
      </c>
      <c r="J319" t="s">
        <v>1474</v>
      </c>
      <c r="K319" s="85">
        <f t="shared" si="9"/>
        <v>16.174254317111458</v>
      </c>
      <c r="L319" s="85" t="s">
        <v>258</v>
      </c>
    </row>
    <row r="320" spans="1:12">
      <c r="A320" t="s">
        <v>297</v>
      </c>
      <c r="B320" t="s">
        <v>51</v>
      </c>
      <c r="C320" s="5" t="s">
        <v>1539</v>
      </c>
      <c r="D320" s="5" t="s">
        <v>48</v>
      </c>
      <c r="E320" s="70">
        <f>(IF(B320="","",INDEX(Ingredients!$I$1:$I$5013,(MATCH(InterventionCosts!B320,Ingredients!$A$1:$A$5013,0)))))</f>
        <v>4100.2266666666665</v>
      </c>
      <c r="F320" s="5" t="str">
        <f>INDEX(Ingredients!J$1:J$265,(MATCH(InterventionCosts!B320,Ingredients!A$1:A$265,0)))</f>
        <v>per month</v>
      </c>
      <c r="G320">
        <f>IF(B320="","",INDEX(Ingredients!$E$1:$E$238,(MATCH(InterventionCosts!B320,Ingredients!A$1:A$238,0))))</f>
        <v>2024</v>
      </c>
      <c r="H320" t="str">
        <f>INDEX(Ingredients!$F$1:$F$318,(MATCH(InterventionCosts!B320,Ingredients!A$1:A$318,0)))</f>
        <v>https://www.gov.za/news/media-statements/government-activities/minister-thulas-nxesi-announces-national-minimum-wage</v>
      </c>
      <c r="I320">
        <f>0.5/5733</f>
        <v>8.7214372928658639E-5</v>
      </c>
      <c r="J320" t="s">
        <v>1474</v>
      </c>
      <c r="K320" s="85">
        <f t="shared" si="9"/>
        <v>0.35759869759869756</v>
      </c>
      <c r="L320" s="85" t="s">
        <v>258</v>
      </c>
    </row>
    <row r="321" spans="1:12">
      <c r="A321" t="s">
        <v>297</v>
      </c>
      <c r="B321" t="s">
        <v>247</v>
      </c>
      <c r="C321" s="5" t="s">
        <v>1539</v>
      </c>
      <c r="D321" s="5" t="s">
        <v>21</v>
      </c>
      <c r="E321" s="70">
        <f>IF(B321="","",INDEX(Ingredients!$I$1:$I$5013,(MATCH(InterventionCosts!B321,Ingredients!$A$1:$A$5013,0))))</f>
        <v>274.72000000000003</v>
      </c>
      <c r="F321" s="5" t="str">
        <f>INDEX(Ingredients!J$1:J$265,(MATCH(InterventionCosts!B321,Ingredients!A$1:A$265,0)))</f>
        <v>per 5L</v>
      </c>
      <c r="G321">
        <f>IF(B321="","",INDEX(Ingredients!$E$1:$E$238,(MATCH(InterventionCosts!B321,Ingredients!A$1:A$238,0))))</f>
        <v>2024</v>
      </c>
      <c r="H321" t="str">
        <f>INDEX(Ingredients!$F$1:$F$318,(MATCH(InterventionCosts!B321,Ingredients!A$1:A$318,0)))</f>
        <v>https://www.health.gov.za/wp-content/uploads/2024/04/HP12-2023LQ-CPA-Add-4-12-Effective-1-May-2024.pdf</v>
      </c>
      <c r="I321">
        <f>1/5000*1.01</f>
        <v>2.02E-4</v>
      </c>
      <c r="J321" t="s">
        <v>1474</v>
      </c>
      <c r="K321" s="85">
        <f t="shared" si="9"/>
        <v>5.5493440000000005E-2</v>
      </c>
      <c r="L321" s="85" t="s">
        <v>258</v>
      </c>
    </row>
    <row r="322" spans="1:12">
      <c r="A322" t="s">
        <v>297</v>
      </c>
      <c r="B322" t="s">
        <v>1489</v>
      </c>
      <c r="C322" s="5" t="s">
        <v>1539</v>
      </c>
      <c r="D322" s="5" t="s">
        <v>21</v>
      </c>
      <c r="E322" s="70">
        <f>IF(B322="","",INDEX(Ingredients!$I$1:$I$5013,(MATCH(InterventionCosts!B322,Ingredients!$A$1:$A$5013,0))))</f>
        <v>53.08</v>
      </c>
      <c r="F322" s="5" t="str">
        <f>INDEX(Ingredients!J$1:J$265,(MATCH(InterventionCosts!B322,Ingredients!A$1:A$265,0)))</f>
        <v>per pack 100, 50 pairs</v>
      </c>
      <c r="G322">
        <f>IF(B322="","",INDEX(Ingredients!$E$1:$E$238,(MATCH(InterventionCosts!B322,Ingredients!A$1:A$238,0))))</f>
        <v>2024</v>
      </c>
      <c r="H322" t="str">
        <f>INDEX(Ingredients!$F$1:$F$318,(MATCH(InterventionCosts!B322,Ingredients!A$1:A$318,0)))</f>
        <v>https://www.treasury.gov.za/divisions/ocpo/ostb/contracts/RT76-2023%20CPA%20Amendment%204-%20Effective%2001%20May%202024.pdf</v>
      </c>
      <c r="I322">
        <f>1/50*1.01</f>
        <v>2.0199999999999999E-2</v>
      </c>
      <c r="J322" t="s">
        <v>1474</v>
      </c>
      <c r="K322" s="85">
        <f t="shared" si="9"/>
        <v>1.0722159999999998</v>
      </c>
      <c r="L322" s="85" t="s">
        <v>265</v>
      </c>
    </row>
    <row r="323" spans="1:12">
      <c r="A323" t="s">
        <v>297</v>
      </c>
      <c r="B323" t="s">
        <v>79</v>
      </c>
      <c r="C323" s="5" t="s">
        <v>1539</v>
      </c>
      <c r="D323" s="5" t="s">
        <v>21</v>
      </c>
      <c r="E323" s="70">
        <f>IF(B323="","",INDEX(Ingredients!$I$1:$I$5013,(MATCH(InterventionCosts!B323,Ingredients!$A$1:$A$5013,0))))</f>
        <v>9.3000000000000007</v>
      </c>
      <c r="F323" s="5" t="str">
        <f>INDEX(Ingredients!J$1:J$265,(MATCH(InterventionCosts!B323,Ingredients!A$1:A$265,0)))</f>
        <v>per test</v>
      </c>
      <c r="G323">
        <f>IF(B323="","",INDEX(Ingredients!$E$1:$E$238,(MATCH(InterventionCosts!B323,Ingredients!A$1:A$238,0))))</f>
        <v>2024</v>
      </c>
      <c r="H323" t="str">
        <f>INDEX(Ingredients!$F$1:$F$318,(MATCH(InterventionCosts!B323,Ingredients!A$1:A$318,0)))</f>
        <v>https://www.treasury.gov.za/divisions/ocpo/ostb/contracts/RT41-2020.zip</v>
      </c>
      <c r="I323">
        <f>1*1.01</f>
        <v>1.01</v>
      </c>
      <c r="J323" t="s">
        <v>1474</v>
      </c>
      <c r="K323" s="85">
        <f t="shared" si="9"/>
        <v>9.3930000000000007</v>
      </c>
      <c r="L323" s="85" t="s">
        <v>258</v>
      </c>
    </row>
    <row r="324" spans="1:12">
      <c r="A324" t="s">
        <v>297</v>
      </c>
      <c r="B324" t="s">
        <v>248</v>
      </c>
      <c r="C324" s="5" t="s">
        <v>1539</v>
      </c>
      <c r="D324" s="5" t="s">
        <v>21</v>
      </c>
      <c r="E324" s="70">
        <f>IF(B324="","",INDEX(Ingredients!$I$1:$I$5013,(MATCH(InterventionCosts!B324,Ingredients!$A$1:$A$5013,0))))</f>
        <v>2.645</v>
      </c>
      <c r="F324" s="5" t="str">
        <f>INDEX(Ingredients!J$1:J$265,(MATCH(InterventionCosts!B324,Ingredients!A$1:A$265,0)))</f>
        <v>per bag</v>
      </c>
      <c r="G324">
        <f>IF(B324="","",INDEX(Ingredients!$E$1:$E$238,(MATCH(InterventionCosts!B324,Ingredients!A$1:A$238,0))))</f>
        <v>2024</v>
      </c>
      <c r="H324" t="str">
        <f>INDEX(Ingredients!$F$1:$F$318,(MATCH(InterventionCosts!B324,Ingredients!A$1:A$318,0)))</f>
        <v>https://medqsupplies.co.za/product/bio-hazard-plastic-bags/</v>
      </c>
      <c r="I324">
        <f>1*1.01</f>
        <v>1.01</v>
      </c>
      <c r="J324" t="s">
        <v>1474</v>
      </c>
      <c r="K324" s="85">
        <f t="shared" si="9"/>
        <v>2.6714500000000001</v>
      </c>
      <c r="L324" s="85" t="s">
        <v>258</v>
      </c>
    </row>
    <row r="325" spans="1:12">
      <c r="A325" t="s">
        <v>297</v>
      </c>
      <c r="B325" t="s">
        <v>31</v>
      </c>
      <c r="C325" s="5" t="s">
        <v>1539</v>
      </c>
      <c r="D325" s="5" t="s">
        <v>21</v>
      </c>
      <c r="E325" s="70">
        <f>IF(B325="","",INDEX(Ingredients!$I$1:$I$5013,(MATCH(InterventionCosts!B325,Ingredients!$A$1:$A$5013,0))))</f>
        <v>31.4</v>
      </c>
      <c r="F325" s="5" t="str">
        <f>INDEX(Ingredients!J$1:J$265,(MATCH(InterventionCosts!B325,Ingredients!A$1:A$265,0)))</f>
        <v>per 100 swabs</v>
      </c>
      <c r="G325">
        <f>IF(B325="","",INDEX(Ingredients!$E$1:$E$238,(MATCH(InterventionCosts!B325,Ingredients!A$1:A$238,0))))</f>
        <v>2024</v>
      </c>
      <c r="H325" t="str">
        <f>INDEX(Ingredients!$F$1:$F$318,(MATCH(InterventionCosts!B325,Ingredients!A$1:A$318,0)))</f>
        <v xml:space="preserve">http://www.treasury.gov.za/divisions/ocpo/ostb/contracts/RT42-2022zip </v>
      </c>
      <c r="I325">
        <f>1/100*1.01</f>
        <v>1.01E-2</v>
      </c>
      <c r="J325" t="s">
        <v>1474</v>
      </c>
      <c r="K325" s="85">
        <f t="shared" si="9"/>
        <v>0.31713999999999998</v>
      </c>
      <c r="L325" s="85" t="s">
        <v>258</v>
      </c>
    </row>
    <row r="326" spans="1:12">
      <c r="A326" t="s">
        <v>297</v>
      </c>
      <c r="B326" t="s">
        <v>249</v>
      </c>
      <c r="C326" s="5" t="s">
        <v>1539</v>
      </c>
      <c r="D326" s="5" t="s">
        <v>21</v>
      </c>
      <c r="E326" s="70">
        <f>IF(B326="","",INDEX(Ingredients!$I$1:$I$5013,(MATCH(InterventionCosts!B326,Ingredients!$A$1:$A$5013,0))))</f>
        <v>7.86</v>
      </c>
      <c r="F326" s="5" t="str">
        <f>INDEX(Ingredients!J$1:J$265,(MATCH(InterventionCosts!B326,Ingredients!A$1:A$265,0)))</f>
        <v>per test kit</v>
      </c>
      <c r="G326">
        <f>IF(B326="","",INDEX(Ingredients!$E$1:$E$238,(MATCH(InterventionCosts!B326,Ingredients!A$1:A$238,0))))</f>
        <v>2024</v>
      </c>
      <c r="H326" t="str">
        <f>INDEX(Ingredients!$F$1:$F$318,(MATCH(InterventionCosts!B326,Ingredients!A$1:A$318,0)))</f>
        <v>https://www.treasury.gov.za/divisions/ocpo/ostb/contracts/RT41-2020.zip</v>
      </c>
      <c r="I326">
        <f>1*1.01</f>
        <v>1.01</v>
      </c>
      <c r="J326" t="s">
        <v>1474</v>
      </c>
      <c r="K326" s="85">
        <f t="shared" si="9"/>
        <v>7.9386000000000001</v>
      </c>
      <c r="L326" s="85" t="s">
        <v>293</v>
      </c>
    </row>
    <row r="327" spans="1:12">
      <c r="A327" t="s">
        <v>297</v>
      </c>
      <c r="B327" t="s">
        <v>79</v>
      </c>
      <c r="C327" s="5" t="s">
        <v>1539</v>
      </c>
      <c r="D327" s="5" t="s">
        <v>21</v>
      </c>
      <c r="E327" s="70">
        <f>IF(B327="","",INDEX(Ingredients!$I$1:$I$5013,(MATCH(InterventionCosts!B327,Ingredients!$A$1:$A$5013,0))))</f>
        <v>9.3000000000000007</v>
      </c>
      <c r="F327" s="5" t="str">
        <f>INDEX(Ingredients!J$1:J$265,(MATCH(InterventionCosts!B327,Ingredients!A$1:A$265,0)))</f>
        <v>per test</v>
      </c>
      <c r="G327">
        <f>IF(B327="","",INDEX(Ingredients!$E$1:$E$238,(MATCH(InterventionCosts!B327,Ingredients!A$1:A$238,0))))</f>
        <v>2024</v>
      </c>
      <c r="H327" t="str">
        <f>INDEX(Ingredients!$F$1:$F$318,(MATCH(InterventionCosts!B327,Ingredients!A$1:A$318,0)))</f>
        <v>https://www.treasury.gov.za/divisions/ocpo/ostb/contracts/RT41-2020.zip</v>
      </c>
      <c r="I327">
        <f>1*0.078*1.01</f>
        <v>7.8780000000000003E-2</v>
      </c>
      <c r="J327" t="s">
        <v>1474</v>
      </c>
      <c r="K327" s="85">
        <f t="shared" si="9"/>
        <v>0.73265400000000003</v>
      </c>
      <c r="L327" s="85" t="s">
        <v>294</v>
      </c>
    </row>
    <row r="328" spans="1:12">
      <c r="A328" t="s">
        <v>297</v>
      </c>
      <c r="B328" t="s">
        <v>249</v>
      </c>
      <c r="C328" s="5" t="s">
        <v>1539</v>
      </c>
      <c r="D328" s="5" t="s">
        <v>21</v>
      </c>
      <c r="E328" s="70">
        <f>IF(B328="","",INDEX(Ingredients!$I$1:$I$5013,(MATCH(InterventionCosts!B328,Ingredients!$A$1:$A$5013,0))))</f>
        <v>7.86</v>
      </c>
      <c r="F328" s="5" t="str">
        <f>INDEX(Ingredients!J$1:J$265,(MATCH(InterventionCosts!B328,Ingredients!A$1:A$265,0)))</f>
        <v>per test kit</v>
      </c>
      <c r="G328">
        <f>IF(B328="","",INDEX(Ingredients!$E$1:$E$238,(MATCH(InterventionCosts!B328,Ingredients!A$1:A$238,0))))</f>
        <v>2024</v>
      </c>
      <c r="H328" t="str">
        <f>INDEX(Ingredients!$F$1:$F$318,(MATCH(InterventionCosts!B328,Ingredients!A$1:A$318,0)))</f>
        <v>https://www.treasury.gov.za/divisions/ocpo/ostb/contracts/RT41-2020.zip</v>
      </c>
      <c r="I328">
        <f>1*0.0078*1.01</f>
        <v>7.8779999999999996E-3</v>
      </c>
      <c r="J328" t="s">
        <v>1474</v>
      </c>
      <c r="K328" s="85">
        <f t="shared" si="9"/>
        <v>6.1921079999999996E-2</v>
      </c>
      <c r="L328" s="85" t="s">
        <v>319</v>
      </c>
    </row>
    <row r="329" spans="1:12">
      <c r="A329" t="s">
        <v>297</v>
      </c>
      <c r="B329" t="s">
        <v>250</v>
      </c>
      <c r="C329" s="5" t="s">
        <v>1539</v>
      </c>
      <c r="D329" s="5" t="s">
        <v>21</v>
      </c>
      <c r="E329" s="70">
        <f>IF(B329="","",INDEX(Ingredients!$I$1:$I$5013,(MATCH(InterventionCosts!B329,Ingredients!$A$1:$A$5013,0))))</f>
        <v>71.889951748999991</v>
      </c>
      <c r="F329" s="5" t="str">
        <f>INDEX(Ingredients!J$1:J$265,(MATCH(InterventionCosts!B329,Ingredients!A$1:A$265,0)))</f>
        <v>per test</v>
      </c>
      <c r="G329">
        <f>IF(B329="","",INDEX(Ingredients!$E$1:$E$238,(MATCH(InterventionCosts!B329,Ingredients!A$1:A$238,0))))</f>
        <v>2021</v>
      </c>
      <c r="H329" t="str">
        <f>INDEX(Ingredients!$F$1:$F$318,(MATCH(InterventionCosts!B329,Ingredients!A$1:A$318,0)))</f>
        <v>NHLS 2021 price-list</v>
      </c>
      <c r="I329">
        <v>3.8999999999999998E-3</v>
      </c>
      <c r="J329" t="s">
        <v>1474</v>
      </c>
      <c r="K329" s="85">
        <f t="shared" si="9"/>
        <v>0.28037081182109996</v>
      </c>
      <c r="L329" s="85" t="s">
        <v>295</v>
      </c>
    </row>
    <row r="330" spans="1:12">
      <c r="A330" t="s">
        <v>297</v>
      </c>
      <c r="B330" t="s">
        <v>43</v>
      </c>
      <c r="C330" s="5" t="s">
        <v>1539</v>
      </c>
      <c r="D330" s="5" t="s">
        <v>21</v>
      </c>
      <c r="E330" s="70">
        <f>IF(B330="","",INDEX(Ingredients!$I$1:$I$5013,(MATCH(InterventionCosts!B330,Ingredients!$A$1:$A$5013,0))))</f>
        <v>0.61939459752201187</v>
      </c>
      <c r="F330" s="5" t="str">
        <f>INDEX(Ingredients!J$1:J$265,(MATCH(InterventionCosts!B330,Ingredients!A$1:A$265,0)))</f>
        <v>per condom</v>
      </c>
      <c r="G330">
        <f>IF(B330="","",INDEX(Ingredients!$E$1:$E$238,(MATCH(InterventionCosts!B330,Ingredients!A$1:A$238,0))))</f>
        <v>2024</v>
      </c>
      <c r="H330" t="str">
        <f>INDEX(Ingredients!$F$1:$F$318,(MATCH(InterventionCosts!B330,Ingredients!A$1:A$318,0)))</f>
        <v>https://www.treasury.gov.za/divisions/ocpo/ostb/contracts/RT75-2021.zip</v>
      </c>
      <c r="I330">
        <v>10</v>
      </c>
      <c r="J330" t="s">
        <v>1474</v>
      </c>
      <c r="K330" s="85">
        <f t="shared" si="9"/>
        <v>6.1939459752201191</v>
      </c>
      <c r="L330" s="85" t="s">
        <v>268</v>
      </c>
    </row>
    <row r="331" spans="1:12">
      <c r="A331" t="s">
        <v>297</v>
      </c>
      <c r="B331" t="s">
        <v>251</v>
      </c>
      <c r="C331" s="5" t="s">
        <v>1539</v>
      </c>
      <c r="D331" s="5" t="s">
        <v>21</v>
      </c>
      <c r="E331" s="70">
        <f>IF(B331="","",INDEX(Ingredients!$I$1:$I$5013,(MATCH(InterventionCosts!B331,Ingredients!$A$1:$A$5013,0))))</f>
        <v>1.0227713593614072</v>
      </c>
      <c r="F331" s="5" t="str">
        <f>INDEX(Ingredients!J$1:J$265,(MATCH(InterventionCosts!B331,Ingredients!A$1:A$265,0)))</f>
        <v>per 1</v>
      </c>
      <c r="G331">
        <f>IF(B331="","",INDEX(Ingredients!$E$1:$E$238,(MATCH(InterventionCosts!B331,Ingredients!A$1:A$238,0))))</f>
        <v>2016</v>
      </c>
      <c r="H331" t="str">
        <f>INDEX(Ingredients!$F$1:$F$318,(MATCH(InterventionCosts!B331,Ingredients!A$1:A$318,0)))</f>
        <v>https://doi.org/10.1038/s41598-019-49109-w</v>
      </c>
      <c r="I331">
        <v>1</v>
      </c>
      <c r="J331" t="s">
        <v>1474</v>
      </c>
      <c r="K331" s="85">
        <f t="shared" si="9"/>
        <v>1.0227713593614072</v>
      </c>
      <c r="L331" s="85" t="s">
        <v>268</v>
      </c>
    </row>
    <row r="332" spans="1:12" s="89" customFormat="1">
      <c r="A332" s="4" t="s">
        <v>297</v>
      </c>
      <c r="F332" s="89" t="s">
        <v>1164</v>
      </c>
      <c r="G332" s="89" t="str">
        <f>IF(B332="","",INDEX(Ingredients!$E$1:$E$238,(MATCH(InterventionCosts!B332,Ingredients!A$1:A$238,0))))</f>
        <v/>
      </c>
      <c r="K332" s="90"/>
      <c r="L332" s="90">
        <f>SUM(K309:K331)</f>
        <v>105.20666654554245</v>
      </c>
    </row>
    <row r="333" spans="1:12" s="89" customFormat="1">
      <c r="A333" s="4" t="s">
        <v>297</v>
      </c>
      <c r="F333" s="89" t="s">
        <v>117</v>
      </c>
      <c r="G333" s="89" t="str">
        <f>IF(B333="","",INDEX(Ingredients!$E$1:$E$238,(MATCH(InterventionCosts!B333,Ingredients!A$1:A$238,0))))</f>
        <v/>
      </c>
      <c r="K333" s="90"/>
      <c r="L333" s="90" t="s">
        <v>936</v>
      </c>
    </row>
    <row r="334" spans="1:12">
      <c r="G334" t="str">
        <f>IF(B334="","",INDEX(Ingredients!$E$1:$E$238,(MATCH(InterventionCosts!B334,Ingredients!A$1:A$238,0))))</f>
        <v/>
      </c>
    </row>
    <row r="335" spans="1:12">
      <c r="A335" t="s">
        <v>298</v>
      </c>
      <c r="B335" t="s">
        <v>308</v>
      </c>
      <c r="C335" s="5" t="s">
        <v>1539</v>
      </c>
      <c r="D335" t="s">
        <v>67</v>
      </c>
      <c r="E335" s="70">
        <f>IF(B335="","",INDEX(Ingredients!$I$1:$I$5013,(MATCH(InterventionCosts!B335,Ingredients!$A$1:$A$5013,0))))</f>
        <v>2577.4452112671624</v>
      </c>
      <c r="F335" s="5" t="str">
        <f>INDEX(Ingredients!J$1:J$265,(MATCH(InterventionCosts!B335,Ingredients!A$1:A$265,0)))</f>
        <v>per month</v>
      </c>
      <c r="G335">
        <f>IF(B335="","",INDEX(Ingredients!$E$1:$E$238,(MATCH(InterventionCosts!B335,Ingredients!A$1:A$238,0))))</f>
        <v>2016</v>
      </c>
      <c r="H335" t="str">
        <f>INDEX(Ingredients!$F$1:$F$318,(MATCH(InterventionCosts!B335,Ingredients!A$1:A$318,0)))</f>
        <v>https://doi.org/10.1038/s41598-019-49109-w; Tabana Operational Vehicle 2016</v>
      </c>
      <c r="I335">
        <f>1/3583</f>
        <v>2.7909572983533354E-4</v>
      </c>
      <c r="J335" t="s">
        <v>1474</v>
      </c>
      <c r="K335" s="85">
        <f t="shared" ref="K335:K351" si="10">I335*E335</f>
        <v>0.71935395234919419</v>
      </c>
      <c r="L335" s="85" t="s">
        <v>67</v>
      </c>
    </row>
    <row r="336" spans="1:12">
      <c r="A336" t="s">
        <v>298</v>
      </c>
      <c r="B336" t="s">
        <v>287</v>
      </c>
      <c r="C336" s="5" t="s">
        <v>1539</v>
      </c>
      <c r="D336" s="5" t="s">
        <v>48</v>
      </c>
      <c r="E336" s="70">
        <f>IF(B336="","",INDEX(Ingredients!$I$1:$I$5013,(MATCH(InterventionCosts!B336,Ingredients!$A$1:$A$5013,0))))</f>
        <v>21800.311666666668</v>
      </c>
      <c r="F336" s="5" t="str">
        <f>INDEX(Ingredients!J$1:J$265,(MATCH(InterventionCosts!B336,Ingredients!A$1:A$265,0)))</f>
        <v>per month</v>
      </c>
      <c r="G336">
        <f>IF(B336="","",INDEX(Ingredients!$E$1:$E$238,(MATCH(InterventionCosts!B336,Ingredients!A$1:A$238,0))))</f>
        <v>2024</v>
      </c>
      <c r="H336" t="str">
        <f>INDEX(Ingredients!$F$1:$F$318,(MATCH(InterventionCosts!B336,Ingredients!A$1:A$318,0)))</f>
        <v xml:space="preserve">April 2024 Salary scale </v>
      </c>
      <c r="I336">
        <f>1/3583</f>
        <v>2.7909572983533354E-4</v>
      </c>
      <c r="J336" t="s">
        <v>1474</v>
      </c>
      <c r="K336" s="85">
        <f t="shared" si="10"/>
        <v>6.0843738952460704</v>
      </c>
      <c r="L336" s="85" t="s">
        <v>291</v>
      </c>
    </row>
    <row r="337" spans="1:12">
      <c r="A337" t="s">
        <v>298</v>
      </c>
      <c r="B337" t="s">
        <v>288</v>
      </c>
      <c r="C337" s="5" t="s">
        <v>1539</v>
      </c>
      <c r="D337" s="5" t="s">
        <v>48</v>
      </c>
      <c r="E337" s="70">
        <f>IF(B337="","",INDEX(Ingredients!$I$1:$I$5013,(MATCH(InterventionCosts!B337,Ingredients!$A$1:$A$5013,0))))</f>
        <v>62408.151666666665</v>
      </c>
      <c r="F337" s="5" t="str">
        <f>INDEX(Ingredients!J$1:J$265,(MATCH(InterventionCosts!B337,Ingredients!A$1:A$265,0)))</f>
        <v>per month</v>
      </c>
      <c r="G337">
        <f>IF(B337="","",INDEX(Ingredients!$E$1:$E$238,(MATCH(InterventionCosts!B337,Ingredients!A$1:A$238,0))))</f>
        <v>2024</v>
      </c>
      <c r="H337" t="str">
        <f>INDEX(Ingredients!$F$1:$F$318,(MATCH(InterventionCosts!B337,Ingredients!A$1:A$318,0)))</f>
        <v xml:space="preserve">April 2024 Salary scale </v>
      </c>
      <c r="I337">
        <f>1/3583</f>
        <v>2.7909572983533354E-4</v>
      </c>
      <c r="J337" t="s">
        <v>1474</v>
      </c>
      <c r="K337" s="85">
        <f t="shared" si="10"/>
        <v>17.417848637082521</v>
      </c>
      <c r="L337" s="85" t="s">
        <v>291</v>
      </c>
    </row>
    <row r="338" spans="1:12">
      <c r="A338" t="s">
        <v>298</v>
      </c>
      <c r="B338" t="s">
        <v>289</v>
      </c>
      <c r="C338" s="5" t="s">
        <v>1539</v>
      </c>
      <c r="D338" s="5" t="s">
        <v>48</v>
      </c>
      <c r="E338" s="70">
        <f>IF(B338="","",INDEX(Ingredients!$I$1:$I$5013,(MATCH(InterventionCosts!B338,Ingredients!$A$1:$A$5013,0))))</f>
        <v>34361.648333333331</v>
      </c>
      <c r="F338" s="5" t="str">
        <f>INDEX(Ingredients!J$1:J$265,(MATCH(InterventionCosts!B338,Ingredients!A$1:A$265,0)))</f>
        <v>per month</v>
      </c>
      <c r="G338">
        <f>IF(B338="","",INDEX(Ingredients!$E$1:$E$238,(MATCH(InterventionCosts!B338,Ingredients!A$1:A$238,0))))</f>
        <v>2024</v>
      </c>
      <c r="H338" t="str">
        <f>INDEX(Ingredients!$F$1:$F$318,(MATCH(InterventionCosts!B338,Ingredients!A$1:A$318,0)))</f>
        <v xml:space="preserve">April 2024 Salary scale </v>
      </c>
      <c r="I338">
        <f>4/3583</f>
        <v>1.1163829193413341E-3</v>
      </c>
      <c r="J338" t="s">
        <v>1474</v>
      </c>
      <c r="K338" s="85">
        <f t="shared" si="10"/>
        <v>38.360757279746956</v>
      </c>
      <c r="L338" s="85" t="s">
        <v>291</v>
      </c>
    </row>
    <row r="339" spans="1:12">
      <c r="A339" t="s">
        <v>298</v>
      </c>
      <c r="B339" t="s">
        <v>310</v>
      </c>
      <c r="C339" s="5" t="s">
        <v>1539</v>
      </c>
      <c r="D339" t="s">
        <v>81</v>
      </c>
      <c r="E339" s="70">
        <f>IF(B339="","",INDEX(Ingredients!$I$1:$I$5013,(MATCH(InterventionCosts!B339,Ingredients!$A$1:$A$5013,0))))</f>
        <v>1321.110140433256</v>
      </c>
      <c r="F339" s="5" t="str">
        <f>INDEX(Ingredients!J$1:J$265,(MATCH(InterventionCosts!B339,Ingredients!A$1:A$265,0)))</f>
        <v>per room</v>
      </c>
      <c r="G339">
        <f>IF(B339="","",INDEX(Ingredients!$E$1:$E$238,(MATCH(InterventionCosts!B339,Ingredients!A$1:A$238,0))))</f>
        <v>2016</v>
      </c>
      <c r="H339" t="str">
        <f>INDEX(Ingredients!$F$1:$F$318,(MATCH(InterventionCosts!B339,Ingredients!A$1:A$318,0)))</f>
        <v>https://doi.org/10.1038/s41598-019-49109-w</v>
      </c>
      <c r="I339">
        <f>1/3583</f>
        <v>2.7909572983533354E-4</v>
      </c>
      <c r="J339" t="s">
        <v>1474</v>
      </c>
      <c r="K339" s="85">
        <f t="shared" si="10"/>
        <v>0.36871619883707957</v>
      </c>
      <c r="L339" s="85" t="s">
        <v>257</v>
      </c>
    </row>
    <row r="340" spans="1:12">
      <c r="A340" t="s">
        <v>298</v>
      </c>
      <c r="B340" t="s">
        <v>312</v>
      </c>
      <c r="C340" s="5" t="s">
        <v>1539</v>
      </c>
      <c r="D340" t="s">
        <v>67</v>
      </c>
      <c r="E340" s="70">
        <f>IF(B340="","",INDEX(Ingredients!$I$1:$I$5013,(MATCH(InterventionCosts!B340,Ingredients!$A$1:$A$5013,0))))</f>
        <v>251.97502074147175</v>
      </c>
      <c r="F340" s="5" t="str">
        <f>INDEX(Ingredients!J$1:J$265,(MATCH(InterventionCosts!B340,Ingredients!A$1:A$265,0)))</f>
        <v>per room</v>
      </c>
      <c r="G340">
        <f>IF(B340="","",INDEX(Ingredients!$E$1:$E$238,(MATCH(InterventionCosts!B340,Ingredients!A$1:A$238,0))))</f>
        <v>2016</v>
      </c>
      <c r="H340" t="str">
        <f>INDEX(Ingredients!$F$1:$F$318,(MATCH(InterventionCosts!B340,Ingredients!A$1:A$318,0)))</f>
        <v>https://doi.org/10.1038/s41598-019-49109-w</v>
      </c>
      <c r="I340">
        <f>1/3583</f>
        <v>2.7909572983533354E-4</v>
      </c>
      <c r="J340" t="s">
        <v>1474</v>
      </c>
      <c r="K340" s="85">
        <f t="shared" si="10"/>
        <v>7.0325152314114361E-2</v>
      </c>
      <c r="L340" s="85" t="s">
        <v>257</v>
      </c>
    </row>
    <row r="341" spans="1:12">
      <c r="A341" t="s">
        <v>298</v>
      </c>
      <c r="B341" s="79" t="s">
        <v>53</v>
      </c>
      <c r="C341" s="5" t="s">
        <v>1539</v>
      </c>
      <c r="D341" s="5" t="s">
        <v>48</v>
      </c>
      <c r="E341" s="70">
        <f>IF(B341="","",INDEX(Ingredients!$I$1:$I$5013,(MATCH(InterventionCosts!B341,Ingredients!$A$1:$A$5013,0))))</f>
        <v>4100.2266666666665</v>
      </c>
      <c r="F341" s="5" t="str">
        <f>INDEX(Ingredients!J$1:J$265,(MATCH(InterventionCosts!B341,Ingredients!A$1:A$265,0)))</f>
        <v>per month</v>
      </c>
      <c r="G341">
        <f>IF(B341="","",INDEX(Ingredients!$E$1:$E$238,(MATCH(InterventionCosts!B341,Ingredients!A$1:A$238,0))))</f>
        <v>2024</v>
      </c>
      <c r="H341" t="str">
        <f>INDEX(Ingredients!$F$1:$F$318,(MATCH(InterventionCosts!B341,Ingredients!A$1:A$318,0)))</f>
        <v>https://www.health.gov.za/wp-content/uploads/2022/07/Health-Department-welcomes-Bargaining-Council-resolution-to-improve-work-conditions-of-CHWs-27-July-2022.pdf</v>
      </c>
      <c r="I341">
        <f>4/3583</f>
        <v>1.1163829193413341E-3</v>
      </c>
      <c r="J341" t="s">
        <v>1474</v>
      </c>
      <c r="K341" s="85">
        <f t="shared" si="10"/>
        <v>4.5774230160945208</v>
      </c>
      <c r="L341" s="85" t="s">
        <v>359</v>
      </c>
    </row>
    <row r="342" spans="1:12">
      <c r="A342" t="s">
        <v>298</v>
      </c>
      <c r="B342" s="79" t="s">
        <v>53</v>
      </c>
      <c r="C342" s="5" t="s">
        <v>1539</v>
      </c>
      <c r="D342" s="5" t="s">
        <v>48</v>
      </c>
      <c r="E342" s="70">
        <f>IF(B342="","",INDEX(Ingredients!$I$1:$I$5013,(MATCH(InterventionCosts!B342,Ingredients!$A$1:$A$5013,0))))</f>
        <v>4100.2266666666665</v>
      </c>
      <c r="F342" s="5" t="str">
        <f>INDEX(Ingredients!J$1:J$265,(MATCH(InterventionCosts!B342,Ingredients!A$1:A$265,0)))</f>
        <v>per month</v>
      </c>
      <c r="G342">
        <f>IF(B342="","",INDEX(Ingredients!$E$1:$E$238,(MATCH(InterventionCosts!B342,Ingredients!A$1:A$238,0))))</f>
        <v>2024</v>
      </c>
      <c r="H342" t="str">
        <f>INDEX(Ingredients!$F$1:$F$318,(MATCH(InterventionCosts!B342,Ingredients!A$1:A$318,0)))</f>
        <v>https://www.health.gov.za/wp-content/uploads/2022/07/Health-Department-welcomes-Bargaining-Council-resolution-to-improve-work-conditions-of-CHWs-27-July-2022.pdf</v>
      </c>
      <c r="I342">
        <f>20/3583</f>
        <v>5.5819145967066705E-3</v>
      </c>
      <c r="J342" t="s">
        <v>1474</v>
      </c>
      <c r="K342" s="85">
        <f t="shared" si="10"/>
        <v>22.887115080472601</v>
      </c>
      <c r="L342" s="85" t="s">
        <v>257</v>
      </c>
    </row>
    <row r="343" spans="1:12">
      <c r="A343" t="s">
        <v>298</v>
      </c>
      <c r="B343" t="s">
        <v>246</v>
      </c>
      <c r="C343" s="5" t="s">
        <v>1539</v>
      </c>
      <c r="D343" s="5" t="s">
        <v>48</v>
      </c>
      <c r="E343" s="70">
        <f>IF(B343="","",INDEX(Ingredients!$I$1:$I$5013,(MATCH(InterventionCosts!B343,Ingredients!$A$1:$A$5013,0))))</f>
        <v>0.16400000000000001</v>
      </c>
      <c r="F343" s="5" t="str">
        <f>INDEX(Ingredients!J$1:J$265,(MATCH(InterventionCosts!B343,Ingredients!A$1:A$265,0)))</f>
        <v>per page</v>
      </c>
      <c r="G343">
        <f>IF(B343="","",INDEX(Ingredients!$E$1:$E$238,(MATCH(InterventionCosts!B343,Ingredients!A$1:A$238,0))))</f>
        <v>2024</v>
      </c>
      <c r="H343" t="str">
        <f>INDEX(Ingredients!$F$1:$F$318,(MATCH(InterventionCosts!B343,Ingredients!A$1:A$318,0)))</f>
        <v>https://www.makro.co.za/stationery-office-furniture/paper-filing/paper/white-paper/copy-paper/typek-a4-office-paper-80-gsm/p/000000000000012434_BOX</v>
      </c>
      <c r="I343">
        <f>1*1.01</f>
        <v>1.01</v>
      </c>
      <c r="J343" t="s">
        <v>1474</v>
      </c>
      <c r="K343" s="85">
        <f t="shared" si="10"/>
        <v>0.16564000000000001</v>
      </c>
      <c r="L343" s="85" t="s">
        <v>257</v>
      </c>
    </row>
    <row r="344" spans="1:12">
      <c r="A344" t="s">
        <v>298</v>
      </c>
      <c r="B344" t="s">
        <v>290</v>
      </c>
      <c r="C344" s="5" t="s">
        <v>1539</v>
      </c>
      <c r="D344" s="5" t="s">
        <v>48</v>
      </c>
      <c r="E344" s="70">
        <f>IF(B344="","",INDEX(Ingredients!$I$1:$I$5013,(MATCH(InterventionCosts!B344,Ingredients!$A$1:$A$5013,0))))</f>
        <v>25449.108333333334</v>
      </c>
      <c r="F344" s="5" t="str">
        <f>INDEX(Ingredients!J$1:J$265,(MATCH(InterventionCosts!B344,Ingredients!A$1:A$265,0)))</f>
        <v>per month</v>
      </c>
      <c r="G344">
        <f>IF(B344="","",INDEX(Ingredients!$E$1:$E$238,(MATCH(InterventionCosts!B344,Ingredients!A$1:A$238,0))))</f>
        <v>2024</v>
      </c>
      <c r="H344" t="str">
        <f>INDEX(Ingredients!$F$1:$F$318,(MATCH(InterventionCosts!B344,Ingredients!A$1:A$318,0)))</f>
        <v xml:space="preserve">April 2024 Salary scale </v>
      </c>
      <c r="I344">
        <f>0.5/3583</f>
        <v>1.3954786491766677E-4</v>
      </c>
      <c r="J344" t="s">
        <v>1474</v>
      </c>
      <c r="K344" s="85">
        <f t="shared" si="10"/>
        <v>3.5513687319750677</v>
      </c>
      <c r="L344" s="85" t="s">
        <v>258</v>
      </c>
    </row>
    <row r="345" spans="1:12">
      <c r="A345" t="s">
        <v>298</v>
      </c>
      <c r="B345" t="s">
        <v>56</v>
      </c>
      <c r="C345" s="5" t="s">
        <v>1539</v>
      </c>
      <c r="D345" s="5" t="s">
        <v>48</v>
      </c>
      <c r="E345" s="70">
        <f>IF(B345="","",INDEX(Ingredients!$I$1:$I$5013,(MATCH(InterventionCosts!B345,Ingredients!$A$1:$A$5013,0))))</f>
        <v>23181.75</v>
      </c>
      <c r="F345" s="5" t="str">
        <f>INDEX(Ingredients!J$1:J$265,(MATCH(InterventionCosts!B345,Ingredients!A$1:A$265,0)))</f>
        <v>per month</v>
      </c>
      <c r="G345">
        <f>IF(B345="","",INDEX(Ingredients!$E$1:$E$238,(MATCH(InterventionCosts!B345,Ingredients!A$1:A$238,0))))</f>
        <v>2024</v>
      </c>
      <c r="H345" t="str">
        <f>INDEX(Ingredients!$F$1:$F$318,(MATCH(InterventionCosts!B345,Ingredients!A$1:A$318,0)))</f>
        <v xml:space="preserve">April 2024 Salary scale </v>
      </c>
      <c r="I345">
        <f>4/3583</f>
        <v>1.1163829193413341E-3</v>
      </c>
      <c r="J345" t="s">
        <v>1474</v>
      </c>
      <c r="K345" s="85">
        <f t="shared" si="10"/>
        <v>25.879709740440973</v>
      </c>
      <c r="L345" s="85" t="s">
        <v>258</v>
      </c>
    </row>
    <row r="346" spans="1:12">
      <c r="A346" t="s">
        <v>298</v>
      </c>
      <c r="B346" t="s">
        <v>51</v>
      </c>
      <c r="C346" s="5" t="s">
        <v>1539</v>
      </c>
      <c r="D346" s="5" t="s">
        <v>48</v>
      </c>
      <c r="E346" s="70">
        <f>(IF(B346="","",INDEX(Ingredients!$I$1:$I$5013,(MATCH(InterventionCosts!B346,Ingredients!$A$1:$A$5013,0)))))</f>
        <v>4100.2266666666665</v>
      </c>
      <c r="F346" s="5" t="str">
        <f>INDEX(Ingredients!J$1:J$265,(MATCH(InterventionCosts!B346,Ingredients!A$1:A$265,0)))</f>
        <v>per month</v>
      </c>
      <c r="G346">
        <f>IF(B346="","",INDEX(Ingredients!$E$1:$E$238,(MATCH(InterventionCosts!B346,Ingredients!A$1:A$238,0))))</f>
        <v>2024</v>
      </c>
      <c r="H346" t="str">
        <f>INDEX(Ingredients!$F$1:$F$318,(MATCH(InterventionCosts!B346,Ingredients!A$1:A$318,0)))</f>
        <v>https://www.gov.za/news/media-statements/government-activities/minister-thulas-nxesi-announces-national-minimum-wage</v>
      </c>
      <c r="I346">
        <f>0.5/3583</f>
        <v>1.3954786491766677E-4</v>
      </c>
      <c r="J346" t="s">
        <v>1474</v>
      </c>
      <c r="K346" s="85">
        <f t="shared" si="10"/>
        <v>0.57217787701181511</v>
      </c>
      <c r="L346" s="85" t="s">
        <v>258</v>
      </c>
    </row>
    <row r="347" spans="1:12">
      <c r="A347" t="s">
        <v>298</v>
      </c>
      <c r="B347" t="s">
        <v>247</v>
      </c>
      <c r="C347" s="5" t="s">
        <v>1539</v>
      </c>
      <c r="D347" s="5" t="s">
        <v>21</v>
      </c>
      <c r="E347" s="70">
        <f>IF(B347="","",INDEX(Ingredients!$I$1:$I$5013,(MATCH(InterventionCosts!B347,Ingredients!$A$1:$A$5013,0))))</f>
        <v>274.72000000000003</v>
      </c>
      <c r="F347" s="5" t="str">
        <f>INDEX(Ingredients!J$1:J$265,(MATCH(InterventionCosts!B347,Ingredients!A$1:A$265,0)))</f>
        <v>per 5L</v>
      </c>
      <c r="G347">
        <f>IF(B347="","",INDEX(Ingredients!$E$1:$E$238,(MATCH(InterventionCosts!B347,Ingredients!A$1:A$238,0))))</f>
        <v>2024</v>
      </c>
      <c r="H347" t="str">
        <f>INDEX(Ingredients!$F$1:$F$318,(MATCH(InterventionCosts!B347,Ingredients!A$1:A$318,0)))</f>
        <v>https://www.health.gov.za/wp-content/uploads/2024/04/HP12-2023LQ-CPA-Add-4-12-Effective-1-May-2024.pdf</v>
      </c>
      <c r="I347">
        <f>1/5000*1.01</f>
        <v>2.02E-4</v>
      </c>
      <c r="J347" t="s">
        <v>1474</v>
      </c>
      <c r="K347" s="85">
        <f t="shared" si="10"/>
        <v>5.5493440000000005E-2</v>
      </c>
      <c r="L347" s="85" t="s">
        <v>258</v>
      </c>
    </row>
    <row r="348" spans="1:12">
      <c r="A348" t="s">
        <v>298</v>
      </c>
      <c r="B348" t="s">
        <v>1489</v>
      </c>
      <c r="C348" s="5" t="s">
        <v>1539</v>
      </c>
      <c r="D348" s="5" t="s">
        <v>21</v>
      </c>
      <c r="E348" s="70">
        <f>IF(B348="","",INDEX(Ingredients!$I$1:$I$5013,(MATCH(InterventionCosts!B348,Ingredients!$A$1:$A$5013,0))))</f>
        <v>53.08</v>
      </c>
      <c r="F348" s="5" t="str">
        <f>INDEX(Ingredients!J$1:J$265,(MATCH(InterventionCosts!B348,Ingredients!A$1:A$265,0)))</f>
        <v>per pack 100, 50 pairs</v>
      </c>
      <c r="G348">
        <f>IF(B348="","",INDEX(Ingredients!$E$1:$E$238,(MATCH(InterventionCosts!B348,Ingredients!A$1:A$238,0))))</f>
        <v>2024</v>
      </c>
      <c r="H348" t="str">
        <f>INDEX(Ingredients!$F$1:$F$318,(MATCH(InterventionCosts!B348,Ingredients!A$1:A$318,0)))</f>
        <v>https://www.treasury.gov.za/divisions/ocpo/ostb/contracts/RT76-2023%20CPA%20Amendment%204-%20Effective%2001%20May%202024.pdf</v>
      </c>
      <c r="I348">
        <f>1/50*1.01</f>
        <v>2.0199999999999999E-2</v>
      </c>
      <c r="J348" t="s">
        <v>1474</v>
      </c>
      <c r="K348" s="85">
        <f t="shared" si="10"/>
        <v>1.0722159999999998</v>
      </c>
      <c r="L348" s="85" t="s">
        <v>265</v>
      </c>
    </row>
    <row r="349" spans="1:12">
      <c r="A349" t="s">
        <v>298</v>
      </c>
      <c r="B349" t="s">
        <v>79</v>
      </c>
      <c r="C349" s="5" t="s">
        <v>1539</v>
      </c>
      <c r="D349" s="5" t="s">
        <v>21</v>
      </c>
      <c r="E349" s="70">
        <f>IF(B349="","",INDEX(Ingredients!$I$1:$I$5013,(MATCH(InterventionCosts!B349,Ingredients!$A$1:$A$5013,0))))</f>
        <v>9.3000000000000007</v>
      </c>
      <c r="F349" s="5" t="str">
        <f>INDEX(Ingredients!J$1:J$265,(MATCH(InterventionCosts!B349,Ingredients!A$1:A$265,0)))</f>
        <v>per test</v>
      </c>
      <c r="G349">
        <f>IF(B349="","",INDEX(Ingredients!$E$1:$E$238,(MATCH(InterventionCosts!B349,Ingredients!A$1:A$238,0))))</f>
        <v>2024</v>
      </c>
      <c r="H349" t="str">
        <f>INDEX(Ingredients!$F$1:$F$318,(MATCH(InterventionCosts!B349,Ingredients!A$1:A$318,0)))</f>
        <v>https://www.treasury.gov.za/divisions/ocpo/ostb/contracts/RT41-2020.zip</v>
      </c>
      <c r="I349">
        <f>1*1.01</f>
        <v>1.01</v>
      </c>
      <c r="J349" t="s">
        <v>1474</v>
      </c>
      <c r="K349" s="85">
        <f t="shared" si="10"/>
        <v>9.3930000000000007</v>
      </c>
      <c r="L349" s="85" t="s">
        <v>258</v>
      </c>
    </row>
    <row r="350" spans="1:12">
      <c r="A350" t="s">
        <v>298</v>
      </c>
      <c r="B350" t="s">
        <v>248</v>
      </c>
      <c r="C350" s="5" t="s">
        <v>1539</v>
      </c>
      <c r="D350" s="5" t="s">
        <v>21</v>
      </c>
      <c r="E350" s="70">
        <f>IF(B350="","",INDEX(Ingredients!$I$1:$I$5013,(MATCH(InterventionCosts!B350,Ingredients!$A$1:$A$5013,0))))</f>
        <v>2.645</v>
      </c>
      <c r="F350" s="5" t="str">
        <f>INDEX(Ingredients!J$1:J$265,(MATCH(InterventionCosts!B350,Ingredients!A$1:A$265,0)))</f>
        <v>per bag</v>
      </c>
      <c r="G350">
        <f>IF(B350="","",INDEX(Ingredients!$E$1:$E$238,(MATCH(InterventionCosts!B350,Ingredients!A$1:A$238,0))))</f>
        <v>2024</v>
      </c>
      <c r="H350" t="str">
        <f>INDEX(Ingredients!$F$1:$F$318,(MATCH(InterventionCosts!B350,Ingredients!A$1:A$318,0)))</f>
        <v>https://medqsupplies.co.za/product/bio-hazard-plastic-bags/</v>
      </c>
      <c r="I350">
        <f>1*1.01</f>
        <v>1.01</v>
      </c>
      <c r="J350" t="s">
        <v>1474</v>
      </c>
      <c r="K350" s="85">
        <f t="shared" si="10"/>
        <v>2.6714500000000001</v>
      </c>
      <c r="L350" s="85" t="s">
        <v>258</v>
      </c>
    </row>
    <row r="351" spans="1:12">
      <c r="A351" t="s">
        <v>298</v>
      </c>
      <c r="B351" t="s">
        <v>31</v>
      </c>
      <c r="C351" s="5" t="s">
        <v>1539</v>
      </c>
      <c r="D351" s="5" t="s">
        <v>21</v>
      </c>
      <c r="E351" s="70">
        <f>IF(B351="","",INDEX(Ingredients!$I$1:$I$5013,(MATCH(InterventionCosts!B351,Ingredients!$A$1:$A$5013,0))))</f>
        <v>31.4</v>
      </c>
      <c r="F351" s="5" t="str">
        <f>INDEX(Ingredients!J$1:J$265,(MATCH(InterventionCosts!B351,Ingredients!A$1:A$265,0)))</f>
        <v>per 100 swabs</v>
      </c>
      <c r="G351">
        <f>IF(B351="","",INDEX(Ingredients!$E$1:$E$238,(MATCH(InterventionCosts!B351,Ingredients!A$1:A$238,0))))</f>
        <v>2024</v>
      </c>
      <c r="H351" t="str">
        <f>INDEX(Ingredients!$F$1:$F$318,(MATCH(InterventionCosts!B351,Ingredients!A$1:A$318,0)))</f>
        <v xml:space="preserve">http://www.treasury.gov.za/divisions/ocpo/ostb/contracts/RT42-2022zip </v>
      </c>
      <c r="I351">
        <f>1/100*1.01</f>
        <v>1.01E-2</v>
      </c>
      <c r="J351" t="s">
        <v>1474</v>
      </c>
      <c r="K351" s="85">
        <f t="shared" si="10"/>
        <v>0.31713999999999998</v>
      </c>
      <c r="L351" s="85" t="s">
        <v>258</v>
      </c>
    </row>
    <row r="352" spans="1:12" s="89" customFormat="1">
      <c r="A352" s="4" t="s">
        <v>298</v>
      </c>
      <c r="F352" s="89" t="s">
        <v>1164</v>
      </c>
      <c r="G352" s="89" t="str">
        <f>IF(B352="","",INDEX(Ingredients!$E$1:$E$238,(MATCH(InterventionCosts!B352,Ingredients!A$1:A$238,0))))</f>
        <v/>
      </c>
      <c r="K352" s="90"/>
      <c r="L352" s="90">
        <f>SUM(K335:K351)</f>
        <v>134.16410900157092</v>
      </c>
    </row>
    <row r="353" spans="1:12" s="89" customFormat="1">
      <c r="A353" s="4" t="s">
        <v>298</v>
      </c>
      <c r="F353" s="89" t="s">
        <v>117</v>
      </c>
      <c r="G353" s="89" t="str">
        <f>IF(B353="","",INDEX(Ingredients!$E$1:$E$238,(MATCH(InterventionCosts!B353,Ingredients!A$1:A$238,0))))</f>
        <v/>
      </c>
      <c r="K353" s="90"/>
      <c r="L353" s="90" t="s">
        <v>936</v>
      </c>
    </row>
    <row r="354" spans="1:12">
      <c r="G354" t="str">
        <f>IF(B354="","",INDEX(Ingredients!$E$1:$E$238,(MATCH(InterventionCosts!B354,Ingredients!A$1:A$238,0))))</f>
        <v/>
      </c>
    </row>
    <row r="355" spans="1:12">
      <c r="A355" t="s">
        <v>299</v>
      </c>
      <c r="B355" t="s">
        <v>308</v>
      </c>
      <c r="C355" s="5" t="s">
        <v>1539</v>
      </c>
      <c r="D355" t="s">
        <v>67</v>
      </c>
      <c r="E355" s="70">
        <f>IF(B355="","",INDEX(Ingredients!$I$1:$I$5013,(MATCH(InterventionCosts!B355,Ingredients!$A$1:$A$5013,0))))</f>
        <v>2577.4452112671624</v>
      </c>
      <c r="F355" s="5" t="str">
        <f>INDEX(Ingredients!J$1:J$265,(MATCH(InterventionCosts!B355,Ingredients!A$1:A$265,0)))</f>
        <v>per month</v>
      </c>
      <c r="G355">
        <f>IF(B355="","",INDEX(Ingredients!$E$1:$E$238,(MATCH(InterventionCosts!B355,Ingredients!A$1:A$238,0))))</f>
        <v>2016</v>
      </c>
      <c r="H355" t="str">
        <f>INDEX(Ingredients!$F$1:$F$318,(MATCH(InterventionCosts!B355,Ingredients!A$1:A$318,0)))</f>
        <v>https://doi.org/10.1038/s41598-019-49109-w; Tabana Operational Vehicle 2016</v>
      </c>
      <c r="I355">
        <f>1/3583</f>
        <v>2.7909572983533354E-4</v>
      </c>
      <c r="J355" t="s">
        <v>1474</v>
      </c>
      <c r="K355" s="85">
        <f t="shared" ref="K355:K377" si="11">I355*E355</f>
        <v>0.71935395234919419</v>
      </c>
      <c r="L355" s="85" t="s">
        <v>67</v>
      </c>
    </row>
    <row r="356" spans="1:12">
      <c r="A356" t="s">
        <v>299</v>
      </c>
      <c r="B356" t="s">
        <v>287</v>
      </c>
      <c r="C356" s="5" t="s">
        <v>1539</v>
      </c>
      <c r="D356" s="5" t="s">
        <v>48</v>
      </c>
      <c r="E356" s="70">
        <f>IF(B356="","",INDEX(Ingredients!$I$1:$I$5013,(MATCH(InterventionCosts!B356,Ingredients!$A$1:$A$5013,0))))</f>
        <v>21800.311666666668</v>
      </c>
      <c r="F356" s="5" t="str">
        <f>INDEX(Ingredients!J$1:J$265,(MATCH(InterventionCosts!B356,Ingredients!A$1:A$265,0)))</f>
        <v>per month</v>
      </c>
      <c r="G356">
        <f>IF(B356="","",INDEX(Ingredients!$E$1:$E$238,(MATCH(InterventionCosts!B356,Ingredients!A$1:A$238,0))))</f>
        <v>2024</v>
      </c>
      <c r="H356" t="str">
        <f>INDEX(Ingredients!$F$1:$F$318,(MATCH(InterventionCosts!B356,Ingredients!A$1:A$318,0)))</f>
        <v xml:space="preserve">April 2024 Salary scale </v>
      </c>
      <c r="I356">
        <f>1/3583</f>
        <v>2.7909572983533354E-4</v>
      </c>
      <c r="J356" t="s">
        <v>1474</v>
      </c>
      <c r="K356" s="85">
        <f t="shared" si="11"/>
        <v>6.0843738952460704</v>
      </c>
      <c r="L356" s="85" t="s">
        <v>291</v>
      </c>
    </row>
    <row r="357" spans="1:12">
      <c r="A357" t="s">
        <v>299</v>
      </c>
      <c r="B357" t="s">
        <v>288</v>
      </c>
      <c r="C357" s="5" t="s">
        <v>1539</v>
      </c>
      <c r="D357" s="5" t="s">
        <v>48</v>
      </c>
      <c r="E357" s="70">
        <f>IF(B357="","",INDEX(Ingredients!$I$1:$I$5013,(MATCH(InterventionCosts!B357,Ingredients!$A$1:$A$5013,0))))</f>
        <v>62408.151666666665</v>
      </c>
      <c r="F357" s="5" t="str">
        <f>INDEX(Ingredients!J$1:J$265,(MATCH(InterventionCosts!B357,Ingredients!A$1:A$265,0)))</f>
        <v>per month</v>
      </c>
      <c r="G357">
        <f>IF(B357="","",INDEX(Ingredients!$E$1:$E$238,(MATCH(InterventionCosts!B357,Ingredients!A$1:A$238,0))))</f>
        <v>2024</v>
      </c>
      <c r="H357" t="str">
        <f>INDEX(Ingredients!$F$1:$F$318,(MATCH(InterventionCosts!B357,Ingredients!A$1:A$318,0)))</f>
        <v xml:space="preserve">April 2024 Salary scale </v>
      </c>
      <c r="I357">
        <f>1/3583</f>
        <v>2.7909572983533354E-4</v>
      </c>
      <c r="J357" t="s">
        <v>1474</v>
      </c>
      <c r="K357" s="85">
        <f t="shared" si="11"/>
        <v>17.417848637082521</v>
      </c>
      <c r="L357" s="85" t="s">
        <v>291</v>
      </c>
    </row>
    <row r="358" spans="1:12">
      <c r="A358" t="s">
        <v>299</v>
      </c>
      <c r="B358" t="s">
        <v>289</v>
      </c>
      <c r="C358" s="5" t="s">
        <v>1539</v>
      </c>
      <c r="D358" s="5" t="s">
        <v>48</v>
      </c>
      <c r="E358" s="70">
        <f>IF(B358="","",INDEX(Ingredients!$I$1:$I$5013,(MATCH(InterventionCosts!B358,Ingredients!$A$1:$A$5013,0))))</f>
        <v>34361.648333333331</v>
      </c>
      <c r="F358" s="5" t="str">
        <f>INDEX(Ingredients!J$1:J$265,(MATCH(InterventionCosts!B358,Ingredients!A$1:A$265,0)))</f>
        <v>per month</v>
      </c>
      <c r="G358">
        <f>IF(B358="","",INDEX(Ingredients!$E$1:$E$238,(MATCH(InterventionCosts!B358,Ingredients!A$1:A$238,0))))</f>
        <v>2024</v>
      </c>
      <c r="H358" t="str">
        <f>INDEX(Ingredients!$F$1:$F$318,(MATCH(InterventionCosts!B358,Ingredients!A$1:A$318,0)))</f>
        <v xml:space="preserve">April 2024 Salary scale </v>
      </c>
      <c r="I358">
        <f>4/3583</f>
        <v>1.1163829193413341E-3</v>
      </c>
      <c r="J358" t="s">
        <v>1474</v>
      </c>
      <c r="K358" s="85">
        <f t="shared" si="11"/>
        <v>38.360757279746956</v>
      </c>
      <c r="L358" s="85" t="s">
        <v>291</v>
      </c>
    </row>
    <row r="359" spans="1:12">
      <c r="A359" t="s">
        <v>299</v>
      </c>
      <c r="B359" t="s">
        <v>310</v>
      </c>
      <c r="C359" s="5" t="s">
        <v>1539</v>
      </c>
      <c r="D359" t="s">
        <v>81</v>
      </c>
      <c r="E359" s="70">
        <f>IF(B359="","",INDEX(Ingredients!$I$1:$I$5013,(MATCH(InterventionCosts!B359,Ingredients!$A$1:$A$5013,0))))</f>
        <v>1321.110140433256</v>
      </c>
      <c r="F359" s="5" t="str">
        <f>INDEX(Ingredients!J$1:J$265,(MATCH(InterventionCosts!B359,Ingredients!A$1:A$265,0)))</f>
        <v>per room</v>
      </c>
      <c r="G359">
        <f>IF(B359="","",INDEX(Ingredients!$E$1:$E$238,(MATCH(InterventionCosts!B359,Ingredients!A$1:A$238,0))))</f>
        <v>2016</v>
      </c>
      <c r="H359" t="str">
        <f>INDEX(Ingredients!$F$1:$F$318,(MATCH(InterventionCosts!B359,Ingredients!A$1:A$318,0)))</f>
        <v>https://doi.org/10.1038/s41598-019-49109-w</v>
      </c>
      <c r="I359">
        <f>1/3583</f>
        <v>2.7909572983533354E-4</v>
      </c>
      <c r="J359" t="s">
        <v>1474</v>
      </c>
      <c r="K359" s="85">
        <f t="shared" si="11"/>
        <v>0.36871619883707957</v>
      </c>
      <c r="L359" s="85" t="s">
        <v>257</v>
      </c>
    </row>
    <row r="360" spans="1:12">
      <c r="A360" t="s">
        <v>299</v>
      </c>
      <c r="B360" t="s">
        <v>312</v>
      </c>
      <c r="C360" s="5" t="s">
        <v>1539</v>
      </c>
      <c r="D360" t="s">
        <v>67</v>
      </c>
      <c r="E360" s="70">
        <f>IF(B360="","",INDEX(Ingredients!$I$1:$I$5013,(MATCH(InterventionCosts!B360,Ingredients!$A$1:$A$5013,0))))</f>
        <v>251.97502074147175</v>
      </c>
      <c r="F360" s="5" t="str">
        <f>INDEX(Ingredients!J$1:J$265,(MATCH(InterventionCosts!B360,Ingredients!A$1:A$265,0)))</f>
        <v>per room</v>
      </c>
      <c r="G360">
        <f>IF(B360="","",INDEX(Ingredients!$E$1:$E$238,(MATCH(InterventionCosts!B360,Ingredients!A$1:A$238,0))))</f>
        <v>2016</v>
      </c>
      <c r="H360" t="str">
        <f>INDEX(Ingredients!$F$1:$F$318,(MATCH(InterventionCosts!B360,Ingredients!A$1:A$318,0)))</f>
        <v>https://doi.org/10.1038/s41598-019-49109-w</v>
      </c>
      <c r="I360">
        <f>1/3583</f>
        <v>2.7909572983533354E-4</v>
      </c>
      <c r="J360" t="s">
        <v>1474</v>
      </c>
      <c r="K360" s="85">
        <f t="shared" si="11"/>
        <v>7.0325152314114361E-2</v>
      </c>
      <c r="L360" s="85" t="s">
        <v>257</v>
      </c>
    </row>
    <row r="361" spans="1:12">
      <c r="A361" t="s">
        <v>299</v>
      </c>
      <c r="B361" s="79" t="s">
        <v>53</v>
      </c>
      <c r="C361" s="5" t="s">
        <v>1539</v>
      </c>
      <c r="D361" s="5" t="s">
        <v>48</v>
      </c>
      <c r="E361" s="70">
        <f>IF(B361="","",INDEX(Ingredients!$I$1:$I$5013,(MATCH(InterventionCosts!B361,Ingredients!$A$1:$A$5013,0))))</f>
        <v>4100.2266666666665</v>
      </c>
      <c r="F361" s="5" t="str">
        <f>INDEX(Ingredients!J$1:J$265,(MATCH(InterventionCosts!B361,Ingredients!A$1:A$265,0)))</f>
        <v>per month</v>
      </c>
      <c r="G361">
        <f>IF(B361="","",INDEX(Ingredients!$E$1:$E$238,(MATCH(InterventionCosts!B361,Ingredients!A$1:A$238,0))))</f>
        <v>2024</v>
      </c>
      <c r="H361" t="str">
        <f>INDEX(Ingredients!$F$1:$F$318,(MATCH(InterventionCosts!B361,Ingredients!A$1:A$318,0)))</f>
        <v>https://www.health.gov.za/wp-content/uploads/2022/07/Health-Department-welcomes-Bargaining-Council-resolution-to-improve-work-conditions-of-CHWs-27-July-2022.pdf</v>
      </c>
      <c r="I361">
        <f>4/3583</f>
        <v>1.1163829193413341E-3</v>
      </c>
      <c r="J361" t="s">
        <v>1474</v>
      </c>
      <c r="K361" s="85">
        <f t="shared" si="11"/>
        <v>4.5774230160945208</v>
      </c>
      <c r="L361" s="85" t="s">
        <v>359</v>
      </c>
    </row>
    <row r="362" spans="1:12">
      <c r="A362" t="s">
        <v>299</v>
      </c>
      <c r="B362" s="79" t="s">
        <v>53</v>
      </c>
      <c r="C362" s="5" t="s">
        <v>1539</v>
      </c>
      <c r="D362" s="5" t="s">
        <v>48</v>
      </c>
      <c r="E362" s="70">
        <f>IF(B362="","",INDEX(Ingredients!$I$1:$I$5013,(MATCH(InterventionCosts!B362,Ingredients!$A$1:$A$5013,0))))</f>
        <v>4100.2266666666665</v>
      </c>
      <c r="F362" s="5" t="str">
        <f>INDEX(Ingredients!J$1:J$265,(MATCH(InterventionCosts!B362,Ingredients!A$1:A$265,0)))</f>
        <v>per month</v>
      </c>
      <c r="G362">
        <f>IF(B362="","",INDEX(Ingredients!$E$1:$E$238,(MATCH(InterventionCosts!B362,Ingredients!A$1:A$238,0))))</f>
        <v>2024</v>
      </c>
      <c r="H362" t="str">
        <f>INDEX(Ingredients!$F$1:$F$318,(MATCH(InterventionCosts!B362,Ingredients!A$1:A$318,0)))</f>
        <v>https://www.health.gov.za/wp-content/uploads/2022/07/Health-Department-welcomes-Bargaining-Council-resolution-to-improve-work-conditions-of-CHWs-27-July-2022.pdf</v>
      </c>
      <c r="I362">
        <f>20/3583</f>
        <v>5.5819145967066705E-3</v>
      </c>
      <c r="J362" t="s">
        <v>1474</v>
      </c>
      <c r="K362" s="85">
        <f t="shared" si="11"/>
        <v>22.887115080472601</v>
      </c>
      <c r="L362" s="85" t="s">
        <v>257</v>
      </c>
    </row>
    <row r="363" spans="1:12">
      <c r="A363" t="s">
        <v>299</v>
      </c>
      <c r="B363" t="s">
        <v>246</v>
      </c>
      <c r="C363" s="5" t="s">
        <v>1539</v>
      </c>
      <c r="D363" s="5" t="s">
        <v>48</v>
      </c>
      <c r="E363" s="70">
        <f>IF(B363="","",INDEX(Ingredients!$I$1:$I$5013,(MATCH(InterventionCosts!B363,Ingredients!$A$1:$A$5013,0))))</f>
        <v>0.16400000000000001</v>
      </c>
      <c r="F363" s="5" t="str">
        <f>INDEX(Ingredients!J$1:J$265,(MATCH(InterventionCosts!B363,Ingredients!A$1:A$265,0)))</f>
        <v>per page</v>
      </c>
      <c r="G363">
        <f>IF(B363="","",INDEX(Ingredients!$E$1:$E$238,(MATCH(InterventionCosts!B363,Ingredients!A$1:A$238,0))))</f>
        <v>2024</v>
      </c>
      <c r="H363" t="str">
        <f>INDEX(Ingredients!$F$1:$F$318,(MATCH(InterventionCosts!B363,Ingredients!A$1:A$318,0)))</f>
        <v>https://www.makro.co.za/stationery-office-furniture/paper-filing/paper/white-paper/copy-paper/typek-a4-office-paper-80-gsm/p/000000000000012434_BOX</v>
      </c>
      <c r="I363">
        <f>1*1.01</f>
        <v>1.01</v>
      </c>
      <c r="J363" t="s">
        <v>1474</v>
      </c>
      <c r="K363" s="85">
        <f t="shared" si="11"/>
        <v>0.16564000000000001</v>
      </c>
      <c r="L363" s="85" t="s">
        <v>257</v>
      </c>
    </row>
    <row r="364" spans="1:12">
      <c r="A364" t="s">
        <v>299</v>
      </c>
      <c r="B364" t="s">
        <v>290</v>
      </c>
      <c r="C364" s="5" t="s">
        <v>1539</v>
      </c>
      <c r="D364" s="5" t="s">
        <v>48</v>
      </c>
      <c r="E364" s="70">
        <f>IF(B364="","",INDEX(Ingredients!$I$1:$I$5013,(MATCH(InterventionCosts!B364,Ingredients!$A$1:$A$5013,0))))</f>
        <v>25449.108333333334</v>
      </c>
      <c r="F364" s="5" t="str">
        <f>INDEX(Ingredients!J$1:J$265,(MATCH(InterventionCosts!B364,Ingredients!A$1:A$265,0)))</f>
        <v>per month</v>
      </c>
      <c r="G364">
        <f>IF(B364="","",INDEX(Ingredients!$E$1:$E$238,(MATCH(InterventionCosts!B364,Ingredients!A$1:A$238,0))))</f>
        <v>2024</v>
      </c>
      <c r="H364" t="str">
        <f>INDEX(Ingredients!$F$1:$F$318,(MATCH(InterventionCosts!B364,Ingredients!A$1:A$318,0)))</f>
        <v xml:space="preserve">April 2024 Salary scale </v>
      </c>
      <c r="I364">
        <f>0.5/3583</f>
        <v>1.3954786491766677E-4</v>
      </c>
      <c r="J364" t="s">
        <v>1474</v>
      </c>
      <c r="K364" s="85">
        <f t="shared" si="11"/>
        <v>3.5513687319750677</v>
      </c>
      <c r="L364" s="85" t="s">
        <v>258</v>
      </c>
    </row>
    <row r="365" spans="1:12">
      <c r="A365" t="s">
        <v>299</v>
      </c>
      <c r="B365" t="s">
        <v>56</v>
      </c>
      <c r="C365" s="5" t="s">
        <v>1539</v>
      </c>
      <c r="D365" s="5" t="s">
        <v>48</v>
      </c>
      <c r="E365" s="70">
        <f>IF(B365="","",INDEX(Ingredients!$I$1:$I$5013,(MATCH(InterventionCosts!B365,Ingredients!$A$1:$A$5013,0))))</f>
        <v>23181.75</v>
      </c>
      <c r="F365" s="5" t="str">
        <f>INDEX(Ingredients!J$1:J$265,(MATCH(InterventionCosts!B365,Ingredients!A$1:A$265,0)))</f>
        <v>per month</v>
      </c>
      <c r="G365">
        <f>IF(B365="","",INDEX(Ingredients!$E$1:$E$238,(MATCH(InterventionCosts!B365,Ingredients!A$1:A$238,0))))</f>
        <v>2024</v>
      </c>
      <c r="H365" t="str">
        <f>INDEX(Ingredients!$F$1:$F$318,(MATCH(InterventionCosts!B365,Ingredients!A$1:A$318,0)))</f>
        <v xml:space="preserve">April 2024 Salary scale </v>
      </c>
      <c r="I365">
        <f>4/3583</f>
        <v>1.1163829193413341E-3</v>
      </c>
      <c r="J365" t="s">
        <v>1474</v>
      </c>
      <c r="K365" s="85">
        <f t="shared" si="11"/>
        <v>25.879709740440973</v>
      </c>
      <c r="L365" s="85" t="s">
        <v>258</v>
      </c>
    </row>
    <row r="366" spans="1:12">
      <c r="A366" t="s">
        <v>299</v>
      </c>
      <c r="B366" t="s">
        <v>51</v>
      </c>
      <c r="C366" s="5" t="s">
        <v>1539</v>
      </c>
      <c r="D366" s="5" t="s">
        <v>48</v>
      </c>
      <c r="E366" s="70">
        <f>(IF(B366="","",INDEX(Ingredients!$I$1:$I$5013,(MATCH(InterventionCosts!B366,Ingredients!$A$1:$A$5013,0)))))</f>
        <v>4100.2266666666665</v>
      </c>
      <c r="F366" s="5" t="str">
        <f>INDEX(Ingredients!J$1:J$265,(MATCH(InterventionCosts!B366,Ingredients!A$1:A$265,0)))</f>
        <v>per month</v>
      </c>
      <c r="G366">
        <f>IF(B366="","",INDEX(Ingredients!$E$1:$E$238,(MATCH(InterventionCosts!B366,Ingredients!A$1:A$238,0))))</f>
        <v>2024</v>
      </c>
      <c r="H366" t="str">
        <f>INDEX(Ingredients!$F$1:$F$318,(MATCH(InterventionCosts!B366,Ingredients!A$1:A$318,0)))</f>
        <v>https://www.gov.za/news/media-statements/government-activities/minister-thulas-nxesi-announces-national-minimum-wage</v>
      </c>
      <c r="I366">
        <f>0.5/3583</f>
        <v>1.3954786491766677E-4</v>
      </c>
      <c r="J366" t="s">
        <v>1474</v>
      </c>
      <c r="K366" s="85">
        <f t="shared" si="11"/>
        <v>0.57217787701181511</v>
      </c>
      <c r="L366" s="85" t="s">
        <v>258</v>
      </c>
    </row>
    <row r="367" spans="1:12">
      <c r="A367" t="s">
        <v>299</v>
      </c>
      <c r="B367" t="s">
        <v>247</v>
      </c>
      <c r="C367" s="5" t="s">
        <v>1539</v>
      </c>
      <c r="D367" s="5" t="s">
        <v>21</v>
      </c>
      <c r="E367" s="70">
        <f>IF(B367="","",INDEX(Ingredients!$I$1:$I$5013,(MATCH(InterventionCosts!B367,Ingredients!$A$1:$A$5013,0))))</f>
        <v>274.72000000000003</v>
      </c>
      <c r="F367" s="5" t="str">
        <f>INDEX(Ingredients!J$1:J$265,(MATCH(InterventionCosts!B367,Ingredients!A$1:A$265,0)))</f>
        <v>per 5L</v>
      </c>
      <c r="G367">
        <f>IF(B367="","",INDEX(Ingredients!$E$1:$E$238,(MATCH(InterventionCosts!B367,Ingredients!A$1:A$238,0))))</f>
        <v>2024</v>
      </c>
      <c r="H367" t="str">
        <f>INDEX(Ingredients!$F$1:$F$318,(MATCH(InterventionCosts!B367,Ingredients!A$1:A$318,0)))</f>
        <v>https://www.health.gov.za/wp-content/uploads/2024/04/HP12-2023LQ-CPA-Add-4-12-Effective-1-May-2024.pdf</v>
      </c>
      <c r="I367">
        <f>1/5000*1.01</f>
        <v>2.02E-4</v>
      </c>
      <c r="J367" t="s">
        <v>1474</v>
      </c>
      <c r="K367" s="85">
        <f t="shared" si="11"/>
        <v>5.5493440000000005E-2</v>
      </c>
      <c r="L367" s="85" t="s">
        <v>258</v>
      </c>
    </row>
    <row r="368" spans="1:12">
      <c r="A368" t="s">
        <v>299</v>
      </c>
      <c r="B368" t="s">
        <v>1489</v>
      </c>
      <c r="C368" s="5" t="s">
        <v>1539</v>
      </c>
      <c r="D368" s="5" t="s">
        <v>21</v>
      </c>
      <c r="E368" s="70">
        <f>IF(B368="","",INDEX(Ingredients!$I$1:$I$5013,(MATCH(InterventionCosts!B368,Ingredients!$A$1:$A$5013,0))))</f>
        <v>53.08</v>
      </c>
      <c r="F368" s="5" t="str">
        <f>INDEX(Ingredients!J$1:J$265,(MATCH(InterventionCosts!B368,Ingredients!A$1:A$265,0)))</f>
        <v>per pack 100, 50 pairs</v>
      </c>
      <c r="G368">
        <f>IF(B368="","",INDEX(Ingredients!$E$1:$E$238,(MATCH(InterventionCosts!B368,Ingredients!A$1:A$238,0))))</f>
        <v>2024</v>
      </c>
      <c r="H368" t="str">
        <f>INDEX(Ingredients!$F$1:$F$318,(MATCH(InterventionCosts!B368,Ingredients!A$1:A$318,0)))</f>
        <v>https://www.treasury.gov.za/divisions/ocpo/ostb/contracts/RT76-2023%20CPA%20Amendment%204-%20Effective%2001%20May%202024.pdf</v>
      </c>
      <c r="I368">
        <f>1/50*1.01</f>
        <v>2.0199999999999999E-2</v>
      </c>
      <c r="J368" t="s">
        <v>1474</v>
      </c>
      <c r="K368" s="85">
        <f t="shared" si="11"/>
        <v>1.0722159999999998</v>
      </c>
      <c r="L368" s="85" t="s">
        <v>265</v>
      </c>
    </row>
    <row r="369" spans="1:12">
      <c r="A369" t="s">
        <v>299</v>
      </c>
      <c r="B369" t="s">
        <v>79</v>
      </c>
      <c r="C369" s="5" t="s">
        <v>1539</v>
      </c>
      <c r="D369" s="5" t="s">
        <v>21</v>
      </c>
      <c r="E369" s="70">
        <f>IF(B369="","",INDEX(Ingredients!$I$1:$I$5013,(MATCH(InterventionCosts!B369,Ingredients!$A$1:$A$5013,0))))</f>
        <v>9.3000000000000007</v>
      </c>
      <c r="F369" s="5" t="str">
        <f>INDEX(Ingredients!J$1:J$265,(MATCH(InterventionCosts!B369,Ingredients!A$1:A$265,0)))</f>
        <v>per test</v>
      </c>
      <c r="G369">
        <f>IF(B369="","",INDEX(Ingredients!$E$1:$E$238,(MATCH(InterventionCosts!B369,Ingredients!A$1:A$238,0))))</f>
        <v>2024</v>
      </c>
      <c r="H369" t="str">
        <f>INDEX(Ingredients!$F$1:$F$318,(MATCH(InterventionCosts!B369,Ingredients!A$1:A$318,0)))</f>
        <v>https://www.treasury.gov.za/divisions/ocpo/ostb/contracts/RT41-2020.zip</v>
      </c>
      <c r="I369">
        <f>1*1.01</f>
        <v>1.01</v>
      </c>
      <c r="J369" t="s">
        <v>1474</v>
      </c>
      <c r="K369" s="85">
        <f t="shared" si="11"/>
        <v>9.3930000000000007</v>
      </c>
      <c r="L369" s="85" t="s">
        <v>258</v>
      </c>
    </row>
    <row r="370" spans="1:12">
      <c r="A370" t="s">
        <v>299</v>
      </c>
      <c r="B370" t="s">
        <v>248</v>
      </c>
      <c r="C370" s="5" t="s">
        <v>1539</v>
      </c>
      <c r="D370" s="5" t="s">
        <v>21</v>
      </c>
      <c r="E370" s="70">
        <f>IF(B370="","",INDEX(Ingredients!$I$1:$I$5013,(MATCH(InterventionCosts!B370,Ingredients!$A$1:$A$5013,0))))</f>
        <v>2.645</v>
      </c>
      <c r="F370" s="5" t="str">
        <f>INDEX(Ingredients!J$1:J$265,(MATCH(InterventionCosts!B370,Ingredients!A$1:A$265,0)))</f>
        <v>per bag</v>
      </c>
      <c r="G370">
        <f>IF(B370="","",INDEX(Ingredients!$E$1:$E$238,(MATCH(InterventionCosts!B370,Ingredients!A$1:A$238,0))))</f>
        <v>2024</v>
      </c>
      <c r="H370" t="str">
        <f>INDEX(Ingredients!$F$1:$F$318,(MATCH(InterventionCosts!B370,Ingredients!A$1:A$318,0)))</f>
        <v>https://medqsupplies.co.za/product/bio-hazard-plastic-bags/</v>
      </c>
      <c r="I370">
        <f>1*1.01</f>
        <v>1.01</v>
      </c>
      <c r="J370" t="s">
        <v>1474</v>
      </c>
      <c r="K370" s="85">
        <f t="shared" si="11"/>
        <v>2.6714500000000001</v>
      </c>
      <c r="L370" s="85" t="s">
        <v>258</v>
      </c>
    </row>
    <row r="371" spans="1:12">
      <c r="A371" t="s">
        <v>299</v>
      </c>
      <c r="B371" t="s">
        <v>31</v>
      </c>
      <c r="C371" s="5" t="s">
        <v>1539</v>
      </c>
      <c r="D371" s="5" t="s">
        <v>21</v>
      </c>
      <c r="E371" s="70">
        <f>IF(B371="","",INDEX(Ingredients!$I$1:$I$5013,(MATCH(InterventionCosts!B371,Ingredients!$A$1:$A$5013,0))))</f>
        <v>31.4</v>
      </c>
      <c r="F371" s="5" t="str">
        <f>INDEX(Ingredients!J$1:J$265,(MATCH(InterventionCosts!B371,Ingredients!A$1:A$265,0)))</f>
        <v>per 100 swabs</v>
      </c>
      <c r="G371">
        <f>IF(B371="","",INDEX(Ingredients!$E$1:$E$238,(MATCH(InterventionCosts!B371,Ingredients!A$1:A$238,0))))</f>
        <v>2024</v>
      </c>
      <c r="H371" t="str">
        <f>INDEX(Ingredients!$F$1:$F$318,(MATCH(InterventionCosts!B371,Ingredients!A$1:A$318,0)))</f>
        <v xml:space="preserve">http://www.treasury.gov.za/divisions/ocpo/ostb/contracts/RT42-2022zip </v>
      </c>
      <c r="I371">
        <f>1/100</f>
        <v>0.01</v>
      </c>
      <c r="J371" t="s">
        <v>1474</v>
      </c>
      <c r="K371" s="85">
        <f t="shared" si="11"/>
        <v>0.314</v>
      </c>
      <c r="L371" s="85" t="s">
        <v>258</v>
      </c>
    </row>
    <row r="372" spans="1:12">
      <c r="A372" t="s">
        <v>299</v>
      </c>
      <c r="B372" t="s">
        <v>249</v>
      </c>
      <c r="C372" s="5" t="s">
        <v>1539</v>
      </c>
      <c r="D372" s="5" t="s">
        <v>21</v>
      </c>
      <c r="E372" s="70">
        <f>IF(B372="","",INDEX(Ingredients!$I$1:$I$5013,(MATCH(InterventionCosts!B372,Ingredients!$A$1:$A$5013,0))))</f>
        <v>7.86</v>
      </c>
      <c r="F372" s="5" t="str">
        <f>INDEX(Ingredients!J$1:J$265,(MATCH(InterventionCosts!B372,Ingredients!A$1:A$265,0)))</f>
        <v>per test kit</v>
      </c>
      <c r="G372">
        <f>IF(B372="","",INDEX(Ingredients!$E$1:$E$238,(MATCH(InterventionCosts!B372,Ingredients!A$1:A$238,0))))</f>
        <v>2024</v>
      </c>
      <c r="H372" t="str">
        <f>INDEX(Ingredients!$F$1:$F$318,(MATCH(InterventionCosts!B372,Ingredients!A$1:A$318,0)))</f>
        <v>https://www.treasury.gov.za/divisions/ocpo/ostb/contracts/RT41-2020.zip</v>
      </c>
      <c r="I372">
        <f>1*1.01</f>
        <v>1.01</v>
      </c>
      <c r="J372" t="s">
        <v>1474</v>
      </c>
      <c r="K372" s="85">
        <f t="shared" si="11"/>
        <v>7.9386000000000001</v>
      </c>
      <c r="L372" s="85" t="s">
        <v>316</v>
      </c>
    </row>
    <row r="373" spans="1:12">
      <c r="A373" t="s">
        <v>299</v>
      </c>
      <c r="B373" t="s">
        <v>79</v>
      </c>
      <c r="C373" s="5" t="s">
        <v>1539</v>
      </c>
      <c r="D373" s="5" t="s">
        <v>21</v>
      </c>
      <c r="E373" s="70">
        <f>IF(B373="","",INDEX(Ingredients!$I$1:$I$5013,(MATCH(InterventionCosts!B373,Ingredients!$A$1:$A$5013,0))))</f>
        <v>9.3000000000000007</v>
      </c>
      <c r="F373" s="5" t="str">
        <f>INDEX(Ingredients!J$1:J$265,(MATCH(InterventionCosts!B373,Ingredients!A$1:A$265,0)))</f>
        <v>per test</v>
      </c>
      <c r="G373">
        <f>IF(B373="","",INDEX(Ingredients!$E$1:$E$238,(MATCH(InterventionCosts!B373,Ingredients!A$1:A$238,0))))</f>
        <v>2024</v>
      </c>
      <c r="H373" t="str">
        <f>INDEX(Ingredients!$F$1:$F$318,(MATCH(InterventionCosts!B373,Ingredients!A$1:A$318,0)))</f>
        <v>https://www.treasury.gov.za/divisions/ocpo/ostb/contracts/RT41-2020.zip</v>
      </c>
      <c r="I373">
        <f>1*0.00753*1.01</f>
        <v>7.6053000000000006E-3</v>
      </c>
      <c r="J373" t="s">
        <v>1474</v>
      </c>
      <c r="K373" s="85">
        <f t="shared" si="11"/>
        <v>7.0729290000000014E-2</v>
      </c>
      <c r="L373" s="85" t="s">
        <v>317</v>
      </c>
    </row>
    <row r="374" spans="1:12">
      <c r="A374" t="s">
        <v>299</v>
      </c>
      <c r="B374" t="s">
        <v>249</v>
      </c>
      <c r="C374" s="5" t="s">
        <v>1539</v>
      </c>
      <c r="D374" s="5" t="s">
        <v>21</v>
      </c>
      <c r="E374" s="70">
        <f>IF(B374="","",INDEX(Ingredients!$I$1:$I$5013,(MATCH(InterventionCosts!B374,Ingredients!$A$1:$A$5013,0))))</f>
        <v>7.86</v>
      </c>
      <c r="F374" s="5" t="str">
        <f>INDEX(Ingredients!J$1:J$265,(MATCH(InterventionCosts!B374,Ingredients!A$1:A$265,0)))</f>
        <v>per test kit</v>
      </c>
      <c r="G374">
        <f>IF(B374="","",INDEX(Ingredients!$E$1:$E$238,(MATCH(InterventionCosts!B374,Ingredients!A$1:A$238,0))))</f>
        <v>2024</v>
      </c>
      <c r="H374" t="str">
        <f>INDEX(Ingredients!$F$1:$F$318,(MATCH(InterventionCosts!B374,Ingredients!A$1:A$318,0)))</f>
        <v>https://www.treasury.gov.za/divisions/ocpo/ostb/contracts/RT41-2020.zip</v>
      </c>
      <c r="I374">
        <f>1*0.00753*1.01</f>
        <v>7.6053000000000006E-3</v>
      </c>
      <c r="J374" t="s">
        <v>1474</v>
      </c>
      <c r="K374" s="85">
        <f t="shared" si="11"/>
        <v>5.9777658000000004E-2</v>
      </c>
      <c r="L374" s="85" t="s">
        <v>318</v>
      </c>
    </row>
    <row r="375" spans="1:12">
      <c r="A375" t="s">
        <v>299</v>
      </c>
      <c r="B375" t="s">
        <v>250</v>
      </c>
      <c r="C375" s="5" t="s">
        <v>1539</v>
      </c>
      <c r="D375" s="5" t="s">
        <v>21</v>
      </c>
      <c r="E375" s="70">
        <f>IF(B375="","",INDEX(Ingredients!$I$1:$I$5013,(MATCH(InterventionCosts!B375,Ingredients!$A$1:$A$5013,0))))</f>
        <v>71.889951748999991</v>
      </c>
      <c r="F375" s="5" t="str">
        <f>INDEX(Ingredients!J$1:J$265,(MATCH(InterventionCosts!B375,Ingredients!A$1:A$265,0)))</f>
        <v>per test</v>
      </c>
      <c r="G375">
        <f>IF(B375="","",INDEX(Ingredients!$E$1:$E$238,(MATCH(InterventionCosts!B375,Ingredients!A$1:A$238,0))))</f>
        <v>2021</v>
      </c>
      <c r="H375" t="str">
        <f>INDEX(Ingredients!$F$1:$F$318,(MATCH(InterventionCosts!B375,Ingredients!A$1:A$318,0)))</f>
        <v>NHLS 2021 price-list</v>
      </c>
      <c r="I375">
        <f>0.0039*1.01</f>
        <v>3.9389999999999998E-3</v>
      </c>
      <c r="J375" t="s">
        <v>1474</v>
      </c>
      <c r="K375" s="85">
        <f t="shared" si="11"/>
        <v>0.28317451993931098</v>
      </c>
      <c r="L375" s="85" t="s">
        <v>295</v>
      </c>
    </row>
    <row r="376" spans="1:12">
      <c r="A376" t="s">
        <v>299</v>
      </c>
      <c r="B376" t="s">
        <v>43</v>
      </c>
      <c r="C376" s="5" t="s">
        <v>1539</v>
      </c>
      <c r="D376" s="5" t="s">
        <v>21</v>
      </c>
      <c r="E376" s="70">
        <f>IF(B376="","",INDEX(Ingredients!$I$1:$I$5013,(MATCH(InterventionCosts!B376,Ingredients!$A$1:$A$5013,0))))</f>
        <v>0.61939459752201187</v>
      </c>
      <c r="F376" s="5" t="str">
        <f>INDEX(Ingredients!J$1:J$265,(MATCH(InterventionCosts!B376,Ingredients!A$1:A$265,0)))</f>
        <v>per condom</v>
      </c>
      <c r="G376">
        <f>IF(B376="","",INDEX(Ingredients!$E$1:$E$238,(MATCH(InterventionCosts!B376,Ingredients!A$1:A$238,0))))</f>
        <v>2024</v>
      </c>
      <c r="H376" t="str">
        <f>INDEX(Ingredients!$F$1:$F$318,(MATCH(InterventionCosts!B376,Ingredients!A$1:A$318,0)))</f>
        <v>https://www.treasury.gov.za/divisions/ocpo/ostb/contracts/RT75-2021.zip</v>
      </c>
      <c r="I376">
        <v>10</v>
      </c>
      <c r="J376" t="s">
        <v>1474</v>
      </c>
      <c r="K376" s="85">
        <f t="shared" si="11"/>
        <v>6.1939459752201191</v>
      </c>
      <c r="L376" s="85" t="s">
        <v>268</v>
      </c>
    </row>
    <row r="377" spans="1:12">
      <c r="A377" t="s">
        <v>299</v>
      </c>
      <c r="B377" t="s">
        <v>251</v>
      </c>
      <c r="C377" s="5" t="s">
        <v>1539</v>
      </c>
      <c r="D377" s="5" t="s">
        <v>21</v>
      </c>
      <c r="E377" s="70">
        <f>IF(B377="","",INDEX(Ingredients!$I$1:$I$5013,(MATCH(InterventionCosts!B377,Ingredients!$A$1:$A$5013,0))))</f>
        <v>1.0227713593614072</v>
      </c>
      <c r="F377" s="5" t="str">
        <f>INDEX(Ingredients!J$1:J$265,(MATCH(InterventionCosts!B377,Ingredients!A$1:A$265,0)))</f>
        <v>per 1</v>
      </c>
      <c r="G377">
        <f>IF(B377="","",INDEX(Ingredients!$E$1:$E$238,(MATCH(InterventionCosts!B377,Ingredients!A$1:A$238,0))))</f>
        <v>2016</v>
      </c>
      <c r="H377" t="str">
        <f>INDEX(Ingredients!$F$1:$F$318,(MATCH(InterventionCosts!B377,Ingredients!A$1:A$318,0)))</f>
        <v>https://doi.org/10.1038/s41598-019-49109-w</v>
      </c>
      <c r="I377">
        <v>1</v>
      </c>
      <c r="J377" t="s">
        <v>1474</v>
      </c>
      <c r="K377" s="85">
        <f t="shared" si="11"/>
        <v>1.0227713593614072</v>
      </c>
      <c r="L377" s="85" t="s">
        <v>268</v>
      </c>
    </row>
    <row r="378" spans="1:12" s="89" customFormat="1">
      <c r="A378" s="4" t="s">
        <v>299</v>
      </c>
      <c r="F378" s="89" t="s">
        <v>1164</v>
      </c>
      <c r="G378" s="89" t="str">
        <f>IF(B378="","",INDEX(Ingredients!$E$1:$E$238,(MATCH(InterventionCosts!B378,Ingredients!A$1:A$238,0))))</f>
        <v/>
      </c>
      <c r="K378" s="90"/>
      <c r="L378" s="90">
        <f>SUM(K355:K377)</f>
        <v>149.72996780409176</v>
      </c>
    </row>
    <row r="379" spans="1:12" s="89" customFormat="1">
      <c r="A379" s="4" t="s">
        <v>299</v>
      </c>
      <c r="F379" s="89" t="s">
        <v>117</v>
      </c>
      <c r="G379" s="89" t="str">
        <f>IF(B379="","",INDEX(Ingredients!$E$1:$E$238,(MATCH(InterventionCosts!B379,Ingredients!A$1:A$238,0))))</f>
        <v/>
      </c>
      <c r="K379" s="90"/>
      <c r="L379" s="90" t="s">
        <v>936</v>
      </c>
    </row>
    <row r="380" spans="1:12" s="1" customFormat="1">
      <c r="A380"/>
      <c r="G380" s="1" t="str">
        <f>IF(B380="","",INDEX(Ingredients!$E$1:$E$238,(MATCH(InterventionCosts!B380,Ingredients!A$1:A$238,0))))</f>
        <v/>
      </c>
      <c r="K380" s="87"/>
      <c r="L380" s="87"/>
    </row>
    <row r="381" spans="1:12" s="1" customFormat="1">
      <c r="A381" t="s">
        <v>331</v>
      </c>
      <c r="B381" t="s">
        <v>308</v>
      </c>
      <c r="C381" s="5" t="s">
        <v>1539</v>
      </c>
      <c r="D381" t="s">
        <v>67</v>
      </c>
      <c r="E381" s="70">
        <f>IF(B381="","",INDEX(Ingredients!$I$1:$I$5013,(MATCH(InterventionCosts!B381,Ingredients!$A$1:$A$5013,0))))</f>
        <v>2577.4452112671624</v>
      </c>
      <c r="F381" s="5" t="str">
        <f>INDEX(Ingredients!J$1:J$265,(MATCH(InterventionCosts!B381,Ingredients!A$1:A$265,0)))</f>
        <v>per month</v>
      </c>
      <c r="G381">
        <f>IF(B381="","",INDEX(Ingredients!$E$1:$E$238,(MATCH(InterventionCosts!B381,Ingredients!A$1:A$238,0))))</f>
        <v>2016</v>
      </c>
      <c r="H381" t="str">
        <f>INDEX(Ingredients!$F$1:$F$318,(MATCH(InterventionCosts!B381,Ingredients!A$1:A$318,0)))</f>
        <v>https://doi.org/10.1038/s41598-019-49109-w; Tabana Operational Vehicle 2016</v>
      </c>
      <c r="I381">
        <f>I355*0.27398+I309*0.72602</f>
        <v>2.0310540612761418E-4</v>
      </c>
      <c r="J381" t="s">
        <v>1474</v>
      </c>
      <c r="K381" s="85">
        <f t="shared" ref="K381:K403" si="12">I381*E381</f>
        <v>0.52349305640609134</v>
      </c>
      <c r="L381" s="85" t="s">
        <v>67</v>
      </c>
    </row>
    <row r="382" spans="1:12" s="1" customFormat="1">
      <c r="A382" t="s">
        <v>331</v>
      </c>
      <c r="B382" t="s">
        <v>287</v>
      </c>
      <c r="C382" s="5" t="s">
        <v>1539</v>
      </c>
      <c r="D382" s="5" t="s">
        <v>48</v>
      </c>
      <c r="E382" s="70">
        <f>IF(B382="","",INDEX(Ingredients!$I$1:$I$5013,(MATCH(InterventionCosts!B382,Ingredients!$A$1:$A$5013,0))))</f>
        <v>21800.311666666668</v>
      </c>
      <c r="F382" s="5" t="str">
        <f>INDEX(Ingredients!J$1:J$265,(MATCH(InterventionCosts!B382,Ingredients!A$1:A$265,0)))</f>
        <v>per month</v>
      </c>
      <c r="G382">
        <f>IF(B382="","",INDEX(Ingredients!$E$1:$E$238,(MATCH(InterventionCosts!B382,Ingredients!A$1:A$238,0))))</f>
        <v>2024</v>
      </c>
      <c r="H382" t="str">
        <f>INDEX(Ingredients!$F$1:$F$318,(MATCH(InterventionCosts!B382,Ingredients!A$1:A$318,0)))</f>
        <v xml:space="preserve">April 2024 Salary scale </v>
      </c>
      <c r="I382">
        <f t="shared" ref="I382:I403" si="13">I356*0.27398+I310*0.72602</f>
        <v>2.0310540612761418E-4</v>
      </c>
      <c r="J382" t="s">
        <v>1474</v>
      </c>
      <c r="K382" s="85">
        <f t="shared" si="12"/>
        <v>4.4277611547668991</v>
      </c>
      <c r="L382" s="85" t="s">
        <v>291</v>
      </c>
    </row>
    <row r="383" spans="1:12" s="1" customFormat="1">
      <c r="A383" t="s">
        <v>331</v>
      </c>
      <c r="B383" t="s">
        <v>288</v>
      </c>
      <c r="C383" s="5" t="s">
        <v>1539</v>
      </c>
      <c r="D383" s="5" t="s">
        <v>48</v>
      </c>
      <c r="E383" s="70">
        <f>IF(B383="","",INDEX(Ingredients!$I$1:$I$5013,(MATCH(InterventionCosts!B383,Ingredients!$A$1:$A$5013,0))))</f>
        <v>62408.151666666665</v>
      </c>
      <c r="F383" s="5" t="str">
        <f>INDEX(Ingredients!J$1:J$265,(MATCH(InterventionCosts!B383,Ingredients!A$1:A$265,0)))</f>
        <v>per month</v>
      </c>
      <c r="G383">
        <f>IF(B383="","",INDEX(Ingredients!$E$1:$E$238,(MATCH(InterventionCosts!B383,Ingredients!A$1:A$238,0))))</f>
        <v>2024</v>
      </c>
      <c r="H383" t="str">
        <f>INDEX(Ingredients!$F$1:$F$318,(MATCH(InterventionCosts!B383,Ingredients!A$1:A$318,0)))</f>
        <v xml:space="preserve">April 2024 Salary scale </v>
      </c>
      <c r="I383">
        <f t="shared" si="13"/>
        <v>2.0310540612761418E-4</v>
      </c>
      <c r="J383" t="s">
        <v>1474</v>
      </c>
      <c r="K383" s="85">
        <f t="shared" si="12"/>
        <v>12.675432989932075</v>
      </c>
      <c r="L383" s="85" t="s">
        <v>291</v>
      </c>
    </row>
    <row r="384" spans="1:12" s="1" customFormat="1">
      <c r="A384" t="s">
        <v>331</v>
      </c>
      <c r="B384" t="s">
        <v>289</v>
      </c>
      <c r="C384" s="5" t="s">
        <v>1539</v>
      </c>
      <c r="D384" s="5" t="s">
        <v>48</v>
      </c>
      <c r="E384" s="70">
        <f>IF(B384="","",INDEX(Ingredients!$I$1:$I$5013,(MATCH(InterventionCosts!B384,Ingredients!$A$1:$A$5013,0))))</f>
        <v>34361.648333333331</v>
      </c>
      <c r="F384" s="5" t="str">
        <f>INDEX(Ingredients!J$1:J$265,(MATCH(InterventionCosts!B384,Ingredients!A$1:A$265,0)))</f>
        <v>per month</v>
      </c>
      <c r="G384">
        <f>IF(B384="","",INDEX(Ingredients!$E$1:$E$238,(MATCH(InterventionCosts!B384,Ingredients!A$1:A$238,0))))</f>
        <v>2024</v>
      </c>
      <c r="H384" t="str">
        <f>INDEX(Ingredients!$F$1:$F$318,(MATCH(InterventionCosts!B384,Ingredients!A$1:A$318,0)))</f>
        <v xml:space="preserve">April 2024 Salary scale </v>
      </c>
      <c r="I384">
        <f t="shared" si="13"/>
        <v>8.1242162451045671E-4</v>
      </c>
      <c r="J384" t="s">
        <v>1474</v>
      </c>
      <c r="K384" s="85">
        <f t="shared" si="12"/>
        <v>27.916146159823693</v>
      </c>
      <c r="L384" s="85" t="s">
        <v>291</v>
      </c>
    </row>
    <row r="385" spans="1:12" s="1" customFormat="1">
      <c r="A385" t="s">
        <v>331</v>
      </c>
      <c r="B385" t="s">
        <v>310</v>
      </c>
      <c r="C385" s="5" t="s">
        <v>1539</v>
      </c>
      <c r="D385" t="s">
        <v>81</v>
      </c>
      <c r="E385" s="70">
        <f>IF(B385="","",INDEX(Ingredients!$I$1:$I$5013,(MATCH(InterventionCosts!B385,Ingredients!$A$1:$A$5013,0))))</f>
        <v>1321.110140433256</v>
      </c>
      <c r="F385" s="5" t="str">
        <f>INDEX(Ingredients!J$1:J$265,(MATCH(InterventionCosts!B385,Ingredients!A$1:A$265,0)))</f>
        <v>per room</v>
      </c>
      <c r="G385">
        <f>IF(B385="","",INDEX(Ingredients!$E$1:$E$238,(MATCH(InterventionCosts!B385,Ingredients!A$1:A$238,0))))</f>
        <v>2016</v>
      </c>
      <c r="H385" t="str">
        <f>INDEX(Ingredients!$F$1:$F$318,(MATCH(InterventionCosts!B385,Ingredients!A$1:A$318,0)))</f>
        <v>https://doi.org/10.1038/s41598-019-49109-w</v>
      </c>
      <c r="I385">
        <f t="shared" si="13"/>
        <v>2.0310540612761418E-4</v>
      </c>
      <c r="J385" t="s">
        <v>1474</v>
      </c>
      <c r="K385" s="85">
        <f t="shared" si="12"/>
        <v>0.26832461161200588</v>
      </c>
      <c r="L385" s="85" t="s">
        <v>257</v>
      </c>
    </row>
    <row r="386" spans="1:12" s="1" customFormat="1">
      <c r="A386" t="s">
        <v>331</v>
      </c>
      <c r="B386" t="s">
        <v>312</v>
      </c>
      <c r="C386" s="5" t="s">
        <v>1539</v>
      </c>
      <c r="D386" t="s">
        <v>67</v>
      </c>
      <c r="E386" s="70">
        <f>IF(B386="","",INDEX(Ingredients!$I$1:$I$5013,(MATCH(InterventionCosts!B386,Ingredients!$A$1:$A$5013,0))))</f>
        <v>251.97502074147175</v>
      </c>
      <c r="F386" s="5" t="str">
        <f>INDEX(Ingredients!J$1:J$265,(MATCH(InterventionCosts!B386,Ingredients!A$1:A$265,0)))</f>
        <v>per room</v>
      </c>
      <c r="G386">
        <f>IF(B386="","",INDEX(Ingredients!$E$1:$E$238,(MATCH(InterventionCosts!B386,Ingredients!A$1:A$238,0))))</f>
        <v>2016</v>
      </c>
      <c r="H386" t="str">
        <f>INDEX(Ingredients!$F$1:$F$318,(MATCH(InterventionCosts!B386,Ingredients!A$1:A$318,0)))</f>
        <v>https://doi.org/10.1038/s41598-019-49109-w</v>
      </c>
      <c r="I386">
        <f t="shared" si="13"/>
        <v>2.0310540612761418E-4</v>
      </c>
      <c r="J386" t="s">
        <v>1474</v>
      </c>
      <c r="K386" s="85">
        <f t="shared" si="12"/>
        <v>5.1177488921710625E-2</v>
      </c>
      <c r="L386" s="85" t="s">
        <v>257</v>
      </c>
    </row>
    <row r="387" spans="1:12" s="1" customFormat="1">
      <c r="A387" t="s">
        <v>331</v>
      </c>
      <c r="B387" s="79" t="s">
        <v>53</v>
      </c>
      <c r="C387" s="5" t="s">
        <v>1539</v>
      </c>
      <c r="D387" s="5" t="s">
        <v>48</v>
      </c>
      <c r="E387" s="70">
        <f>IF(B387="","",INDEX(Ingredients!$I$1:$I$5013,(MATCH(InterventionCosts!B387,Ingredients!$A$1:$A$5013,0))))</f>
        <v>4100.2266666666665</v>
      </c>
      <c r="F387" s="5" t="str">
        <f>INDEX(Ingredients!J$1:J$265,(MATCH(InterventionCosts!B387,Ingredients!A$1:A$265,0)))</f>
        <v>per month</v>
      </c>
      <c r="G387">
        <f>IF(B387="","",INDEX(Ingredients!$E$1:$E$238,(MATCH(InterventionCosts!B387,Ingredients!A$1:A$238,0))))</f>
        <v>2024</v>
      </c>
      <c r="H387" t="str">
        <f>INDEX(Ingredients!$F$1:$F$318,(MATCH(InterventionCosts!B387,Ingredients!A$1:A$318,0)))</f>
        <v>https://www.health.gov.za/wp-content/uploads/2022/07/Health-Department-welcomes-Bargaining-Council-resolution-to-improve-work-conditions-of-CHWs-27-July-2022.pdf</v>
      </c>
      <c r="I387">
        <f t="shared" si="13"/>
        <v>8.1242162451045671E-4</v>
      </c>
      <c r="J387" t="s">
        <v>1474</v>
      </c>
      <c r="K387" s="85">
        <f t="shared" si="12"/>
        <v>3.331112809394428</v>
      </c>
      <c r="L387" s="85" t="s">
        <v>359</v>
      </c>
    </row>
    <row r="388" spans="1:12" s="1" customFormat="1">
      <c r="A388" t="s">
        <v>331</v>
      </c>
      <c r="B388" s="79" t="s">
        <v>53</v>
      </c>
      <c r="C388" s="5" t="s">
        <v>1539</v>
      </c>
      <c r="D388" s="5" t="s">
        <v>48</v>
      </c>
      <c r="E388" s="70">
        <f>IF(B388="","",INDEX(Ingredients!$I$1:$I$5013,(MATCH(InterventionCosts!B388,Ingredients!$A$1:$A$5013,0))))</f>
        <v>4100.2266666666665</v>
      </c>
      <c r="F388" s="5" t="str">
        <f>INDEX(Ingredients!J$1:J$265,(MATCH(InterventionCosts!B388,Ingredients!A$1:A$265,0)))</f>
        <v>per month</v>
      </c>
      <c r="G388">
        <f>IF(B388="","",INDEX(Ingredients!$E$1:$E$238,(MATCH(InterventionCosts!B388,Ingredients!A$1:A$238,0))))</f>
        <v>2024</v>
      </c>
      <c r="H388" t="str">
        <f>INDEX(Ingredients!$F$1:$F$318,(MATCH(InterventionCosts!B388,Ingredients!A$1:A$318,0)))</f>
        <v>https://www.health.gov.za/wp-content/uploads/2022/07/Health-Department-welcomes-Bargaining-Council-resolution-to-improve-work-conditions-of-CHWs-27-July-2022.pdf</v>
      </c>
      <c r="I388">
        <f t="shared" si="13"/>
        <v>4.0621081225522835E-3</v>
      </c>
      <c r="J388" t="s">
        <v>1474</v>
      </c>
      <c r="K388" s="85">
        <f t="shared" si="12"/>
        <v>16.655564046972138</v>
      </c>
      <c r="L388" s="85" t="s">
        <v>257</v>
      </c>
    </row>
    <row r="389" spans="1:12" s="1" customFormat="1">
      <c r="A389" t="s">
        <v>331</v>
      </c>
      <c r="B389" t="s">
        <v>246</v>
      </c>
      <c r="C389" s="5" t="s">
        <v>1539</v>
      </c>
      <c r="D389" s="5" t="s">
        <v>48</v>
      </c>
      <c r="E389" s="70">
        <f>IF(B389="","",INDEX(Ingredients!$I$1:$I$5013,(MATCH(InterventionCosts!B389,Ingredients!$A$1:$A$5013,0))))</f>
        <v>0.16400000000000001</v>
      </c>
      <c r="F389" s="5" t="str">
        <f>INDEX(Ingredients!J$1:J$265,(MATCH(InterventionCosts!B389,Ingredients!A$1:A$265,0)))</f>
        <v>per page</v>
      </c>
      <c r="G389">
        <f>IF(B389="","",INDEX(Ingredients!$E$1:$E$238,(MATCH(InterventionCosts!B389,Ingredients!A$1:A$238,0))))</f>
        <v>2024</v>
      </c>
      <c r="H389" t="str">
        <f>INDEX(Ingredients!$F$1:$F$318,(MATCH(InterventionCosts!B389,Ingredients!A$1:A$318,0)))</f>
        <v>https://www.makro.co.za/stationery-office-furniture/paper-filing/paper/white-paper/copy-paper/typek-a4-office-paper-80-gsm/p/000000000000012434_BOX</v>
      </c>
      <c r="I389">
        <f t="shared" si="13"/>
        <v>1.0027398000000001</v>
      </c>
      <c r="J389" t="s">
        <v>1474</v>
      </c>
      <c r="K389" s="85">
        <f t="shared" si="12"/>
        <v>0.16444932720000002</v>
      </c>
      <c r="L389" s="85" t="s">
        <v>257</v>
      </c>
    </row>
    <row r="390" spans="1:12" s="1" customFormat="1">
      <c r="A390" t="s">
        <v>331</v>
      </c>
      <c r="B390" t="s">
        <v>290</v>
      </c>
      <c r="C390" s="5" t="s">
        <v>1539</v>
      </c>
      <c r="D390" s="5" t="s">
        <v>48</v>
      </c>
      <c r="E390" s="70">
        <f>IF(B390="","",INDEX(Ingredients!$I$1:$I$5013,(MATCH(InterventionCosts!B390,Ingredients!$A$1:$A$5013,0))))</f>
        <v>25449.108333333334</v>
      </c>
      <c r="F390" s="5" t="str">
        <f>INDEX(Ingredients!J$1:J$265,(MATCH(InterventionCosts!B390,Ingredients!A$1:A$265,0)))</f>
        <v>per month</v>
      </c>
      <c r="G390">
        <f>IF(B390="","",INDEX(Ingredients!$E$1:$E$238,(MATCH(InterventionCosts!B390,Ingredients!A$1:A$238,0))))</f>
        <v>2024</v>
      </c>
      <c r="H390" t="str">
        <f>INDEX(Ingredients!$F$1:$F$318,(MATCH(InterventionCosts!B390,Ingredients!A$1:A$318,0)))</f>
        <v xml:space="preserve">April 2024 Salary scale </v>
      </c>
      <c r="I390">
        <f t="shared" si="13"/>
        <v>1.0155270306380709E-4</v>
      </c>
      <c r="J390" t="s">
        <v>1474</v>
      </c>
      <c r="K390" s="85">
        <f t="shared" si="12"/>
        <v>2.5844257418136585</v>
      </c>
      <c r="L390" s="85" t="s">
        <v>258</v>
      </c>
    </row>
    <row r="391" spans="1:12" s="1" customFormat="1">
      <c r="A391" t="s">
        <v>331</v>
      </c>
      <c r="B391" t="s">
        <v>56</v>
      </c>
      <c r="C391" s="5" t="s">
        <v>1539</v>
      </c>
      <c r="D391" s="5" t="s">
        <v>48</v>
      </c>
      <c r="E391" s="70">
        <f>IF(B391="","",INDEX(Ingredients!$I$1:$I$5013,(MATCH(InterventionCosts!B391,Ingredients!$A$1:$A$5013,0))))</f>
        <v>23181.75</v>
      </c>
      <c r="F391" s="5" t="str">
        <f>INDEX(Ingredients!J$1:J$265,(MATCH(InterventionCosts!B391,Ingredients!A$1:A$265,0)))</f>
        <v>per month</v>
      </c>
      <c r="G391">
        <f>IF(B391="","",INDEX(Ingredients!$E$1:$E$238,(MATCH(InterventionCosts!B391,Ingredients!A$1:A$238,0))))</f>
        <v>2024</v>
      </c>
      <c r="H391" t="str">
        <f>INDEX(Ingredients!$F$1:$F$318,(MATCH(InterventionCosts!B391,Ingredients!A$1:A$318,0)))</f>
        <v xml:space="preserve">April 2024 Salary scale </v>
      </c>
      <c r="I391">
        <f t="shared" si="13"/>
        <v>8.1242162451045671E-4</v>
      </c>
      <c r="J391" t="s">
        <v>1474</v>
      </c>
      <c r="K391" s="85">
        <f t="shared" si="12"/>
        <v>18.833354993995279</v>
      </c>
      <c r="L391" s="85" t="s">
        <v>258</v>
      </c>
    </row>
    <row r="392" spans="1:12" s="1" customFormat="1">
      <c r="A392" t="s">
        <v>331</v>
      </c>
      <c r="B392" t="s">
        <v>51</v>
      </c>
      <c r="C392" s="5" t="s">
        <v>1539</v>
      </c>
      <c r="D392" s="5" t="s">
        <v>48</v>
      </c>
      <c r="E392" s="70">
        <f>(IF(B392="","",INDEX(Ingredients!$I$1:$I$5013,(MATCH(InterventionCosts!B392,Ingredients!$A$1:$A$5013,0)))))</f>
        <v>4100.2266666666665</v>
      </c>
      <c r="F392" s="5" t="str">
        <f>INDEX(Ingredients!J$1:J$265,(MATCH(InterventionCosts!B392,Ingredients!A$1:A$265,0)))</f>
        <v>per month</v>
      </c>
      <c r="G392">
        <f>IF(B392="","",INDEX(Ingredients!$E$1:$E$238,(MATCH(InterventionCosts!B392,Ingredients!A$1:A$238,0))))</f>
        <v>2024</v>
      </c>
      <c r="H392" t="str">
        <f>INDEX(Ingredients!$F$1:$F$318,(MATCH(InterventionCosts!B392,Ingredients!A$1:A$318,0)))</f>
        <v>https://www.gov.za/news/media-statements/government-activities/minister-thulas-nxesi-announces-national-minimum-wage</v>
      </c>
      <c r="I392">
        <f t="shared" si="13"/>
        <v>1.0155270306380709E-4</v>
      </c>
      <c r="J392" t="s">
        <v>1474</v>
      </c>
      <c r="K392" s="85">
        <f t="shared" si="12"/>
        <v>0.4163891011743035</v>
      </c>
      <c r="L392" s="85" t="s">
        <v>258</v>
      </c>
    </row>
    <row r="393" spans="1:12" s="1" customFormat="1">
      <c r="A393" t="s">
        <v>331</v>
      </c>
      <c r="B393" t="s">
        <v>247</v>
      </c>
      <c r="C393" s="86" t="s">
        <v>1539</v>
      </c>
      <c r="D393" s="5" t="s">
        <v>21</v>
      </c>
      <c r="E393" s="70">
        <f>IF(B393="","",INDEX(Ingredients!$I$1:$I$5013,(MATCH(InterventionCosts!B393,Ingredients!$A$1:$A$5013,0))))</f>
        <v>274.72000000000003</v>
      </c>
      <c r="F393" s="5" t="str">
        <f>INDEX(Ingredients!J$1:J$265,(MATCH(InterventionCosts!B393,Ingredients!A$1:A$265,0)))</f>
        <v>per 5L</v>
      </c>
      <c r="G393">
        <f>IF(B393="","",INDEX(Ingredients!$E$1:$E$238,(MATCH(InterventionCosts!B393,Ingredients!A$1:A$238,0))))</f>
        <v>2024</v>
      </c>
      <c r="H393" t="str">
        <f>INDEX(Ingredients!$F$1:$F$318,(MATCH(InterventionCosts!B393,Ingredients!A$1:A$318,0)))</f>
        <v>https://www.health.gov.za/wp-content/uploads/2024/04/HP12-2023LQ-CPA-Add-4-12-Effective-1-May-2024.pdf</v>
      </c>
      <c r="I393">
        <f t="shared" si="13"/>
        <v>2.02E-4</v>
      </c>
      <c r="J393" t="s">
        <v>1474</v>
      </c>
      <c r="K393" s="85">
        <f t="shared" si="12"/>
        <v>5.5493440000000005E-2</v>
      </c>
      <c r="L393" s="85" t="s">
        <v>258</v>
      </c>
    </row>
    <row r="394" spans="1:12" s="1" customFormat="1">
      <c r="A394" t="s">
        <v>331</v>
      </c>
      <c r="B394" t="s">
        <v>1489</v>
      </c>
      <c r="C394" s="5" t="s">
        <v>1539</v>
      </c>
      <c r="D394" s="5" t="s">
        <v>21</v>
      </c>
      <c r="E394" s="70">
        <f>IF(B394="","",INDEX(Ingredients!$I$1:$I$5013,(MATCH(InterventionCosts!B394,Ingredients!$A$1:$A$5013,0))))</f>
        <v>53.08</v>
      </c>
      <c r="F394" s="5" t="str">
        <f>INDEX(Ingredients!J$1:J$265,(MATCH(InterventionCosts!B394,Ingredients!A$1:A$265,0)))</f>
        <v>per pack 100, 50 pairs</v>
      </c>
      <c r="G394">
        <f>IF(B394="","",INDEX(Ingredients!$E$1:$E$238,(MATCH(InterventionCosts!B394,Ingredients!A$1:A$238,0))))</f>
        <v>2024</v>
      </c>
      <c r="H394" t="str">
        <f>INDEX(Ingredients!$F$1:$F$318,(MATCH(InterventionCosts!B394,Ingredients!A$1:A$318,0)))</f>
        <v>https://www.treasury.gov.za/divisions/ocpo/ostb/contracts/RT76-2023%20CPA%20Amendment%204-%20Effective%2001%20May%202024.pdf</v>
      </c>
      <c r="I394">
        <f t="shared" si="13"/>
        <v>2.0199999999999999E-2</v>
      </c>
      <c r="J394" t="s">
        <v>1474</v>
      </c>
      <c r="K394" s="85">
        <f t="shared" si="12"/>
        <v>1.0722159999999998</v>
      </c>
      <c r="L394" s="85" t="s">
        <v>265</v>
      </c>
    </row>
    <row r="395" spans="1:12" s="1" customFormat="1">
      <c r="A395" t="s">
        <v>331</v>
      </c>
      <c r="B395" t="s">
        <v>79</v>
      </c>
      <c r="C395" s="5" t="s">
        <v>1539</v>
      </c>
      <c r="D395" s="5" t="s">
        <v>21</v>
      </c>
      <c r="E395" s="70">
        <f>IF(B395="","",INDEX(Ingredients!$I$1:$I$5013,(MATCH(InterventionCosts!B395,Ingredients!$A$1:$A$5013,0))))</f>
        <v>9.3000000000000007</v>
      </c>
      <c r="F395" s="5" t="str">
        <f>INDEX(Ingredients!J$1:J$265,(MATCH(InterventionCosts!B395,Ingredients!A$1:A$265,0)))</f>
        <v>per test</v>
      </c>
      <c r="G395">
        <f>IF(B395="","",INDEX(Ingredients!$E$1:$E$238,(MATCH(InterventionCosts!B395,Ingredients!A$1:A$238,0))))</f>
        <v>2024</v>
      </c>
      <c r="H395" t="str">
        <f>INDEX(Ingredients!$F$1:$F$318,(MATCH(InterventionCosts!B395,Ingredients!A$1:A$318,0)))</f>
        <v>https://www.treasury.gov.za/divisions/ocpo/ostb/contracts/RT41-2020.zip</v>
      </c>
      <c r="I395">
        <f t="shared" si="13"/>
        <v>1.01</v>
      </c>
      <c r="J395" t="s">
        <v>1474</v>
      </c>
      <c r="K395" s="85">
        <f t="shared" si="12"/>
        <v>9.3930000000000007</v>
      </c>
      <c r="L395" s="85" t="s">
        <v>258</v>
      </c>
    </row>
    <row r="396" spans="1:12" s="1" customFormat="1">
      <c r="A396" t="s">
        <v>331</v>
      </c>
      <c r="B396" t="s">
        <v>248</v>
      </c>
      <c r="C396" s="5" t="s">
        <v>1539</v>
      </c>
      <c r="D396" s="5" t="s">
        <v>21</v>
      </c>
      <c r="E396" s="70">
        <f>IF(B396="","",INDEX(Ingredients!$I$1:$I$5013,(MATCH(InterventionCosts!B396,Ingredients!$A$1:$A$5013,0))))</f>
        <v>2.645</v>
      </c>
      <c r="F396" s="5" t="str">
        <f>INDEX(Ingredients!J$1:J$265,(MATCH(InterventionCosts!B396,Ingredients!A$1:A$265,0)))</f>
        <v>per bag</v>
      </c>
      <c r="G396">
        <f>IF(B396="","",INDEX(Ingredients!$E$1:$E$238,(MATCH(InterventionCosts!B396,Ingredients!A$1:A$238,0))))</f>
        <v>2024</v>
      </c>
      <c r="H396" t="str">
        <f>INDEX(Ingredients!$F$1:$F$318,(MATCH(InterventionCosts!B396,Ingredients!A$1:A$318,0)))</f>
        <v>https://medqsupplies.co.za/product/bio-hazard-plastic-bags/</v>
      </c>
      <c r="I396">
        <f t="shared" si="13"/>
        <v>1.01</v>
      </c>
      <c r="J396" t="s">
        <v>1474</v>
      </c>
      <c r="K396" s="85">
        <f t="shared" si="12"/>
        <v>2.6714500000000001</v>
      </c>
      <c r="L396" s="85" t="s">
        <v>258</v>
      </c>
    </row>
    <row r="397" spans="1:12" s="1" customFormat="1">
      <c r="A397" t="s">
        <v>331</v>
      </c>
      <c r="B397" t="s">
        <v>31</v>
      </c>
      <c r="C397" s="5" t="s">
        <v>1539</v>
      </c>
      <c r="D397" s="5" t="s">
        <v>21</v>
      </c>
      <c r="E397" s="70">
        <f>IF(B397="","",INDEX(Ingredients!$I$1:$I$5013,(MATCH(InterventionCosts!B397,Ingredients!$A$1:$A$5013,0))))</f>
        <v>31.4</v>
      </c>
      <c r="F397" s="5" t="str">
        <f>INDEX(Ingredients!J$1:J$265,(MATCH(InterventionCosts!B397,Ingredients!A$1:A$265,0)))</f>
        <v>per 100 swabs</v>
      </c>
      <c r="G397">
        <f>IF(B397="","",INDEX(Ingredients!$E$1:$E$238,(MATCH(InterventionCosts!B397,Ingredients!A$1:A$238,0))))</f>
        <v>2024</v>
      </c>
      <c r="H397" t="str">
        <f>INDEX(Ingredients!$F$1:$F$318,(MATCH(InterventionCosts!B397,Ingredients!A$1:A$318,0)))</f>
        <v xml:space="preserve">http://www.treasury.gov.za/divisions/ocpo/ostb/contracts/RT42-2022zip </v>
      </c>
      <c r="I397">
        <f t="shared" si="13"/>
        <v>1.0072602E-2</v>
      </c>
      <c r="J397" t="s">
        <v>1474</v>
      </c>
      <c r="K397" s="85">
        <f t="shared" si="12"/>
        <v>0.31627970280000001</v>
      </c>
      <c r="L397" s="85" t="s">
        <v>258</v>
      </c>
    </row>
    <row r="398" spans="1:12" s="1" customFormat="1">
      <c r="A398" t="s">
        <v>331</v>
      </c>
      <c r="B398" t="s">
        <v>249</v>
      </c>
      <c r="C398" s="5" t="s">
        <v>1539</v>
      </c>
      <c r="D398" s="5" t="s">
        <v>21</v>
      </c>
      <c r="E398" s="70">
        <f>IF(B398="","",INDEX(Ingredients!$I$1:$I$5013,(MATCH(InterventionCosts!B398,Ingredients!$A$1:$A$5013,0))))</f>
        <v>7.86</v>
      </c>
      <c r="F398" s="5" t="str">
        <f>INDEX(Ingredients!J$1:J$265,(MATCH(InterventionCosts!B398,Ingredients!A$1:A$265,0)))</f>
        <v>per test kit</v>
      </c>
      <c r="G398">
        <f>IF(B398="","",INDEX(Ingredients!$E$1:$E$238,(MATCH(InterventionCosts!B398,Ingredients!A$1:A$238,0))))</f>
        <v>2024</v>
      </c>
      <c r="H398" t="str">
        <f>INDEX(Ingredients!$F$1:$F$318,(MATCH(InterventionCosts!B398,Ingredients!A$1:A$318,0)))</f>
        <v>https://www.treasury.gov.za/divisions/ocpo/ostb/contracts/RT41-2020.zip</v>
      </c>
      <c r="I398">
        <f t="shared" si="13"/>
        <v>1.01</v>
      </c>
      <c r="J398" t="s">
        <v>1474</v>
      </c>
      <c r="K398" s="85">
        <f t="shared" si="12"/>
        <v>7.9386000000000001</v>
      </c>
      <c r="L398" s="85" t="s">
        <v>316</v>
      </c>
    </row>
    <row r="399" spans="1:12" s="1" customFormat="1">
      <c r="A399" t="s">
        <v>331</v>
      </c>
      <c r="B399" t="s">
        <v>79</v>
      </c>
      <c r="C399" s="5" t="s">
        <v>1539</v>
      </c>
      <c r="D399" s="5" t="s">
        <v>21</v>
      </c>
      <c r="E399" s="70">
        <f>IF(B399="","",INDEX(Ingredients!$I$1:$I$5013,(MATCH(InterventionCosts!B399,Ingredients!$A$1:$A$5013,0))))</f>
        <v>9.3000000000000007</v>
      </c>
      <c r="F399" s="5" t="str">
        <f>INDEX(Ingredients!J$1:J$265,(MATCH(InterventionCosts!B399,Ingredients!A$1:A$265,0)))</f>
        <v>per test</v>
      </c>
      <c r="G399">
        <f>IF(B399="","",INDEX(Ingredients!$E$1:$E$238,(MATCH(InterventionCosts!B399,Ingredients!A$1:A$238,0))))</f>
        <v>2024</v>
      </c>
      <c r="H399" t="str">
        <f>INDEX(Ingredients!$F$1:$F$318,(MATCH(InterventionCosts!B399,Ingredients!A$1:A$318,0)))</f>
        <v>https://www.treasury.gov.za/divisions/ocpo/ostb/contracts/RT41-2020.zip</v>
      </c>
      <c r="I399">
        <f t="shared" si="13"/>
        <v>5.9279555694000008E-2</v>
      </c>
      <c r="J399" t="s">
        <v>1474</v>
      </c>
      <c r="K399" s="85">
        <f t="shared" si="12"/>
        <v>0.55129986795420016</v>
      </c>
      <c r="L399" s="85" t="s">
        <v>317</v>
      </c>
    </row>
    <row r="400" spans="1:12" s="1" customFormat="1">
      <c r="A400" t="s">
        <v>331</v>
      </c>
      <c r="B400" t="s">
        <v>249</v>
      </c>
      <c r="C400" s="5" t="s">
        <v>1539</v>
      </c>
      <c r="D400" s="5" t="s">
        <v>21</v>
      </c>
      <c r="E400" s="70">
        <f>IF(B400="","",INDEX(Ingredients!$I$1:$I$5013,(MATCH(InterventionCosts!B400,Ingredients!$A$1:$A$5013,0))))</f>
        <v>7.86</v>
      </c>
      <c r="F400" s="5" t="str">
        <f>INDEX(Ingredients!J$1:J$265,(MATCH(InterventionCosts!B400,Ingredients!A$1:A$265,0)))</f>
        <v>per test kit</v>
      </c>
      <c r="G400">
        <f>IF(B400="","",INDEX(Ingredients!$E$1:$E$238,(MATCH(InterventionCosts!B400,Ingredients!A$1:A$238,0))))</f>
        <v>2024</v>
      </c>
      <c r="H400" t="str">
        <f>INDEX(Ingredients!$F$1:$F$318,(MATCH(InterventionCosts!B400,Ingredients!A$1:A$318,0)))</f>
        <v>https://www.treasury.gov.za/divisions/ocpo/ostb/contracts/RT41-2020.zip</v>
      </c>
      <c r="I400">
        <f t="shared" si="13"/>
        <v>7.8032856540000001E-3</v>
      </c>
      <c r="J400" t="s">
        <v>1474</v>
      </c>
      <c r="K400" s="85">
        <f t="shared" si="12"/>
        <v>6.1333825240440003E-2</v>
      </c>
      <c r="L400" s="85" t="s">
        <v>318</v>
      </c>
    </row>
    <row r="401" spans="1:16" s="1" customFormat="1">
      <c r="A401" t="s">
        <v>331</v>
      </c>
      <c r="B401" t="s">
        <v>250</v>
      </c>
      <c r="C401" s="5" t="s">
        <v>1539</v>
      </c>
      <c r="D401" s="5" t="s">
        <v>21</v>
      </c>
      <c r="E401" s="70">
        <f>IF(B401="","",INDEX(Ingredients!$I$1:$I$5013,(MATCH(InterventionCosts!B401,Ingredients!$A$1:$A$5013,0))))</f>
        <v>71.889951748999991</v>
      </c>
      <c r="F401" s="5" t="str">
        <f>INDEX(Ingredients!J$1:J$265,(MATCH(InterventionCosts!B401,Ingredients!A$1:A$265,0)))</f>
        <v>per test</v>
      </c>
      <c r="G401">
        <f>IF(B401="","",INDEX(Ingredients!$E$1:$E$238,(MATCH(InterventionCosts!B401,Ingredients!A$1:A$238,0))))</f>
        <v>2021</v>
      </c>
      <c r="H401" t="str">
        <f>INDEX(Ingredients!$F$1:$F$318,(MATCH(InterventionCosts!B401,Ingredients!A$1:A$318,0)))</f>
        <v>NHLS 2021 price-list</v>
      </c>
      <c r="I401">
        <f t="shared" si="13"/>
        <v>3.9106852199999997E-3</v>
      </c>
      <c r="J401" t="s">
        <v>1474</v>
      </c>
      <c r="K401" s="85">
        <f t="shared" si="12"/>
        <v>0.28113897177132741</v>
      </c>
      <c r="L401" s="85" t="s">
        <v>295</v>
      </c>
    </row>
    <row r="402" spans="1:16" s="1" customFormat="1">
      <c r="A402" t="s">
        <v>331</v>
      </c>
      <c r="B402" t="s">
        <v>43</v>
      </c>
      <c r="C402" s="5" t="s">
        <v>1539</v>
      </c>
      <c r="D402" s="5" t="s">
        <v>21</v>
      </c>
      <c r="E402" s="70">
        <f>IF(B402="","",INDEX(Ingredients!$I$1:$I$5013,(MATCH(InterventionCosts!B402,Ingredients!$A$1:$A$5013,0))))</f>
        <v>0.61939459752201187</v>
      </c>
      <c r="F402" s="5" t="str">
        <f>INDEX(Ingredients!J$1:J$265,(MATCH(InterventionCosts!B402,Ingredients!A$1:A$265,0)))</f>
        <v>per condom</v>
      </c>
      <c r="G402">
        <f>IF(B402="","",INDEX(Ingredients!$E$1:$E$238,(MATCH(InterventionCosts!B402,Ingredients!A$1:A$238,0))))</f>
        <v>2024</v>
      </c>
      <c r="H402" t="str">
        <f>INDEX(Ingredients!$F$1:$F$318,(MATCH(InterventionCosts!B402,Ingredients!A$1:A$318,0)))</f>
        <v>https://www.treasury.gov.za/divisions/ocpo/ostb/contracts/RT75-2021.zip</v>
      </c>
      <c r="I402">
        <f t="shared" si="13"/>
        <v>10</v>
      </c>
      <c r="J402" t="s">
        <v>1474</v>
      </c>
      <c r="K402" s="85">
        <f t="shared" si="12"/>
        <v>6.1939459752201191</v>
      </c>
      <c r="L402" s="85" t="s">
        <v>268</v>
      </c>
    </row>
    <row r="403" spans="1:16" s="1" customFormat="1">
      <c r="A403" t="s">
        <v>331</v>
      </c>
      <c r="B403" t="s">
        <v>251</v>
      </c>
      <c r="C403" s="5" t="s">
        <v>1539</v>
      </c>
      <c r="D403" s="5" t="s">
        <v>21</v>
      </c>
      <c r="E403" s="70">
        <f>IF(B403="","",INDEX(Ingredients!$I$1:$I$5013,(MATCH(InterventionCosts!B403,Ingredients!$A$1:$A$5013,0))))</f>
        <v>1.0227713593614072</v>
      </c>
      <c r="F403" s="5" t="str">
        <f>INDEX(Ingredients!J$1:J$265,(MATCH(InterventionCosts!B403,Ingredients!A$1:A$265,0)))</f>
        <v>per 1</v>
      </c>
      <c r="G403">
        <f>IF(B403="","",INDEX(Ingredients!$E$1:$E$238,(MATCH(InterventionCosts!B403,Ingredients!A$1:A$238,0))))</f>
        <v>2016</v>
      </c>
      <c r="H403" t="str">
        <f>INDEX(Ingredients!$F$1:$F$318,(MATCH(InterventionCosts!B403,Ingredients!A$1:A$318,0)))</f>
        <v>https://doi.org/10.1038/s41598-019-49109-w</v>
      </c>
      <c r="I403">
        <f t="shared" si="13"/>
        <v>1</v>
      </c>
      <c r="J403" t="s">
        <v>1474</v>
      </c>
      <c r="K403" s="85">
        <f t="shared" si="12"/>
        <v>1.0227713593614072</v>
      </c>
      <c r="L403" s="85" t="s">
        <v>268</v>
      </c>
    </row>
    <row r="404" spans="1:16" s="89" customFormat="1">
      <c r="A404" s="4" t="s">
        <v>331</v>
      </c>
      <c r="B404" s="89" t="s">
        <v>1571</v>
      </c>
      <c r="F404" s="89" t="s">
        <v>1164</v>
      </c>
      <c r="K404" s="90"/>
      <c r="L404" s="90">
        <f>SUM(K381:K403)</f>
        <v>117.40516062435978</v>
      </c>
      <c r="M404" s="92"/>
      <c r="P404" s="102"/>
    </row>
    <row r="405" spans="1:16" s="89" customFormat="1">
      <c r="A405" s="4" t="s">
        <v>331</v>
      </c>
      <c r="F405" s="89" t="s">
        <v>117</v>
      </c>
      <c r="K405" s="90"/>
      <c r="L405" s="90" t="s">
        <v>936</v>
      </c>
      <c r="P405" s="102"/>
    </row>
    <row r="406" spans="1:16" s="1" customFormat="1">
      <c r="A406"/>
      <c r="K406" s="87"/>
      <c r="L406" s="87"/>
    </row>
    <row r="407" spans="1:16" s="1" customFormat="1">
      <c r="A407" t="s">
        <v>332</v>
      </c>
      <c r="B407" t="s">
        <v>308</v>
      </c>
      <c r="C407" s="5" t="s">
        <v>1539</v>
      </c>
      <c r="D407" t="s">
        <v>67</v>
      </c>
      <c r="E407" s="70">
        <f>IF(B407="","",INDEX(Ingredients!$I$1:$I$5013,(MATCH(InterventionCosts!B407,Ingredients!$A$1:$A$5013,0))))</f>
        <v>2577.4452112671624</v>
      </c>
      <c r="F407" s="5" t="str">
        <f>INDEX(Ingredients!J$1:J$265,(MATCH(InterventionCosts!B407,Ingredients!A$1:A$265,0)))</f>
        <v>per month</v>
      </c>
      <c r="G407">
        <f>IF(B407="","",INDEX(Ingredients!$E$1:$E$238,(MATCH(InterventionCosts!B407,Ingredients!A$1:A$238,0))))</f>
        <v>2016</v>
      </c>
      <c r="H407" t="str">
        <f>INDEX(Ingredients!$F$1:$F$318,(MATCH(InterventionCosts!B407,Ingredients!A$1:A$318,0)))</f>
        <v>https://doi.org/10.1038/s41598-019-49109-w; Tabana Operational Vehicle 2016</v>
      </c>
      <c r="I407" s="361">
        <f>I335*0.27398+I289*0.72602</f>
        <v>2.0310540612761418E-4</v>
      </c>
      <c r="J407" t="s">
        <v>1474</v>
      </c>
      <c r="K407" s="85">
        <f t="shared" ref="K407:K423" si="14">I407*E407</f>
        <v>0.52349305640609134</v>
      </c>
      <c r="L407" s="85" t="s">
        <v>67</v>
      </c>
    </row>
    <row r="408" spans="1:16" s="1" customFormat="1">
      <c r="A408" t="s">
        <v>332</v>
      </c>
      <c r="B408" t="s">
        <v>287</v>
      </c>
      <c r="C408" s="5" t="s">
        <v>1539</v>
      </c>
      <c r="D408" s="5" t="s">
        <v>48</v>
      </c>
      <c r="E408" s="70">
        <f>IF(B408="","",INDEX(Ingredients!$I$1:$I$5013,(MATCH(InterventionCosts!B408,Ingredients!$A$1:$A$5013,0))))</f>
        <v>21800.311666666668</v>
      </c>
      <c r="F408" s="5" t="str">
        <f>INDEX(Ingredients!J$1:J$265,(MATCH(InterventionCosts!B408,Ingredients!A$1:A$265,0)))</f>
        <v>per month</v>
      </c>
      <c r="G408">
        <f>IF(B408="","",INDEX(Ingredients!$E$1:$E$238,(MATCH(InterventionCosts!B408,Ingredients!A$1:A$238,0))))</f>
        <v>2024</v>
      </c>
      <c r="H408" t="str">
        <f>INDEX(Ingredients!$F$1:$F$318,(MATCH(InterventionCosts!B408,Ingredients!A$1:A$318,0)))</f>
        <v xml:space="preserve">April 2024 Salary scale </v>
      </c>
      <c r="I408" s="361">
        <f t="shared" ref="I408:I423" si="15">I336*0.27398+I290*0.72602</f>
        <v>2.0310540612761418E-4</v>
      </c>
      <c r="J408" t="s">
        <v>1474</v>
      </c>
      <c r="K408" s="85">
        <f t="shared" si="14"/>
        <v>4.4277611547668991</v>
      </c>
      <c r="L408" s="85" t="s">
        <v>291</v>
      </c>
    </row>
    <row r="409" spans="1:16" s="1" customFormat="1">
      <c r="A409" t="s">
        <v>332</v>
      </c>
      <c r="B409" t="s">
        <v>288</v>
      </c>
      <c r="C409" s="5" t="s">
        <v>1539</v>
      </c>
      <c r="D409" s="5" t="s">
        <v>48</v>
      </c>
      <c r="E409" s="70">
        <f>IF(B409="","",INDEX(Ingredients!$I$1:$I$5013,(MATCH(InterventionCosts!B409,Ingredients!$A$1:$A$5013,0))))</f>
        <v>62408.151666666665</v>
      </c>
      <c r="F409" s="5" t="str">
        <f>INDEX(Ingredients!J$1:J$265,(MATCH(InterventionCosts!B409,Ingredients!A$1:A$265,0)))</f>
        <v>per month</v>
      </c>
      <c r="G409">
        <f>IF(B409="","",INDEX(Ingredients!$E$1:$E$238,(MATCH(InterventionCosts!B409,Ingredients!A$1:A$238,0))))</f>
        <v>2024</v>
      </c>
      <c r="H409" t="str">
        <f>INDEX(Ingredients!$F$1:$F$318,(MATCH(InterventionCosts!B409,Ingredients!A$1:A$318,0)))</f>
        <v xml:space="preserve">April 2024 Salary scale </v>
      </c>
      <c r="I409" s="361">
        <f t="shared" si="15"/>
        <v>2.0310540612761418E-4</v>
      </c>
      <c r="J409" t="s">
        <v>1474</v>
      </c>
      <c r="K409" s="85">
        <f t="shared" si="14"/>
        <v>12.675432989932075</v>
      </c>
      <c r="L409" s="85" t="s">
        <v>291</v>
      </c>
    </row>
    <row r="410" spans="1:16" s="1" customFormat="1">
      <c r="A410" t="s">
        <v>332</v>
      </c>
      <c r="B410" t="s">
        <v>289</v>
      </c>
      <c r="C410" s="5" t="s">
        <v>1539</v>
      </c>
      <c r="D410" s="5" t="s">
        <v>48</v>
      </c>
      <c r="E410" s="70">
        <f>IF(B410="","",INDEX(Ingredients!$I$1:$I$5013,(MATCH(InterventionCosts!B410,Ingredients!$A$1:$A$5013,0))))</f>
        <v>34361.648333333331</v>
      </c>
      <c r="F410" s="5" t="str">
        <f>INDEX(Ingredients!J$1:J$265,(MATCH(InterventionCosts!B410,Ingredients!A$1:A$265,0)))</f>
        <v>per month</v>
      </c>
      <c r="G410">
        <f>IF(B410="","",INDEX(Ingredients!$E$1:$E$238,(MATCH(InterventionCosts!B410,Ingredients!A$1:A$238,0))))</f>
        <v>2024</v>
      </c>
      <c r="H410" t="str">
        <f>INDEX(Ingredients!$F$1:$F$318,(MATCH(InterventionCosts!B410,Ingredients!A$1:A$318,0)))</f>
        <v xml:space="preserve">April 2024 Salary scale </v>
      </c>
      <c r="I410" s="361">
        <f t="shared" si="15"/>
        <v>8.1242162451045671E-4</v>
      </c>
      <c r="J410" t="s">
        <v>1474</v>
      </c>
      <c r="K410" s="85">
        <f t="shared" si="14"/>
        <v>27.916146159823693</v>
      </c>
      <c r="L410" s="85" t="s">
        <v>291</v>
      </c>
    </row>
    <row r="411" spans="1:16" s="1" customFormat="1">
      <c r="A411" t="s">
        <v>332</v>
      </c>
      <c r="B411" t="s">
        <v>310</v>
      </c>
      <c r="C411" s="5" t="s">
        <v>1539</v>
      </c>
      <c r="D411" t="s">
        <v>81</v>
      </c>
      <c r="E411" s="70">
        <f>IF(B411="","",INDEX(Ingredients!$I$1:$I$5013,(MATCH(InterventionCosts!B411,Ingredients!$A$1:$A$5013,0))))</f>
        <v>1321.110140433256</v>
      </c>
      <c r="F411" s="5" t="str">
        <f>INDEX(Ingredients!J$1:J$265,(MATCH(InterventionCosts!B411,Ingredients!A$1:A$265,0)))</f>
        <v>per room</v>
      </c>
      <c r="G411">
        <f>IF(B411="","",INDEX(Ingredients!$E$1:$E$238,(MATCH(InterventionCosts!B411,Ingredients!A$1:A$238,0))))</f>
        <v>2016</v>
      </c>
      <c r="H411" t="str">
        <f>INDEX(Ingredients!$F$1:$F$318,(MATCH(InterventionCosts!B411,Ingredients!A$1:A$318,0)))</f>
        <v>https://doi.org/10.1038/s41598-019-49109-w</v>
      </c>
      <c r="I411" s="361">
        <f t="shared" si="15"/>
        <v>2.0310540612761418E-4</v>
      </c>
      <c r="J411" t="s">
        <v>1474</v>
      </c>
      <c r="K411" s="85">
        <f t="shared" si="14"/>
        <v>0.26832461161200588</v>
      </c>
      <c r="L411" s="85" t="s">
        <v>257</v>
      </c>
    </row>
    <row r="412" spans="1:16" s="1" customFormat="1">
      <c r="A412" t="s">
        <v>332</v>
      </c>
      <c r="B412" t="s">
        <v>312</v>
      </c>
      <c r="C412" s="5" t="s">
        <v>1539</v>
      </c>
      <c r="D412" t="s">
        <v>67</v>
      </c>
      <c r="E412" s="70">
        <f>IF(B412="","",INDEX(Ingredients!$I$1:$I$5013,(MATCH(InterventionCosts!B412,Ingredients!$A$1:$A$5013,0))))</f>
        <v>251.97502074147175</v>
      </c>
      <c r="F412" s="5" t="str">
        <f>INDEX(Ingredients!J$1:J$265,(MATCH(InterventionCosts!B412,Ingredients!A$1:A$265,0)))</f>
        <v>per room</v>
      </c>
      <c r="G412">
        <f>IF(B412="","",INDEX(Ingredients!$E$1:$E$238,(MATCH(InterventionCosts!B412,Ingredients!A$1:A$238,0))))</f>
        <v>2016</v>
      </c>
      <c r="H412" t="str">
        <f>INDEX(Ingredients!$F$1:$F$318,(MATCH(InterventionCosts!B412,Ingredients!A$1:A$318,0)))</f>
        <v>https://doi.org/10.1038/s41598-019-49109-w</v>
      </c>
      <c r="I412" s="361">
        <f t="shared" si="15"/>
        <v>2.0310540612761418E-4</v>
      </c>
      <c r="J412" t="s">
        <v>1474</v>
      </c>
      <c r="K412" s="85">
        <f t="shared" si="14"/>
        <v>5.1177488921710625E-2</v>
      </c>
      <c r="L412" s="85" t="s">
        <v>257</v>
      </c>
    </row>
    <row r="413" spans="1:16" s="1" customFormat="1">
      <c r="A413" t="s">
        <v>332</v>
      </c>
      <c r="B413" s="79" t="s">
        <v>53</v>
      </c>
      <c r="C413" s="5" t="s">
        <v>1539</v>
      </c>
      <c r="D413" s="5" t="s">
        <v>48</v>
      </c>
      <c r="E413" s="70">
        <f>IF(B413="","",INDEX(Ingredients!$I$1:$I$5013,(MATCH(InterventionCosts!B413,Ingredients!$A$1:$A$5013,0))))</f>
        <v>4100.2266666666665</v>
      </c>
      <c r="F413" s="5" t="str">
        <f>INDEX(Ingredients!J$1:J$265,(MATCH(InterventionCosts!B413,Ingredients!A$1:A$265,0)))</f>
        <v>per month</v>
      </c>
      <c r="G413">
        <f>IF(B413="","",INDEX(Ingredients!$E$1:$E$238,(MATCH(InterventionCosts!B413,Ingredients!A$1:A$238,0))))</f>
        <v>2024</v>
      </c>
      <c r="H413" t="str">
        <f>INDEX(Ingredients!$F$1:$F$318,(MATCH(InterventionCosts!B413,Ingredients!A$1:A$318,0)))</f>
        <v>https://www.health.gov.za/wp-content/uploads/2022/07/Health-Department-welcomes-Bargaining-Council-resolution-to-improve-work-conditions-of-CHWs-27-July-2022.pdf</v>
      </c>
      <c r="I413" s="361">
        <f t="shared" si="15"/>
        <v>8.1242162451045671E-4</v>
      </c>
      <c r="J413" t="s">
        <v>1474</v>
      </c>
      <c r="K413" s="85">
        <f t="shared" si="14"/>
        <v>3.331112809394428</v>
      </c>
      <c r="L413" s="85" t="s">
        <v>359</v>
      </c>
    </row>
    <row r="414" spans="1:16" s="1" customFormat="1">
      <c r="A414" t="s">
        <v>332</v>
      </c>
      <c r="B414" s="79" t="s">
        <v>53</v>
      </c>
      <c r="C414" s="5" t="s">
        <v>1539</v>
      </c>
      <c r="D414" s="5" t="s">
        <v>48</v>
      </c>
      <c r="E414" s="70">
        <f>IF(B414="","",INDEX(Ingredients!$I$1:$I$5013,(MATCH(InterventionCosts!B414,Ingredients!$A$1:$A$5013,0))))</f>
        <v>4100.2266666666665</v>
      </c>
      <c r="F414" s="5" t="str">
        <f>INDEX(Ingredients!J$1:J$265,(MATCH(InterventionCosts!B414,Ingredients!A$1:A$265,0)))</f>
        <v>per month</v>
      </c>
      <c r="G414">
        <f>IF(B414="","",INDEX(Ingredients!$E$1:$E$238,(MATCH(InterventionCosts!B414,Ingredients!A$1:A$238,0))))</f>
        <v>2024</v>
      </c>
      <c r="H414" t="str">
        <f>INDEX(Ingredients!$F$1:$F$318,(MATCH(InterventionCosts!B414,Ingredients!A$1:A$318,0)))</f>
        <v>https://www.health.gov.za/wp-content/uploads/2022/07/Health-Department-welcomes-Bargaining-Council-resolution-to-improve-work-conditions-of-CHWs-27-July-2022.pdf</v>
      </c>
      <c r="I414" s="361">
        <f t="shared" si="15"/>
        <v>4.0621081225522835E-3</v>
      </c>
      <c r="J414" t="s">
        <v>1474</v>
      </c>
      <c r="K414" s="85">
        <f t="shared" si="14"/>
        <v>16.655564046972138</v>
      </c>
      <c r="L414" s="85" t="s">
        <v>257</v>
      </c>
    </row>
    <row r="415" spans="1:16" s="1" customFormat="1">
      <c r="A415" t="s">
        <v>332</v>
      </c>
      <c r="B415" t="s">
        <v>246</v>
      </c>
      <c r="C415" s="5" t="s">
        <v>1539</v>
      </c>
      <c r="D415" s="5" t="s">
        <v>48</v>
      </c>
      <c r="E415" s="70">
        <f>IF(B415="","",INDEX(Ingredients!$I$1:$I$5013,(MATCH(InterventionCosts!B415,Ingredients!$A$1:$A$5013,0))))</f>
        <v>0.16400000000000001</v>
      </c>
      <c r="F415" s="5" t="str">
        <f>INDEX(Ingredients!J$1:J$265,(MATCH(InterventionCosts!B415,Ingredients!A$1:A$265,0)))</f>
        <v>per page</v>
      </c>
      <c r="G415">
        <f>IF(B415="","",INDEX(Ingredients!$E$1:$E$238,(MATCH(InterventionCosts!B415,Ingredients!A$1:A$238,0))))</f>
        <v>2024</v>
      </c>
      <c r="H415" t="str">
        <f>INDEX(Ingredients!$F$1:$F$318,(MATCH(InterventionCosts!B415,Ingredients!A$1:A$318,0)))</f>
        <v>https://www.makro.co.za/stationery-office-furniture/paper-filing/paper/white-paper/copy-paper/typek-a4-office-paper-80-gsm/p/000000000000012434_BOX</v>
      </c>
      <c r="I415" s="361">
        <f t="shared" si="15"/>
        <v>1.01</v>
      </c>
      <c r="J415" t="s">
        <v>1474</v>
      </c>
      <c r="K415" s="85">
        <f t="shared" si="14"/>
        <v>0.16564000000000001</v>
      </c>
      <c r="L415" s="85" t="s">
        <v>257</v>
      </c>
    </row>
    <row r="416" spans="1:16" s="1" customFormat="1">
      <c r="A416" t="s">
        <v>332</v>
      </c>
      <c r="B416" t="s">
        <v>290</v>
      </c>
      <c r="C416" s="5" t="s">
        <v>1539</v>
      </c>
      <c r="D416" s="5" t="s">
        <v>48</v>
      </c>
      <c r="E416" s="70">
        <f>IF(B416="","",INDEX(Ingredients!$I$1:$I$5013,(MATCH(InterventionCosts!B416,Ingredients!$A$1:$A$5013,0))))</f>
        <v>25449.108333333334</v>
      </c>
      <c r="F416" s="5" t="str">
        <f>INDEX(Ingredients!J$1:J$265,(MATCH(InterventionCosts!B416,Ingredients!A$1:A$265,0)))</f>
        <v>per month</v>
      </c>
      <c r="G416">
        <f>IF(B416="","",INDEX(Ingredients!$E$1:$E$238,(MATCH(InterventionCosts!B416,Ingredients!A$1:A$238,0))))</f>
        <v>2024</v>
      </c>
      <c r="H416" t="str">
        <f>INDEX(Ingredients!$F$1:$F$318,(MATCH(InterventionCosts!B416,Ingredients!A$1:A$318,0)))</f>
        <v xml:space="preserve">April 2024 Salary scale </v>
      </c>
      <c r="I416" s="361">
        <f t="shared" si="15"/>
        <v>1.0155270306380709E-4</v>
      </c>
      <c r="J416" t="s">
        <v>1474</v>
      </c>
      <c r="K416" s="85">
        <f t="shared" si="14"/>
        <v>2.5844257418136585</v>
      </c>
      <c r="L416" s="85" t="s">
        <v>258</v>
      </c>
    </row>
    <row r="417" spans="1:16" s="1" customFormat="1">
      <c r="A417" t="s">
        <v>332</v>
      </c>
      <c r="B417" t="s">
        <v>56</v>
      </c>
      <c r="C417" s="5" t="s">
        <v>1539</v>
      </c>
      <c r="D417" s="5" t="s">
        <v>48</v>
      </c>
      <c r="E417" s="70">
        <f>IF(B417="","",INDEX(Ingredients!$I$1:$I$5013,(MATCH(InterventionCosts!B417,Ingredients!$A$1:$A$5013,0))))</f>
        <v>23181.75</v>
      </c>
      <c r="F417" s="5" t="str">
        <f>INDEX(Ingredients!J$1:J$265,(MATCH(InterventionCosts!B417,Ingredients!A$1:A$265,0)))</f>
        <v>per month</v>
      </c>
      <c r="G417">
        <f>IF(B417="","",INDEX(Ingredients!$E$1:$E$238,(MATCH(InterventionCosts!B417,Ingredients!A$1:A$238,0))))</f>
        <v>2024</v>
      </c>
      <c r="H417" t="str">
        <f>INDEX(Ingredients!$F$1:$F$318,(MATCH(InterventionCosts!B417,Ingredients!A$1:A$318,0)))</f>
        <v xml:space="preserve">April 2024 Salary scale </v>
      </c>
      <c r="I417" s="361">
        <f t="shared" si="15"/>
        <v>8.1242162451045671E-4</v>
      </c>
      <c r="J417" t="s">
        <v>1474</v>
      </c>
      <c r="K417" s="85">
        <f t="shared" si="14"/>
        <v>18.833354993995279</v>
      </c>
      <c r="L417" s="85" t="s">
        <v>258</v>
      </c>
    </row>
    <row r="418" spans="1:16" s="1" customFormat="1">
      <c r="A418" t="s">
        <v>332</v>
      </c>
      <c r="B418" t="s">
        <v>51</v>
      </c>
      <c r="C418" s="5" t="s">
        <v>1539</v>
      </c>
      <c r="D418" s="5" t="s">
        <v>48</v>
      </c>
      <c r="E418" s="70">
        <f>(IF(B418="","",INDEX(Ingredients!$I$1:$I$5013,(MATCH(InterventionCosts!B418,Ingredients!$A$1:$A$5013,0)))))</f>
        <v>4100.2266666666665</v>
      </c>
      <c r="F418" s="5" t="str">
        <f>INDEX(Ingredients!J$1:J$265,(MATCH(InterventionCosts!B418,Ingredients!A$1:A$265,0)))</f>
        <v>per month</v>
      </c>
      <c r="G418">
        <f>IF(B418="","",INDEX(Ingredients!$E$1:$E$238,(MATCH(InterventionCosts!B418,Ingredients!A$1:A$238,0))))</f>
        <v>2024</v>
      </c>
      <c r="H418" t="str">
        <f>INDEX(Ingredients!$F$1:$F$318,(MATCH(InterventionCosts!B418,Ingredients!A$1:A$318,0)))</f>
        <v>https://www.gov.za/news/media-statements/government-activities/minister-thulas-nxesi-announces-national-minimum-wage</v>
      </c>
      <c r="I418" s="361">
        <f t="shared" si="15"/>
        <v>1.0155270306380709E-4</v>
      </c>
      <c r="J418" t="s">
        <v>1474</v>
      </c>
      <c r="K418" s="85">
        <f t="shared" si="14"/>
        <v>0.4163891011743035</v>
      </c>
      <c r="L418" s="85" t="s">
        <v>258</v>
      </c>
    </row>
    <row r="419" spans="1:16" s="1" customFormat="1">
      <c r="A419" t="s">
        <v>332</v>
      </c>
      <c r="B419" t="s">
        <v>247</v>
      </c>
      <c r="C419" s="5" t="s">
        <v>1539</v>
      </c>
      <c r="D419" s="5" t="s">
        <v>21</v>
      </c>
      <c r="E419" s="70">
        <f>IF(B419="","",INDEX(Ingredients!$I$1:$I$5013,(MATCH(InterventionCosts!B419,Ingredients!$A$1:$A$5013,0))))</f>
        <v>274.72000000000003</v>
      </c>
      <c r="F419" s="5" t="str">
        <f>INDEX(Ingredients!J$1:J$265,(MATCH(InterventionCosts!B419,Ingredients!A$1:A$265,0)))</f>
        <v>per 5L</v>
      </c>
      <c r="G419">
        <f>IF(B419="","",INDEX(Ingredients!$E$1:$E$238,(MATCH(InterventionCosts!B419,Ingredients!A$1:A$238,0))))</f>
        <v>2024</v>
      </c>
      <c r="H419" t="str">
        <f>INDEX(Ingredients!$F$1:$F$318,(MATCH(InterventionCosts!B419,Ingredients!A$1:A$318,0)))</f>
        <v>https://www.health.gov.za/wp-content/uploads/2024/04/HP12-2023LQ-CPA-Add-4-12-Effective-1-May-2024.pdf</v>
      </c>
      <c r="I419" s="361">
        <f t="shared" si="15"/>
        <v>2.02E-4</v>
      </c>
      <c r="J419" t="s">
        <v>1474</v>
      </c>
      <c r="K419" s="85">
        <f t="shared" si="14"/>
        <v>5.5493440000000005E-2</v>
      </c>
      <c r="L419" s="85" t="s">
        <v>258</v>
      </c>
    </row>
    <row r="420" spans="1:16" s="1" customFormat="1">
      <c r="A420" t="s">
        <v>332</v>
      </c>
      <c r="B420" t="s">
        <v>1489</v>
      </c>
      <c r="C420" s="5" t="s">
        <v>1539</v>
      </c>
      <c r="D420" s="5" t="s">
        <v>21</v>
      </c>
      <c r="E420" s="70">
        <f>IF(B420="","",INDEX(Ingredients!$I$1:$I$5013,(MATCH(InterventionCosts!B420,Ingredients!$A$1:$A$5013,0))))</f>
        <v>53.08</v>
      </c>
      <c r="F420" s="5" t="str">
        <f>INDEX(Ingredients!J$1:J$265,(MATCH(InterventionCosts!B420,Ingredients!A$1:A$265,0)))</f>
        <v>per pack 100, 50 pairs</v>
      </c>
      <c r="G420">
        <f>IF(B420="","",INDEX(Ingredients!$E$1:$E$238,(MATCH(InterventionCosts!B420,Ingredients!A$1:A$238,0))))</f>
        <v>2024</v>
      </c>
      <c r="H420" t="str">
        <f>INDEX(Ingredients!$F$1:$F$318,(MATCH(InterventionCosts!B420,Ingredients!A$1:A$318,0)))</f>
        <v>https://www.treasury.gov.za/divisions/ocpo/ostb/contracts/RT76-2023%20CPA%20Amendment%204-%20Effective%2001%20May%202024.pdf</v>
      </c>
      <c r="I420" s="361">
        <f t="shared" si="15"/>
        <v>2.0199999999999999E-2</v>
      </c>
      <c r="J420" t="s">
        <v>1474</v>
      </c>
      <c r="K420" s="85">
        <f t="shared" si="14"/>
        <v>1.0722159999999998</v>
      </c>
      <c r="L420" s="85" t="s">
        <v>265</v>
      </c>
    </row>
    <row r="421" spans="1:16" s="1" customFormat="1">
      <c r="A421" t="s">
        <v>332</v>
      </c>
      <c r="B421" t="s">
        <v>79</v>
      </c>
      <c r="C421" s="5" t="s">
        <v>1539</v>
      </c>
      <c r="D421" s="5" t="s">
        <v>21</v>
      </c>
      <c r="E421" s="70">
        <f>IF(B421="","",INDEX(Ingredients!$I$1:$I$5013,(MATCH(InterventionCosts!B421,Ingredients!$A$1:$A$5013,0))))</f>
        <v>9.3000000000000007</v>
      </c>
      <c r="F421" s="5" t="str">
        <f>INDEX(Ingredients!J$1:J$265,(MATCH(InterventionCosts!B421,Ingredients!A$1:A$265,0)))</f>
        <v>per test</v>
      </c>
      <c r="G421">
        <f>IF(B421="","",INDEX(Ingredients!$E$1:$E$238,(MATCH(InterventionCosts!B421,Ingredients!A$1:A$238,0))))</f>
        <v>2024</v>
      </c>
      <c r="H421" t="str">
        <f>INDEX(Ingredients!$F$1:$F$318,(MATCH(InterventionCosts!B421,Ingredients!A$1:A$318,0)))</f>
        <v>https://www.treasury.gov.za/divisions/ocpo/ostb/contracts/RT41-2020.zip</v>
      </c>
      <c r="I421" s="361">
        <f t="shared" si="15"/>
        <v>1.01</v>
      </c>
      <c r="J421" t="s">
        <v>1474</v>
      </c>
      <c r="K421" s="85">
        <f t="shared" si="14"/>
        <v>9.3930000000000007</v>
      </c>
      <c r="L421" s="85" t="s">
        <v>258</v>
      </c>
    </row>
    <row r="422" spans="1:16" s="1" customFormat="1">
      <c r="A422" t="s">
        <v>332</v>
      </c>
      <c r="B422" t="s">
        <v>248</v>
      </c>
      <c r="C422" s="5" t="s">
        <v>1539</v>
      </c>
      <c r="D422" s="5" t="s">
        <v>21</v>
      </c>
      <c r="E422" s="70">
        <f>IF(B422="","",INDEX(Ingredients!$I$1:$I$5013,(MATCH(InterventionCosts!B422,Ingredients!$A$1:$A$5013,0))))</f>
        <v>2.645</v>
      </c>
      <c r="F422" s="5" t="str">
        <f>INDEX(Ingredients!J$1:J$265,(MATCH(InterventionCosts!B422,Ingredients!A$1:A$265,0)))</f>
        <v>per bag</v>
      </c>
      <c r="G422">
        <f>IF(B422="","",INDEX(Ingredients!$E$1:$E$238,(MATCH(InterventionCosts!B422,Ingredients!A$1:A$238,0))))</f>
        <v>2024</v>
      </c>
      <c r="H422" t="str">
        <f>INDEX(Ingredients!$F$1:$F$318,(MATCH(InterventionCosts!B422,Ingredients!A$1:A$318,0)))</f>
        <v>https://medqsupplies.co.za/product/bio-hazard-plastic-bags/</v>
      </c>
      <c r="I422" s="361">
        <f t="shared" si="15"/>
        <v>1.01</v>
      </c>
      <c r="J422" t="s">
        <v>1474</v>
      </c>
      <c r="K422" s="85">
        <f t="shared" si="14"/>
        <v>2.6714500000000001</v>
      </c>
      <c r="L422" s="85" t="s">
        <v>258</v>
      </c>
    </row>
    <row r="423" spans="1:16" s="1" customFormat="1">
      <c r="A423" t="s">
        <v>332</v>
      </c>
      <c r="B423" t="s">
        <v>31</v>
      </c>
      <c r="C423" s="5" t="s">
        <v>1539</v>
      </c>
      <c r="D423" s="5" t="s">
        <v>21</v>
      </c>
      <c r="E423" s="70">
        <f>IF(B423="","",INDEX(Ingredients!$I$1:$I$5013,(MATCH(InterventionCosts!B423,Ingredients!$A$1:$A$5013,0))))</f>
        <v>31.4</v>
      </c>
      <c r="F423" s="5" t="str">
        <f>INDEX(Ingredients!J$1:J$265,(MATCH(InterventionCosts!B423,Ingredients!A$1:A$265,0)))</f>
        <v>per 100 swabs</v>
      </c>
      <c r="G423">
        <f>IF(B423="","",INDEX(Ingredients!$E$1:$E$238,(MATCH(InterventionCosts!B423,Ingredients!A$1:A$238,0))))</f>
        <v>2024</v>
      </c>
      <c r="H423" t="str">
        <f>INDEX(Ingredients!$F$1:$F$318,(MATCH(InterventionCosts!B423,Ingredients!A$1:A$318,0)))</f>
        <v xml:space="preserve">http://www.treasury.gov.za/divisions/ocpo/ostb/contracts/RT42-2022zip </v>
      </c>
      <c r="I423" s="361">
        <f t="shared" si="15"/>
        <v>1.01E-2</v>
      </c>
      <c r="J423" t="s">
        <v>1474</v>
      </c>
      <c r="K423" s="85">
        <f t="shared" si="14"/>
        <v>0.31713999999999998</v>
      </c>
      <c r="L423" s="85" t="s">
        <v>258</v>
      </c>
    </row>
    <row r="424" spans="1:16" s="89" customFormat="1">
      <c r="A424" s="4" t="s">
        <v>332</v>
      </c>
      <c r="B424" s="89" t="s">
        <v>1571</v>
      </c>
      <c r="F424" s="89" t="s">
        <v>1164</v>
      </c>
      <c r="K424" s="90"/>
      <c r="L424" s="90">
        <f>SUM(K407:K423)</f>
        <v>101.35812159481227</v>
      </c>
      <c r="M424" s="4"/>
      <c r="P424" s="102"/>
    </row>
    <row r="425" spans="1:16" s="89" customFormat="1">
      <c r="A425" s="4" t="s">
        <v>332</v>
      </c>
      <c r="F425" s="89" t="s">
        <v>117</v>
      </c>
      <c r="G425" s="89" t="str">
        <f>IF(B425="","",INDEX(Ingredients!$E$1:$E$238,(MATCH(InterventionCosts!B425,Ingredients!A$1:A$238,0))))</f>
        <v/>
      </c>
      <c r="K425" s="90"/>
      <c r="L425" s="90" t="s">
        <v>936</v>
      </c>
      <c r="P425" s="102"/>
    </row>
    <row r="426" spans="1:16" s="1" customFormat="1">
      <c r="A426"/>
      <c r="G426" s="1" t="str">
        <f>IF(B426="","",INDEX(Ingredients!$E$1:$E$238,(MATCH(InterventionCosts!B426,Ingredients!A$1:A$238,0))))</f>
        <v/>
      </c>
      <c r="K426" s="87"/>
      <c r="L426" s="87"/>
    </row>
    <row r="427" spans="1:16">
      <c r="A427" t="s">
        <v>300</v>
      </c>
      <c r="B427" t="s">
        <v>308</v>
      </c>
      <c r="C427" s="5" t="s">
        <v>1539</v>
      </c>
      <c r="D427" t="s">
        <v>67</v>
      </c>
      <c r="E427" s="70">
        <f>IF(B427="","",INDEX(Ingredients!$I$1:$I$5013,(MATCH(InterventionCosts!B427,Ingredients!$A$1:$A$5013,0))))</f>
        <v>2577.4452112671624</v>
      </c>
      <c r="F427" s="5" t="str">
        <f>INDEX(Ingredients!J$1:J$265,(MATCH(InterventionCosts!B427,Ingredients!A$1:A$265,0)))</f>
        <v>per month</v>
      </c>
      <c r="G427">
        <f>IF(B427="","",INDEX(Ingredients!$E$1:$E$238,(MATCH(InterventionCosts!B427,Ingredients!A$1:A$238,0))))</f>
        <v>2016</v>
      </c>
      <c r="H427" t="str">
        <f>INDEX(Ingredients!$F$1:$F$318,(MATCH(InterventionCosts!B427,Ingredients!A$1:A$318,0)))</f>
        <v>https://doi.org/10.1038/s41598-019-49109-w; Tabana Operational Vehicle 2016</v>
      </c>
      <c r="I427">
        <f>1/674</f>
        <v>1.483679525222552E-3</v>
      </c>
      <c r="J427" t="s">
        <v>1474</v>
      </c>
      <c r="K427" s="85">
        <f t="shared" ref="K427:K441" si="16">I427*E427</f>
        <v>3.8241026873400039</v>
      </c>
      <c r="L427" s="85" t="s">
        <v>67</v>
      </c>
    </row>
    <row r="428" spans="1:16">
      <c r="A428" t="s">
        <v>300</v>
      </c>
      <c r="B428" t="s">
        <v>53</v>
      </c>
      <c r="C428" s="5" t="s">
        <v>1539</v>
      </c>
      <c r="D428" t="s">
        <v>48</v>
      </c>
      <c r="E428" s="70">
        <f>IF(B428="","",INDEX(Ingredients!$I$1:$I$5013,(MATCH(InterventionCosts!B428,Ingredients!$A$1:$A$5013,0))))</f>
        <v>4100.2266666666665</v>
      </c>
      <c r="F428" s="5" t="str">
        <f>INDEX(Ingredients!J$1:J$265,(MATCH(InterventionCosts!B428,Ingredients!A$1:A$265,0)))</f>
        <v>per month</v>
      </c>
      <c r="G428">
        <f>IF(B428="","",INDEX(Ingredients!$E$1:$E$238,(MATCH(InterventionCosts!B428,Ingredients!A$1:A$238,0))))</f>
        <v>2024</v>
      </c>
      <c r="H428" t="str">
        <f>INDEX(Ingredients!$F$1:$F$318,(MATCH(InterventionCosts!B428,Ingredients!A$1:A$318,0)))</f>
        <v>https://www.health.gov.za/wp-content/uploads/2022/07/Health-Department-welcomes-Bargaining-Council-resolution-to-improve-work-conditions-of-CHWs-27-July-2022.pdf</v>
      </c>
      <c r="I428">
        <f>0.72/674</f>
        <v>1.0682492581602374E-3</v>
      </c>
      <c r="J428" t="s">
        <v>1474</v>
      </c>
      <c r="K428" s="85">
        <f t="shared" si="16"/>
        <v>4.3800640949554897</v>
      </c>
      <c r="L428" s="85" t="s">
        <v>291</v>
      </c>
    </row>
    <row r="429" spans="1:16">
      <c r="A429" t="s">
        <v>300</v>
      </c>
      <c r="B429" t="s">
        <v>301</v>
      </c>
      <c r="C429" s="5" t="s">
        <v>1539</v>
      </c>
      <c r="D429" t="s">
        <v>48</v>
      </c>
      <c r="E429" s="70">
        <f>IF(B429="","",INDEX(Ingredients!$I$1:$I$5013,(MATCH(InterventionCosts!B429,Ingredients!$A$1:$A$5013,0))))</f>
        <v>53200.165000000001</v>
      </c>
      <c r="F429" s="5" t="str">
        <f>INDEX(Ingredients!J$1:J$265,(MATCH(InterventionCosts!B429,Ingredients!A$1:A$265,0)))</f>
        <v>per month</v>
      </c>
      <c r="G429">
        <f>IF(B429="","",INDEX(Ingredients!$E$1:$E$238,(MATCH(InterventionCosts!B429,Ingredients!A$1:A$238,0))))</f>
        <v>2024</v>
      </c>
      <c r="H429" t="str">
        <f>INDEX(Ingredients!$F$1:$F$318,(MATCH(InterventionCosts!B429,Ingredients!A$1:A$318,0)))</f>
        <v xml:space="preserve">April 2024 Salary scale </v>
      </c>
      <c r="I429">
        <f>0.12/674</f>
        <v>1.7804154302670621E-4</v>
      </c>
      <c r="J429" t="s">
        <v>1474</v>
      </c>
      <c r="K429" s="85">
        <f t="shared" si="16"/>
        <v>9.4718394658753695</v>
      </c>
      <c r="L429" s="85" t="s">
        <v>291</v>
      </c>
    </row>
    <row r="430" spans="1:16">
      <c r="A430" t="s">
        <v>300</v>
      </c>
      <c r="B430" t="s">
        <v>289</v>
      </c>
      <c r="C430" s="5" t="s">
        <v>1539</v>
      </c>
      <c r="D430" t="s">
        <v>48</v>
      </c>
      <c r="E430" s="70">
        <f>IF(B430="","",INDEX(Ingredients!$I$1:$I$5013,(MATCH(InterventionCosts!B430,Ingredients!$A$1:$A$5013,0))))</f>
        <v>34361.648333333331</v>
      </c>
      <c r="F430" s="5" t="str">
        <f>INDEX(Ingredients!J$1:J$265,(MATCH(InterventionCosts!B430,Ingredients!A$1:A$265,0)))</f>
        <v>per month</v>
      </c>
      <c r="G430">
        <f>IF(B430="","",INDEX(Ingredients!$E$1:$E$238,(MATCH(InterventionCosts!B430,Ingredients!A$1:A$238,0))))</f>
        <v>2024</v>
      </c>
      <c r="H430" t="str">
        <f>INDEX(Ingredients!$F$1:$F$318,(MATCH(InterventionCosts!B430,Ingredients!A$1:A$318,0)))</f>
        <v xml:space="preserve">April 2024 Salary scale </v>
      </c>
      <c r="I430">
        <f>1/674</f>
        <v>1.483679525222552E-3</v>
      </c>
      <c r="J430" t="s">
        <v>1474</v>
      </c>
      <c r="K430" s="85">
        <f t="shared" si="16"/>
        <v>50.981674085064292</v>
      </c>
      <c r="L430" s="85" t="s">
        <v>291</v>
      </c>
    </row>
    <row r="431" spans="1:16">
      <c r="A431" t="s">
        <v>300</v>
      </c>
      <c r="B431" t="s">
        <v>246</v>
      </c>
      <c r="C431" s="5" t="s">
        <v>1539</v>
      </c>
      <c r="D431" t="s">
        <v>21</v>
      </c>
      <c r="E431" s="70">
        <f>IF(B431="","",INDEX(Ingredients!$I$1:$I$5013,(MATCH(InterventionCosts!B431,Ingredients!$A$1:$A$5013,0))))</f>
        <v>0.16400000000000001</v>
      </c>
      <c r="F431" s="5" t="str">
        <f>INDEX(Ingredients!J$1:J$265,(MATCH(InterventionCosts!B431,Ingredients!A$1:A$265,0)))</f>
        <v>per page</v>
      </c>
      <c r="G431">
        <f>IF(B431="","",INDEX(Ingredients!$E$1:$E$238,(MATCH(InterventionCosts!B431,Ingredients!A$1:A$238,0))))</f>
        <v>2024</v>
      </c>
      <c r="H431" t="str">
        <f>INDEX(Ingredients!$F$1:$F$318,(MATCH(InterventionCosts!B431,Ingredients!A$1:A$318,0)))</f>
        <v>https://www.makro.co.za/stationery-office-furniture/paper-filing/paper/white-paper/copy-paper/typek-a4-office-paper-80-gsm/p/000000000000012434_BOX</v>
      </c>
      <c r="I431">
        <f>1*0.1*(1+0.01)</f>
        <v>0.10100000000000001</v>
      </c>
      <c r="J431" t="s">
        <v>1474</v>
      </c>
      <c r="K431" s="85">
        <f t="shared" si="16"/>
        <v>1.6564000000000002E-2</v>
      </c>
      <c r="L431" s="85" t="s">
        <v>291</v>
      </c>
    </row>
    <row r="432" spans="1:16">
      <c r="A432" t="s">
        <v>300</v>
      </c>
      <c r="B432" t="s">
        <v>313</v>
      </c>
      <c r="C432" s="5" t="s">
        <v>1539</v>
      </c>
      <c r="D432" t="s">
        <v>81</v>
      </c>
      <c r="E432" s="70">
        <f>IF(B432="","",INDEX(Ingredients!$I$1:$I$5013,(MATCH(InterventionCosts!B432,Ingredients!$A$1:$A$5013,0))))</f>
        <v>524.2261446645075</v>
      </c>
      <c r="F432" s="5" t="str">
        <f>INDEX(Ingredients!J$1:J$265,(MATCH(InterventionCosts!B432,Ingredients!A$1:A$265,0)))</f>
        <v>per room</v>
      </c>
      <c r="G432">
        <f>IF(B432="","",INDEX(Ingredients!$E$1:$E$238,(MATCH(InterventionCosts!B432,Ingredients!A$1:A$238,0))))</f>
        <v>2016</v>
      </c>
      <c r="H432" t="str">
        <f>INDEX(Ingredients!$F$1:$F$318,(MATCH(InterventionCosts!B432,Ingredients!A$1:A$318,0)))</f>
        <v>https://doi.org/10.1038/s41598-019-49109-w</v>
      </c>
      <c r="I432">
        <f>1/674</f>
        <v>1.483679525222552E-3</v>
      </c>
      <c r="J432" t="s">
        <v>1474</v>
      </c>
      <c r="K432" s="85">
        <f t="shared" si="16"/>
        <v>0.77778359742508529</v>
      </c>
      <c r="L432" s="85" t="s">
        <v>302</v>
      </c>
    </row>
    <row r="433" spans="1:12">
      <c r="A433" t="s">
        <v>300</v>
      </c>
      <c r="B433" t="s">
        <v>314</v>
      </c>
      <c r="C433" s="5" t="s">
        <v>1539</v>
      </c>
      <c r="D433" t="s">
        <v>67</v>
      </c>
      <c r="E433" s="70">
        <f>IF(B433="","",INDEX(Ingredients!$I$1:$I$5013,(MATCH(InterventionCosts!B433,Ingredients!$A$1:$A$5013,0))))</f>
        <v>164.42322899462931</v>
      </c>
      <c r="F433" s="5" t="str">
        <f>INDEX(Ingredients!J$1:J$265,(MATCH(InterventionCosts!B433,Ingredients!A$1:A$265,0)))</f>
        <v>per room</v>
      </c>
      <c r="G433">
        <f>IF(B433="","",INDEX(Ingredients!$E$1:$E$238,(MATCH(InterventionCosts!B433,Ingredients!A$1:A$238,0))))</f>
        <v>2016</v>
      </c>
      <c r="H433" t="str">
        <f>INDEX(Ingredients!$F$1:$F$318,(MATCH(InterventionCosts!B433,Ingredients!A$1:A$318,0)))</f>
        <v>https://doi.org/10.1038/s41598-019-49109-w</v>
      </c>
      <c r="I433">
        <f>1/674</f>
        <v>1.483679525222552E-3</v>
      </c>
      <c r="J433" t="s">
        <v>1474</v>
      </c>
      <c r="K433" s="85">
        <f t="shared" si="16"/>
        <v>0.24395137833031055</v>
      </c>
      <c r="L433" s="85" t="s">
        <v>302</v>
      </c>
    </row>
    <row r="434" spans="1:12">
      <c r="A434" t="s">
        <v>300</v>
      </c>
      <c r="B434" t="s">
        <v>246</v>
      </c>
      <c r="C434" s="5" t="s">
        <v>1539</v>
      </c>
      <c r="D434" t="s">
        <v>21</v>
      </c>
      <c r="E434" s="70">
        <f>IF(B434="","",INDEX(Ingredients!$I$1:$I$5013,(MATCH(InterventionCosts!B434,Ingredients!$A$1:$A$5013,0))))</f>
        <v>0.16400000000000001</v>
      </c>
      <c r="F434" s="5" t="str">
        <f>INDEX(Ingredients!J$1:J$265,(MATCH(InterventionCosts!B434,Ingredients!A$1:A$265,0)))</f>
        <v>per page</v>
      </c>
      <c r="G434">
        <f>IF(B434="","",INDEX(Ingredients!$E$1:$E$238,(MATCH(InterventionCosts!B434,Ingredients!A$1:A$238,0))))</f>
        <v>2024</v>
      </c>
      <c r="H434" t="str">
        <f>INDEX(Ingredients!$F$1:$F$318,(MATCH(InterventionCosts!B434,Ingredients!A$1:A$318,0)))</f>
        <v>https://www.makro.co.za/stationery-office-furniture/paper-filing/paper/white-paper/copy-paper/typek-a4-office-paper-80-gsm/p/000000000000012434_BOX</v>
      </c>
      <c r="I434">
        <f>1</f>
        <v>1</v>
      </c>
      <c r="J434" t="s">
        <v>1474</v>
      </c>
      <c r="K434" s="85">
        <f t="shared" si="16"/>
        <v>0.16400000000000001</v>
      </c>
      <c r="L434" s="85" t="s">
        <v>302</v>
      </c>
    </row>
    <row r="435" spans="1:12">
      <c r="A435" t="s">
        <v>300</v>
      </c>
      <c r="B435" t="s">
        <v>247</v>
      </c>
      <c r="C435" s="5" t="s">
        <v>1539</v>
      </c>
      <c r="D435" t="s">
        <v>21</v>
      </c>
      <c r="E435" s="70">
        <f>IF(B435="","",INDEX(Ingredients!$I$1:$I$5013,(MATCH(InterventionCosts!B435,Ingredients!$A$1:$A$5013,0))))</f>
        <v>274.72000000000003</v>
      </c>
      <c r="F435" s="5" t="str">
        <f>INDEX(Ingredients!J$1:J$265,(MATCH(InterventionCosts!B435,Ingredients!A$1:A$265,0)))</f>
        <v>per 5L</v>
      </c>
      <c r="G435">
        <f>IF(B435="","",INDEX(Ingredients!$E$1:$E$238,(MATCH(InterventionCosts!B435,Ingredients!A$1:A$238,0))))</f>
        <v>2024</v>
      </c>
      <c r="H435" t="str">
        <f>INDEX(Ingredients!$F$1:$F$318,(MATCH(InterventionCosts!B435,Ingredients!A$1:A$318,0)))</f>
        <v>https://www.health.gov.za/wp-content/uploads/2024/04/HP12-2023LQ-CPA-Add-4-12-Effective-1-May-2024.pdf</v>
      </c>
      <c r="I435">
        <f>1/5000*1.01</f>
        <v>2.02E-4</v>
      </c>
      <c r="J435" t="s">
        <v>1474</v>
      </c>
      <c r="K435" s="85">
        <f t="shared" si="16"/>
        <v>5.5493440000000005E-2</v>
      </c>
      <c r="L435" s="85" t="s">
        <v>258</v>
      </c>
    </row>
    <row r="436" spans="1:12">
      <c r="A436" t="s">
        <v>300</v>
      </c>
      <c r="B436" t="s">
        <v>1489</v>
      </c>
      <c r="C436" s="5" t="s">
        <v>1539</v>
      </c>
      <c r="D436" t="s">
        <v>21</v>
      </c>
      <c r="E436" s="70">
        <f>IF(B436="","",INDEX(Ingredients!$I$1:$I$5013,(MATCH(InterventionCosts!B436,Ingredients!$A$1:$A$5013,0))))</f>
        <v>53.08</v>
      </c>
      <c r="F436" s="5" t="str">
        <f>INDEX(Ingredients!J$1:J$265,(MATCH(InterventionCosts!B436,Ingredients!A$1:A$265,0)))</f>
        <v>per pack 100, 50 pairs</v>
      </c>
      <c r="G436">
        <f>IF(B436="","",INDEX(Ingredients!$E$1:$E$238,(MATCH(InterventionCosts!B436,Ingredients!A$1:A$238,0))))</f>
        <v>2024</v>
      </c>
      <c r="H436" t="str">
        <f>INDEX(Ingredients!$F$1:$F$318,(MATCH(InterventionCosts!B436,Ingredients!A$1:A$318,0)))</f>
        <v>https://www.treasury.gov.za/divisions/ocpo/ostb/contracts/RT76-2023%20CPA%20Amendment%204-%20Effective%2001%20May%202024.pdf</v>
      </c>
      <c r="I436">
        <f>1/50*(1+0.01)</f>
        <v>2.0199999999999999E-2</v>
      </c>
      <c r="J436" t="s">
        <v>1474</v>
      </c>
      <c r="K436" s="85">
        <f t="shared" si="16"/>
        <v>1.0722159999999998</v>
      </c>
      <c r="L436" s="85" t="s">
        <v>258</v>
      </c>
    </row>
    <row r="437" spans="1:12">
      <c r="A437" t="s">
        <v>300</v>
      </c>
      <c r="B437" t="s">
        <v>79</v>
      </c>
      <c r="C437" s="5" t="s">
        <v>1539</v>
      </c>
      <c r="D437" t="s">
        <v>21</v>
      </c>
      <c r="E437" s="70">
        <f>IF(B437="","",INDEX(Ingredients!$I$1:$I$5013,(MATCH(InterventionCosts!B437,Ingredients!$A$1:$A$5013,0))))</f>
        <v>9.3000000000000007</v>
      </c>
      <c r="F437" s="5" t="str">
        <f>INDEX(Ingredients!J$1:J$265,(MATCH(InterventionCosts!B437,Ingredients!A$1:A$265,0)))</f>
        <v>per test</v>
      </c>
      <c r="G437">
        <f>IF(B437="","",INDEX(Ingredients!$E$1:$E$238,(MATCH(InterventionCosts!B437,Ingredients!A$1:A$238,0))))</f>
        <v>2024</v>
      </c>
      <c r="H437" t="str">
        <f>INDEX(Ingredients!$F$1:$F$318,(MATCH(InterventionCosts!B437,Ingredients!A$1:A$318,0)))</f>
        <v>https://www.treasury.gov.za/divisions/ocpo/ostb/contracts/RT41-2020.zip</v>
      </c>
      <c r="I437">
        <f>1*(1+0.01)</f>
        <v>1.01</v>
      </c>
      <c r="J437" t="s">
        <v>1474</v>
      </c>
      <c r="K437" s="85">
        <f t="shared" si="16"/>
        <v>9.3930000000000007</v>
      </c>
      <c r="L437" s="85" t="s">
        <v>258</v>
      </c>
    </row>
    <row r="438" spans="1:12">
      <c r="A438" t="s">
        <v>300</v>
      </c>
      <c r="B438" t="s">
        <v>248</v>
      </c>
      <c r="C438" s="5" t="s">
        <v>1539</v>
      </c>
      <c r="D438" t="s">
        <v>21</v>
      </c>
      <c r="E438" s="70">
        <f>IF(B438="","",INDEX(Ingredients!$I$1:$I$5013,(MATCH(InterventionCosts!B438,Ingredients!$A$1:$A$5013,0))))</f>
        <v>2.645</v>
      </c>
      <c r="F438" s="5" t="str">
        <f>INDEX(Ingredients!J$1:J$265,(MATCH(InterventionCosts!B438,Ingredients!A$1:A$265,0)))</f>
        <v>per bag</v>
      </c>
      <c r="G438">
        <f>IF(B438="","",INDEX(Ingredients!$E$1:$E$238,(MATCH(InterventionCosts!B438,Ingredients!A$1:A$238,0))))</f>
        <v>2024</v>
      </c>
      <c r="H438" t="str">
        <f>INDEX(Ingredients!$F$1:$F$318,(MATCH(InterventionCosts!B438,Ingredients!A$1:A$318,0)))</f>
        <v>https://medqsupplies.co.za/product/bio-hazard-plastic-bags/</v>
      </c>
      <c r="I438">
        <f>1*(1+0.01)</f>
        <v>1.01</v>
      </c>
      <c r="J438" t="s">
        <v>1474</v>
      </c>
      <c r="K438" s="85">
        <f t="shared" si="16"/>
        <v>2.6714500000000001</v>
      </c>
      <c r="L438" s="85" t="s">
        <v>258</v>
      </c>
    </row>
    <row r="439" spans="1:12">
      <c r="A439" t="s">
        <v>300</v>
      </c>
      <c r="B439" t="s">
        <v>31</v>
      </c>
      <c r="C439" s="5" t="s">
        <v>1539</v>
      </c>
      <c r="D439" t="s">
        <v>21</v>
      </c>
      <c r="E439" s="70">
        <f>IF(B439="","",INDEX(Ingredients!$I$1:$I$5013,(MATCH(InterventionCosts!B439,Ingredients!$A$1:$A$5013,0))))</f>
        <v>31.4</v>
      </c>
      <c r="F439" s="5" t="str">
        <f>INDEX(Ingredients!J$1:J$265,(MATCH(InterventionCosts!B439,Ingredients!A$1:A$265,0)))</f>
        <v>per 100 swabs</v>
      </c>
      <c r="G439">
        <f>IF(B439="","",INDEX(Ingredients!$E$1:$E$238,(MATCH(InterventionCosts!B439,Ingredients!A$1:A$238,0))))</f>
        <v>2024</v>
      </c>
      <c r="H439" t="str">
        <f>INDEX(Ingredients!$F$1:$F$318,(MATCH(InterventionCosts!B439,Ingredients!A$1:A$318,0)))</f>
        <v xml:space="preserve">http://www.treasury.gov.za/divisions/ocpo/ostb/contracts/RT42-2022zip </v>
      </c>
      <c r="I439">
        <f>1/100*(1+0.01)</f>
        <v>1.01E-2</v>
      </c>
      <c r="J439" t="s">
        <v>1474</v>
      </c>
      <c r="K439" s="85">
        <f t="shared" si="16"/>
        <v>0.31713999999999998</v>
      </c>
      <c r="L439" s="85" t="s">
        <v>258</v>
      </c>
    </row>
    <row r="440" spans="1:12">
      <c r="A440" t="s">
        <v>300</v>
      </c>
      <c r="B440" t="s">
        <v>251</v>
      </c>
      <c r="C440" s="5" t="s">
        <v>1539</v>
      </c>
      <c r="D440" t="s">
        <v>21</v>
      </c>
      <c r="E440" s="70">
        <f>IF(B440="","",INDEX(Ingredients!$I$1:$I$5013,(MATCH(InterventionCosts!B440,Ingredients!$A$1:$A$5013,0))))</f>
        <v>1.0227713593614072</v>
      </c>
      <c r="F440" s="5" t="str">
        <f>INDEX(Ingredients!J$1:J$265,(MATCH(InterventionCosts!B440,Ingredients!A$1:A$265,0)))</f>
        <v>per 1</v>
      </c>
      <c r="G440">
        <f>IF(B440="","",INDEX(Ingredients!$E$1:$E$238,(MATCH(InterventionCosts!B440,Ingredients!A$1:A$238,0))))</f>
        <v>2016</v>
      </c>
      <c r="H440" t="str">
        <f>INDEX(Ingredients!$F$1:$F$318,(MATCH(InterventionCosts!B440,Ingredients!A$1:A$318,0)))</f>
        <v>https://doi.org/10.1038/s41598-019-49109-w</v>
      </c>
      <c r="I440">
        <v>1</v>
      </c>
      <c r="J440" t="s">
        <v>1474</v>
      </c>
      <c r="K440" s="85">
        <f t="shared" si="16"/>
        <v>1.0227713593614072</v>
      </c>
      <c r="L440" s="85" t="s">
        <v>292</v>
      </c>
    </row>
    <row r="441" spans="1:12">
      <c r="A441" t="s">
        <v>300</v>
      </c>
      <c r="B441" t="s">
        <v>43</v>
      </c>
      <c r="C441" s="5" t="s">
        <v>1539</v>
      </c>
      <c r="D441" t="s">
        <v>21</v>
      </c>
      <c r="E441" s="70">
        <f>IF(B441="","",INDEX(Ingredients!$I$1:$I$5013,(MATCH(InterventionCosts!B441,Ingredients!$A$1:$A$5013,0))))</f>
        <v>0.61939459752201187</v>
      </c>
      <c r="F441" s="5" t="str">
        <f>INDEX(Ingredients!J$1:J$265,(MATCH(InterventionCosts!B441,Ingredients!A$1:A$265,0)))</f>
        <v>per condom</v>
      </c>
      <c r="G441">
        <f>IF(B441="","",INDEX(Ingredients!$E$1:$E$238,(MATCH(InterventionCosts!B441,Ingredients!A$1:A$238,0))))</f>
        <v>2024</v>
      </c>
      <c r="H441" t="str">
        <f>INDEX(Ingredients!$F$1:$F$318,(MATCH(InterventionCosts!B441,Ingredients!A$1:A$318,0)))</f>
        <v>https://www.treasury.gov.za/divisions/ocpo/ostb/contracts/RT75-2021.zip</v>
      </c>
      <c r="I441">
        <v>10</v>
      </c>
      <c r="J441" t="s">
        <v>1474</v>
      </c>
      <c r="K441" s="85">
        <f t="shared" si="16"/>
        <v>6.1939459752201191</v>
      </c>
      <c r="L441" s="85" t="s">
        <v>292</v>
      </c>
    </row>
    <row r="442" spans="1:12" s="89" customFormat="1">
      <c r="A442" s="4" t="s">
        <v>300</v>
      </c>
      <c r="F442" s="89" t="s">
        <v>1164</v>
      </c>
      <c r="G442" s="89" t="str">
        <f>IF(B442="","",INDEX(Ingredients!$E$1:$E$238,(MATCH(InterventionCosts!B442,Ingredients!A$1:A$238,0))))</f>
        <v/>
      </c>
      <c r="K442" s="90"/>
      <c r="L442" s="90">
        <f>SUM(K427:K441)</f>
        <v>90.585996083572084</v>
      </c>
    </row>
    <row r="443" spans="1:12" s="89" customFormat="1">
      <c r="A443" s="4" t="s">
        <v>300</v>
      </c>
      <c r="F443" s="89" t="s">
        <v>117</v>
      </c>
      <c r="G443" s="89" t="str">
        <f>IF(B443="","",INDEX(Ingredients!$E$1:$E$238,(MATCH(InterventionCosts!B443,Ingredients!A$1:A$238,0))))</f>
        <v/>
      </c>
      <c r="K443" s="90"/>
      <c r="L443" s="90" t="s">
        <v>936</v>
      </c>
    </row>
    <row r="444" spans="1:12">
      <c r="G444" t="str">
        <f>IF(B444="","",INDEX(Ingredients!$E$1:$E$238,(MATCH(InterventionCosts!B444,Ingredients!A$1:A$238,0))))</f>
        <v/>
      </c>
    </row>
    <row r="445" spans="1:12">
      <c r="A445" t="s">
        <v>303</v>
      </c>
      <c r="B445" t="s">
        <v>308</v>
      </c>
      <c r="C445" s="5" t="s">
        <v>1539</v>
      </c>
      <c r="D445" t="s">
        <v>67</v>
      </c>
      <c r="E445" s="70">
        <f>IF(B445="","",INDEX(Ingredients!$I$1:$I$5013,(MATCH(InterventionCosts!B445,Ingredients!$A$1:$A$5013,0))))</f>
        <v>2577.4452112671624</v>
      </c>
      <c r="F445" s="5" t="str">
        <f>INDEX(Ingredients!J$1:J$265,(MATCH(InterventionCosts!B445,Ingredients!A$1:A$265,0)))</f>
        <v>per month</v>
      </c>
      <c r="G445">
        <f>IF(B445="","",INDEX(Ingredients!$E$1:$E$238,(MATCH(InterventionCosts!B445,Ingredients!A$1:A$238,0))))</f>
        <v>2016</v>
      </c>
      <c r="H445" t="str">
        <f>INDEX(Ingredients!$F$1:$F$318,(MATCH(InterventionCosts!B445,Ingredients!A$1:A$318,0)))</f>
        <v>https://doi.org/10.1038/s41598-019-49109-w; Tabana Operational Vehicle 2016</v>
      </c>
      <c r="I445">
        <f>1/674</f>
        <v>1.483679525222552E-3</v>
      </c>
      <c r="J445" t="s">
        <v>1474</v>
      </c>
      <c r="K445" s="85">
        <f t="shared" ref="K445:K460" si="17">I445*E445</f>
        <v>3.8241026873400039</v>
      </c>
      <c r="L445" s="85" t="s">
        <v>67</v>
      </c>
    </row>
    <row r="446" spans="1:12">
      <c r="A446" t="s">
        <v>303</v>
      </c>
      <c r="B446" t="s">
        <v>53</v>
      </c>
      <c r="C446" s="5" t="s">
        <v>1539</v>
      </c>
      <c r="D446" t="s">
        <v>48</v>
      </c>
      <c r="E446" s="70">
        <f>IF(B446="","",INDEX(Ingredients!$I$1:$I$5013,(MATCH(InterventionCosts!B446,Ingredients!$A$1:$A$5013,0))))</f>
        <v>4100.2266666666665</v>
      </c>
      <c r="F446" s="5" t="str">
        <f>INDEX(Ingredients!J$1:J$265,(MATCH(InterventionCosts!B446,Ingredients!A$1:A$265,0)))</f>
        <v>per month</v>
      </c>
      <c r="G446">
        <f>IF(B446="","",INDEX(Ingredients!$E$1:$E$238,(MATCH(InterventionCosts!B446,Ingredients!A$1:A$238,0))))</f>
        <v>2024</v>
      </c>
      <c r="H446" t="str">
        <f>INDEX(Ingredients!$F$1:$F$318,(MATCH(InterventionCosts!B446,Ingredients!A$1:A$318,0)))</f>
        <v>https://www.health.gov.za/wp-content/uploads/2022/07/Health-Department-welcomes-Bargaining-Council-resolution-to-improve-work-conditions-of-CHWs-27-July-2022.pdf</v>
      </c>
      <c r="I446">
        <f>0.72/674</f>
        <v>1.0682492581602374E-3</v>
      </c>
      <c r="J446" t="s">
        <v>1474</v>
      </c>
      <c r="K446" s="85">
        <f t="shared" si="17"/>
        <v>4.3800640949554897</v>
      </c>
      <c r="L446" s="85" t="s">
        <v>291</v>
      </c>
    </row>
    <row r="447" spans="1:12">
      <c r="A447" t="s">
        <v>303</v>
      </c>
      <c r="B447" t="s">
        <v>301</v>
      </c>
      <c r="C447" s="5" t="s">
        <v>1539</v>
      </c>
      <c r="D447" t="s">
        <v>48</v>
      </c>
      <c r="E447" s="70">
        <f>IF(B447="","",INDEX(Ingredients!$I$1:$I$5013,(MATCH(InterventionCosts!B447,Ingredients!$A$1:$A$5013,0))))</f>
        <v>53200.165000000001</v>
      </c>
      <c r="F447" s="5" t="str">
        <f>INDEX(Ingredients!J$1:J$265,(MATCH(InterventionCosts!B447,Ingredients!A$1:A$265,0)))</f>
        <v>per month</v>
      </c>
      <c r="G447">
        <f>IF(B447="","",INDEX(Ingredients!$E$1:$E$238,(MATCH(InterventionCosts!B447,Ingredients!A$1:A$238,0))))</f>
        <v>2024</v>
      </c>
      <c r="H447" t="str">
        <f>INDEX(Ingredients!$F$1:$F$318,(MATCH(InterventionCosts!B447,Ingredients!A$1:A$318,0)))</f>
        <v xml:space="preserve">April 2024 Salary scale </v>
      </c>
      <c r="I447">
        <f>0.12/674</f>
        <v>1.7804154302670621E-4</v>
      </c>
      <c r="J447" t="s">
        <v>1474</v>
      </c>
      <c r="K447" s="85">
        <f t="shared" si="17"/>
        <v>9.4718394658753695</v>
      </c>
      <c r="L447" s="85" t="s">
        <v>291</v>
      </c>
    </row>
    <row r="448" spans="1:12">
      <c r="A448" t="s">
        <v>303</v>
      </c>
      <c r="B448" t="s">
        <v>289</v>
      </c>
      <c r="C448" s="5" t="s">
        <v>1539</v>
      </c>
      <c r="D448" t="s">
        <v>48</v>
      </c>
      <c r="E448" s="70">
        <f>IF(B448="","",INDEX(Ingredients!$I$1:$I$5013,(MATCH(InterventionCosts!B448,Ingredients!$A$1:$A$5013,0))))</f>
        <v>34361.648333333331</v>
      </c>
      <c r="F448" s="5" t="str">
        <f>INDEX(Ingredients!J$1:J$265,(MATCH(InterventionCosts!B448,Ingredients!A$1:A$265,0)))</f>
        <v>per month</v>
      </c>
      <c r="G448">
        <f>IF(B448="","",INDEX(Ingredients!$E$1:$E$238,(MATCH(InterventionCosts!B448,Ingredients!A$1:A$238,0))))</f>
        <v>2024</v>
      </c>
      <c r="H448" t="str">
        <f>INDEX(Ingredients!$F$1:$F$318,(MATCH(InterventionCosts!B448,Ingredients!A$1:A$318,0)))</f>
        <v xml:space="preserve">April 2024 Salary scale </v>
      </c>
      <c r="I448">
        <f>1/674</f>
        <v>1.483679525222552E-3</v>
      </c>
      <c r="J448" t="s">
        <v>1474</v>
      </c>
      <c r="K448" s="85">
        <f t="shared" si="17"/>
        <v>50.981674085064292</v>
      </c>
      <c r="L448" s="85" t="s">
        <v>291</v>
      </c>
    </row>
    <row r="449" spans="1:12">
      <c r="A449" t="s">
        <v>303</v>
      </c>
      <c r="B449" t="s">
        <v>246</v>
      </c>
      <c r="C449" s="5" t="s">
        <v>1539</v>
      </c>
      <c r="D449" t="s">
        <v>21</v>
      </c>
      <c r="E449" s="70">
        <f>IF(B449="","",INDEX(Ingredients!$I$1:$I$5013,(MATCH(InterventionCosts!B449,Ingredients!$A$1:$A$5013,0))))</f>
        <v>0.16400000000000001</v>
      </c>
      <c r="F449" s="5" t="str">
        <f>INDEX(Ingredients!J$1:J$265,(MATCH(InterventionCosts!B449,Ingredients!A$1:A$265,0)))</f>
        <v>per page</v>
      </c>
      <c r="G449">
        <f>IF(B449="","",INDEX(Ingredients!$E$1:$E$238,(MATCH(InterventionCosts!B449,Ingredients!A$1:A$238,0))))</f>
        <v>2024</v>
      </c>
      <c r="H449" t="str">
        <f>INDEX(Ingredients!$F$1:$F$318,(MATCH(InterventionCosts!B449,Ingredients!A$1:A$318,0)))</f>
        <v>https://www.makro.co.za/stationery-office-furniture/paper-filing/paper/white-paper/copy-paper/typek-a4-office-paper-80-gsm/p/000000000000012434_BOX</v>
      </c>
      <c r="I449">
        <f>1*0.1*(1+0.01)</f>
        <v>0.10100000000000001</v>
      </c>
      <c r="J449" t="s">
        <v>1474</v>
      </c>
      <c r="K449" s="85">
        <f t="shared" si="17"/>
        <v>1.6564000000000002E-2</v>
      </c>
      <c r="L449" s="85" t="s">
        <v>291</v>
      </c>
    </row>
    <row r="450" spans="1:12">
      <c r="A450" t="s">
        <v>303</v>
      </c>
      <c r="B450" t="s">
        <v>313</v>
      </c>
      <c r="C450" s="5" t="s">
        <v>1539</v>
      </c>
      <c r="D450" t="s">
        <v>81</v>
      </c>
      <c r="E450" s="70">
        <f>IF(B450="","",INDEX(Ingredients!$I$1:$I$5013,(MATCH(InterventionCosts!B450,Ingredients!$A$1:$A$5013,0))))</f>
        <v>524.2261446645075</v>
      </c>
      <c r="F450" s="5" t="str">
        <f>INDEX(Ingredients!J$1:J$265,(MATCH(InterventionCosts!B450,Ingredients!A$1:A$265,0)))</f>
        <v>per room</v>
      </c>
      <c r="G450">
        <f>IF(B450="","",INDEX(Ingredients!$E$1:$E$238,(MATCH(InterventionCosts!B450,Ingredients!A$1:A$238,0))))</f>
        <v>2016</v>
      </c>
      <c r="H450" t="str">
        <f>INDEX(Ingredients!$F$1:$F$318,(MATCH(InterventionCosts!B450,Ingredients!A$1:A$318,0)))</f>
        <v>https://doi.org/10.1038/s41598-019-49109-w</v>
      </c>
      <c r="I450">
        <f>1/674</f>
        <v>1.483679525222552E-3</v>
      </c>
      <c r="J450" t="s">
        <v>1474</v>
      </c>
      <c r="K450" s="85">
        <f t="shared" si="17"/>
        <v>0.77778359742508529</v>
      </c>
      <c r="L450" s="85" t="s">
        <v>302</v>
      </c>
    </row>
    <row r="451" spans="1:12">
      <c r="A451" t="s">
        <v>303</v>
      </c>
      <c r="B451" t="s">
        <v>314</v>
      </c>
      <c r="C451" s="5" t="s">
        <v>1539</v>
      </c>
      <c r="D451" t="s">
        <v>67</v>
      </c>
      <c r="E451" s="70">
        <f>IF(B451="","",INDEX(Ingredients!$I$1:$I$5013,(MATCH(InterventionCosts!B451,Ingredients!$A$1:$A$5013,0))))</f>
        <v>164.42322899462931</v>
      </c>
      <c r="F451" s="5" t="str">
        <f>INDEX(Ingredients!J$1:J$265,(MATCH(InterventionCosts!B451,Ingredients!A$1:A$265,0)))</f>
        <v>per room</v>
      </c>
      <c r="G451">
        <f>IF(B451="","",INDEX(Ingredients!$E$1:$E$238,(MATCH(InterventionCosts!B451,Ingredients!A$1:A$238,0))))</f>
        <v>2016</v>
      </c>
      <c r="H451" t="str">
        <f>INDEX(Ingredients!$F$1:$F$318,(MATCH(InterventionCosts!B451,Ingredients!A$1:A$318,0)))</f>
        <v>https://doi.org/10.1038/s41598-019-49109-w</v>
      </c>
      <c r="I451">
        <f>1/674</f>
        <v>1.483679525222552E-3</v>
      </c>
      <c r="J451" t="s">
        <v>1474</v>
      </c>
      <c r="K451" s="85">
        <f t="shared" si="17"/>
        <v>0.24395137833031055</v>
      </c>
      <c r="L451" s="85" t="s">
        <v>302</v>
      </c>
    </row>
    <row r="452" spans="1:12">
      <c r="A452" t="s">
        <v>303</v>
      </c>
      <c r="B452" t="s">
        <v>246</v>
      </c>
      <c r="C452" s="5" t="s">
        <v>1539</v>
      </c>
      <c r="D452" t="s">
        <v>21</v>
      </c>
      <c r="E452" s="70">
        <f>IF(B452="","",INDEX(Ingredients!$I$1:$I$5013,(MATCH(InterventionCosts!B452,Ingredients!$A$1:$A$5013,0))))</f>
        <v>0.16400000000000001</v>
      </c>
      <c r="F452" s="5" t="str">
        <f>INDEX(Ingredients!J$1:J$265,(MATCH(InterventionCosts!B452,Ingredients!A$1:A$265,0)))</f>
        <v>per page</v>
      </c>
      <c r="G452">
        <f>IF(B452="","",INDEX(Ingredients!$E$1:$E$238,(MATCH(InterventionCosts!B452,Ingredients!A$1:A$238,0))))</f>
        <v>2024</v>
      </c>
      <c r="H452" t="str">
        <f>INDEX(Ingredients!$F$1:$F$318,(MATCH(InterventionCosts!B452,Ingredients!A$1:A$318,0)))</f>
        <v>https://www.makro.co.za/stationery-office-furniture/paper-filing/paper/white-paper/copy-paper/typek-a4-office-paper-80-gsm/p/000000000000012434_BOX</v>
      </c>
      <c r="I452">
        <f>1</f>
        <v>1</v>
      </c>
      <c r="J452" t="s">
        <v>1474</v>
      </c>
      <c r="K452" s="85">
        <f t="shared" si="17"/>
        <v>0.16400000000000001</v>
      </c>
      <c r="L452" s="85" t="s">
        <v>302</v>
      </c>
    </row>
    <row r="453" spans="1:12">
      <c r="A453" t="s">
        <v>303</v>
      </c>
      <c r="B453" t="s">
        <v>247</v>
      </c>
      <c r="C453" s="5" t="s">
        <v>1539</v>
      </c>
      <c r="D453" t="s">
        <v>21</v>
      </c>
      <c r="E453" s="70">
        <f>IF(B453="","",INDEX(Ingredients!$I$1:$I$5013,(MATCH(InterventionCosts!B453,Ingredients!$A$1:$A$5013,0))))</f>
        <v>274.72000000000003</v>
      </c>
      <c r="F453" s="5" t="str">
        <f>INDEX(Ingredients!J$1:J$265,(MATCH(InterventionCosts!B453,Ingredients!A$1:A$265,0)))</f>
        <v>per 5L</v>
      </c>
      <c r="G453">
        <f>IF(B453="","",INDEX(Ingredients!$E$1:$E$238,(MATCH(InterventionCosts!B453,Ingredients!A$1:A$238,0))))</f>
        <v>2024</v>
      </c>
      <c r="H453" t="str">
        <f>INDEX(Ingredients!$F$1:$F$318,(MATCH(InterventionCosts!B453,Ingredients!A$1:A$318,0)))</f>
        <v>https://www.health.gov.za/wp-content/uploads/2024/04/HP12-2023LQ-CPA-Add-4-12-Effective-1-May-2024.pdf</v>
      </c>
      <c r="I453">
        <f>1/5000*1.01</f>
        <v>2.02E-4</v>
      </c>
      <c r="J453" t="s">
        <v>1474</v>
      </c>
      <c r="K453" s="85">
        <f t="shared" si="17"/>
        <v>5.5493440000000005E-2</v>
      </c>
      <c r="L453" s="85" t="s">
        <v>258</v>
      </c>
    </row>
    <row r="454" spans="1:12">
      <c r="A454" t="s">
        <v>303</v>
      </c>
      <c r="B454" t="s">
        <v>1489</v>
      </c>
      <c r="C454" s="5" t="s">
        <v>1539</v>
      </c>
      <c r="D454" t="s">
        <v>21</v>
      </c>
      <c r="E454" s="70">
        <f>IF(B454="","",INDEX(Ingredients!$I$1:$I$5013,(MATCH(InterventionCosts!B454,Ingredients!$A$1:$A$5013,0))))</f>
        <v>53.08</v>
      </c>
      <c r="F454" s="5" t="str">
        <f>INDEX(Ingredients!J$1:J$265,(MATCH(InterventionCosts!B454,Ingredients!A$1:A$265,0)))</f>
        <v>per pack 100, 50 pairs</v>
      </c>
      <c r="G454">
        <f>IF(B454="","",INDEX(Ingredients!$E$1:$E$238,(MATCH(InterventionCosts!B454,Ingredients!A$1:A$238,0))))</f>
        <v>2024</v>
      </c>
      <c r="H454" t="str">
        <f>INDEX(Ingredients!$F$1:$F$318,(MATCH(InterventionCosts!B454,Ingredients!A$1:A$318,0)))</f>
        <v>https://www.treasury.gov.za/divisions/ocpo/ostb/contracts/RT76-2023%20CPA%20Amendment%204-%20Effective%2001%20May%202024.pdf</v>
      </c>
      <c r="I454">
        <f>1/50*1.01</f>
        <v>2.0199999999999999E-2</v>
      </c>
      <c r="J454" t="s">
        <v>1474</v>
      </c>
      <c r="K454" s="85">
        <f t="shared" si="17"/>
        <v>1.0722159999999998</v>
      </c>
      <c r="L454" s="85" t="s">
        <v>258</v>
      </c>
    </row>
    <row r="455" spans="1:12">
      <c r="A455" t="s">
        <v>303</v>
      </c>
      <c r="B455" t="s">
        <v>79</v>
      </c>
      <c r="C455" s="5" t="s">
        <v>1539</v>
      </c>
      <c r="D455" t="s">
        <v>21</v>
      </c>
      <c r="E455" s="70">
        <f>IF(B455="","",INDEX(Ingredients!$I$1:$I$5013,(MATCH(InterventionCosts!B455,Ingredients!$A$1:$A$5013,0))))</f>
        <v>9.3000000000000007</v>
      </c>
      <c r="F455" s="5" t="str">
        <f>INDEX(Ingredients!J$1:J$265,(MATCH(InterventionCosts!B455,Ingredients!A$1:A$265,0)))</f>
        <v>per test</v>
      </c>
      <c r="G455">
        <f>IF(B455="","",INDEX(Ingredients!$E$1:$E$238,(MATCH(InterventionCosts!B455,Ingredients!A$1:A$238,0))))</f>
        <v>2024</v>
      </c>
      <c r="H455" t="str">
        <f>INDEX(Ingredients!$F$1:$F$318,(MATCH(InterventionCosts!B455,Ingredients!A$1:A$318,0)))</f>
        <v>https://www.treasury.gov.za/divisions/ocpo/ostb/contracts/RT41-2020.zip</v>
      </c>
      <c r="I455">
        <f>1*1.01</f>
        <v>1.01</v>
      </c>
      <c r="J455" t="s">
        <v>1474</v>
      </c>
      <c r="K455" s="85">
        <f t="shared" si="17"/>
        <v>9.3930000000000007</v>
      </c>
      <c r="L455" s="85" t="s">
        <v>258</v>
      </c>
    </row>
    <row r="456" spans="1:12">
      <c r="A456" t="s">
        <v>303</v>
      </c>
      <c r="B456" t="s">
        <v>248</v>
      </c>
      <c r="C456" s="5" t="s">
        <v>1539</v>
      </c>
      <c r="D456" t="s">
        <v>21</v>
      </c>
      <c r="E456" s="70">
        <f>IF(B456="","",INDEX(Ingredients!$I$1:$I$5013,(MATCH(InterventionCosts!B456,Ingredients!$A$1:$A$5013,0))))</f>
        <v>2.645</v>
      </c>
      <c r="F456" s="5" t="str">
        <f>INDEX(Ingredients!J$1:J$265,(MATCH(InterventionCosts!B456,Ingredients!A$1:A$265,0)))</f>
        <v>per bag</v>
      </c>
      <c r="G456">
        <f>IF(B456="","",INDEX(Ingredients!$E$1:$E$238,(MATCH(InterventionCosts!B456,Ingredients!A$1:A$238,0))))</f>
        <v>2024</v>
      </c>
      <c r="H456" t="str">
        <f>INDEX(Ingredients!$F$1:$F$318,(MATCH(InterventionCosts!B456,Ingredients!A$1:A$318,0)))</f>
        <v>https://medqsupplies.co.za/product/bio-hazard-plastic-bags/</v>
      </c>
      <c r="I456">
        <f>1*1.01</f>
        <v>1.01</v>
      </c>
      <c r="J456" t="s">
        <v>1474</v>
      </c>
      <c r="K456" s="85">
        <f t="shared" si="17"/>
        <v>2.6714500000000001</v>
      </c>
      <c r="L456" s="85" t="s">
        <v>258</v>
      </c>
    </row>
    <row r="457" spans="1:12">
      <c r="A457" t="s">
        <v>303</v>
      </c>
      <c r="B457" t="s">
        <v>31</v>
      </c>
      <c r="C457" s="5" t="s">
        <v>1539</v>
      </c>
      <c r="D457" t="s">
        <v>21</v>
      </c>
      <c r="E457" s="70">
        <f>IF(B457="","",INDEX(Ingredients!$I$1:$I$5013,(MATCH(InterventionCosts!B457,Ingredients!$A$1:$A$5013,0))))</f>
        <v>31.4</v>
      </c>
      <c r="F457" s="5" t="str">
        <f>INDEX(Ingredients!J$1:J$265,(MATCH(InterventionCosts!B457,Ingredients!A$1:A$265,0)))</f>
        <v>per 100 swabs</v>
      </c>
      <c r="G457">
        <f>IF(B457="","",INDEX(Ingredients!$E$1:$E$238,(MATCH(InterventionCosts!B457,Ingredients!A$1:A$238,0))))</f>
        <v>2024</v>
      </c>
      <c r="H457" t="str">
        <f>INDEX(Ingredients!$F$1:$F$318,(MATCH(InterventionCosts!B457,Ingredients!A$1:A$318,0)))</f>
        <v xml:space="preserve">http://www.treasury.gov.za/divisions/ocpo/ostb/contracts/RT42-2022zip </v>
      </c>
      <c r="I457">
        <f>1/100*1.01</f>
        <v>1.01E-2</v>
      </c>
      <c r="J457" t="s">
        <v>1474</v>
      </c>
      <c r="K457" s="85">
        <f t="shared" si="17"/>
        <v>0.31713999999999998</v>
      </c>
      <c r="L457" s="85" t="s">
        <v>258</v>
      </c>
    </row>
    <row r="458" spans="1:12">
      <c r="A458" t="s">
        <v>303</v>
      </c>
      <c r="B458" t="s">
        <v>249</v>
      </c>
      <c r="C458" s="5" t="s">
        <v>1539</v>
      </c>
      <c r="D458" t="s">
        <v>21</v>
      </c>
      <c r="E458" s="70">
        <f>IF(B458="","",INDEX(Ingredients!$I$1:$I$5013,(MATCH(InterventionCosts!B458,Ingredients!$A$1:$A$5013,0))))</f>
        <v>7.86</v>
      </c>
      <c r="F458" s="5" t="str">
        <f>INDEX(Ingredients!J$1:J$265,(MATCH(InterventionCosts!B458,Ingredients!A$1:A$265,0)))</f>
        <v>per test kit</v>
      </c>
      <c r="G458">
        <f>IF(B458="","",INDEX(Ingredients!$E$1:$E$238,(MATCH(InterventionCosts!B458,Ingredients!A$1:A$238,0))))</f>
        <v>2024</v>
      </c>
      <c r="H458" t="str">
        <f>INDEX(Ingredients!$F$1:$F$318,(MATCH(InterventionCosts!B458,Ingredients!A$1:A$318,0)))</f>
        <v>https://www.treasury.gov.za/divisions/ocpo/ostb/contracts/RT41-2020.zip</v>
      </c>
      <c r="I458">
        <f>1*1.01</f>
        <v>1.01</v>
      </c>
      <c r="J458" t="s">
        <v>1474</v>
      </c>
      <c r="K458" s="85">
        <f t="shared" si="17"/>
        <v>7.9386000000000001</v>
      </c>
      <c r="L458" s="85" t="s">
        <v>315</v>
      </c>
    </row>
    <row r="459" spans="1:12">
      <c r="A459" t="s">
        <v>303</v>
      </c>
      <c r="B459" t="s">
        <v>31</v>
      </c>
      <c r="C459" s="5" t="s">
        <v>1539</v>
      </c>
      <c r="D459" t="s">
        <v>21</v>
      </c>
      <c r="E459" s="70">
        <f>IF(B459="","",INDEX(Ingredients!$I$1:$I$5013,(MATCH(InterventionCosts!B459,Ingredients!$A$1:$A$5013,0))))</f>
        <v>31.4</v>
      </c>
      <c r="F459" s="5" t="str">
        <f>INDEX(Ingredients!J$1:J$265,(MATCH(InterventionCosts!B459,Ingredients!A$1:A$265,0)))</f>
        <v>per 100 swabs</v>
      </c>
      <c r="G459">
        <f>IF(B459="","",INDEX(Ingredients!$E$1:$E$238,(MATCH(InterventionCosts!B459,Ingredients!A$1:A$238,0))))</f>
        <v>2024</v>
      </c>
      <c r="H459" t="str">
        <f>INDEX(Ingredients!$F$1:$F$318,(MATCH(InterventionCosts!B459,Ingredients!A$1:A$318,0)))</f>
        <v xml:space="preserve">http://www.treasury.gov.za/divisions/ocpo/ostb/contracts/RT42-2022zip </v>
      </c>
      <c r="I459">
        <f>1/100*1.01</f>
        <v>1.01E-2</v>
      </c>
      <c r="J459" t="s">
        <v>1474</v>
      </c>
      <c r="K459" s="85">
        <f t="shared" si="17"/>
        <v>0.31713999999999998</v>
      </c>
      <c r="L459" s="85" t="s">
        <v>315</v>
      </c>
    </row>
    <row r="460" spans="1:12">
      <c r="A460" t="s">
        <v>303</v>
      </c>
      <c r="B460" t="s">
        <v>79</v>
      </c>
      <c r="C460" s="5" t="s">
        <v>1539</v>
      </c>
      <c r="D460" t="s">
        <v>21</v>
      </c>
      <c r="E460" s="70">
        <f>IF(B460="","",INDEX(Ingredients!$I$1:$I$5013,(MATCH(InterventionCosts!B460,Ingredients!$A$1:$A$5013,0))))</f>
        <v>9.3000000000000007</v>
      </c>
      <c r="F460" s="5" t="str">
        <f>INDEX(Ingredients!J$1:J$265,(MATCH(InterventionCosts!B460,Ingredients!A$1:A$265,0)))</f>
        <v>per test</v>
      </c>
      <c r="G460">
        <f>IF(B460="","",INDEX(Ingredients!$E$1:$E$238,(MATCH(InterventionCosts!B460,Ingredients!A$1:A$238,0))))</f>
        <v>2024</v>
      </c>
      <c r="H460" t="str">
        <f>INDEX(Ingredients!$F$1:$F$318,(MATCH(InterventionCosts!B460,Ingredients!A$1:A$318,0)))</f>
        <v>https://www.treasury.gov.za/divisions/ocpo/ostb/contracts/RT41-2020.zip</v>
      </c>
      <c r="I460">
        <f>1*0.0079*1.01</f>
        <v>7.9790000000000017E-3</v>
      </c>
      <c r="J460" t="s">
        <v>1474</v>
      </c>
      <c r="K460" s="85">
        <f t="shared" si="17"/>
        <v>7.4204700000000026E-2</v>
      </c>
      <c r="L460" s="85" t="s">
        <v>304</v>
      </c>
    </row>
    <row r="461" spans="1:12">
      <c r="A461" t="s">
        <v>303</v>
      </c>
      <c r="B461" t="s">
        <v>31</v>
      </c>
      <c r="C461" s="5" t="s">
        <v>1539</v>
      </c>
      <c r="D461" t="s">
        <v>21</v>
      </c>
      <c r="E461" s="70">
        <f>IF(B461="","",INDEX(Ingredients!$I$1:$I$5013,(MATCH(InterventionCosts!B461,Ingredients!$A$1:$A$5013,0))))</f>
        <v>31.4</v>
      </c>
      <c r="F461" s="5" t="str">
        <f>INDEX(Ingredients!J$1:J$265,(MATCH(InterventionCosts!B461,Ingredients!A$1:A$265,0)))</f>
        <v>per 100 swabs</v>
      </c>
      <c r="G461">
        <f>IF(B461="","",INDEX(Ingredients!$E$1:$E$238,(MATCH(InterventionCosts!B461,Ingredients!A$1:A$238,0))))</f>
        <v>2024</v>
      </c>
      <c r="H461" t="str">
        <f>INDEX(Ingredients!$F$1:$F$318,(MATCH(InterventionCosts!B461,Ingredients!A$1:A$318,0)))</f>
        <v xml:space="preserve">http://www.treasury.gov.za/divisions/ocpo/ostb/contracts/RT42-2022zip </v>
      </c>
      <c r="I461">
        <f>1/100*0.0079*1.01</f>
        <v>7.9790000000000007E-5</v>
      </c>
      <c r="J461" t="s">
        <v>1474</v>
      </c>
      <c r="K461" s="85">
        <f>I461*E461*1.01</f>
        <v>2.5304600599999998E-3</v>
      </c>
      <c r="L461" s="85" t="s">
        <v>304</v>
      </c>
    </row>
    <row r="462" spans="1:12">
      <c r="A462" t="s">
        <v>303</v>
      </c>
      <c r="B462" t="s">
        <v>249</v>
      </c>
      <c r="C462" s="5" t="s">
        <v>1539</v>
      </c>
      <c r="D462" t="s">
        <v>21</v>
      </c>
      <c r="E462" s="70">
        <f>IF(B462="","",INDEX(Ingredients!$I$1:$I$5013,(MATCH(InterventionCosts!B462,Ingredients!$A$1:$A$5013,0))))</f>
        <v>7.86</v>
      </c>
      <c r="F462" s="5" t="str">
        <f>INDEX(Ingredients!J$1:J$265,(MATCH(InterventionCosts!B462,Ingredients!A$1:A$265,0)))</f>
        <v>per test kit</v>
      </c>
      <c r="G462">
        <f>IF(B462="","",INDEX(Ingredients!$E$1:$E$238,(MATCH(InterventionCosts!B462,Ingredients!A$1:A$238,0))))</f>
        <v>2024</v>
      </c>
      <c r="H462" t="str">
        <f>INDEX(Ingredients!$F$1:$F$318,(MATCH(InterventionCosts!B462,Ingredients!A$1:A$318,0)))</f>
        <v>https://www.treasury.gov.za/divisions/ocpo/ostb/contracts/RT41-2020.zip</v>
      </c>
      <c r="I462">
        <f>1*0.0079*1.01</f>
        <v>7.9790000000000017E-3</v>
      </c>
      <c r="J462" t="s">
        <v>1474</v>
      </c>
      <c r="K462" s="85">
        <f t="shared" ref="K462:K467" si="18">I462*E462</f>
        <v>6.2714940000000011E-2</v>
      </c>
      <c r="L462" s="85" t="s">
        <v>305</v>
      </c>
    </row>
    <row r="463" spans="1:12">
      <c r="A463" t="s">
        <v>303</v>
      </c>
      <c r="B463" t="s">
        <v>31</v>
      </c>
      <c r="C463" s="5" t="s">
        <v>1539</v>
      </c>
      <c r="D463" t="s">
        <v>21</v>
      </c>
      <c r="E463" s="70">
        <f>IF(B463="","",INDEX(Ingredients!$I$1:$I$5013,(MATCH(InterventionCosts!B463,Ingredients!$A$1:$A$5013,0))))</f>
        <v>31.4</v>
      </c>
      <c r="F463" s="5" t="str">
        <f>INDEX(Ingredients!J$1:J$265,(MATCH(InterventionCosts!B463,Ingredients!A$1:A$265,0)))</f>
        <v>per 100 swabs</v>
      </c>
      <c r="G463">
        <f>IF(B463="","",INDEX(Ingredients!$E$1:$E$238,(MATCH(InterventionCosts!B463,Ingredients!A$1:A$238,0))))</f>
        <v>2024</v>
      </c>
      <c r="H463" t="str">
        <f>INDEX(Ingredients!$F$1:$F$318,(MATCH(InterventionCosts!B463,Ingredients!A$1:A$318,0)))</f>
        <v xml:space="preserve">http://www.treasury.gov.za/divisions/ocpo/ostb/contracts/RT42-2022zip </v>
      </c>
      <c r="I463">
        <f>1/100*0.0079*1.01</f>
        <v>7.9790000000000007E-5</v>
      </c>
      <c r="J463" t="s">
        <v>1474</v>
      </c>
      <c r="K463" s="85">
        <f t="shared" si="18"/>
        <v>2.505406E-3</v>
      </c>
      <c r="L463" s="85" t="s">
        <v>305</v>
      </c>
    </row>
    <row r="464" spans="1:12">
      <c r="A464" t="s">
        <v>303</v>
      </c>
      <c r="B464" t="s">
        <v>250</v>
      </c>
      <c r="C464" s="5" t="s">
        <v>1539</v>
      </c>
      <c r="D464" t="s">
        <v>21</v>
      </c>
      <c r="E464" s="70">
        <f>IF(B464="","",INDEX(Ingredients!$I$1:$I$5013,(MATCH(InterventionCosts!B464,Ingredients!$A$1:$A$5013,0))))</f>
        <v>71.889951748999991</v>
      </c>
      <c r="F464" s="5" t="str">
        <f>INDEX(Ingredients!J$1:J$265,(MATCH(InterventionCosts!B464,Ingredients!A$1:A$265,0)))</f>
        <v>per test</v>
      </c>
      <c r="G464">
        <f>IF(B464="","",INDEX(Ingredients!$E$1:$E$238,(MATCH(InterventionCosts!B464,Ingredients!A$1:A$238,0))))</f>
        <v>2021</v>
      </c>
      <c r="H464" t="str">
        <f>INDEX(Ingredients!$F$1:$F$318,(MATCH(InterventionCosts!B464,Ingredients!A$1:A$318,0)))</f>
        <v>NHLS 2021 price-list</v>
      </c>
      <c r="I464">
        <v>3.8999999999999998E-3</v>
      </c>
      <c r="J464" t="s">
        <v>1474</v>
      </c>
      <c r="K464" s="85">
        <f t="shared" si="18"/>
        <v>0.28037081182109996</v>
      </c>
      <c r="L464" s="85" t="s">
        <v>295</v>
      </c>
    </row>
    <row r="465" spans="1:12">
      <c r="A465" t="s">
        <v>303</v>
      </c>
      <c r="B465" t="s">
        <v>31</v>
      </c>
      <c r="C465" s="5" t="s">
        <v>1539</v>
      </c>
      <c r="D465" s="5" t="s">
        <v>21</v>
      </c>
      <c r="E465" s="70">
        <f>IF(B465="","",INDEX(Ingredients!$I$1:$I$5013,(MATCH(InterventionCosts!B465,Ingredients!$A$1:$A$5013,0))))</f>
        <v>31.4</v>
      </c>
      <c r="F465" s="5" t="str">
        <f>INDEX(Ingredients!J$1:J$265,(MATCH(InterventionCosts!B465,Ingredients!A$1:A$265,0)))</f>
        <v>per 100 swabs</v>
      </c>
      <c r="G465">
        <f>IF(B465="","",INDEX(Ingredients!$E$1:$E$238,(MATCH(InterventionCosts!B465,Ingredients!A$1:A$238,0))))</f>
        <v>2024</v>
      </c>
      <c r="H465" t="str">
        <f>INDEX(Ingredients!$F$1:$F$318,(MATCH(InterventionCosts!B465,Ingredients!A$1:A$318,0)))</f>
        <v xml:space="preserve">http://www.treasury.gov.za/divisions/ocpo/ostb/contracts/RT42-2022zip </v>
      </c>
      <c r="I465">
        <f>1/100*0.0039</f>
        <v>3.8999999999999999E-5</v>
      </c>
      <c r="J465" t="s">
        <v>1474</v>
      </c>
      <c r="K465" s="85">
        <f t="shared" si="18"/>
        <v>1.2246E-3</v>
      </c>
      <c r="L465" s="85" t="s">
        <v>295</v>
      </c>
    </row>
    <row r="466" spans="1:12">
      <c r="A466" t="s">
        <v>303</v>
      </c>
      <c r="B466" t="s">
        <v>43</v>
      </c>
      <c r="C466" s="5" t="s">
        <v>1539</v>
      </c>
      <c r="D466" s="5" t="s">
        <v>21</v>
      </c>
      <c r="E466" s="70">
        <f>IF(B466="","",INDEX(Ingredients!$I$1:$I$5013,(MATCH(InterventionCosts!B466,Ingredients!$A$1:$A$5013,0))))</f>
        <v>0.61939459752201187</v>
      </c>
      <c r="F466" s="5" t="str">
        <f>INDEX(Ingredients!J$1:J$265,(MATCH(InterventionCosts!B466,Ingredients!A$1:A$265,0)))</f>
        <v>per condom</v>
      </c>
      <c r="G466">
        <f>IF(B466="","",INDEX(Ingredients!$E$1:$E$238,(MATCH(InterventionCosts!B466,Ingredients!A$1:A$238,0))))</f>
        <v>2024</v>
      </c>
      <c r="H466" t="str">
        <f>INDEX(Ingredients!$F$1:$F$318,(MATCH(InterventionCosts!B466,Ingredients!A$1:A$318,0)))</f>
        <v>https://www.treasury.gov.za/divisions/ocpo/ostb/contracts/RT75-2021.zip</v>
      </c>
      <c r="I466">
        <v>10</v>
      </c>
      <c r="J466" t="s">
        <v>1474</v>
      </c>
      <c r="K466" s="85">
        <f t="shared" si="18"/>
        <v>6.1939459752201191</v>
      </c>
      <c r="L466" s="85" t="s">
        <v>268</v>
      </c>
    </row>
    <row r="467" spans="1:12">
      <c r="A467" t="s">
        <v>303</v>
      </c>
      <c r="B467" t="s">
        <v>251</v>
      </c>
      <c r="C467" s="5" t="s">
        <v>1539</v>
      </c>
      <c r="D467" s="5" t="s">
        <v>21</v>
      </c>
      <c r="E467" s="70">
        <f>IF(B467="","",INDEX(Ingredients!$I$1:$I$5013,(MATCH(InterventionCosts!B467,Ingredients!$A$1:$A$5013,0))))</f>
        <v>1.0227713593614072</v>
      </c>
      <c r="F467" s="5" t="str">
        <f>INDEX(Ingredients!J$1:J$265,(MATCH(InterventionCosts!B467,Ingredients!A$1:A$265,0)))</f>
        <v>per 1</v>
      </c>
      <c r="G467">
        <f>IF(B467="","",INDEX(Ingredients!$E$1:$E$238,(MATCH(InterventionCosts!B467,Ingredients!A$1:A$238,0))))</f>
        <v>2016</v>
      </c>
      <c r="H467" t="str">
        <f>INDEX(Ingredients!$F$1:$F$318,(MATCH(InterventionCosts!B467,Ingredients!A$1:A$318,0)))</f>
        <v>https://doi.org/10.1038/s41598-019-49109-w</v>
      </c>
      <c r="I467">
        <v>1</v>
      </c>
      <c r="J467" t="s">
        <v>1474</v>
      </c>
      <c r="K467" s="85">
        <f t="shared" si="18"/>
        <v>1.0227713593614072</v>
      </c>
      <c r="L467" s="85" t="s">
        <v>268</v>
      </c>
    </row>
    <row r="468" spans="1:12" s="89" customFormat="1">
      <c r="A468" s="4" t="s">
        <v>303</v>
      </c>
      <c r="F468" s="89" t="s">
        <v>1164</v>
      </c>
      <c r="G468" s="89" t="str">
        <f>IF(B468="","",INDEX(Ingredients!$E$1:$E$238,(MATCH(InterventionCosts!B468,Ingredients!A$1:A$238,0))))</f>
        <v/>
      </c>
      <c r="K468" s="90"/>
      <c r="L468" s="90">
        <f>SUM(K445:K467)</f>
        <v>99.265287001453174</v>
      </c>
    </row>
    <row r="469" spans="1:12" s="89" customFormat="1">
      <c r="A469" s="4" t="s">
        <v>303</v>
      </c>
      <c r="F469" s="89" t="s">
        <v>117</v>
      </c>
      <c r="G469" s="89" t="str">
        <f>IF(B469="","",INDEX(Ingredients!$E$1:$E$238,(MATCH(InterventionCosts!B469,Ingredients!A$1:A$238,0))))</f>
        <v/>
      </c>
      <c r="K469" s="90"/>
      <c r="L469" s="90" t="s">
        <v>936</v>
      </c>
    </row>
    <row r="470" spans="1:12">
      <c r="G470" t="str">
        <f>IF(B470="","",INDEX(Ingredients!$E$1:$E$238,(MATCH(InterventionCosts!B470,Ingredients!A$1:A$238,0))))</f>
        <v/>
      </c>
    </row>
    <row r="471" spans="1:12">
      <c r="A471" t="s">
        <v>306</v>
      </c>
      <c r="B471" t="s">
        <v>308</v>
      </c>
      <c r="C471" s="5" t="s">
        <v>1539</v>
      </c>
      <c r="D471" t="s">
        <v>67</v>
      </c>
      <c r="E471" s="70">
        <f>IF(B471="","",INDEX(Ingredients!$I$1:$I$5013,(MATCH(InterventionCosts!B471,Ingredients!$A$1:$A$5013,0))))</f>
        <v>2577.4452112671624</v>
      </c>
      <c r="F471" s="5" t="str">
        <f>INDEX(Ingredients!J$1:J$265,(MATCH(InterventionCosts!B471,Ingredients!A$1:A$265,0)))</f>
        <v>per month</v>
      </c>
      <c r="G471">
        <f>IF(B471="","",INDEX(Ingredients!$E$1:$E$238,(MATCH(InterventionCosts!B471,Ingredients!A$1:A$238,0))))</f>
        <v>2016</v>
      </c>
      <c r="H471" t="str">
        <f>INDEX(Ingredients!$F$1:$F$318,(MATCH(InterventionCosts!B471,Ingredients!A$1:A$318,0)))</f>
        <v>https://doi.org/10.1038/s41598-019-49109-w; Tabana Operational Vehicle 2016</v>
      </c>
      <c r="I471">
        <f>1/421</f>
        <v>2.3752969121140144E-3</v>
      </c>
      <c r="J471" t="s">
        <v>1474</v>
      </c>
      <c r="K471" s="85">
        <f t="shared" ref="K471:K485" si="19">I471*E471</f>
        <v>6.1221976514659442</v>
      </c>
      <c r="L471" s="85" t="s">
        <v>67</v>
      </c>
    </row>
    <row r="472" spans="1:12">
      <c r="A472" t="s">
        <v>306</v>
      </c>
      <c r="B472" t="s">
        <v>53</v>
      </c>
      <c r="C472" s="5" t="s">
        <v>1539</v>
      </c>
      <c r="D472" t="s">
        <v>48</v>
      </c>
      <c r="E472" s="70">
        <f>IF(B472="","",INDEX(Ingredients!$I$1:$I$5013,(MATCH(InterventionCosts!B472,Ingredients!$A$1:$A$5013,0))))</f>
        <v>4100.2266666666665</v>
      </c>
      <c r="F472" s="5" t="str">
        <f>INDEX(Ingredients!J$1:J$265,(MATCH(InterventionCosts!B472,Ingredients!A$1:A$265,0)))</f>
        <v>per month</v>
      </c>
      <c r="G472">
        <f>IF(B472="","",INDEX(Ingredients!$E$1:$E$238,(MATCH(InterventionCosts!B472,Ingredients!A$1:A$238,0))))</f>
        <v>2024</v>
      </c>
      <c r="H472" t="str">
        <f>INDEX(Ingredients!$F$1:$F$318,(MATCH(InterventionCosts!B472,Ingredients!A$1:A$318,0)))</f>
        <v>https://www.health.gov.za/wp-content/uploads/2022/07/Health-Department-welcomes-Bargaining-Council-resolution-to-improve-work-conditions-of-CHWs-27-July-2022.pdf</v>
      </c>
      <c r="I472">
        <f>0.72/421</f>
        <v>1.7102137767220902E-3</v>
      </c>
      <c r="J472" t="s">
        <v>1474</v>
      </c>
      <c r="K472" s="85">
        <f t="shared" si="19"/>
        <v>7.0122641330166262</v>
      </c>
      <c r="L472" s="85" t="s">
        <v>291</v>
      </c>
    </row>
    <row r="473" spans="1:12">
      <c r="A473" t="s">
        <v>306</v>
      </c>
      <c r="B473" t="s">
        <v>301</v>
      </c>
      <c r="C473" s="5" t="s">
        <v>1539</v>
      </c>
      <c r="D473" t="s">
        <v>48</v>
      </c>
      <c r="E473" s="70">
        <f>IF(B473="","",INDEX(Ingredients!$I$1:$I$5013,(MATCH(InterventionCosts!B473,Ingredients!$A$1:$A$5013,0))))</f>
        <v>53200.165000000001</v>
      </c>
      <c r="F473" s="5" t="str">
        <f>INDEX(Ingredients!J$1:J$265,(MATCH(InterventionCosts!B473,Ingredients!A$1:A$265,0)))</f>
        <v>per month</v>
      </c>
      <c r="G473">
        <f>IF(B473="","",INDEX(Ingredients!$E$1:$E$238,(MATCH(InterventionCosts!B473,Ingredients!A$1:A$238,0))))</f>
        <v>2024</v>
      </c>
      <c r="H473" t="str">
        <f>INDEX(Ingredients!$F$1:$F$318,(MATCH(InterventionCosts!B473,Ingredients!A$1:A$318,0)))</f>
        <v xml:space="preserve">April 2024 Salary scale </v>
      </c>
      <c r="I473">
        <f>0.12/421</f>
        <v>2.8503562945368172E-4</v>
      </c>
      <c r="J473" t="s">
        <v>1474</v>
      </c>
      <c r="K473" s="85">
        <f t="shared" si="19"/>
        <v>15.163942517814728</v>
      </c>
      <c r="L473" s="85" t="s">
        <v>291</v>
      </c>
    </row>
    <row r="474" spans="1:12">
      <c r="A474" t="s">
        <v>306</v>
      </c>
      <c r="B474" t="s">
        <v>289</v>
      </c>
      <c r="C474" s="5" t="s">
        <v>1539</v>
      </c>
      <c r="D474" t="s">
        <v>48</v>
      </c>
      <c r="E474" s="70">
        <f>IF(B474="","",INDEX(Ingredients!$I$1:$I$5013,(MATCH(InterventionCosts!B474,Ingredients!$A$1:$A$5013,0))))</f>
        <v>34361.648333333331</v>
      </c>
      <c r="F474" s="5" t="str">
        <f>INDEX(Ingredients!J$1:J$265,(MATCH(InterventionCosts!B474,Ingredients!A$1:A$265,0)))</f>
        <v>per month</v>
      </c>
      <c r="G474">
        <f>IF(B474="","",INDEX(Ingredients!$E$1:$E$238,(MATCH(InterventionCosts!B474,Ingredients!A$1:A$238,0))))</f>
        <v>2024</v>
      </c>
      <c r="H474" t="str">
        <f>INDEX(Ingredients!$F$1:$F$318,(MATCH(InterventionCosts!B474,Ingredients!A$1:A$318,0)))</f>
        <v xml:space="preserve">April 2024 Salary scale </v>
      </c>
      <c r="I474">
        <f>1/421</f>
        <v>2.3752969121140144E-3</v>
      </c>
      <c r="J474" t="s">
        <v>1474</v>
      </c>
      <c r="K474" s="85">
        <f t="shared" si="19"/>
        <v>81.619117181314323</v>
      </c>
      <c r="L474" s="85" t="s">
        <v>291</v>
      </c>
    </row>
    <row r="475" spans="1:12">
      <c r="A475" t="s">
        <v>306</v>
      </c>
      <c r="B475" t="s">
        <v>246</v>
      </c>
      <c r="C475" s="5" t="s">
        <v>1539</v>
      </c>
      <c r="D475" t="s">
        <v>21</v>
      </c>
      <c r="E475" s="70">
        <f>IF(B475="","",INDEX(Ingredients!$I$1:$I$5013,(MATCH(InterventionCosts!B475,Ingredients!$A$1:$A$5013,0))))</f>
        <v>0.16400000000000001</v>
      </c>
      <c r="F475" s="5" t="str">
        <f>INDEX(Ingredients!J$1:J$265,(MATCH(InterventionCosts!B475,Ingredients!A$1:A$265,0)))</f>
        <v>per page</v>
      </c>
      <c r="G475">
        <f>IF(B475="","",INDEX(Ingredients!$E$1:$E$238,(MATCH(InterventionCosts!B475,Ingredients!A$1:A$238,0))))</f>
        <v>2024</v>
      </c>
      <c r="H475" t="str">
        <f>INDEX(Ingredients!$F$1:$F$318,(MATCH(InterventionCosts!B475,Ingredients!A$1:A$318,0)))</f>
        <v>https://www.makro.co.za/stationery-office-furniture/paper-filing/paper/white-paper/copy-paper/typek-a4-office-paper-80-gsm/p/000000000000012434_BOX</v>
      </c>
      <c r="I475">
        <f>1*1.01</f>
        <v>1.01</v>
      </c>
      <c r="J475" t="s">
        <v>1474</v>
      </c>
      <c r="K475" s="85">
        <f t="shared" si="19"/>
        <v>0.16564000000000001</v>
      </c>
      <c r="L475" s="85" t="s">
        <v>291</v>
      </c>
    </row>
    <row r="476" spans="1:12">
      <c r="A476" t="s">
        <v>306</v>
      </c>
      <c r="B476" t="s">
        <v>313</v>
      </c>
      <c r="C476" s="5" t="s">
        <v>1539</v>
      </c>
      <c r="D476" t="s">
        <v>81</v>
      </c>
      <c r="E476" s="70">
        <f>IF(B476="","",INDEX(Ingredients!$I$1:$I$5013,(MATCH(InterventionCosts!B476,Ingredients!$A$1:$A$5013,0))))</f>
        <v>524.2261446645075</v>
      </c>
      <c r="F476" s="5" t="str">
        <f>INDEX(Ingredients!J$1:J$265,(MATCH(InterventionCosts!B476,Ingredients!A$1:A$265,0)))</f>
        <v>per room</v>
      </c>
      <c r="G476">
        <f>IF(B476="","",INDEX(Ingredients!$E$1:$E$238,(MATCH(InterventionCosts!B476,Ingredients!A$1:A$238,0))))</f>
        <v>2016</v>
      </c>
      <c r="H476" t="str">
        <f>INDEX(Ingredients!$F$1:$F$318,(MATCH(InterventionCosts!B476,Ingredients!A$1:A$318,0)))</f>
        <v>https://doi.org/10.1038/s41598-019-49109-w</v>
      </c>
      <c r="I476">
        <f>1/421</f>
        <v>2.3752969121140144E-3</v>
      </c>
      <c r="J476" t="s">
        <v>1474</v>
      </c>
      <c r="K476" s="85">
        <f t="shared" si="19"/>
        <v>1.2451927426710392</v>
      </c>
      <c r="L476" s="85" t="s">
        <v>302</v>
      </c>
    </row>
    <row r="477" spans="1:12">
      <c r="A477" t="s">
        <v>306</v>
      </c>
      <c r="B477" t="s">
        <v>314</v>
      </c>
      <c r="C477" s="5" t="s">
        <v>1539</v>
      </c>
      <c r="D477" t="s">
        <v>67</v>
      </c>
      <c r="E477" s="70">
        <f>IF(B477="","",INDEX(Ingredients!$I$1:$I$5013,(MATCH(InterventionCosts!B477,Ingredients!$A$1:$A$5013,0))))</f>
        <v>164.42322899462931</v>
      </c>
      <c r="F477" s="5" t="str">
        <f>INDEX(Ingredients!J$1:J$265,(MATCH(InterventionCosts!B477,Ingredients!A$1:A$265,0)))</f>
        <v>per room</v>
      </c>
      <c r="G477">
        <f>IF(B477="","",INDEX(Ingredients!$E$1:$E$238,(MATCH(InterventionCosts!B477,Ingredients!A$1:A$238,0))))</f>
        <v>2016</v>
      </c>
      <c r="H477" t="str">
        <f>INDEX(Ingredients!$F$1:$F$318,(MATCH(InterventionCosts!B477,Ingredients!A$1:A$318,0)))</f>
        <v>https://doi.org/10.1038/s41598-019-49109-w</v>
      </c>
      <c r="I477">
        <f>1/421</f>
        <v>2.3752969121140144E-3</v>
      </c>
      <c r="J477" t="s">
        <v>1474</v>
      </c>
      <c r="K477" s="85">
        <f t="shared" si="19"/>
        <v>0.39055398811075848</v>
      </c>
      <c r="L477" s="85" t="s">
        <v>302</v>
      </c>
    </row>
    <row r="478" spans="1:12">
      <c r="A478" t="s">
        <v>306</v>
      </c>
      <c r="B478" t="s">
        <v>246</v>
      </c>
      <c r="C478" s="5" t="s">
        <v>1539</v>
      </c>
      <c r="D478" t="s">
        <v>21</v>
      </c>
      <c r="E478" s="70">
        <f>IF(B478="","",INDEX(Ingredients!$I$1:$I$5013,(MATCH(InterventionCosts!B478,Ingredients!$A$1:$A$5013,0))))</f>
        <v>0.16400000000000001</v>
      </c>
      <c r="F478" s="5" t="str">
        <f>INDEX(Ingredients!J$1:J$265,(MATCH(InterventionCosts!B478,Ingredients!A$1:A$265,0)))</f>
        <v>per page</v>
      </c>
      <c r="G478">
        <f>IF(B478="","",INDEX(Ingredients!$E$1:$E$238,(MATCH(InterventionCosts!B478,Ingredients!A$1:A$238,0))))</f>
        <v>2024</v>
      </c>
      <c r="H478" t="str">
        <f>INDEX(Ingredients!$F$1:$F$318,(MATCH(InterventionCosts!B478,Ingredients!A$1:A$318,0)))</f>
        <v>https://www.makro.co.za/stationery-office-furniture/paper-filing/paper/white-paper/copy-paper/typek-a4-office-paper-80-gsm/p/000000000000012434_BOX</v>
      </c>
      <c r="I478">
        <f>1</f>
        <v>1</v>
      </c>
      <c r="J478" t="s">
        <v>1474</v>
      </c>
      <c r="K478" s="85">
        <f t="shared" si="19"/>
        <v>0.16400000000000001</v>
      </c>
      <c r="L478" s="85" t="s">
        <v>302</v>
      </c>
    </row>
    <row r="479" spans="1:12">
      <c r="A479" t="s">
        <v>306</v>
      </c>
      <c r="B479" t="s">
        <v>247</v>
      </c>
      <c r="C479" s="5" t="s">
        <v>1539</v>
      </c>
      <c r="D479" t="s">
        <v>21</v>
      </c>
      <c r="E479" s="70">
        <f>IF(B479="","",INDEX(Ingredients!$I$1:$I$5013,(MATCH(InterventionCosts!B479,Ingredients!$A$1:$A$5013,0))))</f>
        <v>274.72000000000003</v>
      </c>
      <c r="F479" s="5" t="str">
        <f>INDEX(Ingredients!J$1:J$265,(MATCH(InterventionCosts!B479,Ingredients!A$1:A$265,0)))</f>
        <v>per 5L</v>
      </c>
      <c r="G479">
        <f>IF(B479="","",INDEX(Ingredients!$E$1:$E$238,(MATCH(InterventionCosts!B479,Ingredients!A$1:A$238,0))))</f>
        <v>2024</v>
      </c>
      <c r="H479" t="str">
        <f>INDEX(Ingredients!$F$1:$F$318,(MATCH(InterventionCosts!B479,Ingredients!A$1:A$318,0)))</f>
        <v>https://www.health.gov.za/wp-content/uploads/2024/04/HP12-2023LQ-CPA-Add-4-12-Effective-1-May-2024.pdf</v>
      </c>
      <c r="I479">
        <f>1/5000*1.01</f>
        <v>2.02E-4</v>
      </c>
      <c r="J479" t="s">
        <v>1474</v>
      </c>
      <c r="K479" s="85">
        <f t="shared" si="19"/>
        <v>5.5493440000000005E-2</v>
      </c>
      <c r="L479" s="85" t="s">
        <v>258</v>
      </c>
    </row>
    <row r="480" spans="1:12">
      <c r="A480" t="s">
        <v>306</v>
      </c>
      <c r="B480" t="s">
        <v>1489</v>
      </c>
      <c r="C480" s="5" t="s">
        <v>1539</v>
      </c>
      <c r="D480" t="s">
        <v>21</v>
      </c>
      <c r="E480" s="70">
        <f>IF(B480="","",INDEX(Ingredients!$I$1:$I$5013,(MATCH(InterventionCosts!B480,Ingredients!$A$1:$A$5013,0))))</f>
        <v>53.08</v>
      </c>
      <c r="F480" s="5" t="str">
        <f>INDEX(Ingredients!J$1:J$265,(MATCH(InterventionCosts!B480,Ingredients!A$1:A$265,0)))</f>
        <v>per pack 100, 50 pairs</v>
      </c>
      <c r="G480">
        <f>IF(B480="","",INDEX(Ingredients!$E$1:$E$238,(MATCH(InterventionCosts!B480,Ingredients!A$1:A$238,0))))</f>
        <v>2024</v>
      </c>
      <c r="H480" t="str">
        <f>INDEX(Ingredients!$F$1:$F$318,(MATCH(InterventionCosts!B480,Ingredients!A$1:A$318,0)))</f>
        <v>https://www.treasury.gov.za/divisions/ocpo/ostb/contracts/RT76-2023%20CPA%20Amendment%204-%20Effective%2001%20May%202024.pdf</v>
      </c>
      <c r="I480">
        <f>1/50*1.01</f>
        <v>2.0199999999999999E-2</v>
      </c>
      <c r="J480" t="s">
        <v>1474</v>
      </c>
      <c r="K480" s="85">
        <f t="shared" si="19"/>
        <v>1.0722159999999998</v>
      </c>
      <c r="L480" s="85" t="s">
        <v>258</v>
      </c>
    </row>
    <row r="481" spans="1:12">
      <c r="A481" t="s">
        <v>306</v>
      </c>
      <c r="B481" t="s">
        <v>79</v>
      </c>
      <c r="C481" s="5" t="s">
        <v>1539</v>
      </c>
      <c r="D481" t="s">
        <v>21</v>
      </c>
      <c r="E481" s="70">
        <f>IF(B481="","",INDEX(Ingredients!$I$1:$I$5013,(MATCH(InterventionCosts!B481,Ingredients!$A$1:$A$5013,0))))</f>
        <v>9.3000000000000007</v>
      </c>
      <c r="F481" s="5" t="str">
        <f>INDEX(Ingredients!J$1:J$265,(MATCH(InterventionCosts!B481,Ingredients!A$1:A$265,0)))</f>
        <v>per test</v>
      </c>
      <c r="G481">
        <f>IF(B481="","",INDEX(Ingredients!$E$1:$E$238,(MATCH(InterventionCosts!B481,Ingredients!A$1:A$238,0))))</f>
        <v>2024</v>
      </c>
      <c r="H481" t="str">
        <f>INDEX(Ingredients!$F$1:$F$318,(MATCH(InterventionCosts!B481,Ingredients!A$1:A$318,0)))</f>
        <v>https://www.treasury.gov.za/divisions/ocpo/ostb/contracts/RT41-2020.zip</v>
      </c>
      <c r="I481">
        <f>1*1.01</f>
        <v>1.01</v>
      </c>
      <c r="J481" t="s">
        <v>1474</v>
      </c>
      <c r="K481" s="85">
        <f t="shared" si="19"/>
        <v>9.3930000000000007</v>
      </c>
      <c r="L481" s="85" t="s">
        <v>258</v>
      </c>
    </row>
    <row r="482" spans="1:12">
      <c r="A482" t="s">
        <v>306</v>
      </c>
      <c r="B482" t="s">
        <v>248</v>
      </c>
      <c r="C482" s="5" t="s">
        <v>1539</v>
      </c>
      <c r="D482" t="s">
        <v>21</v>
      </c>
      <c r="E482" s="70">
        <f>IF(B482="","",INDEX(Ingredients!$I$1:$I$5013,(MATCH(InterventionCosts!B482,Ingredients!$A$1:$A$5013,0))))</f>
        <v>2.645</v>
      </c>
      <c r="F482" s="5" t="str">
        <f>INDEX(Ingredients!J$1:J$265,(MATCH(InterventionCosts!B482,Ingredients!A$1:A$265,0)))</f>
        <v>per bag</v>
      </c>
      <c r="G482">
        <f>IF(B482="","",INDEX(Ingredients!$E$1:$E$238,(MATCH(InterventionCosts!B482,Ingredients!A$1:A$238,0))))</f>
        <v>2024</v>
      </c>
      <c r="H482" t="str">
        <f>INDEX(Ingredients!$F$1:$F$318,(MATCH(InterventionCosts!B482,Ingredients!A$1:A$318,0)))</f>
        <v>https://medqsupplies.co.za/product/bio-hazard-plastic-bags/</v>
      </c>
      <c r="I482">
        <f>1*1.01</f>
        <v>1.01</v>
      </c>
      <c r="J482" t="s">
        <v>1474</v>
      </c>
      <c r="K482" s="85">
        <f t="shared" si="19"/>
        <v>2.6714500000000001</v>
      </c>
      <c r="L482" s="85" t="s">
        <v>258</v>
      </c>
    </row>
    <row r="483" spans="1:12">
      <c r="A483" t="s">
        <v>306</v>
      </c>
      <c r="B483" t="s">
        <v>31</v>
      </c>
      <c r="C483" s="5" t="s">
        <v>1539</v>
      </c>
      <c r="D483" t="s">
        <v>21</v>
      </c>
      <c r="E483" s="70">
        <f>IF(B483="","",INDEX(Ingredients!$I$1:$I$5013,(MATCH(InterventionCosts!B483,Ingredients!$A$1:$A$5013,0))))</f>
        <v>31.4</v>
      </c>
      <c r="F483" s="5" t="str">
        <f>INDEX(Ingredients!J$1:J$265,(MATCH(InterventionCosts!B483,Ingredients!A$1:A$265,0)))</f>
        <v>per 100 swabs</v>
      </c>
      <c r="G483">
        <f>IF(B483="","",INDEX(Ingredients!$E$1:$E$238,(MATCH(InterventionCosts!B483,Ingredients!A$1:A$238,0))))</f>
        <v>2024</v>
      </c>
      <c r="H483" t="str">
        <f>INDEX(Ingredients!$F$1:$F$318,(MATCH(InterventionCosts!B483,Ingredients!A$1:A$318,0)))</f>
        <v xml:space="preserve">http://www.treasury.gov.za/divisions/ocpo/ostb/contracts/RT42-2022zip </v>
      </c>
      <c r="I483">
        <f>1/100</f>
        <v>0.01</v>
      </c>
      <c r="J483" t="s">
        <v>1474</v>
      </c>
      <c r="K483" s="85">
        <f t="shared" si="19"/>
        <v>0.314</v>
      </c>
      <c r="L483" s="85" t="s">
        <v>258</v>
      </c>
    </row>
    <row r="484" spans="1:12">
      <c r="A484" t="s">
        <v>306</v>
      </c>
      <c r="B484" t="s">
        <v>251</v>
      </c>
      <c r="C484" s="5" t="s">
        <v>1539</v>
      </c>
      <c r="D484" t="s">
        <v>21</v>
      </c>
      <c r="E484" s="70">
        <f>IF(B484="","",INDEX(Ingredients!$I$1:$I$5013,(MATCH(InterventionCosts!B484,Ingredients!$A$1:$A$5013,0))))</f>
        <v>1.0227713593614072</v>
      </c>
      <c r="F484" s="5" t="str">
        <f>INDEX(Ingredients!J$1:J$265,(MATCH(InterventionCosts!B484,Ingredients!A$1:A$265,0)))</f>
        <v>per 1</v>
      </c>
      <c r="G484">
        <f>IF(B484="","",INDEX(Ingredients!$E$1:$E$238,(MATCH(InterventionCosts!B484,Ingredients!A$1:A$238,0))))</f>
        <v>2016</v>
      </c>
      <c r="H484" t="str">
        <f>INDEX(Ingredients!$F$1:$F$318,(MATCH(InterventionCosts!B484,Ingredients!A$1:A$318,0)))</f>
        <v>https://doi.org/10.1038/s41598-019-49109-w</v>
      </c>
      <c r="I484">
        <v>1</v>
      </c>
      <c r="J484" t="s">
        <v>1474</v>
      </c>
      <c r="K484" s="85">
        <f t="shared" si="19"/>
        <v>1.0227713593614072</v>
      </c>
      <c r="L484" s="85" t="s">
        <v>292</v>
      </c>
    </row>
    <row r="485" spans="1:12">
      <c r="A485" t="s">
        <v>306</v>
      </c>
      <c r="B485" t="s">
        <v>43</v>
      </c>
      <c r="C485" s="5" t="s">
        <v>1539</v>
      </c>
      <c r="D485" t="s">
        <v>21</v>
      </c>
      <c r="E485" s="70">
        <f>IF(B485="","",INDEX(Ingredients!$I$1:$I$5013,(MATCH(InterventionCosts!B485,Ingredients!$A$1:$A$5013,0))))</f>
        <v>0.61939459752201187</v>
      </c>
      <c r="F485" s="5" t="str">
        <f>INDEX(Ingredients!J$1:J$265,(MATCH(InterventionCosts!B485,Ingredients!A$1:A$265,0)))</f>
        <v>per condom</v>
      </c>
      <c r="G485">
        <f>IF(B485="","",INDEX(Ingredients!$E$1:$E$238,(MATCH(InterventionCosts!B485,Ingredients!A$1:A$238,0))))</f>
        <v>2024</v>
      </c>
      <c r="H485" t="str">
        <f>INDEX(Ingredients!$F$1:$F$318,(MATCH(InterventionCosts!B485,Ingredients!A$1:A$318,0)))</f>
        <v>https://www.treasury.gov.za/divisions/ocpo/ostb/contracts/RT75-2021.zip</v>
      </c>
      <c r="I485">
        <v>10</v>
      </c>
      <c r="J485" t="s">
        <v>1474</v>
      </c>
      <c r="K485" s="85">
        <f t="shared" si="19"/>
        <v>6.1939459752201191</v>
      </c>
      <c r="L485" s="85" t="s">
        <v>292</v>
      </c>
    </row>
    <row r="486" spans="1:12" s="89" customFormat="1">
      <c r="A486" s="4" t="s">
        <v>306</v>
      </c>
      <c r="F486" s="89" t="s">
        <v>1164</v>
      </c>
      <c r="G486" s="89" t="str">
        <f>IF(B486="","",INDEX(Ingredients!$E$1:$E$238,(MATCH(InterventionCosts!B486,Ingredients!A$1:A$238,0))))</f>
        <v/>
      </c>
      <c r="K486" s="90"/>
      <c r="L486" s="90">
        <f>SUM(K471:K485)</f>
        <v>132.60578498897496</v>
      </c>
    </row>
    <row r="487" spans="1:12" s="89" customFormat="1">
      <c r="A487" s="4" t="s">
        <v>306</v>
      </c>
      <c r="F487" s="89" t="s">
        <v>117</v>
      </c>
      <c r="G487" s="89" t="str">
        <f>IF(B487="","",INDEX(Ingredients!$E$1:$E$238,(MATCH(InterventionCosts!B487,Ingredients!A$1:A$238,0))))</f>
        <v/>
      </c>
      <c r="K487" s="90"/>
      <c r="L487" s="90" t="s">
        <v>936</v>
      </c>
    </row>
    <row r="488" spans="1:12">
      <c r="G488" t="str">
        <f>IF(B488="","",INDEX(Ingredients!$E$1:$E$238,(MATCH(InterventionCosts!B488,Ingredients!A$1:A$238,0))))</f>
        <v/>
      </c>
    </row>
    <row r="489" spans="1:12">
      <c r="A489" t="s">
        <v>307</v>
      </c>
      <c r="B489" t="s">
        <v>308</v>
      </c>
      <c r="C489" s="5" t="s">
        <v>1539</v>
      </c>
      <c r="D489" t="s">
        <v>67</v>
      </c>
      <c r="E489" s="70">
        <f>IF(B489="","",INDEX(Ingredients!$I$1:$I$5013,(MATCH(InterventionCosts!B489,Ingredients!$A$1:$A$5013,0))))</f>
        <v>2577.4452112671624</v>
      </c>
      <c r="F489" s="5" t="str">
        <f>INDEX(Ingredients!J$1:J$265,(MATCH(InterventionCosts!B489,Ingredients!A$1:A$265,0)))</f>
        <v>per month</v>
      </c>
      <c r="G489">
        <f>IF(B489="","",INDEX(Ingredients!$E$1:$E$238,(MATCH(InterventionCosts!B489,Ingredients!A$1:A$238,0))))</f>
        <v>2016</v>
      </c>
      <c r="H489" t="str">
        <f>INDEX(Ingredients!$F$1:$F$318,(MATCH(InterventionCosts!B489,Ingredients!A$1:A$318,0)))</f>
        <v>https://doi.org/10.1038/s41598-019-49109-w; Tabana Operational Vehicle 2016</v>
      </c>
      <c r="I489">
        <f>1/421</f>
        <v>2.3752969121140144E-3</v>
      </c>
      <c r="J489" t="s">
        <v>1474</v>
      </c>
      <c r="K489" s="85">
        <f t="shared" ref="K489:K511" si="20">I489*E489</f>
        <v>6.1221976514659442</v>
      </c>
      <c r="L489" s="85" t="s">
        <v>67</v>
      </c>
    </row>
    <row r="490" spans="1:12">
      <c r="A490" t="s">
        <v>307</v>
      </c>
      <c r="B490" t="s">
        <v>53</v>
      </c>
      <c r="C490" s="5" t="s">
        <v>1539</v>
      </c>
      <c r="D490" t="s">
        <v>48</v>
      </c>
      <c r="E490" s="70">
        <f>IF(B490="","",INDEX(Ingredients!$I$1:$I$5013,(MATCH(InterventionCosts!B490,Ingredients!$A$1:$A$5013,0))))</f>
        <v>4100.2266666666665</v>
      </c>
      <c r="F490" s="5" t="str">
        <f>INDEX(Ingredients!J$1:J$265,(MATCH(InterventionCosts!B490,Ingredients!A$1:A$265,0)))</f>
        <v>per month</v>
      </c>
      <c r="G490">
        <f>IF(B490="","",INDEX(Ingredients!$E$1:$E$238,(MATCH(InterventionCosts!B490,Ingredients!A$1:A$238,0))))</f>
        <v>2024</v>
      </c>
      <c r="H490" t="str">
        <f>INDEX(Ingredients!$F$1:$F$318,(MATCH(InterventionCosts!B490,Ingredients!A$1:A$318,0)))</f>
        <v>https://www.health.gov.za/wp-content/uploads/2022/07/Health-Department-welcomes-Bargaining-Council-resolution-to-improve-work-conditions-of-CHWs-27-July-2022.pdf</v>
      </c>
      <c r="I490">
        <f>0.72/421</f>
        <v>1.7102137767220902E-3</v>
      </c>
      <c r="J490" t="s">
        <v>1474</v>
      </c>
      <c r="K490" s="85">
        <f t="shared" si="20"/>
        <v>7.0122641330166262</v>
      </c>
      <c r="L490" s="85" t="s">
        <v>291</v>
      </c>
    </row>
    <row r="491" spans="1:12">
      <c r="A491" t="s">
        <v>307</v>
      </c>
      <c r="B491" t="s">
        <v>301</v>
      </c>
      <c r="C491" s="5" t="s">
        <v>1539</v>
      </c>
      <c r="D491" t="s">
        <v>48</v>
      </c>
      <c r="E491" s="70">
        <f>IF(B491="","",INDEX(Ingredients!$I$1:$I$5013,(MATCH(InterventionCosts!B491,Ingredients!$A$1:$A$5013,0))))</f>
        <v>53200.165000000001</v>
      </c>
      <c r="F491" s="5" t="str">
        <f>INDEX(Ingredients!J$1:J$265,(MATCH(InterventionCosts!B491,Ingredients!A$1:A$265,0)))</f>
        <v>per month</v>
      </c>
      <c r="G491">
        <f>IF(B491="","",INDEX(Ingredients!$E$1:$E$238,(MATCH(InterventionCosts!B491,Ingredients!A$1:A$238,0))))</f>
        <v>2024</v>
      </c>
      <c r="H491" t="str">
        <f>INDEX(Ingredients!$F$1:$F$318,(MATCH(InterventionCosts!B491,Ingredients!A$1:A$318,0)))</f>
        <v xml:space="preserve">April 2024 Salary scale </v>
      </c>
      <c r="I491">
        <f>0.12/421</f>
        <v>2.8503562945368172E-4</v>
      </c>
      <c r="J491" t="s">
        <v>1474</v>
      </c>
      <c r="K491" s="85">
        <f t="shared" si="20"/>
        <v>15.163942517814728</v>
      </c>
      <c r="L491" s="85" t="s">
        <v>291</v>
      </c>
    </row>
    <row r="492" spans="1:12">
      <c r="A492" t="s">
        <v>307</v>
      </c>
      <c r="B492" t="s">
        <v>289</v>
      </c>
      <c r="C492" s="5" t="s">
        <v>1539</v>
      </c>
      <c r="D492" t="s">
        <v>48</v>
      </c>
      <c r="E492" s="70">
        <f>IF(B492="","",INDEX(Ingredients!$I$1:$I$5013,(MATCH(InterventionCosts!B492,Ingredients!$A$1:$A$5013,0))))</f>
        <v>34361.648333333331</v>
      </c>
      <c r="F492" s="5" t="str">
        <f>INDEX(Ingredients!J$1:J$265,(MATCH(InterventionCosts!B492,Ingredients!A$1:A$265,0)))</f>
        <v>per month</v>
      </c>
      <c r="G492">
        <f>IF(B492="","",INDEX(Ingredients!$E$1:$E$238,(MATCH(InterventionCosts!B492,Ingredients!A$1:A$238,0))))</f>
        <v>2024</v>
      </c>
      <c r="H492" t="str">
        <f>INDEX(Ingredients!$F$1:$F$318,(MATCH(InterventionCosts!B492,Ingredients!A$1:A$318,0)))</f>
        <v xml:space="preserve">April 2024 Salary scale </v>
      </c>
      <c r="I492">
        <f>1/421</f>
        <v>2.3752969121140144E-3</v>
      </c>
      <c r="J492" t="s">
        <v>1474</v>
      </c>
      <c r="K492" s="85">
        <f t="shared" si="20"/>
        <v>81.619117181314323</v>
      </c>
      <c r="L492" s="85" t="s">
        <v>291</v>
      </c>
    </row>
    <row r="493" spans="1:12">
      <c r="A493" t="s">
        <v>307</v>
      </c>
      <c r="B493" t="s">
        <v>246</v>
      </c>
      <c r="C493" s="5" t="s">
        <v>1539</v>
      </c>
      <c r="D493" t="s">
        <v>21</v>
      </c>
      <c r="E493" s="70">
        <f>IF(B493="","",INDEX(Ingredients!$I$1:$I$5013,(MATCH(InterventionCosts!B493,Ingredients!$A$1:$A$5013,0))))</f>
        <v>0.16400000000000001</v>
      </c>
      <c r="F493" s="5" t="str">
        <f>INDEX(Ingredients!J$1:J$265,(MATCH(InterventionCosts!B493,Ingredients!A$1:A$265,0)))</f>
        <v>per page</v>
      </c>
      <c r="G493">
        <f>IF(B493="","",INDEX(Ingredients!$E$1:$E$238,(MATCH(InterventionCosts!B493,Ingredients!A$1:A$238,0))))</f>
        <v>2024</v>
      </c>
      <c r="H493" t="str">
        <f>INDEX(Ingredients!$F$1:$F$318,(MATCH(InterventionCosts!B493,Ingredients!A$1:A$318,0)))</f>
        <v>https://www.makro.co.za/stationery-office-furniture/paper-filing/paper/white-paper/copy-paper/typek-a4-office-paper-80-gsm/p/000000000000012434_BOX</v>
      </c>
      <c r="I493">
        <f>1*0.1*1.01</f>
        <v>0.10100000000000001</v>
      </c>
      <c r="J493" t="s">
        <v>1474</v>
      </c>
      <c r="K493" s="85">
        <f t="shared" si="20"/>
        <v>1.6564000000000002E-2</v>
      </c>
      <c r="L493" s="85" t="s">
        <v>291</v>
      </c>
    </row>
    <row r="494" spans="1:12">
      <c r="A494" t="s">
        <v>307</v>
      </c>
      <c r="B494" t="s">
        <v>313</v>
      </c>
      <c r="C494" s="5" t="s">
        <v>1539</v>
      </c>
      <c r="D494" t="s">
        <v>81</v>
      </c>
      <c r="E494" s="70">
        <f>IF(B494="","",INDEX(Ingredients!$I$1:$I$5013,(MATCH(InterventionCosts!B494,Ingredients!$A$1:$A$5013,0))))</f>
        <v>524.2261446645075</v>
      </c>
      <c r="F494" s="5" t="str">
        <f>INDEX(Ingredients!J$1:J$265,(MATCH(InterventionCosts!B494,Ingredients!A$1:A$265,0)))</f>
        <v>per room</v>
      </c>
      <c r="G494">
        <f>IF(B494="","",INDEX(Ingredients!$E$1:$E$238,(MATCH(InterventionCosts!B494,Ingredients!A$1:A$238,0))))</f>
        <v>2016</v>
      </c>
      <c r="H494" t="str">
        <f>INDEX(Ingredients!$F$1:$F$318,(MATCH(InterventionCosts!B494,Ingredients!A$1:A$318,0)))</f>
        <v>https://doi.org/10.1038/s41598-019-49109-w</v>
      </c>
      <c r="I494">
        <f>1/421</f>
        <v>2.3752969121140144E-3</v>
      </c>
      <c r="J494" t="s">
        <v>1474</v>
      </c>
      <c r="K494" s="85">
        <f t="shared" si="20"/>
        <v>1.2451927426710392</v>
      </c>
      <c r="L494" s="85" t="s">
        <v>302</v>
      </c>
    </row>
    <row r="495" spans="1:12">
      <c r="A495" t="s">
        <v>307</v>
      </c>
      <c r="B495" t="s">
        <v>314</v>
      </c>
      <c r="C495" s="5" t="s">
        <v>1539</v>
      </c>
      <c r="D495" t="s">
        <v>67</v>
      </c>
      <c r="E495" s="70">
        <f>IF(B495="","",INDEX(Ingredients!$I$1:$I$5013,(MATCH(InterventionCosts!B495,Ingredients!$A$1:$A$5013,0))))</f>
        <v>164.42322899462931</v>
      </c>
      <c r="F495" s="5" t="str">
        <f>INDEX(Ingredients!J$1:J$265,(MATCH(InterventionCosts!B495,Ingredients!A$1:A$265,0)))</f>
        <v>per room</v>
      </c>
      <c r="G495">
        <f>IF(B495="","",INDEX(Ingredients!$E$1:$E$238,(MATCH(InterventionCosts!B495,Ingredients!A$1:A$238,0))))</f>
        <v>2016</v>
      </c>
      <c r="H495" t="str">
        <f>INDEX(Ingredients!$F$1:$F$318,(MATCH(InterventionCosts!B495,Ingredients!A$1:A$318,0)))</f>
        <v>https://doi.org/10.1038/s41598-019-49109-w</v>
      </c>
      <c r="I495">
        <f>1/421</f>
        <v>2.3752969121140144E-3</v>
      </c>
      <c r="J495" t="s">
        <v>1474</v>
      </c>
      <c r="K495" s="85">
        <f t="shared" si="20"/>
        <v>0.39055398811075848</v>
      </c>
      <c r="L495" s="85" t="s">
        <v>302</v>
      </c>
    </row>
    <row r="496" spans="1:12">
      <c r="A496" t="s">
        <v>307</v>
      </c>
      <c r="B496" t="s">
        <v>246</v>
      </c>
      <c r="C496" s="5" t="s">
        <v>1539</v>
      </c>
      <c r="D496" t="s">
        <v>21</v>
      </c>
      <c r="E496" s="70">
        <f>IF(B496="","",INDEX(Ingredients!$I$1:$I$5013,(MATCH(InterventionCosts!B496,Ingredients!$A$1:$A$5013,0))))</f>
        <v>0.16400000000000001</v>
      </c>
      <c r="F496" s="5" t="str">
        <f>INDEX(Ingredients!J$1:J$265,(MATCH(InterventionCosts!B496,Ingredients!A$1:A$265,0)))</f>
        <v>per page</v>
      </c>
      <c r="G496">
        <f>IF(B496="","",INDEX(Ingredients!$E$1:$E$238,(MATCH(InterventionCosts!B496,Ingredients!A$1:A$238,0))))</f>
        <v>2024</v>
      </c>
      <c r="H496" t="str">
        <f>INDEX(Ingredients!$F$1:$F$318,(MATCH(InterventionCosts!B496,Ingredients!A$1:A$318,0)))</f>
        <v>https://www.makro.co.za/stationery-office-furniture/paper-filing/paper/white-paper/copy-paper/typek-a4-office-paper-80-gsm/p/000000000000012434_BOX</v>
      </c>
      <c r="I496">
        <f>1</f>
        <v>1</v>
      </c>
      <c r="J496" t="s">
        <v>1474</v>
      </c>
      <c r="K496" s="85">
        <f t="shared" si="20"/>
        <v>0.16400000000000001</v>
      </c>
      <c r="L496" s="85" t="s">
        <v>1508</v>
      </c>
    </row>
    <row r="497" spans="1:12">
      <c r="A497" t="s">
        <v>307</v>
      </c>
      <c r="B497" t="s">
        <v>247</v>
      </c>
      <c r="C497" s="5" t="s">
        <v>1539</v>
      </c>
      <c r="D497" t="s">
        <v>21</v>
      </c>
      <c r="E497" s="70">
        <f>IF(B497="","",INDEX(Ingredients!$I$1:$I$5013,(MATCH(InterventionCosts!B497,Ingredients!$A$1:$A$5013,0))))</f>
        <v>274.72000000000003</v>
      </c>
      <c r="F497" s="5" t="str">
        <f>INDEX(Ingredients!J$1:J$265,(MATCH(InterventionCosts!B497,Ingredients!A$1:A$265,0)))</f>
        <v>per 5L</v>
      </c>
      <c r="G497">
        <f>IF(B497="","",INDEX(Ingredients!$E$1:$E$238,(MATCH(InterventionCosts!B497,Ingredients!A$1:A$238,0))))</f>
        <v>2024</v>
      </c>
      <c r="H497" t="str">
        <f>INDEX(Ingredients!$F$1:$F$318,(MATCH(InterventionCosts!B497,Ingredients!A$1:A$318,0)))</f>
        <v>https://www.health.gov.za/wp-content/uploads/2024/04/HP12-2023LQ-CPA-Add-4-12-Effective-1-May-2024.pdf</v>
      </c>
      <c r="I497">
        <f>1/5000*1.01</f>
        <v>2.02E-4</v>
      </c>
      <c r="J497" t="s">
        <v>1474</v>
      </c>
      <c r="K497" s="85">
        <f t="shared" si="20"/>
        <v>5.5493440000000005E-2</v>
      </c>
      <c r="L497" s="85" t="s">
        <v>258</v>
      </c>
    </row>
    <row r="498" spans="1:12">
      <c r="A498" t="s">
        <v>307</v>
      </c>
      <c r="B498" t="s">
        <v>1489</v>
      </c>
      <c r="C498" s="5" t="s">
        <v>1539</v>
      </c>
      <c r="D498" t="s">
        <v>21</v>
      </c>
      <c r="E498" s="70">
        <f>IF(B498="","",INDEX(Ingredients!$I$1:$I$5013,(MATCH(InterventionCosts!B498,Ingredients!$A$1:$A$5013,0))))</f>
        <v>53.08</v>
      </c>
      <c r="F498" s="5" t="str">
        <f>INDEX(Ingredients!J$1:J$265,(MATCH(InterventionCosts!B498,Ingredients!A$1:A$265,0)))</f>
        <v>per pack 100, 50 pairs</v>
      </c>
      <c r="G498">
        <f>IF(B498="","",INDEX(Ingredients!$E$1:$E$238,(MATCH(InterventionCosts!B498,Ingredients!A$1:A$238,0))))</f>
        <v>2024</v>
      </c>
      <c r="H498" t="str">
        <f>INDEX(Ingredients!$F$1:$F$318,(MATCH(InterventionCosts!B498,Ingredients!A$1:A$318,0)))</f>
        <v>https://www.treasury.gov.za/divisions/ocpo/ostb/contracts/RT76-2023%20CPA%20Amendment%204-%20Effective%2001%20May%202024.pdf</v>
      </c>
      <c r="I498">
        <f>1/50*1.01</f>
        <v>2.0199999999999999E-2</v>
      </c>
      <c r="J498" t="s">
        <v>1474</v>
      </c>
      <c r="K498" s="85">
        <f t="shared" si="20"/>
        <v>1.0722159999999998</v>
      </c>
      <c r="L498" s="85" t="s">
        <v>258</v>
      </c>
    </row>
    <row r="499" spans="1:12">
      <c r="A499" t="s">
        <v>307</v>
      </c>
      <c r="B499" t="s">
        <v>79</v>
      </c>
      <c r="C499" s="5" t="s">
        <v>1539</v>
      </c>
      <c r="D499" t="s">
        <v>21</v>
      </c>
      <c r="E499" s="70">
        <f>IF(B499="","",INDEX(Ingredients!$I$1:$I$5013,(MATCH(InterventionCosts!B499,Ingredients!$A$1:$A$5013,0))))</f>
        <v>9.3000000000000007</v>
      </c>
      <c r="F499" s="5" t="str">
        <f>INDEX(Ingredients!J$1:J$265,(MATCH(InterventionCosts!B499,Ingredients!A$1:A$265,0)))</f>
        <v>per test</v>
      </c>
      <c r="G499">
        <f>IF(B499="","",INDEX(Ingredients!$E$1:$E$238,(MATCH(InterventionCosts!B499,Ingredients!A$1:A$238,0))))</f>
        <v>2024</v>
      </c>
      <c r="H499" t="str">
        <f>INDEX(Ingredients!$F$1:$F$318,(MATCH(InterventionCosts!B499,Ingredients!A$1:A$318,0)))</f>
        <v>https://www.treasury.gov.za/divisions/ocpo/ostb/contracts/RT41-2020.zip</v>
      </c>
      <c r="I499">
        <f>1*1.01</f>
        <v>1.01</v>
      </c>
      <c r="J499" t="s">
        <v>1474</v>
      </c>
      <c r="K499" s="85">
        <f t="shared" si="20"/>
        <v>9.3930000000000007</v>
      </c>
      <c r="L499" s="85" t="s">
        <v>258</v>
      </c>
    </row>
    <row r="500" spans="1:12">
      <c r="A500" t="s">
        <v>307</v>
      </c>
      <c r="B500" t="s">
        <v>248</v>
      </c>
      <c r="C500" s="5" t="s">
        <v>1539</v>
      </c>
      <c r="D500" t="s">
        <v>21</v>
      </c>
      <c r="E500" s="70">
        <f>IF(B500="","",INDEX(Ingredients!$I$1:$I$5013,(MATCH(InterventionCosts!B500,Ingredients!$A$1:$A$5013,0))))</f>
        <v>2.645</v>
      </c>
      <c r="F500" s="5" t="str">
        <f>INDEX(Ingredients!J$1:J$265,(MATCH(InterventionCosts!B500,Ingredients!A$1:A$265,0)))</f>
        <v>per bag</v>
      </c>
      <c r="G500">
        <f>IF(B500="","",INDEX(Ingredients!$E$1:$E$238,(MATCH(InterventionCosts!B500,Ingredients!A$1:A$238,0))))</f>
        <v>2024</v>
      </c>
      <c r="H500" t="str">
        <f>INDEX(Ingredients!$F$1:$F$318,(MATCH(InterventionCosts!B500,Ingredients!A$1:A$318,0)))</f>
        <v>https://medqsupplies.co.za/product/bio-hazard-plastic-bags/</v>
      </c>
      <c r="I500">
        <f>1*1.01</f>
        <v>1.01</v>
      </c>
      <c r="J500" t="s">
        <v>1474</v>
      </c>
      <c r="K500" s="85">
        <f t="shared" si="20"/>
        <v>2.6714500000000001</v>
      </c>
      <c r="L500" s="85" t="s">
        <v>258</v>
      </c>
    </row>
    <row r="501" spans="1:12">
      <c r="A501" t="s">
        <v>307</v>
      </c>
      <c r="B501" t="s">
        <v>31</v>
      </c>
      <c r="C501" s="5" t="s">
        <v>1539</v>
      </c>
      <c r="D501" t="s">
        <v>21</v>
      </c>
      <c r="E501" s="70">
        <f>IF(B501="","",INDEX(Ingredients!$I$1:$I$5013,(MATCH(InterventionCosts!B501,Ingredients!$A$1:$A$5013,0))))</f>
        <v>31.4</v>
      </c>
      <c r="F501" s="5" t="str">
        <f>INDEX(Ingredients!J$1:J$265,(MATCH(InterventionCosts!B501,Ingredients!A$1:A$265,0)))</f>
        <v>per 100 swabs</v>
      </c>
      <c r="G501">
        <f>IF(B501="","",INDEX(Ingredients!$E$1:$E$238,(MATCH(InterventionCosts!B501,Ingredients!A$1:A$238,0))))</f>
        <v>2024</v>
      </c>
      <c r="H501" t="str">
        <f>INDEX(Ingredients!$F$1:$F$318,(MATCH(InterventionCosts!B501,Ingredients!A$1:A$318,0)))</f>
        <v xml:space="preserve">http://www.treasury.gov.za/divisions/ocpo/ostb/contracts/RT42-2022zip </v>
      </c>
      <c r="I501">
        <f>1/100*1.01</f>
        <v>1.01E-2</v>
      </c>
      <c r="J501" t="s">
        <v>1474</v>
      </c>
      <c r="K501" s="85">
        <f t="shared" si="20"/>
        <v>0.31713999999999998</v>
      </c>
      <c r="L501" s="85" t="s">
        <v>258</v>
      </c>
    </row>
    <row r="502" spans="1:12">
      <c r="A502" t="s">
        <v>307</v>
      </c>
      <c r="B502" t="s">
        <v>249</v>
      </c>
      <c r="C502" s="5" t="s">
        <v>1539</v>
      </c>
      <c r="D502" t="s">
        <v>21</v>
      </c>
      <c r="E502" s="70">
        <f>IF(B502="","",INDEX(Ingredients!$I$1:$I$5013,(MATCH(InterventionCosts!B502,Ingredients!$A$1:$A$5013,0))))</f>
        <v>7.86</v>
      </c>
      <c r="F502" s="5" t="str">
        <f>INDEX(Ingredients!J$1:J$265,(MATCH(InterventionCosts!B502,Ingredients!A$1:A$265,0)))</f>
        <v>per test kit</v>
      </c>
      <c r="G502">
        <f>IF(B502="","",INDEX(Ingredients!$E$1:$E$238,(MATCH(InterventionCosts!B502,Ingredients!A$1:A$238,0))))</f>
        <v>2024</v>
      </c>
      <c r="H502" t="str">
        <f>INDEX(Ingredients!$F$1:$F$318,(MATCH(InterventionCosts!B502,Ingredients!A$1:A$318,0)))</f>
        <v>https://www.treasury.gov.za/divisions/ocpo/ostb/contracts/RT41-2020.zip</v>
      </c>
      <c r="I502">
        <v>1</v>
      </c>
      <c r="J502" t="s">
        <v>1474</v>
      </c>
      <c r="K502" s="85">
        <f t="shared" si="20"/>
        <v>7.86</v>
      </c>
      <c r="L502" s="85" t="s">
        <v>316</v>
      </c>
    </row>
    <row r="503" spans="1:12">
      <c r="A503" t="s">
        <v>307</v>
      </c>
      <c r="B503" t="s">
        <v>31</v>
      </c>
      <c r="C503" s="5" t="s">
        <v>1539</v>
      </c>
      <c r="D503" t="s">
        <v>21</v>
      </c>
      <c r="E503" s="70">
        <f>IF(B503="","",INDEX(Ingredients!$I$1:$I$5013,(MATCH(InterventionCosts!B503,Ingredients!$A$1:$A$5013,0))))</f>
        <v>31.4</v>
      </c>
      <c r="F503" s="5" t="str">
        <f>INDEX(Ingredients!J$1:J$265,(MATCH(InterventionCosts!B503,Ingredients!A$1:A$265,0)))</f>
        <v>per 100 swabs</v>
      </c>
      <c r="G503">
        <f>IF(B503="","",INDEX(Ingredients!$E$1:$E$238,(MATCH(InterventionCosts!B503,Ingredients!A$1:A$238,0))))</f>
        <v>2024</v>
      </c>
      <c r="H503" t="str">
        <f>INDEX(Ingredients!$F$1:$F$318,(MATCH(InterventionCosts!B503,Ingredients!A$1:A$318,0)))</f>
        <v xml:space="preserve">http://www.treasury.gov.za/divisions/ocpo/ostb/contracts/RT42-2022zip </v>
      </c>
      <c r="I503">
        <f>1/100</f>
        <v>0.01</v>
      </c>
      <c r="J503" t="s">
        <v>1474</v>
      </c>
      <c r="K503" s="85">
        <f t="shared" si="20"/>
        <v>0.314</v>
      </c>
      <c r="L503" s="85" t="s">
        <v>316</v>
      </c>
    </row>
    <row r="504" spans="1:12">
      <c r="A504" t="s">
        <v>307</v>
      </c>
      <c r="B504" t="s">
        <v>79</v>
      </c>
      <c r="C504" s="5" t="s">
        <v>1539</v>
      </c>
      <c r="D504" t="s">
        <v>21</v>
      </c>
      <c r="E504" s="70">
        <f>IF(B504="","",INDEX(Ingredients!$I$1:$I$5013,(MATCH(InterventionCosts!B504,Ingredients!$A$1:$A$5013,0))))</f>
        <v>9.3000000000000007</v>
      </c>
      <c r="F504" s="5" t="str">
        <f>INDEX(Ingredients!J$1:J$265,(MATCH(InterventionCosts!B504,Ingredients!A$1:A$265,0)))</f>
        <v>per test</v>
      </c>
      <c r="G504">
        <f>IF(B504="","",INDEX(Ingredients!$E$1:$E$238,(MATCH(InterventionCosts!B504,Ingredients!A$1:A$238,0))))</f>
        <v>2024</v>
      </c>
      <c r="H504" t="str">
        <f>INDEX(Ingredients!$F$1:$F$318,(MATCH(InterventionCosts!B504,Ingredients!A$1:A$318,0)))</f>
        <v>https://www.treasury.gov.za/divisions/ocpo/ostb/contracts/RT41-2020.zip</v>
      </c>
      <c r="I504">
        <f>1*0.0079</f>
        <v>7.9000000000000008E-3</v>
      </c>
      <c r="J504" t="s">
        <v>1474</v>
      </c>
      <c r="K504" s="85">
        <f t="shared" si="20"/>
        <v>7.3470000000000008E-2</v>
      </c>
      <c r="L504" s="85" t="s">
        <v>304</v>
      </c>
    </row>
    <row r="505" spans="1:12">
      <c r="A505" t="s">
        <v>307</v>
      </c>
      <c r="B505" t="s">
        <v>31</v>
      </c>
      <c r="C505" s="5" t="s">
        <v>1539</v>
      </c>
      <c r="D505" t="s">
        <v>21</v>
      </c>
      <c r="E505" s="70">
        <f>IF(B505="","",INDEX(Ingredients!$I$1:$I$5013,(MATCH(InterventionCosts!B505,Ingredients!$A$1:$A$5013,0))))</f>
        <v>31.4</v>
      </c>
      <c r="F505" s="5" t="str">
        <f>INDEX(Ingredients!J$1:J$265,(MATCH(InterventionCosts!B505,Ingredients!A$1:A$265,0)))</f>
        <v>per 100 swabs</v>
      </c>
      <c r="G505">
        <f>IF(B505="","",INDEX(Ingredients!$E$1:$E$238,(MATCH(InterventionCosts!B505,Ingredients!A$1:A$238,0))))</f>
        <v>2024</v>
      </c>
      <c r="H505" t="str">
        <f>INDEX(Ingredients!$F$1:$F$318,(MATCH(InterventionCosts!B505,Ingredients!A$1:A$318,0)))</f>
        <v xml:space="preserve">http://www.treasury.gov.za/divisions/ocpo/ostb/contracts/RT42-2022zip </v>
      </c>
      <c r="I505">
        <f>1/100*0.0079</f>
        <v>7.9000000000000009E-5</v>
      </c>
      <c r="J505" t="s">
        <v>1474</v>
      </c>
      <c r="K505" s="85">
        <f t="shared" si="20"/>
        <v>2.4806000000000003E-3</v>
      </c>
      <c r="L505" s="85" t="s">
        <v>304</v>
      </c>
    </row>
    <row r="506" spans="1:12">
      <c r="A506" t="s">
        <v>307</v>
      </c>
      <c r="B506" t="s">
        <v>249</v>
      </c>
      <c r="C506" s="5" t="s">
        <v>1539</v>
      </c>
      <c r="D506" t="s">
        <v>21</v>
      </c>
      <c r="E506" s="70">
        <f>IF(B506="","",INDEX(Ingredients!$I$1:$I$5013,(MATCH(InterventionCosts!B506,Ingredients!$A$1:$A$5013,0))))</f>
        <v>7.86</v>
      </c>
      <c r="F506" s="5" t="str">
        <f>INDEX(Ingredients!J$1:J$265,(MATCH(InterventionCosts!B506,Ingredients!A$1:A$265,0)))</f>
        <v>per test kit</v>
      </c>
      <c r="G506">
        <f>IF(B506="","",INDEX(Ingredients!$E$1:$E$238,(MATCH(InterventionCosts!B506,Ingredients!A$1:A$238,0))))</f>
        <v>2024</v>
      </c>
      <c r="H506" t="str">
        <f>INDEX(Ingredients!$F$1:$F$318,(MATCH(InterventionCosts!B506,Ingredients!A$1:A$318,0)))</f>
        <v>https://www.treasury.gov.za/divisions/ocpo/ostb/contracts/RT41-2020.zip</v>
      </c>
      <c r="I506">
        <f>1*0.0079</f>
        <v>7.9000000000000008E-3</v>
      </c>
      <c r="J506" t="s">
        <v>1474</v>
      </c>
      <c r="K506" s="85">
        <f t="shared" si="20"/>
        <v>6.209400000000001E-2</v>
      </c>
      <c r="L506" s="85" t="s">
        <v>305</v>
      </c>
    </row>
    <row r="507" spans="1:12">
      <c r="A507" t="s">
        <v>307</v>
      </c>
      <c r="B507" t="s">
        <v>31</v>
      </c>
      <c r="C507" s="5" t="s">
        <v>1539</v>
      </c>
      <c r="D507" t="s">
        <v>21</v>
      </c>
      <c r="E507" s="70">
        <f>IF(B507="","",INDEX(Ingredients!$I$1:$I$5013,(MATCH(InterventionCosts!B507,Ingredients!$A$1:$A$5013,0))))</f>
        <v>31.4</v>
      </c>
      <c r="F507" s="5" t="str">
        <f>INDEX(Ingredients!J$1:J$265,(MATCH(InterventionCosts!B507,Ingredients!A$1:A$265,0)))</f>
        <v>per 100 swabs</v>
      </c>
      <c r="G507">
        <f>IF(B507="","",INDEX(Ingredients!$E$1:$E$238,(MATCH(InterventionCosts!B507,Ingredients!A$1:A$238,0))))</f>
        <v>2024</v>
      </c>
      <c r="H507" t="str">
        <f>INDEX(Ingredients!$F$1:$F$318,(MATCH(InterventionCosts!B507,Ingredients!A$1:A$318,0)))</f>
        <v xml:space="preserve">http://www.treasury.gov.za/divisions/ocpo/ostb/contracts/RT42-2022zip </v>
      </c>
      <c r="I507">
        <f>1/100*0.0079</f>
        <v>7.9000000000000009E-5</v>
      </c>
      <c r="J507" t="s">
        <v>1474</v>
      </c>
      <c r="K507" s="85">
        <f t="shared" si="20"/>
        <v>2.4806000000000003E-3</v>
      </c>
      <c r="L507" s="85" t="s">
        <v>305</v>
      </c>
    </row>
    <row r="508" spans="1:12">
      <c r="A508" t="s">
        <v>307</v>
      </c>
      <c r="B508" t="s">
        <v>250</v>
      </c>
      <c r="C508" s="5" t="s">
        <v>1539</v>
      </c>
      <c r="D508" t="s">
        <v>21</v>
      </c>
      <c r="E508" s="70">
        <f>IF(B508="","",INDEX(Ingredients!$I$1:$I$5013,(MATCH(InterventionCosts!B508,Ingredients!$A$1:$A$5013,0))))</f>
        <v>71.889951748999991</v>
      </c>
      <c r="F508" s="5" t="str">
        <f>INDEX(Ingredients!J$1:J$265,(MATCH(InterventionCosts!B508,Ingredients!A$1:A$265,0)))</f>
        <v>per test</v>
      </c>
      <c r="G508">
        <f>IF(B508="","",INDEX(Ingredients!$E$1:$E$238,(MATCH(InterventionCosts!B508,Ingredients!A$1:A$238,0))))</f>
        <v>2021</v>
      </c>
      <c r="H508" t="str">
        <f>INDEX(Ingredients!$F$1:$F$318,(MATCH(InterventionCosts!B508,Ingredients!A$1:A$318,0)))</f>
        <v>NHLS 2021 price-list</v>
      </c>
      <c r="I508">
        <v>3.8999999999999998E-3</v>
      </c>
      <c r="J508" t="s">
        <v>1474</v>
      </c>
      <c r="K508" s="85">
        <f t="shared" si="20"/>
        <v>0.28037081182109996</v>
      </c>
      <c r="L508" s="85" t="s">
        <v>295</v>
      </c>
    </row>
    <row r="509" spans="1:12">
      <c r="A509" t="s">
        <v>307</v>
      </c>
      <c r="B509" t="s">
        <v>31</v>
      </c>
      <c r="C509" s="5" t="s">
        <v>1539</v>
      </c>
      <c r="D509" s="5" t="s">
        <v>21</v>
      </c>
      <c r="E509" s="70">
        <f>IF(B509="","",INDEX(Ingredients!$I$1:$I$5013,(MATCH(InterventionCosts!B509,Ingredients!$A$1:$A$5013,0))))</f>
        <v>31.4</v>
      </c>
      <c r="F509" s="5" t="str">
        <f>INDEX(Ingredients!J$1:J$265,(MATCH(InterventionCosts!B509,Ingredients!A$1:A$265,0)))</f>
        <v>per 100 swabs</v>
      </c>
      <c r="G509">
        <f>IF(B509="","",INDEX(Ingredients!$E$1:$E$238,(MATCH(InterventionCosts!B509,Ingredients!A$1:A$238,0))))</f>
        <v>2024</v>
      </c>
      <c r="H509" t="str">
        <f>INDEX(Ingredients!$F$1:$F$318,(MATCH(InterventionCosts!B509,Ingredients!A$1:A$318,0)))</f>
        <v xml:space="preserve">http://www.treasury.gov.za/divisions/ocpo/ostb/contracts/RT42-2022zip </v>
      </c>
      <c r="I509">
        <f>1/100*0.0039</f>
        <v>3.8999999999999999E-5</v>
      </c>
      <c r="J509" t="s">
        <v>1474</v>
      </c>
      <c r="K509" s="85">
        <f t="shared" si="20"/>
        <v>1.2246E-3</v>
      </c>
      <c r="L509" s="85" t="s">
        <v>295</v>
      </c>
    </row>
    <row r="510" spans="1:12">
      <c r="A510" t="s">
        <v>307</v>
      </c>
      <c r="B510" t="s">
        <v>43</v>
      </c>
      <c r="C510" s="5" t="s">
        <v>1539</v>
      </c>
      <c r="D510" s="5" t="s">
        <v>21</v>
      </c>
      <c r="E510" s="70">
        <f>IF(B510="","",INDEX(Ingredients!$I$1:$I$5013,(MATCH(InterventionCosts!B510,Ingredients!$A$1:$A$5013,0))))</f>
        <v>0.61939459752201187</v>
      </c>
      <c r="F510" s="5" t="str">
        <f>INDEX(Ingredients!J$1:J$265,(MATCH(InterventionCosts!B510,Ingredients!A$1:A$265,0)))</f>
        <v>per condom</v>
      </c>
      <c r="G510">
        <f>IF(B510="","",INDEX(Ingredients!$E$1:$E$238,(MATCH(InterventionCosts!B510,Ingredients!A$1:A$238,0))))</f>
        <v>2024</v>
      </c>
      <c r="H510" t="str">
        <f>INDEX(Ingredients!$F$1:$F$318,(MATCH(InterventionCosts!B510,Ingredients!A$1:A$318,0)))</f>
        <v>https://www.treasury.gov.za/divisions/ocpo/ostb/contracts/RT75-2021.zip</v>
      </c>
      <c r="I510">
        <v>10</v>
      </c>
      <c r="J510" t="s">
        <v>1474</v>
      </c>
      <c r="K510" s="85">
        <f t="shared" si="20"/>
        <v>6.1939459752201191</v>
      </c>
      <c r="L510" s="85" t="s">
        <v>268</v>
      </c>
    </row>
    <row r="511" spans="1:12">
      <c r="A511" t="s">
        <v>307</v>
      </c>
      <c r="B511" t="s">
        <v>251</v>
      </c>
      <c r="C511" s="5" t="s">
        <v>1539</v>
      </c>
      <c r="D511" s="5" t="s">
        <v>21</v>
      </c>
      <c r="E511" s="70">
        <f>IF(B511="","",INDEX(Ingredients!$I$1:$I$5013,(MATCH(InterventionCosts!B511,Ingredients!$A$1:$A$5013,0))))</f>
        <v>1.0227713593614072</v>
      </c>
      <c r="F511" s="5" t="str">
        <f>INDEX(Ingredients!J$1:J$265,(MATCH(InterventionCosts!B511,Ingredients!A$1:A$265,0)))</f>
        <v>per 1</v>
      </c>
      <c r="G511">
        <f>IF(B511="","",INDEX(Ingredients!$E$1:$E$238,(MATCH(InterventionCosts!B511,Ingredients!A$1:A$238,0))))</f>
        <v>2016</v>
      </c>
      <c r="H511" t="str">
        <f>INDEX(Ingredients!$F$1:$F$318,(MATCH(InterventionCosts!B511,Ingredients!A$1:A$318,0)))</f>
        <v>https://doi.org/10.1038/s41598-019-49109-w</v>
      </c>
      <c r="I511">
        <v>1</v>
      </c>
      <c r="J511" t="s">
        <v>1474</v>
      </c>
      <c r="K511" s="85">
        <f t="shared" si="20"/>
        <v>1.0227713593614072</v>
      </c>
      <c r="L511" s="85" t="s">
        <v>268</v>
      </c>
    </row>
    <row r="512" spans="1:12" s="89" customFormat="1">
      <c r="A512" s="4" t="s">
        <v>307</v>
      </c>
      <c r="F512" s="89" t="s">
        <v>1164</v>
      </c>
      <c r="G512" s="89" t="str">
        <f>IF(B512="","",INDEX(Ingredients!$E$1:$E$238,(MATCH(InterventionCosts!B512,Ingredients!A$1:A$238,0))))</f>
        <v/>
      </c>
      <c r="K512" s="90"/>
      <c r="L512" s="90">
        <f>SUM(K489:K511)</f>
        <v>141.05596960079603</v>
      </c>
    </row>
    <row r="513" spans="1:12" s="89" customFormat="1">
      <c r="A513" s="4" t="s">
        <v>307</v>
      </c>
      <c r="F513" s="89" t="s">
        <v>117</v>
      </c>
      <c r="G513" s="89" t="str">
        <f>IF(B513="","",INDEX(Ingredients!$E$1:$E$238,(MATCH(InterventionCosts!B513,Ingredients!A$1:A$238,0))))</f>
        <v/>
      </c>
      <c r="K513" s="90"/>
      <c r="L513" s="90" t="s">
        <v>936</v>
      </c>
    </row>
    <row r="514" spans="1:12">
      <c r="G514" t="str">
        <f>IF(B514="","",INDEX(Ingredients!$E$1:$E$238,(MATCH(InterventionCosts!B514,Ingredients!A$1:A$238,0))))</f>
        <v/>
      </c>
    </row>
    <row r="515" spans="1:12">
      <c r="A515" t="s">
        <v>333</v>
      </c>
      <c r="B515" t="s">
        <v>308</v>
      </c>
      <c r="C515" s="5" t="s">
        <v>1539</v>
      </c>
      <c r="D515" t="s">
        <v>67</v>
      </c>
      <c r="E515" s="70">
        <f>IF(B515="","",INDEX(Ingredients!$I$1:$I$5013,(MATCH(InterventionCosts!B515,Ingredients!$A$1:$A$5013,0))))</f>
        <v>2577.4452112671624</v>
      </c>
      <c r="F515" s="5" t="str">
        <f>INDEX(Ingredients!J$1:J$265,(MATCH(InterventionCosts!B515,Ingredients!A$1:A$265,0)))</f>
        <v>per month</v>
      </c>
      <c r="G515">
        <f>IF(B515="","",INDEX(Ingredients!$E$1:$E$238,(MATCH(InterventionCosts!B515,Ingredients!A$1:A$238,0))))</f>
        <v>2016</v>
      </c>
      <c r="H515" t="str">
        <f>INDEX(Ingredients!$F$1:$F$318,(MATCH(InterventionCosts!B515,Ingredients!A$1:A$318,0)))</f>
        <v>https://doi.org/10.1038/s41598-019-49109-w; Tabana Operational Vehicle 2016</v>
      </c>
      <c r="I515">
        <f>I489*0.27584+I445*0.72416</f>
        <v>1.729623265222693E-3</v>
      </c>
      <c r="J515" t="s">
        <v>1474</v>
      </c>
      <c r="K515" s="85">
        <f t="shared" ref="K515:K537" si="21">I515*E515</f>
        <v>4.4580092022445035</v>
      </c>
      <c r="L515" s="85" t="s">
        <v>67</v>
      </c>
    </row>
    <row r="516" spans="1:12">
      <c r="A516" t="s">
        <v>333</v>
      </c>
      <c r="B516" t="s">
        <v>53</v>
      </c>
      <c r="C516" s="5" t="s">
        <v>1539</v>
      </c>
      <c r="D516" t="s">
        <v>48</v>
      </c>
      <c r="E516" s="70">
        <f>IF(B516="","",INDEX(Ingredients!$I$1:$I$5013,(MATCH(InterventionCosts!B516,Ingredients!$A$1:$A$5013,0))))</f>
        <v>4100.2266666666665</v>
      </c>
      <c r="F516" s="5" t="str">
        <f>INDEX(Ingredients!J$1:J$265,(MATCH(InterventionCosts!B516,Ingredients!A$1:A$265,0)))</f>
        <v>per month</v>
      </c>
      <c r="G516">
        <f>IF(B516="","",INDEX(Ingredients!$E$1:$E$238,(MATCH(InterventionCosts!B516,Ingredients!A$1:A$238,0))))</f>
        <v>2024</v>
      </c>
      <c r="H516" t="str">
        <f>INDEX(Ingredients!$F$1:$F$318,(MATCH(InterventionCosts!B516,Ingredients!A$1:A$318,0)))</f>
        <v>https://www.health.gov.za/wp-content/uploads/2022/07/Health-Department-welcomes-Bargaining-Council-resolution-to-improve-work-conditions-of-CHWs-27-July-2022.pdf</v>
      </c>
      <c r="I516">
        <f t="shared" ref="I516:I537" si="22">I490*0.27584+I446*0.72416</f>
        <v>1.2453287509603388E-3</v>
      </c>
      <c r="J516" t="s">
        <v>1474</v>
      </c>
      <c r="K516" s="85">
        <f t="shared" si="21"/>
        <v>5.1061301534542736</v>
      </c>
      <c r="L516" s="85" t="s">
        <v>291</v>
      </c>
    </row>
    <row r="517" spans="1:12">
      <c r="A517" t="s">
        <v>333</v>
      </c>
      <c r="B517" t="s">
        <v>301</v>
      </c>
      <c r="C517" s="5" t="s">
        <v>1539</v>
      </c>
      <c r="D517" t="s">
        <v>48</v>
      </c>
      <c r="E517" s="70">
        <f>IF(B517="","",INDEX(Ingredients!$I$1:$I$5013,(MATCH(InterventionCosts!B517,Ingredients!$A$1:$A$5013,0))))</f>
        <v>53200.165000000001</v>
      </c>
      <c r="F517" s="5" t="str">
        <f>INDEX(Ingredients!J$1:J$265,(MATCH(InterventionCosts!B517,Ingredients!A$1:A$265,0)))</f>
        <v>per month</v>
      </c>
      <c r="G517">
        <f>IF(B517="","",INDEX(Ingredients!$E$1:$E$238,(MATCH(InterventionCosts!B517,Ingredients!A$1:A$238,0))))</f>
        <v>2024</v>
      </c>
      <c r="H517" t="str">
        <f>INDEX(Ingredients!$F$1:$F$318,(MATCH(InterventionCosts!B517,Ingredients!A$1:A$318,0)))</f>
        <v xml:space="preserve">April 2024 Salary scale </v>
      </c>
      <c r="I517">
        <f t="shared" si="22"/>
        <v>2.0755479182672313E-4</v>
      </c>
      <c r="J517" t="s">
        <v>1474</v>
      </c>
      <c r="K517" s="85">
        <f t="shared" si="21"/>
        <v>11.041949171722322</v>
      </c>
      <c r="L517" s="85" t="s">
        <v>291</v>
      </c>
    </row>
    <row r="518" spans="1:12">
      <c r="A518" t="s">
        <v>333</v>
      </c>
      <c r="B518" t="s">
        <v>289</v>
      </c>
      <c r="C518" s="5" t="s">
        <v>1539</v>
      </c>
      <c r="D518" t="s">
        <v>48</v>
      </c>
      <c r="E518" s="70">
        <f>IF(B518="","",INDEX(Ingredients!$I$1:$I$5013,(MATCH(InterventionCosts!B518,Ingredients!$A$1:$A$5013,0))))</f>
        <v>34361.648333333331</v>
      </c>
      <c r="F518" s="5" t="str">
        <f>INDEX(Ingredients!J$1:J$265,(MATCH(InterventionCosts!B518,Ingredients!A$1:A$265,0)))</f>
        <v>per month</v>
      </c>
      <c r="G518">
        <f>IF(B518="","",INDEX(Ingredients!$E$1:$E$238,(MATCH(InterventionCosts!B518,Ingredients!A$1:A$238,0))))</f>
        <v>2024</v>
      </c>
      <c r="H518" t="str">
        <f>INDEX(Ingredients!$F$1:$F$318,(MATCH(InterventionCosts!B518,Ingredients!A$1:A$318,0)))</f>
        <v xml:space="preserve">April 2024 Salary scale </v>
      </c>
      <c r="I518">
        <f t="shared" si="22"/>
        <v>1.729623265222693E-3</v>
      </c>
      <c r="J518" t="s">
        <v>1474</v>
      </c>
      <c r="K518" s="85">
        <f t="shared" si="21"/>
        <v>59.432706388733905</v>
      </c>
      <c r="L518" s="85" t="s">
        <v>291</v>
      </c>
    </row>
    <row r="519" spans="1:12">
      <c r="A519" t="s">
        <v>333</v>
      </c>
      <c r="B519" t="s">
        <v>246</v>
      </c>
      <c r="C519" s="5" t="s">
        <v>1539</v>
      </c>
      <c r="D519" t="s">
        <v>21</v>
      </c>
      <c r="E519" s="70">
        <f>IF(B519="","",INDEX(Ingredients!$I$1:$I$5013,(MATCH(InterventionCosts!B519,Ingredients!$A$1:$A$5013,0))))</f>
        <v>0.16400000000000001</v>
      </c>
      <c r="F519" s="5" t="str">
        <f>INDEX(Ingredients!J$1:J$265,(MATCH(InterventionCosts!B519,Ingredients!A$1:A$265,0)))</f>
        <v>per page</v>
      </c>
      <c r="G519">
        <f>IF(B519="","",INDEX(Ingredients!$E$1:$E$238,(MATCH(InterventionCosts!B519,Ingredients!A$1:A$238,0))))</f>
        <v>2024</v>
      </c>
      <c r="H519" t="str">
        <f>INDEX(Ingredients!$F$1:$F$318,(MATCH(InterventionCosts!B519,Ingredients!A$1:A$318,0)))</f>
        <v>https://www.makro.co.za/stationery-office-furniture/paper-filing/paper/white-paper/copy-paper/typek-a4-office-paper-80-gsm/p/000000000000012434_BOX</v>
      </c>
      <c r="I519">
        <f t="shared" si="22"/>
        <v>0.10100000000000001</v>
      </c>
      <c r="J519" t="s">
        <v>1474</v>
      </c>
      <c r="K519" s="85">
        <f t="shared" si="21"/>
        <v>1.6564000000000002E-2</v>
      </c>
      <c r="L519" s="85" t="s">
        <v>291</v>
      </c>
    </row>
    <row r="520" spans="1:12">
      <c r="A520" t="s">
        <v>333</v>
      </c>
      <c r="B520" t="s">
        <v>313</v>
      </c>
      <c r="C520" s="5" t="s">
        <v>1539</v>
      </c>
      <c r="D520" t="s">
        <v>81</v>
      </c>
      <c r="E520" s="70">
        <f>IF(B520="","",INDEX(Ingredients!$I$1:$I$5013,(MATCH(InterventionCosts!B520,Ingredients!$A$1:$A$5013,0))))</f>
        <v>524.2261446645075</v>
      </c>
      <c r="F520" s="5" t="str">
        <f>INDEX(Ingredients!J$1:J$265,(MATCH(InterventionCosts!B520,Ingredients!A$1:A$265,0)))</f>
        <v>per room</v>
      </c>
      <c r="G520">
        <f>IF(B520="","",INDEX(Ingredients!$E$1:$E$238,(MATCH(InterventionCosts!B520,Ingredients!A$1:A$238,0))))</f>
        <v>2016</v>
      </c>
      <c r="H520" t="str">
        <f>INDEX(Ingredients!$F$1:$F$318,(MATCH(InterventionCosts!B520,Ingredients!A$1:A$318,0)))</f>
        <v>https://doi.org/10.1038/s41598-019-49109-w</v>
      </c>
      <c r="I520">
        <f t="shared" si="22"/>
        <v>1.729623265222693E-3</v>
      </c>
      <c r="J520" t="s">
        <v>1474</v>
      </c>
      <c r="K520" s="85">
        <f t="shared" si="21"/>
        <v>0.90671373604972927</v>
      </c>
      <c r="L520" s="85" t="s">
        <v>302</v>
      </c>
    </row>
    <row r="521" spans="1:12">
      <c r="A521" t="s">
        <v>333</v>
      </c>
      <c r="B521" t="s">
        <v>314</v>
      </c>
      <c r="C521" s="5" t="s">
        <v>1539</v>
      </c>
      <c r="D521" t="s">
        <v>67</v>
      </c>
      <c r="E521" s="70">
        <f>IF(B521="","",INDEX(Ingredients!$I$1:$I$5013,(MATCH(InterventionCosts!B521,Ingredients!$A$1:$A$5013,0))))</f>
        <v>164.42322899462931</v>
      </c>
      <c r="F521" s="5" t="str">
        <f>INDEX(Ingredients!J$1:J$265,(MATCH(InterventionCosts!B521,Ingredients!A$1:A$265,0)))</f>
        <v>per room</v>
      </c>
      <c r="G521">
        <f>IF(B521="","",INDEX(Ingredients!$E$1:$E$238,(MATCH(InterventionCosts!B521,Ingredients!A$1:A$238,0))))</f>
        <v>2016</v>
      </c>
      <c r="H521" t="str">
        <f>INDEX(Ingredients!$F$1:$F$318,(MATCH(InterventionCosts!B521,Ingredients!A$1:A$318,0)))</f>
        <v>https://doi.org/10.1038/s41598-019-49109-w</v>
      </c>
      <c r="I521">
        <f t="shared" si="22"/>
        <v>1.729623265222693E-3</v>
      </c>
      <c r="J521" t="s">
        <v>1474</v>
      </c>
      <c r="K521" s="85">
        <f t="shared" si="21"/>
        <v>0.28439024221214931</v>
      </c>
      <c r="L521" s="85" t="s">
        <v>302</v>
      </c>
    </row>
    <row r="522" spans="1:12">
      <c r="A522" t="s">
        <v>333</v>
      </c>
      <c r="B522" t="s">
        <v>246</v>
      </c>
      <c r="C522" s="5" t="s">
        <v>1539</v>
      </c>
      <c r="D522" t="s">
        <v>21</v>
      </c>
      <c r="E522" s="70">
        <f>IF(B522="","",INDEX(Ingredients!$I$1:$I$5013,(MATCH(InterventionCosts!B522,Ingredients!$A$1:$A$5013,0))))</f>
        <v>0.16400000000000001</v>
      </c>
      <c r="F522" s="5" t="str">
        <f>INDEX(Ingredients!J$1:J$265,(MATCH(InterventionCosts!B522,Ingredients!A$1:A$265,0)))</f>
        <v>per page</v>
      </c>
      <c r="G522">
        <f>IF(B522="","",INDEX(Ingredients!$E$1:$E$238,(MATCH(InterventionCosts!B522,Ingredients!A$1:A$238,0))))</f>
        <v>2024</v>
      </c>
      <c r="H522" t="str">
        <f>INDEX(Ingredients!$F$1:$F$318,(MATCH(InterventionCosts!B522,Ingredients!A$1:A$318,0)))</f>
        <v>https://www.makro.co.za/stationery-office-furniture/paper-filing/paper/white-paper/copy-paper/typek-a4-office-paper-80-gsm/p/000000000000012434_BOX</v>
      </c>
      <c r="I522">
        <f t="shared" si="22"/>
        <v>1</v>
      </c>
      <c r="J522" t="s">
        <v>1474</v>
      </c>
      <c r="K522" s="85">
        <f t="shared" si="21"/>
        <v>0.16400000000000001</v>
      </c>
      <c r="L522" s="85" t="s">
        <v>1508</v>
      </c>
    </row>
    <row r="523" spans="1:12">
      <c r="A523" t="s">
        <v>333</v>
      </c>
      <c r="B523" t="s">
        <v>247</v>
      </c>
      <c r="C523" s="5" t="s">
        <v>1539</v>
      </c>
      <c r="D523" t="s">
        <v>21</v>
      </c>
      <c r="E523" s="70">
        <f>IF(B523="","",INDEX(Ingredients!$I$1:$I$5013,(MATCH(InterventionCosts!B523,Ingredients!$A$1:$A$5013,0))))</f>
        <v>274.72000000000003</v>
      </c>
      <c r="F523" s="5" t="str">
        <f>INDEX(Ingredients!J$1:J$265,(MATCH(InterventionCosts!B523,Ingredients!A$1:A$265,0)))</f>
        <v>per 5L</v>
      </c>
      <c r="G523">
        <f>IF(B523="","",INDEX(Ingredients!$E$1:$E$238,(MATCH(InterventionCosts!B523,Ingredients!A$1:A$238,0))))</f>
        <v>2024</v>
      </c>
      <c r="H523" t="str">
        <f>INDEX(Ingredients!$F$1:$F$318,(MATCH(InterventionCosts!B523,Ingredients!A$1:A$318,0)))</f>
        <v>https://www.health.gov.za/wp-content/uploads/2024/04/HP12-2023LQ-CPA-Add-4-12-Effective-1-May-2024.pdf</v>
      </c>
      <c r="I523">
        <f t="shared" si="22"/>
        <v>2.02E-4</v>
      </c>
      <c r="J523" t="s">
        <v>1474</v>
      </c>
      <c r="K523" s="85">
        <f t="shared" si="21"/>
        <v>5.5493440000000005E-2</v>
      </c>
      <c r="L523" s="85" t="s">
        <v>258</v>
      </c>
    </row>
    <row r="524" spans="1:12">
      <c r="A524" t="s">
        <v>333</v>
      </c>
      <c r="B524" t="s">
        <v>1489</v>
      </c>
      <c r="C524" s="5" t="s">
        <v>1539</v>
      </c>
      <c r="D524" t="s">
        <v>21</v>
      </c>
      <c r="E524" s="70">
        <f>IF(B524="","",INDEX(Ingredients!$I$1:$I$5013,(MATCH(InterventionCosts!B524,Ingredients!$A$1:$A$5013,0))))</f>
        <v>53.08</v>
      </c>
      <c r="F524" s="5" t="str">
        <f>INDEX(Ingredients!J$1:J$265,(MATCH(InterventionCosts!B524,Ingredients!A$1:A$265,0)))</f>
        <v>per pack 100, 50 pairs</v>
      </c>
      <c r="G524">
        <f>IF(B524="","",INDEX(Ingredients!$E$1:$E$238,(MATCH(InterventionCosts!B524,Ingredients!A$1:A$238,0))))</f>
        <v>2024</v>
      </c>
      <c r="H524" t="str">
        <f>INDEX(Ingredients!$F$1:$F$318,(MATCH(InterventionCosts!B524,Ingredients!A$1:A$318,0)))</f>
        <v>https://www.treasury.gov.za/divisions/ocpo/ostb/contracts/RT76-2023%20CPA%20Amendment%204-%20Effective%2001%20May%202024.pdf</v>
      </c>
      <c r="I524">
        <f t="shared" si="22"/>
        <v>2.0199999999999999E-2</v>
      </c>
      <c r="J524" t="s">
        <v>1474</v>
      </c>
      <c r="K524" s="85">
        <f t="shared" si="21"/>
        <v>1.0722159999999998</v>
      </c>
      <c r="L524" s="85" t="s">
        <v>258</v>
      </c>
    </row>
    <row r="525" spans="1:12">
      <c r="A525" t="s">
        <v>333</v>
      </c>
      <c r="B525" t="s">
        <v>79</v>
      </c>
      <c r="C525" s="5" t="s">
        <v>1539</v>
      </c>
      <c r="D525" t="s">
        <v>21</v>
      </c>
      <c r="E525" s="70">
        <f>IF(B525="","",INDEX(Ingredients!$I$1:$I$5013,(MATCH(InterventionCosts!B525,Ingredients!$A$1:$A$5013,0))))</f>
        <v>9.3000000000000007</v>
      </c>
      <c r="F525" s="5" t="str">
        <f>INDEX(Ingredients!J$1:J$265,(MATCH(InterventionCosts!B525,Ingredients!A$1:A$265,0)))</f>
        <v>per test</v>
      </c>
      <c r="G525">
        <f>IF(B525="","",INDEX(Ingredients!$E$1:$E$238,(MATCH(InterventionCosts!B525,Ingredients!A$1:A$238,0))))</f>
        <v>2024</v>
      </c>
      <c r="H525" t="str">
        <f>INDEX(Ingredients!$F$1:$F$318,(MATCH(InterventionCosts!B525,Ingredients!A$1:A$318,0)))</f>
        <v>https://www.treasury.gov.za/divisions/ocpo/ostb/contracts/RT41-2020.zip</v>
      </c>
      <c r="I525">
        <f t="shared" si="22"/>
        <v>1.01</v>
      </c>
      <c r="J525" t="s">
        <v>1474</v>
      </c>
      <c r="K525" s="85">
        <f t="shared" si="21"/>
        <v>9.3930000000000007</v>
      </c>
      <c r="L525" s="85" t="s">
        <v>258</v>
      </c>
    </row>
    <row r="526" spans="1:12">
      <c r="A526" t="s">
        <v>333</v>
      </c>
      <c r="B526" t="s">
        <v>248</v>
      </c>
      <c r="C526" s="5" t="s">
        <v>1539</v>
      </c>
      <c r="D526" t="s">
        <v>21</v>
      </c>
      <c r="E526" s="70">
        <f>IF(B526="","",INDEX(Ingredients!$I$1:$I$5013,(MATCH(InterventionCosts!B526,Ingredients!$A$1:$A$5013,0))))</f>
        <v>2.645</v>
      </c>
      <c r="F526" s="5" t="str">
        <f>INDEX(Ingredients!J$1:J$265,(MATCH(InterventionCosts!B526,Ingredients!A$1:A$265,0)))</f>
        <v>per bag</v>
      </c>
      <c r="G526">
        <f>IF(B526="","",INDEX(Ingredients!$E$1:$E$238,(MATCH(InterventionCosts!B526,Ingredients!A$1:A$238,0))))</f>
        <v>2024</v>
      </c>
      <c r="H526" t="str">
        <f>INDEX(Ingredients!$F$1:$F$318,(MATCH(InterventionCosts!B526,Ingredients!A$1:A$318,0)))</f>
        <v>https://medqsupplies.co.za/product/bio-hazard-plastic-bags/</v>
      </c>
      <c r="I526">
        <f t="shared" si="22"/>
        <v>1.01</v>
      </c>
      <c r="J526" t="s">
        <v>1474</v>
      </c>
      <c r="K526" s="85">
        <f t="shared" si="21"/>
        <v>2.6714500000000001</v>
      </c>
      <c r="L526" s="85" t="s">
        <v>258</v>
      </c>
    </row>
    <row r="527" spans="1:12">
      <c r="A527" t="s">
        <v>333</v>
      </c>
      <c r="B527" t="s">
        <v>31</v>
      </c>
      <c r="C527" s="5" t="s">
        <v>1539</v>
      </c>
      <c r="D527" t="s">
        <v>21</v>
      </c>
      <c r="E527" s="70">
        <f>IF(B527="","",INDEX(Ingredients!$I$1:$I$5013,(MATCH(InterventionCosts!B527,Ingredients!$A$1:$A$5013,0))))</f>
        <v>31.4</v>
      </c>
      <c r="F527" s="5" t="str">
        <f>INDEX(Ingredients!J$1:J$265,(MATCH(InterventionCosts!B527,Ingredients!A$1:A$265,0)))</f>
        <v>per 100 swabs</v>
      </c>
      <c r="G527">
        <f>IF(B527="","",INDEX(Ingredients!$E$1:$E$238,(MATCH(InterventionCosts!B527,Ingredients!A$1:A$238,0))))</f>
        <v>2024</v>
      </c>
      <c r="H527" t="str">
        <f>INDEX(Ingredients!$F$1:$F$318,(MATCH(InterventionCosts!B527,Ingredients!A$1:A$318,0)))</f>
        <v xml:space="preserve">http://www.treasury.gov.za/divisions/ocpo/ostb/contracts/RT42-2022zip </v>
      </c>
      <c r="I527">
        <f t="shared" si="22"/>
        <v>1.01E-2</v>
      </c>
      <c r="J527" t="s">
        <v>1474</v>
      </c>
      <c r="K527" s="85">
        <f t="shared" si="21"/>
        <v>0.31713999999999998</v>
      </c>
      <c r="L527" s="85" t="s">
        <v>258</v>
      </c>
    </row>
    <row r="528" spans="1:12">
      <c r="A528" t="s">
        <v>333</v>
      </c>
      <c r="B528" t="s">
        <v>249</v>
      </c>
      <c r="C528" s="5" t="s">
        <v>1539</v>
      </c>
      <c r="D528" t="s">
        <v>21</v>
      </c>
      <c r="E528" s="70">
        <f>IF(B528="","",INDEX(Ingredients!$I$1:$I$5013,(MATCH(InterventionCosts!B528,Ingredients!$A$1:$A$5013,0))))</f>
        <v>7.86</v>
      </c>
      <c r="F528" s="5" t="str">
        <f>INDEX(Ingredients!J$1:J$265,(MATCH(InterventionCosts!B528,Ingredients!A$1:A$265,0)))</f>
        <v>per test kit</v>
      </c>
      <c r="G528">
        <f>IF(B528="","",INDEX(Ingredients!$E$1:$E$238,(MATCH(InterventionCosts!B528,Ingredients!A$1:A$238,0))))</f>
        <v>2024</v>
      </c>
      <c r="H528" t="str">
        <f>INDEX(Ingredients!$F$1:$F$318,(MATCH(InterventionCosts!B528,Ingredients!A$1:A$318,0)))</f>
        <v>https://www.treasury.gov.za/divisions/ocpo/ostb/contracts/RT41-2020.zip</v>
      </c>
      <c r="I528">
        <f t="shared" si="22"/>
        <v>1.0072416</v>
      </c>
      <c r="J528" t="s">
        <v>1474</v>
      </c>
      <c r="K528" s="85">
        <f t="shared" si="21"/>
        <v>7.9169189759999998</v>
      </c>
      <c r="L528" s="85" t="s">
        <v>316</v>
      </c>
    </row>
    <row r="529" spans="1:16">
      <c r="A529" t="s">
        <v>333</v>
      </c>
      <c r="B529" t="s">
        <v>31</v>
      </c>
      <c r="C529" s="5" t="s">
        <v>1539</v>
      </c>
      <c r="D529" t="s">
        <v>21</v>
      </c>
      <c r="E529" s="70">
        <f>IF(B529="","",INDEX(Ingredients!$I$1:$I$5013,(MATCH(InterventionCosts!B529,Ingredients!$A$1:$A$5013,0))))</f>
        <v>31.4</v>
      </c>
      <c r="F529" s="5" t="str">
        <f>INDEX(Ingredients!J$1:J$265,(MATCH(InterventionCosts!B529,Ingredients!A$1:A$265,0)))</f>
        <v>per 100 swabs</v>
      </c>
      <c r="G529">
        <f>IF(B529="","",INDEX(Ingredients!$E$1:$E$238,(MATCH(InterventionCosts!B529,Ingredients!A$1:A$238,0))))</f>
        <v>2024</v>
      </c>
      <c r="H529" t="str">
        <f>INDEX(Ingredients!$F$1:$F$318,(MATCH(InterventionCosts!B529,Ingredients!A$1:A$318,0)))</f>
        <v xml:space="preserve">http://www.treasury.gov.za/divisions/ocpo/ostb/contracts/RT42-2022zip </v>
      </c>
      <c r="I529">
        <f t="shared" si="22"/>
        <v>1.0072415999999999E-2</v>
      </c>
      <c r="J529" t="s">
        <v>1474</v>
      </c>
      <c r="K529" s="85">
        <f t="shared" si="21"/>
        <v>0.31627386239999994</v>
      </c>
      <c r="L529" s="85" t="s">
        <v>316</v>
      </c>
    </row>
    <row r="530" spans="1:16">
      <c r="A530" t="s">
        <v>333</v>
      </c>
      <c r="B530" t="s">
        <v>79</v>
      </c>
      <c r="C530" s="5" t="s">
        <v>1539</v>
      </c>
      <c r="D530" t="s">
        <v>21</v>
      </c>
      <c r="E530" s="70">
        <f>IF(B530="","",INDEX(Ingredients!$I$1:$I$5013,(MATCH(InterventionCosts!B530,Ingredients!$A$1:$A$5013,0))))</f>
        <v>9.3000000000000007</v>
      </c>
      <c r="F530" s="5" t="str">
        <f>INDEX(Ingredients!J$1:J$265,(MATCH(InterventionCosts!B530,Ingredients!A$1:A$265,0)))</f>
        <v>per test</v>
      </c>
      <c r="G530">
        <f>IF(B530="","",INDEX(Ingredients!$E$1:$E$238,(MATCH(InterventionCosts!B530,Ingredients!A$1:A$238,0))))</f>
        <v>2024</v>
      </c>
      <c r="H530" t="str">
        <f>INDEX(Ingredients!$F$1:$F$318,(MATCH(InterventionCosts!B530,Ingredients!A$1:A$318,0)))</f>
        <v>https://www.treasury.gov.za/divisions/ocpo/ostb/contracts/RT41-2020.zip</v>
      </c>
      <c r="I530">
        <f t="shared" si="22"/>
        <v>7.9572086400000012E-3</v>
      </c>
      <c r="J530" t="s">
        <v>1474</v>
      </c>
      <c r="K530" s="85">
        <f t="shared" si="21"/>
        <v>7.4002040352000018E-2</v>
      </c>
      <c r="L530" s="85" t="s">
        <v>304</v>
      </c>
    </row>
    <row r="531" spans="1:16">
      <c r="A531" t="s">
        <v>333</v>
      </c>
      <c r="B531" t="s">
        <v>31</v>
      </c>
      <c r="C531" s="5" t="s">
        <v>1539</v>
      </c>
      <c r="D531" t="s">
        <v>21</v>
      </c>
      <c r="E531" s="70">
        <f>IF(B531="","",INDEX(Ingredients!$I$1:$I$5013,(MATCH(InterventionCosts!B531,Ingredients!$A$1:$A$5013,0))))</f>
        <v>31.4</v>
      </c>
      <c r="F531" s="5" t="str">
        <f>INDEX(Ingredients!J$1:J$265,(MATCH(InterventionCosts!B531,Ingredients!A$1:A$265,0)))</f>
        <v>per 100 swabs</v>
      </c>
      <c r="G531">
        <f>IF(B531="","",INDEX(Ingredients!$E$1:$E$238,(MATCH(InterventionCosts!B531,Ingredients!A$1:A$238,0))))</f>
        <v>2024</v>
      </c>
      <c r="H531" t="str">
        <f>INDEX(Ingredients!$F$1:$F$318,(MATCH(InterventionCosts!B531,Ingredients!A$1:A$318,0)))</f>
        <v xml:space="preserve">http://www.treasury.gov.za/divisions/ocpo/ostb/contracts/RT42-2022zip </v>
      </c>
      <c r="I531">
        <f t="shared" si="22"/>
        <v>7.9572086400000005E-5</v>
      </c>
      <c r="J531" t="s">
        <v>1474</v>
      </c>
      <c r="K531" s="85">
        <f t="shared" si="21"/>
        <v>2.4985635129600001E-3</v>
      </c>
      <c r="L531" s="85" t="s">
        <v>304</v>
      </c>
    </row>
    <row r="532" spans="1:16">
      <c r="A532" t="s">
        <v>333</v>
      </c>
      <c r="B532" t="s">
        <v>249</v>
      </c>
      <c r="C532" s="5" t="s">
        <v>1539</v>
      </c>
      <c r="D532" t="s">
        <v>21</v>
      </c>
      <c r="E532" s="70">
        <f>IF(B532="","",INDEX(Ingredients!$I$1:$I$5013,(MATCH(InterventionCosts!B532,Ingredients!$A$1:$A$5013,0))))</f>
        <v>7.86</v>
      </c>
      <c r="F532" s="5" t="str">
        <f>INDEX(Ingredients!J$1:J$265,(MATCH(InterventionCosts!B532,Ingredients!A$1:A$265,0)))</f>
        <v>per test kit</v>
      </c>
      <c r="G532">
        <f>IF(B532="","",INDEX(Ingredients!$E$1:$E$238,(MATCH(InterventionCosts!B532,Ingredients!A$1:A$238,0))))</f>
        <v>2024</v>
      </c>
      <c r="H532" t="str">
        <f>INDEX(Ingredients!$F$1:$F$318,(MATCH(InterventionCosts!B532,Ingredients!A$1:A$318,0)))</f>
        <v>https://www.treasury.gov.za/divisions/ocpo/ostb/contracts/RT41-2020.zip</v>
      </c>
      <c r="I532">
        <f t="shared" si="22"/>
        <v>7.9572086400000012E-3</v>
      </c>
      <c r="J532" t="s">
        <v>1474</v>
      </c>
      <c r="K532" s="85">
        <f t="shared" si="21"/>
        <v>6.2543659910400007E-2</v>
      </c>
      <c r="L532" s="85" t="s">
        <v>305</v>
      </c>
    </row>
    <row r="533" spans="1:16">
      <c r="A533" t="s">
        <v>333</v>
      </c>
      <c r="B533" t="s">
        <v>31</v>
      </c>
      <c r="C533" s="5" t="s">
        <v>1539</v>
      </c>
      <c r="D533" t="s">
        <v>21</v>
      </c>
      <c r="E533" s="70">
        <f>IF(B533="","",INDEX(Ingredients!$I$1:$I$5013,(MATCH(InterventionCosts!B533,Ingredients!$A$1:$A$5013,0))))</f>
        <v>31.4</v>
      </c>
      <c r="F533" s="5" t="str">
        <f>INDEX(Ingredients!J$1:J$265,(MATCH(InterventionCosts!B533,Ingredients!A$1:A$265,0)))</f>
        <v>per 100 swabs</v>
      </c>
      <c r="G533">
        <f>IF(B533="","",INDEX(Ingredients!$E$1:$E$238,(MATCH(InterventionCosts!B533,Ingredients!A$1:A$238,0))))</f>
        <v>2024</v>
      </c>
      <c r="H533" t="str">
        <f>INDEX(Ingredients!$F$1:$F$318,(MATCH(InterventionCosts!B533,Ingredients!A$1:A$318,0)))</f>
        <v xml:space="preserve">http://www.treasury.gov.za/divisions/ocpo/ostb/contracts/RT42-2022zip </v>
      </c>
      <c r="I533">
        <f t="shared" si="22"/>
        <v>7.9572086400000005E-5</v>
      </c>
      <c r="J533" t="s">
        <v>1474</v>
      </c>
      <c r="K533" s="85">
        <f t="shared" si="21"/>
        <v>2.4985635129600001E-3</v>
      </c>
      <c r="L533" s="85" t="s">
        <v>305</v>
      </c>
    </row>
    <row r="534" spans="1:16">
      <c r="A534" t="s">
        <v>333</v>
      </c>
      <c r="B534" t="s">
        <v>250</v>
      </c>
      <c r="C534" s="5" t="s">
        <v>1539</v>
      </c>
      <c r="D534" t="s">
        <v>21</v>
      </c>
      <c r="E534" s="70">
        <f>IF(B534="","",INDEX(Ingredients!$I$1:$I$5013,(MATCH(InterventionCosts!B534,Ingredients!$A$1:$A$5013,0))))</f>
        <v>71.889951748999991</v>
      </c>
      <c r="F534" s="5" t="str">
        <f>INDEX(Ingredients!J$1:J$265,(MATCH(InterventionCosts!B534,Ingredients!A$1:A$265,0)))</f>
        <v>per test</v>
      </c>
      <c r="G534">
        <f>IF(B534="","",INDEX(Ingredients!$E$1:$E$238,(MATCH(InterventionCosts!B534,Ingredients!A$1:A$238,0))))</f>
        <v>2021</v>
      </c>
      <c r="H534" t="str">
        <f>INDEX(Ingredients!$F$1:$F$318,(MATCH(InterventionCosts!B534,Ingredients!A$1:A$318,0)))</f>
        <v>NHLS 2021 price-list</v>
      </c>
      <c r="I534">
        <f t="shared" si="22"/>
        <v>3.8999999999999998E-3</v>
      </c>
      <c r="J534" t="s">
        <v>1474</v>
      </c>
      <c r="K534" s="85">
        <f t="shared" si="21"/>
        <v>0.28037081182109996</v>
      </c>
      <c r="L534" s="85" t="s">
        <v>295</v>
      </c>
    </row>
    <row r="535" spans="1:16">
      <c r="A535" t="s">
        <v>333</v>
      </c>
      <c r="B535" t="s">
        <v>31</v>
      </c>
      <c r="C535" s="5" t="s">
        <v>1539</v>
      </c>
      <c r="D535" s="5" t="s">
        <v>21</v>
      </c>
      <c r="E535" s="70">
        <f>IF(B535="","",INDEX(Ingredients!$I$1:$I$5013,(MATCH(InterventionCosts!B535,Ingredients!$A$1:$A$5013,0))))</f>
        <v>31.4</v>
      </c>
      <c r="F535" s="5" t="str">
        <f>INDEX(Ingredients!J$1:J$265,(MATCH(InterventionCosts!B535,Ingredients!A$1:A$265,0)))</f>
        <v>per 100 swabs</v>
      </c>
      <c r="G535">
        <f>IF(B535="","",INDEX(Ingredients!$E$1:$E$238,(MATCH(InterventionCosts!B535,Ingredients!A$1:A$238,0))))</f>
        <v>2024</v>
      </c>
      <c r="H535" t="str">
        <f>INDEX(Ingredients!$F$1:$F$318,(MATCH(InterventionCosts!B535,Ingredients!A$1:A$318,0)))</f>
        <v xml:space="preserve">http://www.treasury.gov.za/divisions/ocpo/ostb/contracts/RT42-2022zip </v>
      </c>
      <c r="I535">
        <f t="shared" si="22"/>
        <v>3.8999999999999999E-5</v>
      </c>
      <c r="J535" t="s">
        <v>1474</v>
      </c>
      <c r="K535" s="85">
        <f t="shared" si="21"/>
        <v>1.2246E-3</v>
      </c>
      <c r="L535" s="85" t="s">
        <v>295</v>
      </c>
    </row>
    <row r="536" spans="1:16">
      <c r="A536" t="s">
        <v>333</v>
      </c>
      <c r="B536" t="s">
        <v>43</v>
      </c>
      <c r="C536" s="5" t="s">
        <v>1539</v>
      </c>
      <c r="D536" s="5" t="s">
        <v>21</v>
      </c>
      <c r="E536" s="70">
        <f>IF(B536="","",INDEX(Ingredients!$I$1:$I$5013,(MATCH(InterventionCosts!B536,Ingredients!$A$1:$A$5013,0))))</f>
        <v>0.61939459752201187</v>
      </c>
      <c r="F536" s="5" t="str">
        <f>INDEX(Ingredients!J$1:J$265,(MATCH(InterventionCosts!B536,Ingredients!A$1:A$265,0)))</f>
        <v>per condom</v>
      </c>
      <c r="G536">
        <f>IF(B536="","",INDEX(Ingredients!$E$1:$E$238,(MATCH(InterventionCosts!B536,Ingredients!A$1:A$238,0))))</f>
        <v>2024</v>
      </c>
      <c r="H536" t="str">
        <f>INDEX(Ingredients!$F$1:$F$318,(MATCH(InterventionCosts!B536,Ingredients!A$1:A$318,0)))</f>
        <v>https://www.treasury.gov.za/divisions/ocpo/ostb/contracts/RT75-2021.zip</v>
      </c>
      <c r="I536">
        <f t="shared" si="22"/>
        <v>10</v>
      </c>
      <c r="J536" t="s">
        <v>1474</v>
      </c>
      <c r="K536" s="85">
        <f t="shared" si="21"/>
        <v>6.1939459752201191</v>
      </c>
      <c r="L536" s="85" t="s">
        <v>268</v>
      </c>
    </row>
    <row r="537" spans="1:16">
      <c r="A537" t="s">
        <v>333</v>
      </c>
      <c r="B537" t="s">
        <v>251</v>
      </c>
      <c r="C537" s="5" t="s">
        <v>1539</v>
      </c>
      <c r="D537" s="5" t="s">
        <v>21</v>
      </c>
      <c r="E537" s="70">
        <f>IF(B537="","",INDEX(Ingredients!$I$1:$I$5013,(MATCH(InterventionCosts!B537,Ingredients!$A$1:$A$5013,0))))</f>
        <v>1.0227713593614072</v>
      </c>
      <c r="F537" s="5" t="str">
        <f>INDEX(Ingredients!J$1:J$265,(MATCH(InterventionCosts!B537,Ingredients!A$1:A$265,0)))</f>
        <v>per 1</v>
      </c>
      <c r="G537">
        <f>IF(B537="","",INDEX(Ingredients!$E$1:$E$238,(MATCH(InterventionCosts!B537,Ingredients!A$1:A$238,0))))</f>
        <v>2016</v>
      </c>
      <c r="H537" t="str">
        <f>INDEX(Ingredients!$F$1:$F$318,(MATCH(InterventionCosts!B537,Ingredients!A$1:A$318,0)))</f>
        <v>https://doi.org/10.1038/s41598-019-49109-w</v>
      </c>
      <c r="I537">
        <f t="shared" si="22"/>
        <v>1</v>
      </c>
      <c r="J537" t="s">
        <v>1474</v>
      </c>
      <c r="K537" s="85">
        <f t="shared" si="21"/>
        <v>1.0227713593614072</v>
      </c>
      <c r="L537" s="85" t="s">
        <v>268</v>
      </c>
    </row>
    <row r="538" spans="1:16" s="89" customFormat="1">
      <c r="A538" s="4" t="s">
        <v>333</v>
      </c>
      <c r="B538" s="89" t="s">
        <v>1571</v>
      </c>
      <c r="F538" s="89" t="s">
        <v>1164</v>
      </c>
      <c r="J538" s="103"/>
      <c r="K538" s="90"/>
      <c r="L538" s="90">
        <f>SUM(K515:K537)</f>
        <v>110.79281074650785</v>
      </c>
      <c r="M538" s="4"/>
      <c r="P538" s="102"/>
    </row>
    <row r="539" spans="1:16" s="89" customFormat="1">
      <c r="A539" s="4" t="s">
        <v>333</v>
      </c>
      <c r="F539" s="89" t="s">
        <v>117</v>
      </c>
      <c r="G539" s="89" t="str">
        <f>IF(B539="","",INDEX(Ingredients!$E$1:$E$238,(MATCH(InterventionCosts!B539,Ingredients!A$1:A$238,0))))</f>
        <v/>
      </c>
      <c r="K539" s="90"/>
      <c r="L539" s="90" t="s">
        <v>936</v>
      </c>
      <c r="P539" s="102"/>
    </row>
    <row r="540" spans="1:16">
      <c r="G540" t="str">
        <f>IF(B540="","",INDEX(Ingredients!$E$1:$E$238,(MATCH(InterventionCosts!B540,Ingredients!A$1:A$238,0))))</f>
        <v/>
      </c>
    </row>
    <row r="541" spans="1:16">
      <c r="A541" t="s">
        <v>334</v>
      </c>
      <c r="B541" t="s">
        <v>308</v>
      </c>
      <c r="C541" s="5" t="s">
        <v>1539</v>
      </c>
      <c r="D541" t="s">
        <v>67</v>
      </c>
      <c r="E541" s="70">
        <f>IF(B541="","",INDEX(Ingredients!$I$1:$I$5013,(MATCH(InterventionCosts!B541,Ingredients!$A$1:$A$5013,0))))</f>
        <v>2577.4452112671624</v>
      </c>
      <c r="F541" s="5" t="str">
        <f>INDEX(Ingredients!J$1:J$265,(MATCH(InterventionCosts!B541,Ingredients!A$1:A$265,0)))</f>
        <v>per month</v>
      </c>
      <c r="G541">
        <f>IF(B541="","",INDEX(Ingredients!$E$1:$E$238,(MATCH(InterventionCosts!B541,Ingredients!A$1:A$238,0))))</f>
        <v>2016</v>
      </c>
      <c r="H541" t="str">
        <f>INDEX(Ingredients!$F$1:$F$318,(MATCH(InterventionCosts!B541,Ingredients!A$1:A$318,0)))</f>
        <v>https://doi.org/10.1038/s41598-019-49109-w; Tabana Operational Vehicle 2016</v>
      </c>
      <c r="I541">
        <f>I471*0.27584+I427*0.72416</f>
        <v>1.729623265222693E-3</v>
      </c>
      <c r="J541" t="s">
        <v>1474</v>
      </c>
      <c r="K541" s="85">
        <f t="shared" ref="K541:K555" si="23">I541*E541</f>
        <v>4.4580092022445035</v>
      </c>
      <c r="L541" s="85" t="s">
        <v>67</v>
      </c>
    </row>
    <row r="542" spans="1:16">
      <c r="A542" t="s">
        <v>334</v>
      </c>
      <c r="B542" t="s">
        <v>53</v>
      </c>
      <c r="C542" s="5" t="s">
        <v>1539</v>
      </c>
      <c r="D542" t="s">
        <v>48</v>
      </c>
      <c r="E542" s="70">
        <f>IF(B542="","",INDEX(Ingredients!$I$1:$I$5013,(MATCH(InterventionCosts!B542,Ingredients!$A$1:$A$5013,0))))</f>
        <v>4100.2266666666665</v>
      </c>
      <c r="F542" s="5" t="str">
        <f>INDEX(Ingredients!J$1:J$265,(MATCH(InterventionCosts!B542,Ingredients!A$1:A$265,0)))</f>
        <v>per month</v>
      </c>
      <c r="G542">
        <f>IF(B542="","",INDEX(Ingredients!$E$1:$E$238,(MATCH(InterventionCosts!B542,Ingredients!A$1:A$238,0))))</f>
        <v>2024</v>
      </c>
      <c r="H542" t="str">
        <f>INDEX(Ingredients!$F$1:$F$318,(MATCH(InterventionCosts!B542,Ingredients!A$1:A$318,0)))</f>
        <v>https://www.health.gov.za/wp-content/uploads/2022/07/Health-Department-welcomes-Bargaining-Council-resolution-to-improve-work-conditions-of-CHWs-27-July-2022.pdf</v>
      </c>
      <c r="I542">
        <f t="shared" ref="I542:I555" si="24">I472*0.27584+I428*0.72416</f>
        <v>1.2453287509603388E-3</v>
      </c>
      <c r="J542" t="s">
        <v>1474</v>
      </c>
      <c r="K542" s="85">
        <f t="shared" si="23"/>
        <v>5.1061301534542736</v>
      </c>
      <c r="L542" s="85" t="s">
        <v>291</v>
      </c>
    </row>
    <row r="543" spans="1:16">
      <c r="A543" t="s">
        <v>334</v>
      </c>
      <c r="B543" t="s">
        <v>301</v>
      </c>
      <c r="C543" s="5" t="s">
        <v>1539</v>
      </c>
      <c r="D543" t="s">
        <v>48</v>
      </c>
      <c r="E543" s="70">
        <f>IF(B543="","",INDEX(Ingredients!$I$1:$I$5013,(MATCH(InterventionCosts!B543,Ingredients!$A$1:$A$5013,0))))</f>
        <v>53200.165000000001</v>
      </c>
      <c r="F543" s="5" t="str">
        <f>INDEX(Ingredients!J$1:J$265,(MATCH(InterventionCosts!B543,Ingredients!A$1:A$265,0)))</f>
        <v>per month</v>
      </c>
      <c r="G543">
        <f>IF(B543="","",INDEX(Ingredients!$E$1:$E$238,(MATCH(InterventionCosts!B543,Ingredients!A$1:A$238,0))))</f>
        <v>2024</v>
      </c>
      <c r="H543" t="str">
        <f>INDEX(Ingredients!$F$1:$F$318,(MATCH(InterventionCosts!B543,Ingredients!A$1:A$318,0)))</f>
        <v xml:space="preserve">April 2024 Salary scale </v>
      </c>
      <c r="I543">
        <f t="shared" si="24"/>
        <v>2.0755479182672313E-4</v>
      </c>
      <c r="J543" t="s">
        <v>1474</v>
      </c>
      <c r="K543" s="85">
        <f t="shared" si="23"/>
        <v>11.041949171722322</v>
      </c>
      <c r="L543" s="85" t="s">
        <v>291</v>
      </c>
    </row>
    <row r="544" spans="1:16">
      <c r="A544" t="s">
        <v>334</v>
      </c>
      <c r="B544" t="s">
        <v>289</v>
      </c>
      <c r="C544" s="5" t="s">
        <v>1539</v>
      </c>
      <c r="D544" t="s">
        <v>48</v>
      </c>
      <c r="E544" s="70">
        <f>IF(B544="","",INDEX(Ingredients!$I$1:$I$5013,(MATCH(InterventionCosts!B544,Ingredients!$A$1:$A$5013,0))))</f>
        <v>34361.648333333331</v>
      </c>
      <c r="F544" s="5" t="str">
        <f>INDEX(Ingredients!J$1:J$265,(MATCH(InterventionCosts!B544,Ingredients!A$1:A$265,0)))</f>
        <v>per month</v>
      </c>
      <c r="G544">
        <f>IF(B544="","",INDEX(Ingredients!$E$1:$E$238,(MATCH(InterventionCosts!B544,Ingredients!A$1:A$238,0))))</f>
        <v>2024</v>
      </c>
      <c r="H544" t="str">
        <f>INDEX(Ingredients!$F$1:$F$318,(MATCH(InterventionCosts!B544,Ingredients!A$1:A$318,0)))</f>
        <v xml:space="preserve">April 2024 Salary scale </v>
      </c>
      <c r="I544">
        <f t="shared" si="24"/>
        <v>1.729623265222693E-3</v>
      </c>
      <c r="J544" t="s">
        <v>1474</v>
      </c>
      <c r="K544" s="85">
        <f t="shared" si="23"/>
        <v>59.432706388733905</v>
      </c>
      <c r="L544" s="85" t="s">
        <v>291</v>
      </c>
    </row>
    <row r="545" spans="1:16">
      <c r="A545" t="s">
        <v>334</v>
      </c>
      <c r="B545" t="s">
        <v>246</v>
      </c>
      <c r="C545" s="5" t="s">
        <v>1539</v>
      </c>
      <c r="D545" t="s">
        <v>21</v>
      </c>
      <c r="E545" s="70">
        <f>IF(B545="","",INDEX(Ingredients!$I$1:$I$5013,(MATCH(InterventionCosts!B545,Ingredients!$A$1:$A$5013,0))))</f>
        <v>0.16400000000000001</v>
      </c>
      <c r="F545" s="5" t="str">
        <f>INDEX(Ingredients!J$1:J$265,(MATCH(InterventionCosts!B545,Ingredients!A$1:A$265,0)))</f>
        <v>per page</v>
      </c>
      <c r="G545">
        <f>IF(B545="","",INDEX(Ingredients!$E$1:$E$238,(MATCH(InterventionCosts!B545,Ingredients!A$1:A$238,0))))</f>
        <v>2024</v>
      </c>
      <c r="H545" t="str">
        <f>INDEX(Ingredients!$F$1:$F$318,(MATCH(InterventionCosts!B545,Ingredients!A$1:A$318,0)))</f>
        <v>https://www.makro.co.za/stationery-office-furniture/paper-filing/paper/white-paper/copy-paper/typek-a4-office-paper-80-gsm/p/000000000000012434_BOX</v>
      </c>
      <c r="I545">
        <f t="shared" si="24"/>
        <v>0.35173855999999998</v>
      </c>
      <c r="J545" t="s">
        <v>1474</v>
      </c>
      <c r="K545" s="85">
        <f t="shared" si="23"/>
        <v>5.7685123839999998E-2</v>
      </c>
      <c r="L545" s="85" t="s">
        <v>291</v>
      </c>
    </row>
    <row r="546" spans="1:16">
      <c r="A546" t="s">
        <v>334</v>
      </c>
      <c r="B546" t="s">
        <v>313</v>
      </c>
      <c r="C546" s="5" t="s">
        <v>1539</v>
      </c>
      <c r="D546" t="s">
        <v>81</v>
      </c>
      <c r="E546" s="70">
        <f>IF(B546="","",INDEX(Ingredients!$I$1:$I$5013,(MATCH(InterventionCosts!B546,Ingredients!$A$1:$A$5013,0))))</f>
        <v>524.2261446645075</v>
      </c>
      <c r="F546" s="5" t="str">
        <f>INDEX(Ingredients!J$1:J$265,(MATCH(InterventionCosts!B546,Ingredients!A$1:A$265,0)))</f>
        <v>per room</v>
      </c>
      <c r="G546">
        <f>IF(B546="","",INDEX(Ingredients!$E$1:$E$238,(MATCH(InterventionCosts!B546,Ingredients!A$1:A$238,0))))</f>
        <v>2016</v>
      </c>
      <c r="H546" t="str">
        <f>INDEX(Ingredients!$F$1:$F$318,(MATCH(InterventionCosts!B546,Ingredients!A$1:A$318,0)))</f>
        <v>https://doi.org/10.1038/s41598-019-49109-w</v>
      </c>
      <c r="I546">
        <f t="shared" si="24"/>
        <v>1.729623265222693E-3</v>
      </c>
      <c r="J546" t="s">
        <v>1474</v>
      </c>
      <c r="K546" s="85">
        <f t="shared" si="23"/>
        <v>0.90671373604972927</v>
      </c>
      <c r="L546" s="85" t="s">
        <v>302</v>
      </c>
    </row>
    <row r="547" spans="1:16">
      <c r="A547" t="s">
        <v>334</v>
      </c>
      <c r="B547" t="s">
        <v>314</v>
      </c>
      <c r="C547" s="5" t="s">
        <v>1539</v>
      </c>
      <c r="D547" t="s">
        <v>67</v>
      </c>
      <c r="E547" s="70">
        <f>IF(B547="","",INDEX(Ingredients!$I$1:$I$5013,(MATCH(InterventionCosts!B547,Ingredients!$A$1:$A$5013,0))))</f>
        <v>164.42322899462931</v>
      </c>
      <c r="F547" s="5" t="str">
        <f>INDEX(Ingredients!J$1:J$265,(MATCH(InterventionCosts!B547,Ingredients!A$1:A$265,0)))</f>
        <v>per room</v>
      </c>
      <c r="G547">
        <f>IF(B547="","",INDEX(Ingredients!$E$1:$E$238,(MATCH(InterventionCosts!B547,Ingredients!A$1:A$238,0))))</f>
        <v>2016</v>
      </c>
      <c r="H547" t="str">
        <f>INDEX(Ingredients!$F$1:$F$318,(MATCH(InterventionCosts!B547,Ingredients!A$1:A$318,0)))</f>
        <v>https://doi.org/10.1038/s41598-019-49109-w</v>
      </c>
      <c r="I547">
        <f t="shared" si="24"/>
        <v>1.729623265222693E-3</v>
      </c>
      <c r="J547" t="s">
        <v>1474</v>
      </c>
      <c r="K547" s="85">
        <f t="shared" si="23"/>
        <v>0.28439024221214931</v>
      </c>
      <c r="L547" s="85" t="s">
        <v>302</v>
      </c>
    </row>
    <row r="548" spans="1:16">
      <c r="A548" t="s">
        <v>334</v>
      </c>
      <c r="B548" t="s">
        <v>246</v>
      </c>
      <c r="C548" s="5" t="s">
        <v>1539</v>
      </c>
      <c r="D548" t="s">
        <v>21</v>
      </c>
      <c r="E548" s="70">
        <f>IF(B548="","",INDEX(Ingredients!$I$1:$I$5013,(MATCH(InterventionCosts!B548,Ingredients!$A$1:$A$5013,0))))</f>
        <v>0.16400000000000001</v>
      </c>
      <c r="F548" s="5" t="str">
        <f>INDEX(Ingredients!J$1:J$265,(MATCH(InterventionCosts!B548,Ingredients!A$1:A$265,0)))</f>
        <v>per page</v>
      </c>
      <c r="G548">
        <f>IF(B548="","",INDEX(Ingredients!$E$1:$E$238,(MATCH(InterventionCosts!B548,Ingredients!A$1:A$238,0))))</f>
        <v>2024</v>
      </c>
      <c r="H548" t="str">
        <f>INDEX(Ingredients!$F$1:$F$318,(MATCH(InterventionCosts!B548,Ingredients!A$1:A$318,0)))</f>
        <v>https://www.makro.co.za/stationery-office-furniture/paper-filing/paper/white-paper/copy-paper/typek-a4-office-paper-80-gsm/p/000000000000012434_BOX</v>
      </c>
      <c r="I548">
        <f t="shared" si="24"/>
        <v>1</v>
      </c>
      <c r="J548" t="s">
        <v>1474</v>
      </c>
      <c r="K548" s="85">
        <f t="shared" si="23"/>
        <v>0.16400000000000001</v>
      </c>
      <c r="L548" s="85" t="s">
        <v>302</v>
      </c>
    </row>
    <row r="549" spans="1:16">
      <c r="A549" t="s">
        <v>334</v>
      </c>
      <c r="B549" t="s">
        <v>247</v>
      </c>
      <c r="C549" s="5" t="s">
        <v>1539</v>
      </c>
      <c r="D549" t="s">
        <v>21</v>
      </c>
      <c r="E549" s="70">
        <f>IF(B549="","",INDEX(Ingredients!$I$1:$I$5013,(MATCH(InterventionCosts!B549,Ingredients!$A$1:$A$5013,0))))</f>
        <v>274.72000000000003</v>
      </c>
      <c r="F549" s="5" t="str">
        <f>INDEX(Ingredients!J$1:J$265,(MATCH(InterventionCosts!B549,Ingredients!A$1:A$265,0)))</f>
        <v>per 5L</v>
      </c>
      <c r="G549">
        <f>IF(B549="","",INDEX(Ingredients!$E$1:$E$238,(MATCH(InterventionCosts!B549,Ingredients!A$1:A$238,0))))</f>
        <v>2024</v>
      </c>
      <c r="H549" t="str">
        <f>INDEX(Ingredients!$F$1:$F$318,(MATCH(InterventionCosts!B549,Ingredients!A$1:A$318,0)))</f>
        <v>https://www.health.gov.za/wp-content/uploads/2024/04/HP12-2023LQ-CPA-Add-4-12-Effective-1-May-2024.pdf</v>
      </c>
      <c r="I549">
        <f t="shared" si="24"/>
        <v>2.02E-4</v>
      </c>
      <c r="J549" t="s">
        <v>1474</v>
      </c>
      <c r="K549" s="85">
        <f t="shared" si="23"/>
        <v>5.5493440000000005E-2</v>
      </c>
      <c r="L549" s="85" t="s">
        <v>258</v>
      </c>
    </row>
    <row r="550" spans="1:16">
      <c r="A550" t="s">
        <v>334</v>
      </c>
      <c r="B550" t="s">
        <v>1489</v>
      </c>
      <c r="C550" s="5" t="s">
        <v>1539</v>
      </c>
      <c r="D550" t="s">
        <v>21</v>
      </c>
      <c r="E550" s="70">
        <f>IF(B550="","",INDEX(Ingredients!$I$1:$I$5013,(MATCH(InterventionCosts!B550,Ingredients!$A$1:$A$5013,0))))</f>
        <v>53.08</v>
      </c>
      <c r="F550" s="5" t="str">
        <f>INDEX(Ingredients!J$1:J$265,(MATCH(InterventionCosts!B550,Ingredients!A$1:A$265,0)))</f>
        <v>per pack 100, 50 pairs</v>
      </c>
      <c r="G550">
        <f>IF(B550="","",INDEX(Ingredients!$E$1:$E$238,(MATCH(InterventionCosts!B550,Ingredients!A$1:A$238,0))))</f>
        <v>2024</v>
      </c>
      <c r="H550" t="str">
        <f>INDEX(Ingredients!$F$1:$F$318,(MATCH(InterventionCosts!B550,Ingredients!A$1:A$318,0)))</f>
        <v>https://www.treasury.gov.za/divisions/ocpo/ostb/contracts/RT76-2023%20CPA%20Amendment%204-%20Effective%2001%20May%202024.pdf</v>
      </c>
      <c r="I550">
        <f t="shared" si="24"/>
        <v>2.0199999999999999E-2</v>
      </c>
      <c r="J550" t="s">
        <v>1474</v>
      </c>
      <c r="K550" s="85">
        <f t="shared" si="23"/>
        <v>1.0722159999999998</v>
      </c>
      <c r="L550" s="85" t="s">
        <v>258</v>
      </c>
    </row>
    <row r="551" spans="1:16">
      <c r="A551" t="s">
        <v>334</v>
      </c>
      <c r="B551" t="s">
        <v>79</v>
      </c>
      <c r="C551" s="5" t="s">
        <v>1539</v>
      </c>
      <c r="D551" t="s">
        <v>21</v>
      </c>
      <c r="E551" s="70">
        <f>IF(B551="","",INDEX(Ingredients!$I$1:$I$5013,(MATCH(InterventionCosts!B551,Ingredients!$A$1:$A$5013,0))))</f>
        <v>9.3000000000000007</v>
      </c>
      <c r="F551" s="5" t="str">
        <f>INDEX(Ingredients!J$1:J$265,(MATCH(InterventionCosts!B551,Ingredients!A$1:A$265,0)))</f>
        <v>per test</v>
      </c>
      <c r="G551">
        <f>IF(B551="","",INDEX(Ingredients!$E$1:$E$238,(MATCH(InterventionCosts!B551,Ingredients!A$1:A$238,0))))</f>
        <v>2024</v>
      </c>
      <c r="H551" t="str">
        <f>INDEX(Ingredients!$F$1:$F$318,(MATCH(InterventionCosts!B551,Ingredients!A$1:A$318,0)))</f>
        <v>https://www.treasury.gov.za/divisions/ocpo/ostb/contracts/RT41-2020.zip</v>
      </c>
      <c r="I551">
        <f t="shared" si="24"/>
        <v>1.01</v>
      </c>
      <c r="J551" t="s">
        <v>1474</v>
      </c>
      <c r="K551" s="85">
        <f t="shared" si="23"/>
        <v>9.3930000000000007</v>
      </c>
      <c r="L551" s="85" t="s">
        <v>258</v>
      </c>
    </row>
    <row r="552" spans="1:16">
      <c r="A552" t="s">
        <v>334</v>
      </c>
      <c r="B552" t="s">
        <v>248</v>
      </c>
      <c r="C552" s="5" t="s">
        <v>1539</v>
      </c>
      <c r="D552" t="s">
        <v>21</v>
      </c>
      <c r="E552" s="70">
        <f>IF(B552="","",INDEX(Ingredients!$I$1:$I$5013,(MATCH(InterventionCosts!B552,Ingredients!$A$1:$A$5013,0))))</f>
        <v>2.645</v>
      </c>
      <c r="F552" s="5" t="str">
        <f>INDEX(Ingredients!J$1:J$265,(MATCH(InterventionCosts!B552,Ingredients!A$1:A$265,0)))</f>
        <v>per bag</v>
      </c>
      <c r="G552">
        <f>IF(B552="","",INDEX(Ingredients!$E$1:$E$238,(MATCH(InterventionCosts!B552,Ingredients!A$1:A$238,0))))</f>
        <v>2024</v>
      </c>
      <c r="H552" t="str">
        <f>INDEX(Ingredients!$F$1:$F$318,(MATCH(InterventionCosts!B552,Ingredients!A$1:A$318,0)))</f>
        <v>https://medqsupplies.co.za/product/bio-hazard-plastic-bags/</v>
      </c>
      <c r="I552">
        <f t="shared" si="24"/>
        <v>1.01</v>
      </c>
      <c r="J552" t="s">
        <v>1474</v>
      </c>
      <c r="K552" s="85">
        <f t="shared" si="23"/>
        <v>2.6714500000000001</v>
      </c>
      <c r="L552" s="85" t="s">
        <v>258</v>
      </c>
    </row>
    <row r="553" spans="1:16">
      <c r="A553" t="s">
        <v>334</v>
      </c>
      <c r="B553" t="s">
        <v>31</v>
      </c>
      <c r="C553" s="5" t="s">
        <v>1539</v>
      </c>
      <c r="D553" t="s">
        <v>21</v>
      </c>
      <c r="E553" s="70">
        <f>IF(B553="","",INDEX(Ingredients!$I$1:$I$5013,(MATCH(InterventionCosts!B553,Ingredients!$A$1:$A$5013,0))))</f>
        <v>31.4</v>
      </c>
      <c r="F553" s="5" t="str">
        <f>INDEX(Ingredients!J$1:J$265,(MATCH(InterventionCosts!B553,Ingredients!A$1:A$265,0)))</f>
        <v>per 100 swabs</v>
      </c>
      <c r="G553">
        <f>IF(B553="","",INDEX(Ingredients!$E$1:$E$238,(MATCH(InterventionCosts!B553,Ingredients!A$1:A$238,0))))</f>
        <v>2024</v>
      </c>
      <c r="H553" t="str">
        <f>INDEX(Ingredients!$F$1:$F$318,(MATCH(InterventionCosts!B553,Ingredients!A$1:A$318,0)))</f>
        <v xml:space="preserve">http://www.treasury.gov.za/divisions/ocpo/ostb/contracts/RT42-2022zip </v>
      </c>
      <c r="I553">
        <f t="shared" si="24"/>
        <v>1.0072415999999999E-2</v>
      </c>
      <c r="J553" t="s">
        <v>1474</v>
      </c>
      <c r="K553" s="85">
        <f t="shared" si="23"/>
        <v>0.31627386239999994</v>
      </c>
      <c r="L553" s="85" t="s">
        <v>258</v>
      </c>
    </row>
    <row r="554" spans="1:16">
      <c r="A554" t="s">
        <v>334</v>
      </c>
      <c r="B554" t="s">
        <v>251</v>
      </c>
      <c r="C554" s="5" t="s">
        <v>1539</v>
      </c>
      <c r="D554" t="s">
        <v>21</v>
      </c>
      <c r="E554" s="70">
        <f>IF(B554="","",INDEX(Ingredients!$I$1:$I$5013,(MATCH(InterventionCosts!B554,Ingredients!$A$1:$A$5013,0))))</f>
        <v>1.0227713593614072</v>
      </c>
      <c r="F554" s="5" t="str">
        <f>INDEX(Ingredients!J$1:J$265,(MATCH(InterventionCosts!B554,Ingredients!A$1:A$265,0)))</f>
        <v>per 1</v>
      </c>
      <c r="G554">
        <f>IF(B554="","",INDEX(Ingredients!$E$1:$E$238,(MATCH(InterventionCosts!B554,Ingredients!A$1:A$238,0))))</f>
        <v>2016</v>
      </c>
      <c r="H554" t="str">
        <f>INDEX(Ingredients!$F$1:$F$318,(MATCH(InterventionCosts!B554,Ingredients!A$1:A$318,0)))</f>
        <v>https://doi.org/10.1038/s41598-019-49109-w</v>
      </c>
      <c r="I554">
        <f t="shared" si="24"/>
        <v>1</v>
      </c>
      <c r="J554" t="s">
        <v>1474</v>
      </c>
      <c r="K554" s="85">
        <f t="shared" si="23"/>
        <v>1.0227713593614072</v>
      </c>
      <c r="L554" s="85" t="s">
        <v>292</v>
      </c>
    </row>
    <row r="555" spans="1:16">
      <c r="A555" t="s">
        <v>334</v>
      </c>
      <c r="B555" t="s">
        <v>43</v>
      </c>
      <c r="C555" s="5" t="s">
        <v>1539</v>
      </c>
      <c r="D555" t="s">
        <v>21</v>
      </c>
      <c r="E555" s="70">
        <f>IF(B555="","",INDEX(Ingredients!$I$1:$I$5013,(MATCH(InterventionCosts!B555,Ingredients!$A$1:$A$5013,0))))</f>
        <v>0.61939459752201187</v>
      </c>
      <c r="F555" s="5" t="str">
        <f>INDEX(Ingredients!J$1:J$265,(MATCH(InterventionCosts!B555,Ingredients!A$1:A$265,0)))</f>
        <v>per condom</v>
      </c>
      <c r="G555">
        <f>IF(B555="","",INDEX(Ingredients!$E$1:$E$238,(MATCH(InterventionCosts!B555,Ingredients!A$1:A$238,0))))</f>
        <v>2024</v>
      </c>
      <c r="H555" t="str">
        <f>INDEX(Ingredients!$F$1:$F$318,(MATCH(InterventionCosts!B555,Ingredients!A$1:A$318,0)))</f>
        <v>https://www.treasury.gov.za/divisions/ocpo/ostb/contracts/RT75-2021.zip</v>
      </c>
      <c r="I555">
        <f t="shared" si="24"/>
        <v>10</v>
      </c>
      <c r="J555" t="s">
        <v>1474</v>
      </c>
      <c r="K555" s="85">
        <f t="shared" si="23"/>
        <v>6.1939459752201191</v>
      </c>
      <c r="L555" s="85" t="s">
        <v>292</v>
      </c>
    </row>
    <row r="556" spans="1:16" s="89" customFormat="1">
      <c r="A556" s="4" t="s">
        <v>334</v>
      </c>
      <c r="B556" s="89" t="s">
        <v>1571</v>
      </c>
      <c r="F556" s="89" t="s">
        <v>1164</v>
      </c>
      <c r="K556" s="90"/>
      <c r="L556" s="290">
        <f>SUM(K541:K555)</f>
        <v>102.17673465523842</v>
      </c>
      <c r="M556" s="4"/>
      <c r="P556" s="102"/>
    </row>
    <row r="557" spans="1:16" s="89" customFormat="1">
      <c r="A557" s="4" t="s">
        <v>334</v>
      </c>
      <c r="F557" s="89" t="s">
        <v>117</v>
      </c>
      <c r="G557" s="89" t="str">
        <f>IF(B557="","",INDEX(Ingredients!$E$1:$E$238,(MATCH(InterventionCosts!B557,Ingredients!A$1:A$238,0))))</f>
        <v/>
      </c>
      <c r="K557" s="90"/>
      <c r="L557" s="90" t="s">
        <v>936</v>
      </c>
      <c r="P557" s="102"/>
    </row>
    <row r="558" spans="1:16">
      <c r="G558" t="str">
        <f>IF(B558="","",INDEX(Ingredients!$E$1:$E$238,(MATCH(InterventionCosts!B558,Ingredients!A$1:A$238,0))))</f>
        <v/>
      </c>
    </row>
    <row r="559" spans="1:16">
      <c r="A559" t="s">
        <v>1534</v>
      </c>
      <c r="G559" t="str">
        <f>IF(B559="","",INDEX(Ingredients!$E$1:$E$238,(MATCH(InterventionCosts!B559,Ingredients!A$1:A$238,0))))</f>
        <v/>
      </c>
    </row>
    <row r="560" spans="1:16">
      <c r="A560" t="s">
        <v>335</v>
      </c>
      <c r="B560" t="s">
        <v>308</v>
      </c>
      <c r="C560" s="5" t="s">
        <v>1539</v>
      </c>
      <c r="D560" t="s">
        <v>67</v>
      </c>
      <c r="E560" s="70">
        <f>IF(B560="","",INDEX(Ingredients!$I$1:$I$5013,(MATCH(InterventionCosts!B560,Ingredients!$A$1:$A$5013,0))))</f>
        <v>2577.4452112671624</v>
      </c>
      <c r="F560" s="5" t="str">
        <f>INDEX(Ingredients!J$1:J$265,(MATCH(InterventionCosts!B560,Ingredients!A$1:A$265,0)))</f>
        <v>per month</v>
      </c>
      <c r="G560">
        <f>IF(B560="","",INDEX(Ingredients!$E$1:$E$238,(MATCH(InterventionCosts!B560,Ingredients!A$1:A$238,0))))</f>
        <v>2016</v>
      </c>
      <c r="H560" t="str">
        <f>INDEX(Ingredients!$F$1:$F$318,(MATCH(InterventionCosts!B560,Ingredients!A$1:A$318,0)))</f>
        <v>https://doi.org/10.1038/s41598-019-49109-w; Tabana Operational Vehicle 2016</v>
      </c>
      <c r="I560">
        <f>1/3583</f>
        <v>2.7909572983533354E-4</v>
      </c>
      <c r="J560" t="s">
        <v>1474</v>
      </c>
      <c r="K560" s="85">
        <f t="shared" ref="K560:K576" si="25">I560*E560</f>
        <v>0.71935395234919419</v>
      </c>
      <c r="L560" s="85" t="s">
        <v>67</v>
      </c>
    </row>
    <row r="561" spans="1:12">
      <c r="A561" t="s">
        <v>335</v>
      </c>
      <c r="B561" t="s">
        <v>287</v>
      </c>
      <c r="C561" s="5" t="s">
        <v>1539</v>
      </c>
      <c r="D561" t="s">
        <v>67</v>
      </c>
      <c r="E561" s="70">
        <f>IF(B561="","",INDEX(Ingredients!$I$1:$I$5013,(MATCH(InterventionCosts!B561,Ingredients!$A$1:$A$5013,0))))</f>
        <v>21800.311666666668</v>
      </c>
      <c r="F561" s="5" t="str">
        <f>INDEX(Ingredients!J$1:J$265,(MATCH(InterventionCosts!B561,Ingredients!A$1:A$265,0)))</f>
        <v>per month</v>
      </c>
      <c r="G561">
        <f>IF(B561="","",INDEX(Ingredients!$E$1:$E$238,(MATCH(InterventionCosts!B561,Ingredients!A$1:A$238,0))))</f>
        <v>2024</v>
      </c>
      <c r="H561" t="str">
        <f>INDEX(Ingredients!$F$1:$F$318,(MATCH(InterventionCosts!B561,Ingredients!A$1:A$318,0)))</f>
        <v xml:space="preserve">April 2024 Salary scale </v>
      </c>
      <c r="I561">
        <f>1/3583</f>
        <v>2.7909572983533354E-4</v>
      </c>
      <c r="J561" t="s">
        <v>1474</v>
      </c>
      <c r="K561" s="85">
        <f t="shared" si="25"/>
        <v>6.0843738952460704</v>
      </c>
      <c r="L561" s="85" t="s">
        <v>291</v>
      </c>
    </row>
    <row r="562" spans="1:12">
      <c r="A562" t="s">
        <v>335</v>
      </c>
      <c r="B562" t="s">
        <v>288</v>
      </c>
      <c r="C562" s="5" t="s">
        <v>1539</v>
      </c>
      <c r="D562" t="s">
        <v>67</v>
      </c>
      <c r="E562" s="70">
        <f>IF(B562="","",INDEX(Ingredients!$I$1:$I$5013,(MATCH(InterventionCosts!B562,Ingredients!$A$1:$A$5013,0))))</f>
        <v>62408.151666666665</v>
      </c>
      <c r="F562" s="5" t="str">
        <f>INDEX(Ingredients!J$1:J$265,(MATCH(InterventionCosts!B562,Ingredients!A$1:A$265,0)))</f>
        <v>per month</v>
      </c>
      <c r="G562">
        <f>IF(B562="","",INDEX(Ingredients!$E$1:$E$238,(MATCH(InterventionCosts!B562,Ingredients!A$1:A$238,0))))</f>
        <v>2024</v>
      </c>
      <c r="H562" t="str">
        <f>INDEX(Ingredients!$F$1:$F$318,(MATCH(InterventionCosts!B562,Ingredients!A$1:A$318,0)))</f>
        <v xml:space="preserve">April 2024 Salary scale </v>
      </c>
      <c r="I562">
        <f>1/3583</f>
        <v>2.7909572983533354E-4</v>
      </c>
      <c r="J562" t="s">
        <v>1474</v>
      </c>
      <c r="K562" s="85">
        <f t="shared" si="25"/>
        <v>17.417848637082521</v>
      </c>
      <c r="L562" s="85" t="s">
        <v>291</v>
      </c>
    </row>
    <row r="563" spans="1:12">
      <c r="A563" t="s">
        <v>335</v>
      </c>
      <c r="B563" t="s">
        <v>289</v>
      </c>
      <c r="C563" s="5" t="s">
        <v>1539</v>
      </c>
      <c r="D563" t="s">
        <v>67</v>
      </c>
      <c r="E563" s="70">
        <f>IF(B563="","",INDEX(Ingredients!$I$1:$I$5013,(MATCH(InterventionCosts!B563,Ingredients!$A$1:$A$5013,0))))</f>
        <v>34361.648333333331</v>
      </c>
      <c r="F563" s="5" t="str">
        <f>INDEX(Ingredients!J$1:J$265,(MATCH(InterventionCosts!B563,Ingredients!A$1:A$265,0)))</f>
        <v>per month</v>
      </c>
      <c r="G563">
        <f>IF(B563="","",INDEX(Ingredients!$E$1:$E$238,(MATCH(InterventionCosts!B563,Ingredients!A$1:A$238,0))))</f>
        <v>2024</v>
      </c>
      <c r="H563" t="str">
        <f>INDEX(Ingredients!$F$1:$F$318,(MATCH(InterventionCosts!B563,Ingredients!A$1:A$318,0)))</f>
        <v xml:space="preserve">April 2024 Salary scale </v>
      </c>
      <c r="I563">
        <f>4/3583</f>
        <v>1.1163829193413341E-3</v>
      </c>
      <c r="J563" t="s">
        <v>1474</v>
      </c>
      <c r="K563" s="85">
        <f t="shared" si="25"/>
        <v>38.360757279746956</v>
      </c>
      <c r="L563" s="85" t="s">
        <v>291</v>
      </c>
    </row>
    <row r="564" spans="1:12">
      <c r="A564" t="s">
        <v>335</v>
      </c>
      <c r="B564" t="s">
        <v>53</v>
      </c>
      <c r="C564" s="5" t="s">
        <v>1539</v>
      </c>
      <c r="D564" t="s">
        <v>67</v>
      </c>
      <c r="E564" s="70">
        <f>IF(B564="","",INDEX(Ingredients!$I$1:$I$5013,(MATCH(InterventionCosts!B564,Ingredients!$A$1:$A$5013,0))))</f>
        <v>4100.2266666666665</v>
      </c>
      <c r="F564" s="5" t="str">
        <f>INDEX(Ingredients!J$1:J$265,(MATCH(InterventionCosts!B564,Ingredients!A$1:A$265,0)))</f>
        <v>per month</v>
      </c>
      <c r="G564">
        <f>IF(B564="","",INDEX(Ingredients!$E$1:$E$238,(MATCH(InterventionCosts!B564,Ingredients!A$1:A$238,0))))</f>
        <v>2024</v>
      </c>
      <c r="H564" t="str">
        <f>INDEX(Ingredients!$F$1:$F$318,(MATCH(InterventionCosts!B564,Ingredients!A$1:A$318,0)))</f>
        <v>https://www.health.gov.za/wp-content/uploads/2022/07/Health-Department-welcomes-Bargaining-Council-resolution-to-improve-work-conditions-of-CHWs-27-July-2022.pdf</v>
      </c>
      <c r="I564">
        <v>1.1163829193413341E-3</v>
      </c>
      <c r="J564" t="s">
        <v>1474</v>
      </c>
      <c r="K564" s="85">
        <f t="shared" si="25"/>
        <v>4.5774230160945208</v>
      </c>
      <c r="L564" s="85" t="s">
        <v>360</v>
      </c>
    </row>
    <row r="565" spans="1:12">
      <c r="A565" t="s">
        <v>335</v>
      </c>
      <c r="B565" t="s">
        <v>53</v>
      </c>
      <c r="C565" s="5" t="s">
        <v>1539</v>
      </c>
      <c r="D565" t="s">
        <v>67</v>
      </c>
      <c r="E565" s="70">
        <f>IF(B565="","",INDEX(Ingredients!$I$1:$I$5013,(MATCH(InterventionCosts!B565,Ingredients!$A$1:$A$5013,0))))</f>
        <v>4100.2266666666665</v>
      </c>
      <c r="F565" s="5" t="str">
        <f>INDEX(Ingredients!J$1:J$265,(MATCH(InterventionCosts!B565,Ingredients!A$1:A$265,0)))</f>
        <v>per month</v>
      </c>
      <c r="G565">
        <f>IF(B565="","",INDEX(Ingredients!$E$1:$E$238,(MATCH(InterventionCosts!B565,Ingredients!A$1:A$238,0))))</f>
        <v>2024</v>
      </c>
      <c r="H565" t="str">
        <f>INDEX(Ingredients!$F$1:$F$318,(MATCH(InterventionCosts!B565,Ingredients!A$1:A$318,0)))</f>
        <v>https://www.health.gov.za/wp-content/uploads/2022/07/Health-Department-welcomes-Bargaining-Council-resolution-to-improve-work-conditions-of-CHWs-27-July-2022.pdf</v>
      </c>
      <c r="I565">
        <v>5.5819145967066705E-3</v>
      </c>
      <c r="J565" t="s">
        <v>1474</v>
      </c>
      <c r="K565" s="85">
        <f t="shared" si="25"/>
        <v>22.887115080472601</v>
      </c>
      <c r="L565" s="85" t="s">
        <v>302</v>
      </c>
    </row>
    <row r="566" spans="1:12">
      <c r="A566" t="s">
        <v>335</v>
      </c>
      <c r="B566" t="s">
        <v>246</v>
      </c>
      <c r="C566" s="5" t="s">
        <v>1539</v>
      </c>
      <c r="D566" t="s">
        <v>67</v>
      </c>
      <c r="E566" s="70">
        <f>IF(B566="","",INDEX(Ingredients!$I$1:$I$5013,(MATCH(InterventionCosts!B566,Ingredients!$A$1:$A$5013,0))))</f>
        <v>0.16400000000000001</v>
      </c>
      <c r="F566" s="5" t="str">
        <f>INDEX(Ingredients!J$1:J$265,(MATCH(InterventionCosts!B566,Ingredients!A$1:A$265,0)))</f>
        <v>per page</v>
      </c>
      <c r="G566">
        <f>IF(B566="","",INDEX(Ingredients!$E$1:$E$238,(MATCH(InterventionCosts!B566,Ingredients!A$1:A$238,0))))</f>
        <v>2024</v>
      </c>
      <c r="H566" t="str">
        <f>INDEX(Ingredients!$F$1:$F$318,(MATCH(InterventionCosts!B566,Ingredients!A$1:A$318,0)))</f>
        <v>https://www.makro.co.za/stationery-office-furniture/paper-filing/paper/white-paper/copy-paper/typek-a4-office-paper-80-gsm/p/000000000000012434_BOX</v>
      </c>
      <c r="I566">
        <f>1</f>
        <v>1</v>
      </c>
      <c r="J566" t="s">
        <v>1474</v>
      </c>
      <c r="K566" s="85">
        <f t="shared" si="25"/>
        <v>0.16400000000000001</v>
      </c>
      <c r="L566" s="85" t="s">
        <v>302</v>
      </c>
    </row>
    <row r="567" spans="1:12">
      <c r="A567" t="s">
        <v>335</v>
      </c>
      <c r="B567" t="s">
        <v>290</v>
      </c>
      <c r="C567" s="5" t="s">
        <v>1539</v>
      </c>
      <c r="D567" s="5" t="s">
        <v>48</v>
      </c>
      <c r="E567" s="70">
        <f>IF(B567="","",INDEX(Ingredients!$I$1:$I$5013,(MATCH(InterventionCosts!B567,Ingredients!$A$1:$A$5013,0))))</f>
        <v>25449.108333333334</v>
      </c>
      <c r="F567" s="5" t="str">
        <f>INDEX(Ingredients!J$1:J$265,(MATCH(InterventionCosts!B567,Ingredients!A$1:A$265,0)))</f>
        <v>per month</v>
      </c>
      <c r="G567">
        <f>IF(B567="","",INDEX(Ingredients!$E$1:$E$238,(MATCH(InterventionCosts!B567,Ingredients!A$1:A$238,0))))</f>
        <v>2024</v>
      </c>
      <c r="H567" t="str">
        <f>INDEX(Ingredients!$F$1:$F$318,(MATCH(InterventionCosts!B567,Ingredients!A$1:A$318,0)))</f>
        <v xml:space="preserve">April 2024 Salary scale </v>
      </c>
      <c r="I567">
        <f>0.5/3583</f>
        <v>1.3954786491766677E-4</v>
      </c>
      <c r="J567" t="s">
        <v>1474</v>
      </c>
      <c r="K567" s="85">
        <f t="shared" si="25"/>
        <v>3.5513687319750677</v>
      </c>
      <c r="L567" s="85" t="s">
        <v>258</v>
      </c>
    </row>
    <row r="568" spans="1:12">
      <c r="A568" t="s">
        <v>335</v>
      </c>
      <c r="B568" t="s">
        <v>56</v>
      </c>
      <c r="C568" s="5" t="s">
        <v>1539</v>
      </c>
      <c r="D568" s="5" t="s">
        <v>48</v>
      </c>
      <c r="E568" s="70">
        <f>IF(B568="","",INDEX(Ingredients!$I$1:$I$5013,(MATCH(InterventionCosts!B568,Ingredients!$A$1:$A$5013,0))))</f>
        <v>23181.75</v>
      </c>
      <c r="F568" s="5" t="str">
        <f>INDEX(Ingredients!J$1:J$265,(MATCH(InterventionCosts!B568,Ingredients!A$1:A$265,0)))</f>
        <v>per month</v>
      </c>
      <c r="G568">
        <f>IF(B568="","",INDEX(Ingredients!$E$1:$E$238,(MATCH(InterventionCosts!B568,Ingredients!A$1:A$238,0))))</f>
        <v>2024</v>
      </c>
      <c r="H568" t="str">
        <f>INDEX(Ingredients!$F$1:$F$318,(MATCH(InterventionCosts!B568,Ingredients!A$1:A$318,0)))</f>
        <v xml:space="preserve">April 2024 Salary scale </v>
      </c>
      <c r="I568">
        <f>4/3583</f>
        <v>1.1163829193413341E-3</v>
      </c>
      <c r="J568" t="s">
        <v>1474</v>
      </c>
      <c r="K568" s="85">
        <f t="shared" si="25"/>
        <v>25.879709740440973</v>
      </c>
      <c r="L568" s="85" t="s">
        <v>258</v>
      </c>
    </row>
    <row r="569" spans="1:12">
      <c r="A569" t="s">
        <v>335</v>
      </c>
      <c r="B569" t="s">
        <v>51</v>
      </c>
      <c r="C569" s="5" t="s">
        <v>1539</v>
      </c>
      <c r="D569" s="5" t="s">
        <v>48</v>
      </c>
      <c r="E569" s="70">
        <f>(IF(B569="","",INDEX(Ingredients!$I$1:$I$5013,(MATCH(InterventionCosts!B569,Ingredients!$A$1:$A$5013,0)))))</f>
        <v>4100.2266666666665</v>
      </c>
      <c r="F569" s="5" t="str">
        <f>INDEX(Ingredients!J$1:J$265,(MATCH(InterventionCosts!B569,Ingredients!A$1:A$265,0)))</f>
        <v>per month</v>
      </c>
      <c r="G569">
        <f>IF(B569="","",INDEX(Ingredients!$E$1:$E$238,(MATCH(InterventionCosts!B569,Ingredients!A$1:A$238,0))))</f>
        <v>2024</v>
      </c>
      <c r="H569" t="str">
        <f>INDEX(Ingredients!$F$1:$F$318,(MATCH(InterventionCosts!B569,Ingredients!A$1:A$318,0)))</f>
        <v>https://www.gov.za/news/media-statements/government-activities/minister-thulas-nxesi-announces-national-minimum-wage</v>
      </c>
      <c r="I569">
        <f>0.5/3583</f>
        <v>1.3954786491766677E-4</v>
      </c>
      <c r="J569" t="s">
        <v>1474</v>
      </c>
      <c r="K569" s="85">
        <f t="shared" si="25"/>
        <v>0.57217787701181511</v>
      </c>
      <c r="L569" s="85" t="s">
        <v>258</v>
      </c>
    </row>
    <row r="570" spans="1:12">
      <c r="A570" t="s">
        <v>335</v>
      </c>
      <c r="B570" t="s">
        <v>247</v>
      </c>
      <c r="C570" s="5" t="s">
        <v>1539</v>
      </c>
      <c r="D570" s="5" t="s">
        <v>21</v>
      </c>
      <c r="E570" s="70">
        <f>IF(B570="","",INDEX(Ingredients!$I$1:$I$5013,(MATCH(InterventionCosts!B570,Ingredients!$A$1:$A$5013,0))))</f>
        <v>274.72000000000003</v>
      </c>
      <c r="F570" s="5" t="str">
        <f>INDEX(Ingredients!J$1:J$265,(MATCH(InterventionCosts!B570,Ingredients!A$1:A$265,0)))</f>
        <v>per 5L</v>
      </c>
      <c r="G570">
        <f>IF(B570="","",INDEX(Ingredients!$E$1:$E$238,(MATCH(InterventionCosts!B570,Ingredients!A$1:A$238,0))))</f>
        <v>2024</v>
      </c>
      <c r="H570" t="str">
        <f>INDEX(Ingredients!$F$1:$F$318,(MATCH(InterventionCosts!B570,Ingredients!A$1:A$318,0)))</f>
        <v>https://www.health.gov.za/wp-content/uploads/2024/04/HP12-2023LQ-CPA-Add-4-12-Effective-1-May-2024.pdf</v>
      </c>
      <c r="I570">
        <f>1/5000*1.01</f>
        <v>2.02E-4</v>
      </c>
      <c r="J570" t="s">
        <v>1474</v>
      </c>
      <c r="K570" s="85">
        <f t="shared" si="25"/>
        <v>5.5493440000000005E-2</v>
      </c>
      <c r="L570" s="85" t="s">
        <v>258</v>
      </c>
    </row>
    <row r="571" spans="1:12">
      <c r="A571" t="s">
        <v>335</v>
      </c>
      <c r="B571" t="s">
        <v>1489</v>
      </c>
      <c r="C571" s="5" t="s">
        <v>1539</v>
      </c>
      <c r="D571" s="5" t="s">
        <v>21</v>
      </c>
      <c r="E571" s="70">
        <f>IF(B571="","",INDEX(Ingredients!$I$1:$I$5013,(MATCH(InterventionCosts!B571,Ingredients!$A$1:$A$5013,0))))</f>
        <v>53.08</v>
      </c>
      <c r="F571" s="5" t="str">
        <f>INDEX(Ingredients!J$1:J$265,(MATCH(InterventionCosts!B571,Ingredients!A$1:A$265,0)))</f>
        <v>per pack 100, 50 pairs</v>
      </c>
      <c r="G571">
        <f>IF(B571="","",INDEX(Ingredients!$E$1:$E$238,(MATCH(InterventionCosts!B571,Ingredients!A$1:A$238,0))))</f>
        <v>2024</v>
      </c>
      <c r="H571" t="str">
        <f>INDEX(Ingredients!$F$1:$F$318,(MATCH(InterventionCosts!B571,Ingredients!A$1:A$318,0)))</f>
        <v>https://www.treasury.gov.za/divisions/ocpo/ostb/contracts/RT76-2023%20CPA%20Amendment%204-%20Effective%2001%20May%202024.pdf</v>
      </c>
      <c r="I571">
        <f>1/50*1.01</f>
        <v>2.0199999999999999E-2</v>
      </c>
      <c r="J571" t="s">
        <v>1474</v>
      </c>
      <c r="K571" s="85">
        <f t="shared" si="25"/>
        <v>1.0722159999999998</v>
      </c>
      <c r="L571" s="85" t="s">
        <v>265</v>
      </c>
    </row>
    <row r="572" spans="1:12">
      <c r="A572" t="s">
        <v>335</v>
      </c>
      <c r="B572" t="s">
        <v>79</v>
      </c>
      <c r="C572" s="5" t="s">
        <v>1539</v>
      </c>
      <c r="D572" s="5" t="s">
        <v>21</v>
      </c>
      <c r="E572" s="70">
        <f>IF(B572="","",INDEX(Ingredients!$I$1:$I$5013,(MATCH(InterventionCosts!B572,Ingredients!$A$1:$A$5013,0))))</f>
        <v>9.3000000000000007</v>
      </c>
      <c r="F572" s="5" t="str">
        <f>INDEX(Ingredients!J$1:J$265,(MATCH(InterventionCosts!B572,Ingredients!A$1:A$265,0)))</f>
        <v>per test</v>
      </c>
      <c r="G572">
        <f>IF(B572="","",INDEX(Ingredients!$E$1:$E$238,(MATCH(InterventionCosts!B572,Ingredients!A$1:A$238,0))))</f>
        <v>2024</v>
      </c>
      <c r="H572" t="str">
        <f>INDEX(Ingredients!$F$1:$F$318,(MATCH(InterventionCosts!B572,Ingredients!A$1:A$318,0)))</f>
        <v>https://www.treasury.gov.za/divisions/ocpo/ostb/contracts/RT41-2020.zip</v>
      </c>
      <c r="I572">
        <f>1*1.01</f>
        <v>1.01</v>
      </c>
      <c r="J572" t="s">
        <v>1474</v>
      </c>
      <c r="K572" s="85">
        <f t="shared" si="25"/>
        <v>9.3930000000000007</v>
      </c>
      <c r="L572" s="85" t="s">
        <v>258</v>
      </c>
    </row>
    <row r="573" spans="1:12">
      <c r="A573" t="s">
        <v>335</v>
      </c>
      <c r="B573" t="s">
        <v>248</v>
      </c>
      <c r="C573" s="5" t="s">
        <v>1539</v>
      </c>
      <c r="D573" s="5" t="s">
        <v>21</v>
      </c>
      <c r="E573" s="70">
        <f>IF(B573="","",INDEX(Ingredients!$I$1:$I$5013,(MATCH(InterventionCosts!B573,Ingredients!$A$1:$A$5013,0))))</f>
        <v>2.645</v>
      </c>
      <c r="F573" s="5" t="str">
        <f>INDEX(Ingredients!J$1:J$265,(MATCH(InterventionCosts!B573,Ingredients!A$1:A$265,0)))</f>
        <v>per bag</v>
      </c>
      <c r="G573">
        <f>IF(B573="","",INDEX(Ingredients!$E$1:$E$238,(MATCH(InterventionCosts!B573,Ingredients!A$1:A$238,0))))</f>
        <v>2024</v>
      </c>
      <c r="H573" t="str">
        <f>INDEX(Ingredients!$F$1:$F$318,(MATCH(InterventionCosts!B573,Ingredients!A$1:A$318,0)))</f>
        <v>https://medqsupplies.co.za/product/bio-hazard-plastic-bags/</v>
      </c>
      <c r="I573">
        <f>1*1.01</f>
        <v>1.01</v>
      </c>
      <c r="J573" t="s">
        <v>1474</v>
      </c>
      <c r="K573" s="85">
        <f t="shared" si="25"/>
        <v>2.6714500000000001</v>
      </c>
      <c r="L573" s="85" t="s">
        <v>258</v>
      </c>
    </row>
    <row r="574" spans="1:12">
      <c r="A574" t="s">
        <v>335</v>
      </c>
      <c r="B574" t="s">
        <v>31</v>
      </c>
      <c r="C574" s="5" t="s">
        <v>1539</v>
      </c>
      <c r="D574" s="5" t="s">
        <v>21</v>
      </c>
      <c r="E574" s="70">
        <f>IF(B574="","",INDEX(Ingredients!$I$1:$I$5013,(MATCH(InterventionCosts!B574,Ingredients!$A$1:$A$5013,0))))</f>
        <v>31.4</v>
      </c>
      <c r="F574" s="5" t="str">
        <f>INDEX(Ingredients!J$1:J$265,(MATCH(InterventionCosts!B574,Ingredients!A$1:A$265,0)))</f>
        <v>per 100 swabs</v>
      </c>
      <c r="G574">
        <f>IF(B574="","",INDEX(Ingredients!$E$1:$E$238,(MATCH(InterventionCosts!B574,Ingredients!A$1:A$238,0))))</f>
        <v>2024</v>
      </c>
      <c r="H574" t="str">
        <f>INDEX(Ingredients!$F$1:$F$318,(MATCH(InterventionCosts!B574,Ingredients!A$1:A$318,0)))</f>
        <v xml:space="preserve">http://www.treasury.gov.za/divisions/ocpo/ostb/contracts/RT42-2022zip </v>
      </c>
      <c r="I574">
        <f>1/100*1.01</f>
        <v>1.01E-2</v>
      </c>
      <c r="J574" t="s">
        <v>1474</v>
      </c>
      <c r="K574" s="85">
        <f t="shared" si="25"/>
        <v>0.31713999999999998</v>
      </c>
      <c r="L574" s="85" t="s">
        <v>258</v>
      </c>
    </row>
    <row r="575" spans="1:12">
      <c r="A575" t="s">
        <v>335</v>
      </c>
      <c r="B575" t="s">
        <v>43</v>
      </c>
      <c r="C575" s="5" t="s">
        <v>1539</v>
      </c>
      <c r="D575" s="5" t="s">
        <v>21</v>
      </c>
      <c r="E575" s="70">
        <f>IF(B575="","",INDEX(Ingredients!$I$1:$I$5013,(MATCH(InterventionCosts!B575,Ingredients!$A$1:$A$5013,0))))</f>
        <v>0.61939459752201187</v>
      </c>
      <c r="F575" s="5" t="str">
        <f>INDEX(Ingredients!J$1:J$265,(MATCH(InterventionCosts!B575,Ingredients!A$1:A$265,0)))</f>
        <v>per condom</v>
      </c>
      <c r="G575">
        <f>IF(B575="","",INDEX(Ingredients!$E$1:$E$238,(MATCH(InterventionCosts!B575,Ingredients!A$1:A$238,0))))</f>
        <v>2024</v>
      </c>
      <c r="H575" t="str">
        <f>INDEX(Ingredients!$F$1:$F$318,(MATCH(InterventionCosts!B575,Ingredients!A$1:A$318,0)))</f>
        <v>https://www.treasury.gov.za/divisions/ocpo/ostb/contracts/RT75-2021.zip</v>
      </c>
      <c r="I575">
        <v>10</v>
      </c>
      <c r="J575" t="s">
        <v>1474</v>
      </c>
      <c r="K575" s="85">
        <f t="shared" si="25"/>
        <v>6.1939459752201191</v>
      </c>
      <c r="L575" s="85" t="s">
        <v>268</v>
      </c>
    </row>
    <row r="576" spans="1:12">
      <c r="A576" t="s">
        <v>335</v>
      </c>
      <c r="B576" t="s">
        <v>251</v>
      </c>
      <c r="C576" s="5" t="s">
        <v>1539</v>
      </c>
      <c r="D576" s="5" t="s">
        <v>21</v>
      </c>
      <c r="E576" s="70">
        <f>IF(B576="","",INDEX(Ingredients!$I$1:$I$5013,(MATCH(InterventionCosts!B576,Ingredients!$A$1:$A$5013,0))))</f>
        <v>1.0227713593614072</v>
      </c>
      <c r="F576" s="5" t="str">
        <f>INDEX(Ingredients!J$1:J$265,(MATCH(InterventionCosts!B576,Ingredients!A$1:A$265,0)))</f>
        <v>per 1</v>
      </c>
      <c r="G576">
        <f>IF(B576="","",INDEX(Ingredients!$E$1:$E$238,(MATCH(InterventionCosts!B576,Ingredients!A$1:A$238,0))))</f>
        <v>2016</v>
      </c>
      <c r="H576" t="str">
        <f>INDEX(Ingredients!$F$1:$F$318,(MATCH(InterventionCosts!B576,Ingredients!A$1:A$318,0)))</f>
        <v>https://doi.org/10.1038/s41598-019-49109-w</v>
      </c>
      <c r="I576">
        <v>1</v>
      </c>
      <c r="J576" t="s">
        <v>1474</v>
      </c>
      <c r="K576" s="85">
        <f t="shared" si="25"/>
        <v>1.0227713593614072</v>
      </c>
      <c r="L576" s="85" t="s">
        <v>268</v>
      </c>
    </row>
    <row r="577" spans="1:12" s="89" customFormat="1">
      <c r="A577" s="4" t="s">
        <v>335</v>
      </c>
      <c r="F577" s="89" t="s">
        <v>1164</v>
      </c>
      <c r="G577" s="89" t="str">
        <f>IF(B577="","",INDEX(Ingredients!$E$1:$E$238,(MATCH(InterventionCosts!B577,Ingredients!A$1:A$238,0))))</f>
        <v/>
      </c>
      <c r="K577" s="90"/>
      <c r="L577" s="90">
        <f>SUM(K560:K576)</f>
        <v>140.94014498500124</v>
      </c>
    </row>
    <row r="578" spans="1:12" s="89" customFormat="1">
      <c r="A578" s="4" t="s">
        <v>335</v>
      </c>
      <c r="F578" s="89" t="s">
        <v>117</v>
      </c>
      <c r="G578" s="89" t="str">
        <f>IF(B578="","",INDEX(Ingredients!$E$1:$E$238,(MATCH(InterventionCosts!B578,Ingredients!A$1:A$238,0))))</f>
        <v/>
      </c>
      <c r="K578" s="90"/>
      <c r="L578" s="90" t="s">
        <v>936</v>
      </c>
    </row>
    <row r="579" spans="1:12">
      <c r="G579" t="str">
        <f>IF(B579="","",INDEX(Ingredients!$E$1:$E$238,(MATCH(InterventionCosts!B579,Ingredients!A$1:A$238,0))))</f>
        <v/>
      </c>
    </row>
    <row r="580" spans="1:12">
      <c r="A580" t="s">
        <v>1534</v>
      </c>
      <c r="G580" t="str">
        <f>IF(B580="","",INDEX(Ingredients!$E$1:$E$238,(MATCH(InterventionCosts!B580,Ingredients!A$1:A$238,0))))</f>
        <v/>
      </c>
    </row>
    <row r="581" spans="1:12">
      <c r="A581" t="s">
        <v>336</v>
      </c>
      <c r="B581" t="s">
        <v>308</v>
      </c>
      <c r="C581" s="5" t="s">
        <v>1539</v>
      </c>
      <c r="D581" t="s">
        <v>67</v>
      </c>
      <c r="E581" s="70">
        <f>IF(B581="","",INDEX(Ingredients!$I$1:$I$5013,(MATCH(InterventionCosts!B581,Ingredients!$A$1:$A$5013,0))))</f>
        <v>2577.4452112671624</v>
      </c>
      <c r="F581" s="5" t="str">
        <f>INDEX(Ingredients!J$1:J$265,(MATCH(InterventionCosts!B581,Ingredients!A$1:A$265,0)))</f>
        <v>per month</v>
      </c>
      <c r="G581">
        <f>IF(B581="","",INDEX(Ingredients!$E$1:$E$238,(MATCH(InterventionCosts!B581,Ingredients!A$1:A$238,0))))</f>
        <v>2016</v>
      </c>
      <c r="H581" t="str">
        <f>INDEX(Ingredients!$F$1:$F$318,(MATCH(InterventionCosts!B581,Ingredients!A$1:A$318,0)))</f>
        <v>https://doi.org/10.1038/s41598-019-49109-w; Tabana Operational Vehicle 2016</v>
      </c>
      <c r="I581">
        <f>1/3583</f>
        <v>2.7909572983533354E-4</v>
      </c>
      <c r="J581" t="s">
        <v>1474</v>
      </c>
      <c r="K581" s="85">
        <f t="shared" ref="K581:K601" si="26">I581*E581</f>
        <v>0.71935395234919419</v>
      </c>
      <c r="L581" s="85" t="s">
        <v>67</v>
      </c>
    </row>
    <row r="582" spans="1:12">
      <c r="A582" t="s">
        <v>336</v>
      </c>
      <c r="B582" t="s">
        <v>287</v>
      </c>
      <c r="C582" s="5" t="s">
        <v>1539</v>
      </c>
      <c r="D582" t="s">
        <v>67</v>
      </c>
      <c r="E582" s="70">
        <f>IF(B582="","",INDEX(Ingredients!$I$1:$I$5013,(MATCH(InterventionCosts!B582,Ingredients!$A$1:$A$5013,0))))</f>
        <v>21800.311666666668</v>
      </c>
      <c r="F582" s="5" t="str">
        <f>INDEX(Ingredients!J$1:J$265,(MATCH(InterventionCosts!B582,Ingredients!A$1:A$265,0)))</f>
        <v>per month</v>
      </c>
      <c r="G582">
        <f>IF(B582="","",INDEX(Ingredients!$E$1:$E$238,(MATCH(InterventionCosts!B582,Ingredients!A$1:A$238,0))))</f>
        <v>2024</v>
      </c>
      <c r="H582" t="str">
        <f>INDEX(Ingredients!$F$1:$F$318,(MATCH(InterventionCosts!B582,Ingredients!A$1:A$318,0)))</f>
        <v xml:space="preserve">April 2024 Salary scale </v>
      </c>
      <c r="I582">
        <f>1/3583</f>
        <v>2.7909572983533354E-4</v>
      </c>
      <c r="J582" t="s">
        <v>1474</v>
      </c>
      <c r="K582" s="85">
        <f t="shared" si="26"/>
        <v>6.0843738952460704</v>
      </c>
      <c r="L582" s="85" t="s">
        <v>291</v>
      </c>
    </row>
    <row r="583" spans="1:12">
      <c r="A583" t="s">
        <v>336</v>
      </c>
      <c r="B583" t="s">
        <v>288</v>
      </c>
      <c r="C583" s="5" t="s">
        <v>1539</v>
      </c>
      <c r="D583" t="s">
        <v>67</v>
      </c>
      <c r="E583" s="70">
        <f>IF(B583="","",INDEX(Ingredients!$I$1:$I$5013,(MATCH(InterventionCosts!B583,Ingredients!$A$1:$A$5013,0))))</f>
        <v>62408.151666666665</v>
      </c>
      <c r="F583" s="5" t="str">
        <f>INDEX(Ingredients!J$1:J$265,(MATCH(InterventionCosts!B583,Ingredients!A$1:A$265,0)))</f>
        <v>per month</v>
      </c>
      <c r="G583">
        <f>IF(B583="","",INDEX(Ingredients!$E$1:$E$238,(MATCH(InterventionCosts!B583,Ingredients!A$1:A$238,0))))</f>
        <v>2024</v>
      </c>
      <c r="H583" t="str">
        <f>INDEX(Ingredients!$F$1:$F$318,(MATCH(InterventionCosts!B583,Ingredients!A$1:A$318,0)))</f>
        <v xml:space="preserve">April 2024 Salary scale </v>
      </c>
      <c r="I583">
        <f>1/3583</f>
        <v>2.7909572983533354E-4</v>
      </c>
      <c r="J583" t="s">
        <v>1474</v>
      </c>
      <c r="K583" s="85">
        <f t="shared" si="26"/>
        <v>17.417848637082521</v>
      </c>
      <c r="L583" s="85" t="s">
        <v>291</v>
      </c>
    </row>
    <row r="584" spans="1:12">
      <c r="A584" t="s">
        <v>336</v>
      </c>
      <c r="B584" t="s">
        <v>289</v>
      </c>
      <c r="C584" s="5" t="s">
        <v>1539</v>
      </c>
      <c r="D584" t="s">
        <v>67</v>
      </c>
      <c r="E584" s="70">
        <f>IF(B584="","",INDEX(Ingredients!$I$1:$I$5013,(MATCH(InterventionCosts!B584,Ingredients!$A$1:$A$5013,0))))</f>
        <v>34361.648333333331</v>
      </c>
      <c r="F584" s="5" t="str">
        <f>INDEX(Ingredients!J$1:J$265,(MATCH(InterventionCosts!B584,Ingredients!A$1:A$265,0)))</f>
        <v>per month</v>
      </c>
      <c r="G584">
        <f>IF(B584="","",INDEX(Ingredients!$E$1:$E$238,(MATCH(InterventionCosts!B584,Ingredients!A$1:A$238,0))))</f>
        <v>2024</v>
      </c>
      <c r="H584" t="str">
        <f>INDEX(Ingredients!$F$1:$F$318,(MATCH(InterventionCosts!B584,Ingredients!A$1:A$318,0)))</f>
        <v xml:space="preserve">April 2024 Salary scale </v>
      </c>
      <c r="I584">
        <f>4/3583</f>
        <v>1.1163829193413341E-3</v>
      </c>
      <c r="J584" t="s">
        <v>1474</v>
      </c>
      <c r="K584" s="85">
        <f t="shared" si="26"/>
        <v>38.360757279746956</v>
      </c>
      <c r="L584" s="85" t="s">
        <v>291</v>
      </c>
    </row>
    <row r="585" spans="1:12">
      <c r="A585" t="s">
        <v>336</v>
      </c>
      <c r="B585" t="s">
        <v>53</v>
      </c>
      <c r="C585" s="5" t="s">
        <v>1539</v>
      </c>
      <c r="D585" t="s">
        <v>67</v>
      </c>
      <c r="E585" s="70">
        <f>IF(B585="","",INDEX(Ingredients!$I$1:$I$5013,(MATCH(InterventionCosts!B585,Ingredients!$A$1:$A$5013,0))))</f>
        <v>4100.2266666666665</v>
      </c>
      <c r="F585" s="5" t="str">
        <f>INDEX(Ingredients!J$1:J$265,(MATCH(InterventionCosts!B585,Ingredients!A$1:A$265,0)))</f>
        <v>per month</v>
      </c>
      <c r="G585">
        <f>IF(B585="","",INDEX(Ingredients!$E$1:$E$238,(MATCH(InterventionCosts!B585,Ingredients!A$1:A$238,0))))</f>
        <v>2024</v>
      </c>
      <c r="H585" t="str">
        <f>INDEX(Ingredients!$F$1:$F$318,(MATCH(InterventionCosts!B585,Ingredients!A$1:A$318,0)))</f>
        <v>https://www.health.gov.za/wp-content/uploads/2022/07/Health-Department-welcomes-Bargaining-Council-resolution-to-improve-work-conditions-of-CHWs-27-July-2022.pdf</v>
      </c>
      <c r="I585">
        <v>1.1163829193413341E-3</v>
      </c>
      <c r="J585" t="s">
        <v>1474</v>
      </c>
      <c r="K585" s="85">
        <f t="shared" si="26"/>
        <v>4.5774230160945208</v>
      </c>
      <c r="L585" s="85" t="s">
        <v>302</v>
      </c>
    </row>
    <row r="586" spans="1:12">
      <c r="A586" t="s">
        <v>336</v>
      </c>
      <c r="B586" t="s">
        <v>53</v>
      </c>
      <c r="C586" s="5" t="s">
        <v>1539</v>
      </c>
      <c r="D586" t="s">
        <v>67</v>
      </c>
      <c r="E586" s="70">
        <f>IF(B586="","",INDEX(Ingredients!$I$1:$I$5013,(MATCH(InterventionCosts!B586,Ingredients!$A$1:$A$5013,0))))</f>
        <v>4100.2266666666665</v>
      </c>
      <c r="F586" s="5" t="str">
        <f>INDEX(Ingredients!J$1:J$265,(MATCH(InterventionCosts!B586,Ingredients!A$1:A$265,0)))</f>
        <v>per month</v>
      </c>
      <c r="G586">
        <f>IF(B586="","",INDEX(Ingredients!$E$1:$E$238,(MATCH(InterventionCosts!B586,Ingredients!A$1:A$238,0))))</f>
        <v>2024</v>
      </c>
      <c r="H586" t="str">
        <f>INDEX(Ingredients!$F$1:$F$318,(MATCH(InterventionCosts!B586,Ingredients!A$1:A$318,0)))</f>
        <v>https://www.health.gov.za/wp-content/uploads/2022/07/Health-Department-welcomes-Bargaining-Council-resolution-to-improve-work-conditions-of-CHWs-27-July-2022.pdf</v>
      </c>
      <c r="I586">
        <v>5.5819145967066705E-3</v>
      </c>
      <c r="J586" t="s">
        <v>1474</v>
      </c>
      <c r="K586" s="85">
        <f t="shared" si="26"/>
        <v>22.887115080472601</v>
      </c>
      <c r="L586" s="85" t="s">
        <v>302</v>
      </c>
    </row>
    <row r="587" spans="1:12">
      <c r="A587" t="s">
        <v>336</v>
      </c>
      <c r="B587" t="s">
        <v>246</v>
      </c>
      <c r="C587" s="5" t="s">
        <v>1539</v>
      </c>
      <c r="D587" t="s">
        <v>67</v>
      </c>
      <c r="E587" s="70">
        <f>IF(B587="","",INDEX(Ingredients!$I$1:$I$5013,(MATCH(InterventionCosts!B587,Ingredients!$A$1:$A$5013,0))))</f>
        <v>0.16400000000000001</v>
      </c>
      <c r="F587" s="5" t="str">
        <f>INDEX(Ingredients!J$1:J$265,(MATCH(InterventionCosts!B587,Ingredients!A$1:A$265,0)))</f>
        <v>per page</v>
      </c>
      <c r="G587">
        <f>IF(B587="","",INDEX(Ingredients!$E$1:$E$238,(MATCH(InterventionCosts!B587,Ingredients!A$1:A$238,0))))</f>
        <v>2024</v>
      </c>
      <c r="H587" t="str">
        <f>INDEX(Ingredients!$F$1:$F$318,(MATCH(InterventionCosts!B587,Ingredients!A$1:A$318,0)))</f>
        <v>https://www.makro.co.za/stationery-office-furniture/paper-filing/paper/white-paper/copy-paper/typek-a4-office-paper-80-gsm/p/000000000000012434_BOX</v>
      </c>
      <c r="I587">
        <f>1</f>
        <v>1</v>
      </c>
      <c r="J587" t="s">
        <v>1474</v>
      </c>
      <c r="K587" s="85">
        <f t="shared" si="26"/>
        <v>0.16400000000000001</v>
      </c>
      <c r="L587" s="85" t="s">
        <v>1508</v>
      </c>
    </row>
    <row r="588" spans="1:12">
      <c r="A588" t="s">
        <v>336</v>
      </c>
      <c r="B588" t="s">
        <v>290</v>
      </c>
      <c r="C588" s="5" t="s">
        <v>1539</v>
      </c>
      <c r="D588" s="5" t="s">
        <v>48</v>
      </c>
      <c r="E588" s="70">
        <f>IF(B588="","",INDEX(Ingredients!$I$1:$I$5013,(MATCH(InterventionCosts!B588,Ingredients!$A$1:$A$5013,0))))</f>
        <v>25449.108333333334</v>
      </c>
      <c r="F588" s="5" t="str">
        <f>INDEX(Ingredients!J$1:J$265,(MATCH(InterventionCosts!B588,Ingredients!A$1:A$265,0)))</f>
        <v>per month</v>
      </c>
      <c r="G588">
        <f>IF(B588="","",INDEX(Ingredients!$E$1:$E$238,(MATCH(InterventionCosts!B588,Ingredients!A$1:A$238,0))))</f>
        <v>2024</v>
      </c>
      <c r="H588" t="str">
        <f>INDEX(Ingredients!$F$1:$F$318,(MATCH(InterventionCosts!B588,Ingredients!A$1:A$318,0)))</f>
        <v xml:space="preserve">April 2024 Salary scale </v>
      </c>
      <c r="I588">
        <f>0.5/3583</f>
        <v>1.3954786491766677E-4</v>
      </c>
      <c r="J588" t="s">
        <v>1474</v>
      </c>
      <c r="K588" s="85">
        <f t="shared" si="26"/>
        <v>3.5513687319750677</v>
      </c>
      <c r="L588" s="85" t="s">
        <v>258</v>
      </c>
    </row>
    <row r="589" spans="1:12">
      <c r="A589" t="s">
        <v>336</v>
      </c>
      <c r="B589" t="s">
        <v>56</v>
      </c>
      <c r="C589" s="5" t="s">
        <v>1539</v>
      </c>
      <c r="D589" s="5" t="s">
        <v>48</v>
      </c>
      <c r="E589" s="70">
        <f>IF(B589="","",INDEX(Ingredients!$I$1:$I$5013,(MATCH(InterventionCosts!B589,Ingredients!$A$1:$A$5013,0))))</f>
        <v>23181.75</v>
      </c>
      <c r="F589" s="5" t="str">
        <f>INDEX(Ingredients!J$1:J$265,(MATCH(InterventionCosts!B589,Ingredients!A$1:A$265,0)))</f>
        <v>per month</v>
      </c>
      <c r="G589">
        <f>IF(B589="","",INDEX(Ingredients!$E$1:$E$238,(MATCH(InterventionCosts!B589,Ingredients!A$1:A$238,0))))</f>
        <v>2024</v>
      </c>
      <c r="H589" t="str">
        <f>INDEX(Ingredients!$F$1:$F$318,(MATCH(InterventionCosts!B589,Ingredients!A$1:A$318,0)))</f>
        <v xml:space="preserve">April 2024 Salary scale </v>
      </c>
      <c r="I589">
        <f>4/3583</f>
        <v>1.1163829193413341E-3</v>
      </c>
      <c r="J589" t="s">
        <v>1474</v>
      </c>
      <c r="K589" s="85">
        <f t="shared" si="26"/>
        <v>25.879709740440973</v>
      </c>
      <c r="L589" s="85" t="s">
        <v>258</v>
      </c>
    </row>
    <row r="590" spans="1:12">
      <c r="A590" t="s">
        <v>336</v>
      </c>
      <c r="B590" t="s">
        <v>51</v>
      </c>
      <c r="C590" s="5" t="s">
        <v>1539</v>
      </c>
      <c r="D590" s="5" t="s">
        <v>48</v>
      </c>
      <c r="E590" s="70">
        <f>IF(B590="","",INDEX(Ingredients!$I$1:$I$5013,(MATCH(InterventionCosts!B590,Ingredients!$A$1:$A$5013,0))))</f>
        <v>4100.2266666666665</v>
      </c>
      <c r="F590" s="5" t="str">
        <f>INDEX(Ingredients!J$1:J$265,(MATCH(InterventionCosts!B590,Ingredients!A$1:A$265,0)))</f>
        <v>per month</v>
      </c>
      <c r="G590">
        <f>IF(B590="","",INDEX(Ingredients!$E$1:$E$238,(MATCH(InterventionCosts!B590,Ingredients!A$1:A$238,0))))</f>
        <v>2024</v>
      </c>
      <c r="H590" t="str">
        <f>INDEX(Ingredients!$F$1:$F$318,(MATCH(InterventionCosts!B590,Ingredients!A$1:A$318,0)))</f>
        <v>https://www.gov.za/news/media-statements/government-activities/minister-thulas-nxesi-announces-national-minimum-wage</v>
      </c>
      <c r="I590">
        <f>0.5/3583</f>
        <v>1.3954786491766677E-4</v>
      </c>
      <c r="J590" t="s">
        <v>1474</v>
      </c>
      <c r="K590" s="85">
        <f t="shared" si="26"/>
        <v>0.57217787701181511</v>
      </c>
      <c r="L590" s="85" t="s">
        <v>258</v>
      </c>
    </row>
    <row r="591" spans="1:12">
      <c r="A591" t="s">
        <v>336</v>
      </c>
      <c r="B591" t="s">
        <v>247</v>
      </c>
      <c r="C591" s="5" t="s">
        <v>1539</v>
      </c>
      <c r="D591" s="5" t="s">
        <v>21</v>
      </c>
      <c r="E591" s="70">
        <f>IF(B591="","",INDEX(Ingredients!$I$1:$I$5013,(MATCH(InterventionCosts!B591,Ingredients!$A$1:$A$5013,0))))</f>
        <v>274.72000000000003</v>
      </c>
      <c r="F591" s="5" t="str">
        <f>INDEX(Ingredients!J$1:J$265,(MATCH(InterventionCosts!B591,Ingredients!A$1:A$265,0)))</f>
        <v>per 5L</v>
      </c>
      <c r="G591">
        <f>IF(B591="","",INDEX(Ingredients!$E$1:$E$238,(MATCH(InterventionCosts!B591,Ingredients!A$1:A$238,0))))</f>
        <v>2024</v>
      </c>
      <c r="H591" t="str">
        <f>INDEX(Ingredients!$F$1:$F$318,(MATCH(InterventionCosts!B591,Ingredients!A$1:A$318,0)))</f>
        <v>https://www.health.gov.za/wp-content/uploads/2024/04/HP12-2023LQ-CPA-Add-4-12-Effective-1-May-2024.pdf</v>
      </c>
      <c r="I591">
        <f>1/5000*1.01</f>
        <v>2.02E-4</v>
      </c>
      <c r="J591" t="s">
        <v>1474</v>
      </c>
      <c r="K591" s="85">
        <f t="shared" si="26"/>
        <v>5.5493440000000005E-2</v>
      </c>
      <c r="L591" s="85" t="s">
        <v>258</v>
      </c>
    </row>
    <row r="592" spans="1:12">
      <c r="A592" t="s">
        <v>336</v>
      </c>
      <c r="B592" t="s">
        <v>1489</v>
      </c>
      <c r="C592" s="5" t="s">
        <v>1539</v>
      </c>
      <c r="D592" s="5" t="s">
        <v>21</v>
      </c>
      <c r="E592" s="70">
        <f>IF(B592="","",INDEX(Ingredients!$I$1:$I$5013,(MATCH(InterventionCosts!B592,Ingredients!$A$1:$A$5013,0))))</f>
        <v>53.08</v>
      </c>
      <c r="F592" s="5" t="str">
        <f>INDEX(Ingredients!J$1:J$265,(MATCH(InterventionCosts!B592,Ingredients!A$1:A$265,0)))</f>
        <v>per pack 100, 50 pairs</v>
      </c>
      <c r="G592">
        <f>IF(B592="","",INDEX(Ingredients!$E$1:$E$238,(MATCH(InterventionCosts!B592,Ingredients!A$1:A$238,0))))</f>
        <v>2024</v>
      </c>
      <c r="H592" t="str">
        <f>INDEX(Ingredients!$F$1:$F$318,(MATCH(InterventionCosts!B592,Ingredients!A$1:A$318,0)))</f>
        <v>https://www.treasury.gov.za/divisions/ocpo/ostb/contracts/RT76-2023%20CPA%20Amendment%204-%20Effective%2001%20May%202024.pdf</v>
      </c>
      <c r="I592">
        <f>1/50*1.01</f>
        <v>2.0199999999999999E-2</v>
      </c>
      <c r="J592" t="s">
        <v>1474</v>
      </c>
      <c r="K592" s="85">
        <f t="shared" si="26"/>
        <v>1.0722159999999998</v>
      </c>
      <c r="L592" s="85" t="s">
        <v>265</v>
      </c>
    </row>
    <row r="593" spans="1:12">
      <c r="A593" t="s">
        <v>336</v>
      </c>
      <c r="B593" t="s">
        <v>79</v>
      </c>
      <c r="C593" s="5" t="s">
        <v>1539</v>
      </c>
      <c r="D593" s="5" t="s">
        <v>21</v>
      </c>
      <c r="E593" s="70">
        <f>IF(B593="","",INDEX(Ingredients!$I$1:$I$5013,(MATCH(InterventionCosts!B593,Ingredients!$A$1:$A$5013,0))))</f>
        <v>9.3000000000000007</v>
      </c>
      <c r="F593" s="5" t="str">
        <f>INDEX(Ingredients!J$1:J$265,(MATCH(InterventionCosts!B593,Ingredients!A$1:A$265,0)))</f>
        <v>per test</v>
      </c>
      <c r="G593">
        <f>IF(B593="","",INDEX(Ingredients!$E$1:$E$238,(MATCH(InterventionCosts!B593,Ingredients!A$1:A$238,0))))</f>
        <v>2024</v>
      </c>
      <c r="H593" t="str">
        <f>INDEX(Ingredients!$F$1:$F$318,(MATCH(InterventionCosts!B593,Ingredients!A$1:A$318,0)))</f>
        <v>https://www.treasury.gov.za/divisions/ocpo/ostb/contracts/RT41-2020.zip</v>
      </c>
      <c r="I593">
        <f>1*1.01</f>
        <v>1.01</v>
      </c>
      <c r="J593" t="s">
        <v>1474</v>
      </c>
      <c r="K593" s="85">
        <f t="shared" si="26"/>
        <v>9.3930000000000007</v>
      </c>
      <c r="L593" s="85" t="s">
        <v>258</v>
      </c>
    </row>
    <row r="594" spans="1:12">
      <c r="A594" t="s">
        <v>336</v>
      </c>
      <c r="B594" t="s">
        <v>248</v>
      </c>
      <c r="C594" s="5" t="s">
        <v>1539</v>
      </c>
      <c r="D594" s="5" t="s">
        <v>21</v>
      </c>
      <c r="E594" s="70">
        <f>IF(B594="","",INDEX(Ingredients!$I$1:$I$5013,(MATCH(InterventionCosts!B594,Ingredients!$A$1:$A$5013,0))))</f>
        <v>2.645</v>
      </c>
      <c r="F594" s="5" t="str">
        <f>INDEX(Ingredients!J$1:J$265,(MATCH(InterventionCosts!B594,Ingredients!A$1:A$265,0)))</f>
        <v>per bag</v>
      </c>
      <c r="G594">
        <f>IF(B594="","",INDEX(Ingredients!$E$1:$E$238,(MATCH(InterventionCosts!B594,Ingredients!A$1:A$238,0))))</f>
        <v>2024</v>
      </c>
      <c r="H594" t="str">
        <f>INDEX(Ingredients!$F$1:$F$318,(MATCH(InterventionCosts!B594,Ingredients!A$1:A$318,0)))</f>
        <v>https://medqsupplies.co.za/product/bio-hazard-plastic-bags/</v>
      </c>
      <c r="I594">
        <f>1*1.01</f>
        <v>1.01</v>
      </c>
      <c r="J594" t="s">
        <v>1474</v>
      </c>
      <c r="K594" s="85">
        <f t="shared" si="26"/>
        <v>2.6714500000000001</v>
      </c>
      <c r="L594" s="85" t="s">
        <v>258</v>
      </c>
    </row>
    <row r="595" spans="1:12">
      <c r="A595" t="s">
        <v>336</v>
      </c>
      <c r="B595" t="s">
        <v>31</v>
      </c>
      <c r="C595" s="5" t="s">
        <v>1539</v>
      </c>
      <c r="D595" s="5" t="s">
        <v>21</v>
      </c>
      <c r="E595" s="70">
        <f>IF(B595="","",INDEX(Ingredients!$I$1:$I$5013,(MATCH(InterventionCosts!B595,Ingredients!$A$1:$A$5013,0))))</f>
        <v>31.4</v>
      </c>
      <c r="F595" s="5" t="str">
        <f>INDEX(Ingredients!J$1:J$265,(MATCH(InterventionCosts!B595,Ingredients!A$1:A$265,0)))</f>
        <v>per 100 swabs</v>
      </c>
      <c r="G595">
        <f>IF(B595="","",INDEX(Ingredients!$E$1:$E$238,(MATCH(InterventionCosts!B595,Ingredients!A$1:A$238,0))))</f>
        <v>2024</v>
      </c>
      <c r="H595" t="str">
        <f>INDEX(Ingredients!$F$1:$F$318,(MATCH(InterventionCosts!B595,Ingredients!A$1:A$318,0)))</f>
        <v xml:space="preserve">http://www.treasury.gov.za/divisions/ocpo/ostb/contracts/RT42-2022zip </v>
      </c>
      <c r="I595">
        <f>1/100*1.01</f>
        <v>1.01E-2</v>
      </c>
      <c r="J595" t="s">
        <v>1474</v>
      </c>
      <c r="K595" s="85">
        <f t="shared" si="26"/>
        <v>0.31713999999999998</v>
      </c>
      <c r="L595" s="85" t="s">
        <v>258</v>
      </c>
    </row>
    <row r="596" spans="1:12">
      <c r="A596" t="s">
        <v>336</v>
      </c>
      <c r="B596" t="s">
        <v>249</v>
      </c>
      <c r="C596" s="5" t="s">
        <v>1539</v>
      </c>
      <c r="D596" s="5" t="s">
        <v>21</v>
      </c>
      <c r="E596" s="70">
        <f>IF(B596="","",INDEX(Ingredients!$I$1:$I$5013,(MATCH(InterventionCosts!B596,Ingredients!$A$1:$A$5013,0))))</f>
        <v>7.86</v>
      </c>
      <c r="F596" s="5" t="str">
        <f>INDEX(Ingredients!J$1:J$265,(MATCH(InterventionCosts!B596,Ingredients!A$1:A$265,0)))</f>
        <v>per test kit</v>
      </c>
      <c r="G596">
        <f>IF(B596="","",INDEX(Ingredients!$E$1:$E$238,(MATCH(InterventionCosts!B596,Ingredients!A$1:A$238,0))))</f>
        <v>2024</v>
      </c>
      <c r="H596" t="str">
        <f>INDEX(Ingredients!$F$1:$F$318,(MATCH(InterventionCosts!B596,Ingredients!A$1:A$318,0)))</f>
        <v>https://www.treasury.gov.za/divisions/ocpo/ostb/contracts/RT41-2020.zip</v>
      </c>
      <c r="I596">
        <f>1*1.01</f>
        <v>1.01</v>
      </c>
      <c r="J596" t="s">
        <v>1474</v>
      </c>
      <c r="K596" s="85">
        <f t="shared" si="26"/>
        <v>7.9386000000000001</v>
      </c>
      <c r="L596" s="85" t="s">
        <v>316</v>
      </c>
    </row>
    <row r="597" spans="1:12">
      <c r="A597" t="s">
        <v>336</v>
      </c>
      <c r="B597" t="s">
        <v>79</v>
      </c>
      <c r="C597" s="5" t="s">
        <v>1539</v>
      </c>
      <c r="D597" s="5" t="s">
        <v>21</v>
      </c>
      <c r="E597" s="70">
        <f>IF(B597="","",INDEX(Ingredients!$I$1:$I$5013,(MATCH(InterventionCosts!B597,Ingredients!$A$1:$A$5013,0))))</f>
        <v>9.3000000000000007</v>
      </c>
      <c r="F597" s="5" t="str">
        <f>INDEX(Ingredients!J$1:J$265,(MATCH(InterventionCosts!B597,Ingredients!A$1:A$265,0)))</f>
        <v>per test</v>
      </c>
      <c r="G597">
        <f>IF(B597="","",INDEX(Ingredients!$E$1:$E$238,(MATCH(InterventionCosts!B597,Ingredients!A$1:A$238,0))))</f>
        <v>2024</v>
      </c>
      <c r="H597" t="str">
        <f>INDEX(Ingredients!$F$1:$F$318,(MATCH(InterventionCosts!B597,Ingredients!A$1:A$318,0)))</f>
        <v>https://www.treasury.gov.za/divisions/ocpo/ostb/contracts/RT41-2020.zip</v>
      </c>
      <c r="I597">
        <f>1*0.0578*1.01</f>
        <v>5.8377999999999999E-2</v>
      </c>
      <c r="J597" t="s">
        <v>1474</v>
      </c>
      <c r="K597" s="85">
        <f t="shared" si="26"/>
        <v>0.54291540000000005</v>
      </c>
      <c r="L597" s="85" t="s">
        <v>337</v>
      </c>
    </row>
    <row r="598" spans="1:12">
      <c r="A598" t="s">
        <v>336</v>
      </c>
      <c r="B598" t="s">
        <v>249</v>
      </c>
      <c r="C598" s="5" t="s">
        <v>1539</v>
      </c>
      <c r="D598" s="5" t="s">
        <v>21</v>
      </c>
      <c r="E598" s="70">
        <f>IF(B598="","",INDEX(Ingredients!$I$1:$I$5013,(MATCH(InterventionCosts!B598,Ingredients!$A$1:$A$5013,0))))</f>
        <v>7.86</v>
      </c>
      <c r="F598" s="5" t="str">
        <f>INDEX(Ingredients!J$1:J$265,(MATCH(InterventionCosts!B598,Ingredients!A$1:A$265,0)))</f>
        <v>per test kit</v>
      </c>
      <c r="G598">
        <f>IF(B598="","",INDEX(Ingredients!$E$1:$E$238,(MATCH(InterventionCosts!B598,Ingredients!A$1:A$238,0))))</f>
        <v>2024</v>
      </c>
      <c r="H598" t="str">
        <f>INDEX(Ingredients!$F$1:$F$318,(MATCH(InterventionCosts!B598,Ingredients!A$1:A$318,0)))</f>
        <v>https://www.treasury.gov.za/divisions/ocpo/ostb/contracts/RT41-2020.zip</v>
      </c>
      <c r="I598">
        <f>1*0.00578*1.01</f>
        <v>5.8378000000000006E-3</v>
      </c>
      <c r="J598" t="s">
        <v>1474</v>
      </c>
      <c r="K598" s="85">
        <f t="shared" si="26"/>
        <v>4.5885108000000008E-2</v>
      </c>
      <c r="L598" s="85" t="s">
        <v>338</v>
      </c>
    </row>
    <row r="599" spans="1:12">
      <c r="A599" t="s">
        <v>336</v>
      </c>
      <c r="B599" t="s">
        <v>250</v>
      </c>
      <c r="C599" s="5" t="s">
        <v>1539</v>
      </c>
      <c r="D599" s="5" t="s">
        <v>21</v>
      </c>
      <c r="E599" s="70">
        <f>IF(B599="","",INDEX(Ingredients!$I$1:$I$5013,(MATCH(InterventionCosts!B599,Ingredients!$A$1:$A$5013,0))))</f>
        <v>71.889951748999991</v>
      </c>
      <c r="F599" s="5" t="str">
        <f>INDEX(Ingredients!J$1:J$265,(MATCH(InterventionCosts!B599,Ingredients!A$1:A$265,0)))</f>
        <v>per test</v>
      </c>
      <c r="G599">
        <f>IF(B599="","",INDEX(Ingredients!$E$1:$E$238,(MATCH(InterventionCosts!B599,Ingredients!A$1:A$238,0))))</f>
        <v>2021</v>
      </c>
      <c r="H599" t="str">
        <f>INDEX(Ingredients!$F$1:$F$318,(MATCH(InterventionCosts!B599,Ingredients!A$1:A$318,0)))</f>
        <v>NHLS 2021 price-list</v>
      </c>
      <c r="I599">
        <f>0.0039*1.01</f>
        <v>3.9389999999999998E-3</v>
      </c>
      <c r="J599" t="s">
        <v>1474</v>
      </c>
      <c r="K599" s="85">
        <f t="shared" si="26"/>
        <v>0.28317451993931098</v>
      </c>
      <c r="L599" s="85" t="s">
        <v>295</v>
      </c>
    </row>
    <row r="600" spans="1:12">
      <c r="A600" t="s">
        <v>336</v>
      </c>
      <c r="B600" t="s">
        <v>43</v>
      </c>
      <c r="C600" s="5" t="s">
        <v>1539</v>
      </c>
      <c r="D600" s="5" t="s">
        <v>21</v>
      </c>
      <c r="E600" s="70">
        <f>IF(B600="","",INDEX(Ingredients!$I$1:$I$5013,(MATCH(InterventionCosts!B600,Ingredients!$A$1:$A$5013,0))))</f>
        <v>0.61939459752201187</v>
      </c>
      <c r="F600" s="5" t="str">
        <f>INDEX(Ingredients!J$1:J$265,(MATCH(InterventionCosts!B600,Ingredients!A$1:A$265,0)))</f>
        <v>per condom</v>
      </c>
      <c r="G600">
        <f>IF(B600="","",INDEX(Ingredients!$E$1:$E$238,(MATCH(InterventionCosts!B600,Ingredients!A$1:A$238,0))))</f>
        <v>2024</v>
      </c>
      <c r="H600" t="str">
        <f>INDEX(Ingredients!$F$1:$F$318,(MATCH(InterventionCosts!B600,Ingredients!A$1:A$318,0)))</f>
        <v>https://www.treasury.gov.za/divisions/ocpo/ostb/contracts/RT75-2021.zip</v>
      </c>
      <c r="I600">
        <v>10</v>
      </c>
      <c r="J600" t="s">
        <v>1474</v>
      </c>
      <c r="K600" s="85">
        <f t="shared" si="26"/>
        <v>6.1939459752201191</v>
      </c>
      <c r="L600" s="85" t="s">
        <v>268</v>
      </c>
    </row>
    <row r="601" spans="1:12">
      <c r="A601" t="s">
        <v>336</v>
      </c>
      <c r="B601" t="s">
        <v>251</v>
      </c>
      <c r="C601" s="5" t="s">
        <v>1539</v>
      </c>
      <c r="D601" s="5" t="s">
        <v>21</v>
      </c>
      <c r="E601" s="70">
        <f>IF(B601="","",INDEX(Ingredients!$I$1:$I$5013,(MATCH(InterventionCosts!B601,Ingredients!$A$1:$A$5013,0))))</f>
        <v>1.0227713593614072</v>
      </c>
      <c r="F601" s="5" t="str">
        <f>INDEX(Ingredients!J$1:J$265,(MATCH(InterventionCosts!B601,Ingredients!A$1:A$265,0)))</f>
        <v>per 1</v>
      </c>
      <c r="G601">
        <f>IF(B601="","",INDEX(Ingredients!$E$1:$E$238,(MATCH(InterventionCosts!B601,Ingredients!A$1:A$238,0))))</f>
        <v>2016</v>
      </c>
      <c r="H601" t="str">
        <f>INDEX(Ingredients!$F$1:$F$318,(MATCH(InterventionCosts!B601,Ingredients!A$1:A$318,0)))</f>
        <v>https://doi.org/10.1038/s41598-019-49109-w</v>
      </c>
      <c r="I601">
        <v>1</v>
      </c>
      <c r="J601" t="s">
        <v>1474</v>
      </c>
      <c r="K601" s="85">
        <f t="shared" si="26"/>
        <v>1.0227713593614072</v>
      </c>
      <c r="L601" s="85" t="s">
        <v>268</v>
      </c>
    </row>
    <row r="602" spans="1:12" s="89" customFormat="1">
      <c r="A602" s="4" t="s">
        <v>336</v>
      </c>
      <c r="F602" s="89" t="s">
        <v>1164</v>
      </c>
      <c r="G602" s="89" t="str">
        <f>IF(B602="","",INDEX(Ingredients!$E$1:$E$238,(MATCH(InterventionCosts!B602,Ingredients!A$1:A$238,0))))</f>
        <v/>
      </c>
      <c r="K602" s="90"/>
      <c r="L602" s="90">
        <f>SUM(K581:K601)</f>
        <v>149.75072001294055</v>
      </c>
    </row>
    <row r="603" spans="1:12" s="89" customFormat="1">
      <c r="A603" s="4" t="s">
        <v>336</v>
      </c>
      <c r="F603" s="89" t="s">
        <v>117</v>
      </c>
      <c r="G603" s="89" t="str">
        <f>IF(B603="","",INDEX(Ingredients!$E$1:$E$238,(MATCH(InterventionCosts!B603,Ingredients!A$1:A$238,0))))</f>
        <v/>
      </c>
      <c r="K603" s="90"/>
      <c r="L603" s="90" t="s">
        <v>936</v>
      </c>
    </row>
    <row r="604" spans="1:12">
      <c r="G604" t="str">
        <f>IF(B604="","",INDEX(Ingredients!$E$1:$E$238,(MATCH(InterventionCosts!B604,Ingredients!A$1:A$238,0))))</f>
        <v/>
      </c>
    </row>
    <row r="605" spans="1:12">
      <c r="A605" s="5" t="s">
        <v>339</v>
      </c>
      <c r="B605" t="s">
        <v>320</v>
      </c>
      <c r="C605" s="5" t="s">
        <v>1539</v>
      </c>
      <c r="D605" t="s">
        <v>81</v>
      </c>
      <c r="E605" s="70">
        <f>IF(B605="","",INDEX(Ingredients!$I$1:$I$5013,(MATCH(InterventionCosts!B605,Ingredients!$A$1:$A$5013,0))))</f>
        <v>2698.1345728637612</v>
      </c>
      <c r="F605" s="5" t="str">
        <f>INDEX(Ingredients!J$1:J$265,(MATCH(InterventionCosts!B605,Ingredients!A$1:A$265,0)))</f>
        <v>monthly cost</v>
      </c>
      <c r="G605" s="5">
        <f>IF(B605="","",INDEX(Ingredients!$E$1:$E$238,(MATCH(InterventionCosts!B605,Ingredients!A$1:A$238,0))))</f>
        <v>2016</v>
      </c>
      <c r="H605" t="str">
        <f>INDEX(Ingredients!$F$1:$F$318,(MATCH(InterventionCosts!B605,Ingredients!A$1:A$318,0)))</f>
        <v>https://doi.org/10.1038/s41598-019-49109-w</v>
      </c>
      <c r="I605">
        <f>1/1000</f>
        <v>1E-3</v>
      </c>
      <c r="J605" t="s">
        <v>1474</v>
      </c>
      <c r="K605" s="85">
        <f t="shared" ref="K605:K627" si="27">I605*E605</f>
        <v>2.6981345728637613</v>
      </c>
      <c r="L605" s="12" t="s">
        <v>260</v>
      </c>
    </row>
    <row r="606" spans="1:12">
      <c r="A606" s="5" t="s">
        <v>339</v>
      </c>
      <c r="B606" t="s">
        <v>322</v>
      </c>
      <c r="C606" s="5" t="s">
        <v>1539</v>
      </c>
      <c r="D606" t="s">
        <v>67</v>
      </c>
      <c r="E606" s="70">
        <f>IF(B606="","",INDEX(Ingredients!$I$1:$I$5013,(MATCH(InterventionCosts!B606,Ingredients!$A$1:$A$5013,0))))</f>
        <v>1016.3208420138025</v>
      </c>
      <c r="F606" s="5" t="str">
        <f>INDEX(Ingredients!J$1:J$265,(MATCH(InterventionCosts!B606,Ingredients!A$1:A$265,0)))</f>
        <v>monthly cost</v>
      </c>
      <c r="G606" s="5">
        <f>IF(B606="","",INDEX(Ingredients!$E$1:$E$238,(MATCH(InterventionCosts!B606,Ingredients!A$1:A$238,0))))</f>
        <v>2016</v>
      </c>
      <c r="H606" t="str">
        <f>INDEX(Ingredients!$F$1:$F$318,(MATCH(InterventionCosts!B606,Ingredients!A$1:A$318,0)))</f>
        <v>https://doi.org/10.1038/s41598-019-49109-w</v>
      </c>
      <c r="I606">
        <f>1/1000</f>
        <v>1E-3</v>
      </c>
      <c r="J606" t="s">
        <v>1474</v>
      </c>
      <c r="K606" s="85">
        <f t="shared" si="27"/>
        <v>1.0163208420138026</v>
      </c>
      <c r="L606" s="12" t="s">
        <v>260</v>
      </c>
    </row>
    <row r="607" spans="1:12" s="5" customFormat="1">
      <c r="A607" s="5" t="s">
        <v>339</v>
      </c>
      <c r="B607" s="5" t="s">
        <v>243</v>
      </c>
      <c r="C607" s="5" t="s">
        <v>1539</v>
      </c>
      <c r="D607" s="5" t="s">
        <v>48</v>
      </c>
      <c r="E607" s="70">
        <f>IF(B607="","",INDEX(Ingredients!$I$1:$I$5013,(MATCH(InterventionCosts!B607,Ingredients!$A$1:$A$5013,0))))</f>
        <v>1.3151532137518684</v>
      </c>
      <c r="F607" s="5" t="str">
        <f>INDEX(Ingredients!J$1:J$265,(MATCH(InterventionCosts!B607,Ingredients!A$1:A$265,0)))</f>
        <v>per minute</v>
      </c>
      <c r="G607" s="5">
        <f>IF(B607="","",INDEX(Ingredients!$E$1:$E$238,(MATCH(InterventionCosts!B607,Ingredients!A$1:A$238,0))))</f>
        <v>2024</v>
      </c>
      <c r="H607" t="str">
        <f>INDEX(Ingredients!$F$1:$F$318,(MATCH(InterventionCosts!B607,Ingredients!A$1:A$318,0)))</f>
        <v>https://www.psira.co.za/dmdocuments/Illustrative%20Costing%20Guideline%202024-2025%20AREA%201%20and%202.pdf</v>
      </c>
      <c r="I607" s="5">
        <v>0.5</v>
      </c>
      <c r="J607" t="s">
        <v>1474</v>
      </c>
      <c r="K607" s="85">
        <f t="shared" si="27"/>
        <v>0.65757660687593422</v>
      </c>
      <c r="L607" s="12" t="s">
        <v>260</v>
      </c>
    </row>
    <row r="608" spans="1:12">
      <c r="A608" s="5" t="s">
        <v>339</v>
      </c>
      <c r="B608" t="s">
        <v>52</v>
      </c>
      <c r="C608" s="5" t="s">
        <v>1539</v>
      </c>
      <c r="D608" s="5" t="s">
        <v>48</v>
      </c>
      <c r="E608" s="70">
        <f>IF(B608="","",INDEX(Ingredients!$I$1:$I$5013,(MATCH(InterventionCosts!B608,Ingredients!$A$1:$A$5013,0))))</f>
        <v>1.8019482436472347</v>
      </c>
      <c r="F608" s="5" t="str">
        <f>INDEX(Ingredients!J$1:J$265,(MATCH(InterventionCosts!B608,Ingredients!A$1:A$265,0)))</f>
        <v>per minute</v>
      </c>
      <c r="G608">
        <f>IF(B608="","",INDEX(Ingredients!$E$1:$E$238,(MATCH(InterventionCosts!B608,Ingredients!A$1:A$238,0))))</f>
        <v>2024</v>
      </c>
      <c r="H608" t="str">
        <f>INDEX(Ingredients!$F$1:$F$318,(MATCH(InterventionCosts!B608,Ingredients!A$1:A$318,0)))</f>
        <v xml:space="preserve">April 2024 Salary scale </v>
      </c>
      <c r="I608">
        <v>2</v>
      </c>
      <c r="J608" t="s">
        <v>1474</v>
      </c>
      <c r="K608" s="85">
        <f t="shared" si="27"/>
        <v>3.6038964872944694</v>
      </c>
      <c r="L608" s="12" t="s">
        <v>260</v>
      </c>
    </row>
    <row r="609" spans="1:12">
      <c r="A609" s="5" t="s">
        <v>339</v>
      </c>
      <c r="B609" t="s">
        <v>245</v>
      </c>
      <c r="C609" s="5" t="s">
        <v>1539</v>
      </c>
      <c r="D609" t="s">
        <v>21</v>
      </c>
      <c r="E609" s="70">
        <f>IF(B609="","",INDEX(Ingredients!$I$1:$I$5013,(MATCH(InterventionCosts!B609,Ingredients!$A$1:$A$5013,0))))</f>
        <v>129</v>
      </c>
      <c r="F609" s="5" t="str">
        <f>INDEX(Ingredients!J$1:J$265,(MATCH(InterventionCosts!B609,Ingredients!A$1:A$265,0)))</f>
        <v>per 20 files</v>
      </c>
      <c r="G609">
        <f>IF(B609="","",INDEX(Ingredients!$E$1:$E$238,(MATCH(InterventionCosts!B609,Ingredients!A$1:A$238,0))))</f>
        <v>2024</v>
      </c>
      <c r="H609" t="str">
        <f>INDEX(Ingredients!$F$1:$F$318,(MATCH(InterventionCosts!B609,Ingredients!A$1:A$318,0)))</f>
        <v>https://www.makro.co.za/stationery-office-furniture/paper-filing/filing-folders/file-storage/tidy-files-medium-weight-files-/p/000000000000125629_PK</v>
      </c>
      <c r="I609">
        <f>1/20</f>
        <v>0.05</v>
      </c>
      <c r="J609" t="s">
        <v>1474</v>
      </c>
      <c r="K609" s="85">
        <f t="shared" si="27"/>
        <v>6.45</v>
      </c>
      <c r="L609" s="12" t="s">
        <v>262</v>
      </c>
    </row>
    <row r="610" spans="1:12">
      <c r="A610" s="5" t="s">
        <v>339</v>
      </c>
      <c r="B610" t="s">
        <v>246</v>
      </c>
      <c r="C610" s="5" t="s">
        <v>1539</v>
      </c>
      <c r="D610" t="s">
        <v>21</v>
      </c>
      <c r="E610" s="70">
        <f>IF(B610="","",INDEX(Ingredients!$I$1:$I$5013,(MATCH(InterventionCosts!B610,Ingredients!$A$1:$A$5013,0))))</f>
        <v>0.16400000000000001</v>
      </c>
      <c r="F610" s="5" t="str">
        <f>INDEX(Ingredients!J$1:J$265,(MATCH(InterventionCosts!B610,Ingredients!A$1:A$265,0)))</f>
        <v>per page</v>
      </c>
      <c r="G610">
        <f>IF(B610="","",INDEX(Ingredients!$E$1:$E$238,(MATCH(InterventionCosts!B610,Ingredients!A$1:A$238,0))))</f>
        <v>2024</v>
      </c>
      <c r="H610" t="str">
        <f>INDEX(Ingredients!$F$1:$F$318,(MATCH(InterventionCosts!B610,Ingredients!A$1:A$318,0)))</f>
        <v>https://www.makro.co.za/stationery-office-furniture/paper-filing/paper/white-paper/copy-paper/typek-a4-office-paper-80-gsm/p/000000000000012434_BOX</v>
      </c>
      <c r="I610">
        <f>2</f>
        <v>2</v>
      </c>
      <c r="J610" t="s">
        <v>1474</v>
      </c>
      <c r="K610" s="85">
        <f t="shared" si="27"/>
        <v>0.32800000000000001</v>
      </c>
      <c r="L610" s="12" t="s">
        <v>261</v>
      </c>
    </row>
    <row r="611" spans="1:12">
      <c r="A611" s="5" t="s">
        <v>339</v>
      </c>
      <c r="B611" t="s">
        <v>52</v>
      </c>
      <c r="C611" s="5" t="s">
        <v>1539</v>
      </c>
      <c r="D611" s="5" t="s">
        <v>48</v>
      </c>
      <c r="E611" s="70">
        <f>IF(B611="","",INDEX(Ingredients!$I$1:$I$5013,(MATCH(InterventionCosts!B611,Ingredients!$A$1:$A$5013,0))))</f>
        <v>1.8019482436472347</v>
      </c>
      <c r="F611" s="5" t="str">
        <f>INDEX(Ingredients!J$1:J$265,(MATCH(InterventionCosts!B611,Ingredients!A$1:A$265,0)))</f>
        <v>per minute</v>
      </c>
      <c r="G611">
        <f>IF(B611="","",INDEX(Ingredients!$E$1:$E$238,(MATCH(InterventionCosts!B611,Ingredients!A$1:A$238,0))))</f>
        <v>2024</v>
      </c>
      <c r="H611" t="str">
        <f>INDEX(Ingredients!$F$1:$F$318,(MATCH(InterventionCosts!B611,Ingredients!A$1:A$318,0)))</f>
        <v xml:space="preserve">April 2024 Salary scale </v>
      </c>
      <c r="I611">
        <v>2</v>
      </c>
      <c r="J611" t="s">
        <v>1474</v>
      </c>
      <c r="K611" s="85">
        <f t="shared" si="27"/>
        <v>3.6038964872944694</v>
      </c>
      <c r="L611" s="12" t="s">
        <v>277</v>
      </c>
    </row>
    <row r="612" spans="1:12">
      <c r="A612" s="5" t="s">
        <v>339</v>
      </c>
      <c r="B612" t="s">
        <v>323</v>
      </c>
      <c r="C612" s="5" t="s">
        <v>1539</v>
      </c>
      <c r="D612" t="s">
        <v>81</v>
      </c>
      <c r="E612" s="70">
        <f>IF(B612="","",INDEX(Ingredients!$I$1:$I$5013,(MATCH(InterventionCosts!B612,Ingredients!$A$1:$A$5013,0))))</f>
        <v>1321.110140433256</v>
      </c>
      <c r="F612" s="5" t="str">
        <f>INDEX(Ingredients!J$1:J$265,(MATCH(InterventionCosts!B612,Ingredients!A$1:A$265,0)))</f>
        <v>monthly cost</v>
      </c>
      <c r="G612" s="5">
        <f>IF(B612="","",INDEX(Ingredients!$E$1:$E$238,(MATCH(InterventionCosts!B612,Ingredients!A$1:A$238,0))))</f>
        <v>2016</v>
      </c>
      <c r="H612" t="str">
        <f>INDEX(Ingredients!$F$1:$F$318,(MATCH(InterventionCosts!B612,Ingredients!A$1:A$318,0)))</f>
        <v>https://doi.org/10.1038/s41598-019-49109-w</v>
      </c>
      <c r="I612">
        <f>1/1000</f>
        <v>1E-3</v>
      </c>
      <c r="J612" t="s">
        <v>1474</v>
      </c>
      <c r="K612" s="85">
        <f t="shared" si="27"/>
        <v>1.3211101404332559</v>
      </c>
      <c r="L612" s="12" t="s">
        <v>277</v>
      </c>
    </row>
    <row r="613" spans="1:12">
      <c r="A613" s="5" t="s">
        <v>339</v>
      </c>
      <c r="B613" t="s">
        <v>324</v>
      </c>
      <c r="C613" s="5" t="s">
        <v>1539</v>
      </c>
      <c r="D613" t="s">
        <v>67</v>
      </c>
      <c r="E613" s="70">
        <f>IF(B613="","",INDEX(Ingredients!$I$1:$I$5013,(MATCH(InterventionCosts!B613,Ingredients!$A$1:$A$5013,0))))</f>
        <v>284.21265617383841</v>
      </c>
      <c r="F613" s="5" t="str">
        <f>INDEX(Ingredients!J$1:J$265,(MATCH(InterventionCosts!B613,Ingredients!A$1:A$265,0)))</f>
        <v>monthly cost</v>
      </c>
      <c r="G613" s="5">
        <f>IF(B613="","",INDEX(Ingredients!$E$1:$E$238,(MATCH(InterventionCosts!B613,Ingredients!A$1:A$238,0))))</f>
        <v>2019</v>
      </c>
      <c r="H613" t="str">
        <f>INDEX(Ingredients!$F$1:$F$318,(MATCH(InterventionCosts!B613,Ingredients!A$1:A$318,0)))</f>
        <v>https://doi.org/10.1038/s41598-019-49109-w 2016 updated</v>
      </c>
      <c r="I613">
        <f>1/1000</f>
        <v>1E-3</v>
      </c>
      <c r="J613" t="s">
        <v>1474</v>
      </c>
      <c r="K613" s="85">
        <f t="shared" si="27"/>
        <v>0.2842126561738384</v>
      </c>
      <c r="L613" s="12" t="s">
        <v>277</v>
      </c>
    </row>
    <row r="614" spans="1:12">
      <c r="A614" s="5" t="s">
        <v>339</v>
      </c>
      <c r="B614" t="s">
        <v>54</v>
      </c>
      <c r="C614" s="5" t="s">
        <v>1539</v>
      </c>
      <c r="D614" s="5" t="s">
        <v>48</v>
      </c>
      <c r="E614" s="70">
        <f>IF(B614="","",INDEX(Ingredients!$I$1:$I$5013,(MATCH(InterventionCosts!B614,Ingredients!$A$1:$A$5013,0))))</f>
        <v>1.2444366591928251</v>
      </c>
      <c r="F614" s="5" t="str">
        <f>INDEX(Ingredients!J$1:J$265,(MATCH(InterventionCosts!B614,Ingredients!A$1:A$265,0)))</f>
        <v>per minute</v>
      </c>
      <c r="G614">
        <f>IF(B614="","",INDEX(Ingredients!$E$1:$E$238,(MATCH(InterventionCosts!B614,Ingredients!A$1:A$238,0))))</f>
        <v>2024</v>
      </c>
      <c r="H614" t="str">
        <f>INDEX(Ingredients!$F$1:$F$318,(MATCH(InterventionCosts!B614,Ingredients!A$1:A$318,0)))</f>
        <v xml:space="preserve">April 2024 Salary scale </v>
      </c>
      <c r="I614">
        <v>5</v>
      </c>
      <c r="J614" t="s">
        <v>1474</v>
      </c>
      <c r="K614" s="85">
        <f t="shared" si="27"/>
        <v>6.2221832959641254</v>
      </c>
      <c r="L614" s="85" t="s">
        <v>259</v>
      </c>
    </row>
    <row r="615" spans="1:12">
      <c r="A615" s="5" t="s">
        <v>339</v>
      </c>
      <c r="B615" t="s">
        <v>54</v>
      </c>
      <c r="C615" s="5" t="s">
        <v>1539</v>
      </c>
      <c r="D615" s="5" t="s">
        <v>48</v>
      </c>
      <c r="E615" s="70">
        <f>IF(B615="","",INDEX(Ingredients!$I$1:$I$5013,(MATCH(InterventionCosts!B615,Ingredients!$A$1:$A$5013,0))))</f>
        <v>1.2444366591928251</v>
      </c>
      <c r="F615" s="5" t="str">
        <f>INDEX(Ingredients!J$1:J$265,(MATCH(InterventionCosts!B615,Ingredients!A$1:A$265,0)))</f>
        <v>per minute</v>
      </c>
      <c r="G615">
        <f>IF(B615="","",INDEX(Ingredients!$E$1:$E$238,(MATCH(InterventionCosts!B615,Ingredients!A$1:A$238,0))))</f>
        <v>2024</v>
      </c>
      <c r="H615" t="str">
        <f>INDEX(Ingredients!$F$1:$F$318,(MATCH(InterventionCosts!B615,Ingredients!A$1:A$318,0)))</f>
        <v xml:space="preserve">April 2024 Salary scale </v>
      </c>
      <c r="I615">
        <v>10</v>
      </c>
      <c r="J615" t="s">
        <v>1474</v>
      </c>
      <c r="K615" s="85">
        <f t="shared" si="27"/>
        <v>12.444366591928251</v>
      </c>
      <c r="L615" s="85" t="s">
        <v>257</v>
      </c>
    </row>
    <row r="616" spans="1:12">
      <c r="A616" s="5" t="s">
        <v>339</v>
      </c>
      <c r="B616" t="s">
        <v>246</v>
      </c>
      <c r="C616" s="5" t="s">
        <v>1539</v>
      </c>
      <c r="D616" t="s">
        <v>21</v>
      </c>
      <c r="E616" s="70">
        <f>IF(B616="","",INDEX(Ingredients!$I$1:$I$5013,(MATCH(InterventionCosts!B616,Ingredients!$A$1:$A$5013,0))))</f>
        <v>0.16400000000000001</v>
      </c>
      <c r="F616" s="5" t="str">
        <f>INDEX(Ingredients!J$1:J$265,(MATCH(InterventionCosts!B616,Ingredients!A$1:A$265,0)))</f>
        <v>per page</v>
      </c>
      <c r="G616">
        <f>IF(B616="","",INDEX(Ingredients!$E$1:$E$238,(MATCH(InterventionCosts!B616,Ingredients!A$1:A$238,0))))</f>
        <v>2024</v>
      </c>
      <c r="H616" t="str">
        <f>INDEX(Ingredients!$F$1:$F$318,(MATCH(InterventionCosts!B616,Ingredients!A$1:A$318,0)))</f>
        <v>https://www.makro.co.za/stationery-office-furniture/paper-filing/paper/white-paper/copy-paper/typek-a4-office-paper-80-gsm/p/000000000000012434_BOX</v>
      </c>
      <c r="I616">
        <f>1</f>
        <v>1</v>
      </c>
      <c r="J616" t="s">
        <v>1474</v>
      </c>
      <c r="K616" s="85">
        <f t="shared" si="27"/>
        <v>0.16400000000000001</v>
      </c>
      <c r="L616" s="85" t="s">
        <v>263</v>
      </c>
    </row>
    <row r="617" spans="1:12">
      <c r="A617" s="5" t="s">
        <v>339</v>
      </c>
      <c r="B617" t="s">
        <v>325</v>
      </c>
      <c r="C617" s="5" t="s">
        <v>1539</v>
      </c>
      <c r="D617" t="s">
        <v>81</v>
      </c>
      <c r="E617" s="70">
        <f>IF(B617="","",INDEX(Ingredients!$I$1:$I$5013,(MATCH(InterventionCosts!B617,Ingredients!$A$1:$A$5013,0))))</f>
        <v>264.22202808665122</v>
      </c>
      <c r="F617" s="5" t="str">
        <f>INDEX(Ingredients!J$1:J$265,(MATCH(InterventionCosts!B617,Ingredients!A$1:A$265,0)))</f>
        <v>monthly cost</v>
      </c>
      <c r="G617">
        <f>IF(B617="","",INDEX(Ingredients!$E$1:$E$238,(MATCH(InterventionCosts!B617,Ingredients!A$1:A$238,0))))</f>
        <v>2016</v>
      </c>
      <c r="H617" t="str">
        <f>INDEX(Ingredients!$F$1:$F$318,(MATCH(InterventionCosts!B617,Ingredients!A$1:A$318,0)))</f>
        <v>https://doi.org/10.1038/s41598-019-49109-w</v>
      </c>
      <c r="I617">
        <f>1/1000</f>
        <v>1E-3</v>
      </c>
      <c r="J617" t="s">
        <v>1474</v>
      </c>
      <c r="K617" s="85">
        <f t="shared" si="27"/>
        <v>0.26422202808665124</v>
      </c>
      <c r="L617" s="85" t="s">
        <v>258</v>
      </c>
    </row>
    <row r="618" spans="1:12">
      <c r="A618" s="5" t="s">
        <v>339</v>
      </c>
      <c r="B618" t="s">
        <v>326</v>
      </c>
      <c r="C618" s="5" t="s">
        <v>1539</v>
      </c>
      <c r="D618" t="s">
        <v>67</v>
      </c>
      <c r="E618" s="70">
        <f>IF(B618="","",INDEX(Ingredients!$I$1:$I$5013,(MATCH(InterventionCosts!B618,Ingredients!$A$1:$A$5013,0))))</f>
        <v>141.60550151947027</v>
      </c>
      <c r="F618" s="5" t="str">
        <f>INDEX(Ingredients!J$1:J$265,(MATCH(InterventionCosts!B618,Ingredients!A$1:A$265,0)))</f>
        <v>monthly cost</v>
      </c>
      <c r="G618">
        <f>IF(B618="","",INDEX(Ingredients!$E$1:$E$238,(MATCH(InterventionCosts!B618,Ingredients!A$1:A$238,0))))</f>
        <v>2019</v>
      </c>
      <c r="H618" t="str">
        <f>INDEX(Ingredients!$F$1:$F$318,(MATCH(InterventionCosts!B618,Ingredients!A$1:A$318,0)))</f>
        <v>https://doi.org/10.1038/s41598-019-49109-w 2016 updated</v>
      </c>
      <c r="I618">
        <f>1/1000</f>
        <v>1E-3</v>
      </c>
      <c r="J618" t="s">
        <v>1474</v>
      </c>
      <c r="K618" s="85">
        <f t="shared" si="27"/>
        <v>0.14160550151947027</v>
      </c>
      <c r="L618" s="85" t="s">
        <v>258</v>
      </c>
    </row>
    <row r="619" spans="1:12">
      <c r="A619" s="5" t="s">
        <v>339</v>
      </c>
      <c r="B619" t="s">
        <v>54</v>
      </c>
      <c r="C619" s="5" t="s">
        <v>1539</v>
      </c>
      <c r="D619" t="s">
        <v>21</v>
      </c>
      <c r="E619" s="70">
        <f>IF(B619="","",INDEX(Ingredients!$I$1:$I$5013,(MATCH(InterventionCosts!B619,Ingredients!$A$1:$A$5013,0))))</f>
        <v>1.2444366591928251</v>
      </c>
      <c r="F619" s="5" t="str">
        <f>INDEX(Ingredients!J$1:J$265,(MATCH(InterventionCosts!B619,Ingredients!A$1:A$265,0)))</f>
        <v>per minute</v>
      </c>
      <c r="G619">
        <f>IF(B619="","",INDEX(Ingredients!$E$1:$E$238,(MATCH(InterventionCosts!B619,Ingredients!A$1:A$238,0))))</f>
        <v>2024</v>
      </c>
      <c r="H619" t="str">
        <f>INDEX(Ingredients!$F$1:$F$318,(MATCH(InterventionCosts!B619,Ingredients!A$1:A$318,0)))</f>
        <v xml:space="preserve">April 2024 Salary scale </v>
      </c>
      <c r="I619">
        <v>5</v>
      </c>
      <c r="J619" t="s">
        <v>1474</v>
      </c>
      <c r="K619" s="85">
        <f t="shared" si="27"/>
        <v>6.2221832959641254</v>
      </c>
      <c r="L619" s="85" t="s">
        <v>258</v>
      </c>
    </row>
    <row r="620" spans="1:12">
      <c r="A620" s="5" t="s">
        <v>339</v>
      </c>
      <c r="B620" t="s">
        <v>247</v>
      </c>
      <c r="C620" s="5" t="s">
        <v>1539</v>
      </c>
      <c r="D620" t="s">
        <v>21</v>
      </c>
      <c r="E620" s="70">
        <f>IF(B620="","",INDEX(Ingredients!$I$1:$I$5013,(MATCH(InterventionCosts!B620,Ingredients!$A$1:$A$5013,0))))</f>
        <v>274.72000000000003</v>
      </c>
      <c r="F620" s="5" t="str">
        <f>INDEX(Ingredients!J$1:J$265,(MATCH(InterventionCosts!B620,Ingredients!A$1:A$265,0)))</f>
        <v>per 5L</v>
      </c>
      <c r="G620">
        <f>IF(B620="","",INDEX(Ingredients!$E$1:$E$238,(MATCH(InterventionCosts!B620,Ingredients!A$1:A$238,0))))</f>
        <v>2024</v>
      </c>
      <c r="H620" t="str">
        <f>INDEX(Ingredients!$F$1:$F$318,(MATCH(InterventionCosts!B620,Ingredients!A$1:A$318,0)))</f>
        <v>https://www.health.gov.za/wp-content/uploads/2024/04/HP12-2023LQ-CPA-Add-4-12-Effective-1-May-2024.pdf</v>
      </c>
      <c r="I620">
        <f>1/5000*1.01</f>
        <v>2.02E-4</v>
      </c>
      <c r="J620" t="s">
        <v>1474</v>
      </c>
      <c r="K620" s="85">
        <f t="shared" si="27"/>
        <v>5.5493440000000005E-2</v>
      </c>
      <c r="L620" s="85" t="s">
        <v>264</v>
      </c>
    </row>
    <row r="621" spans="1:12" ht="15" customHeight="1">
      <c r="A621" s="5" t="s">
        <v>339</v>
      </c>
      <c r="B621" t="s">
        <v>1489</v>
      </c>
      <c r="C621" s="5" t="s">
        <v>1539</v>
      </c>
      <c r="D621" t="s">
        <v>21</v>
      </c>
      <c r="E621" s="70">
        <f>IF(B621="","",INDEX(Ingredients!$I$1:$I$5013,(MATCH(InterventionCosts!B621,Ingredients!$A$1:$A$5013,0))))</f>
        <v>53.08</v>
      </c>
      <c r="F621" s="5" t="str">
        <f>INDEX(Ingredients!J$1:J$265,(MATCH(InterventionCosts!B621,Ingredients!A$1:A$265,0)))</f>
        <v>per pack 100, 50 pairs</v>
      </c>
      <c r="G621">
        <f>IF(B621="","",INDEX(Ingredients!$E$1:$E$238,(MATCH(InterventionCosts!B621,Ingredients!A$1:A$238,0))))</f>
        <v>2024</v>
      </c>
      <c r="H621" t="str">
        <f>INDEX(Ingredients!$F$1:$F$318,(MATCH(InterventionCosts!B621,Ingredients!A$1:A$318,0)))</f>
        <v>https://www.treasury.gov.za/divisions/ocpo/ostb/contracts/RT76-2023%20CPA%20Amendment%204-%20Effective%2001%20May%202024.pdf</v>
      </c>
      <c r="I621">
        <f>1/50*1.01</f>
        <v>2.0199999999999999E-2</v>
      </c>
      <c r="J621" t="s">
        <v>1474</v>
      </c>
      <c r="K621" s="85">
        <f t="shared" si="27"/>
        <v>1.0722159999999998</v>
      </c>
      <c r="L621" s="85" t="s">
        <v>265</v>
      </c>
    </row>
    <row r="622" spans="1:12">
      <c r="A622" s="5" t="s">
        <v>339</v>
      </c>
      <c r="B622" t="s">
        <v>79</v>
      </c>
      <c r="C622" s="5" t="s">
        <v>1539</v>
      </c>
      <c r="D622" t="s">
        <v>21</v>
      </c>
      <c r="E622" s="70">
        <f>IF(B622="","",INDEX(Ingredients!$I$1:$I$5013,(MATCH(InterventionCosts!B622,Ingredients!$A$1:$A$5013,0))))</f>
        <v>9.3000000000000007</v>
      </c>
      <c r="F622" s="5" t="str">
        <f>INDEX(Ingredients!J$1:J$265,(MATCH(InterventionCosts!B622,Ingredients!A$1:A$265,0)))</f>
        <v>per test</v>
      </c>
      <c r="G622">
        <f>IF(B622="","",INDEX(Ingredients!$E$1:$E$238,(MATCH(InterventionCosts!B622,Ingredients!A$1:A$238,0))))</f>
        <v>2024</v>
      </c>
      <c r="H622" t="str">
        <f>INDEX(Ingredients!$F$1:$F$318,(MATCH(InterventionCosts!B622,Ingredients!A$1:A$318,0)))</f>
        <v>https://www.treasury.gov.za/divisions/ocpo/ostb/contracts/RT41-2020.zip</v>
      </c>
      <c r="I622">
        <f>1*1.01</f>
        <v>1.01</v>
      </c>
      <c r="J622" t="s">
        <v>1474</v>
      </c>
      <c r="K622" s="85">
        <f t="shared" si="27"/>
        <v>9.3930000000000007</v>
      </c>
      <c r="L622" s="85" t="s">
        <v>258</v>
      </c>
    </row>
    <row r="623" spans="1:12">
      <c r="A623" s="5" t="s">
        <v>339</v>
      </c>
      <c r="B623" t="s">
        <v>248</v>
      </c>
      <c r="C623" s="5" t="s">
        <v>1539</v>
      </c>
      <c r="D623" t="s">
        <v>21</v>
      </c>
      <c r="E623" s="70">
        <f>IF(B623="","",INDEX(Ingredients!$I$1:$I$5013,(MATCH(InterventionCosts!B623,Ingredients!$A$1:$A$5013,0))))</f>
        <v>2.645</v>
      </c>
      <c r="F623" s="5" t="str">
        <f>INDEX(Ingredients!J$1:J$265,(MATCH(InterventionCosts!B623,Ingredients!A$1:A$265,0)))</f>
        <v>per bag</v>
      </c>
      <c r="G623">
        <f>IF(B623="","",INDEX(Ingredients!$E$1:$E$238,(MATCH(InterventionCosts!B623,Ingredients!A$1:A$238,0))))</f>
        <v>2024</v>
      </c>
      <c r="H623" t="str">
        <f>INDEX(Ingredients!$F$1:$F$318,(MATCH(InterventionCosts!B623,Ingredients!A$1:A$318,0)))</f>
        <v>https://medqsupplies.co.za/product/bio-hazard-plastic-bags/</v>
      </c>
      <c r="I623">
        <f>1*1.01</f>
        <v>1.01</v>
      </c>
      <c r="J623" t="s">
        <v>1474</v>
      </c>
      <c r="K623" s="85">
        <f t="shared" si="27"/>
        <v>2.6714500000000001</v>
      </c>
      <c r="L623" s="85" t="s">
        <v>258</v>
      </c>
    </row>
    <row r="624" spans="1:12">
      <c r="A624" s="5" t="s">
        <v>339</v>
      </c>
      <c r="B624" t="s">
        <v>31</v>
      </c>
      <c r="C624" s="5" t="s">
        <v>1539</v>
      </c>
      <c r="D624" t="s">
        <v>21</v>
      </c>
      <c r="E624" s="70">
        <f>IF(B624="","",INDEX(Ingredients!$I$1:$I$5013,(MATCH(InterventionCosts!B624,Ingredients!$A$1:$A$5013,0))))</f>
        <v>31.4</v>
      </c>
      <c r="F624" s="5" t="str">
        <f>INDEX(Ingredients!J$1:J$265,(MATCH(InterventionCosts!B624,Ingredients!A$1:A$265,0)))</f>
        <v>per 100 swabs</v>
      </c>
      <c r="G624">
        <f>IF(B624="","",INDEX(Ingredients!$E$1:$E$238,(MATCH(InterventionCosts!B624,Ingredients!A$1:A$238,0))))</f>
        <v>2024</v>
      </c>
      <c r="H624" t="str">
        <f>INDEX(Ingredients!$F$1:$F$318,(MATCH(InterventionCosts!B624,Ingredients!A$1:A$318,0)))</f>
        <v xml:space="preserve">http://www.treasury.gov.za/divisions/ocpo/ostb/contracts/RT42-2022zip </v>
      </c>
      <c r="I624">
        <f>1/100*1.01</f>
        <v>1.01E-2</v>
      </c>
      <c r="J624" t="s">
        <v>1474</v>
      </c>
      <c r="K624" s="85">
        <f t="shared" si="27"/>
        <v>0.31713999999999998</v>
      </c>
      <c r="L624" s="85" t="s">
        <v>258</v>
      </c>
    </row>
    <row r="625" spans="1:12">
      <c r="A625" s="5" t="s">
        <v>339</v>
      </c>
      <c r="B625" t="s">
        <v>54</v>
      </c>
      <c r="C625" s="5" t="s">
        <v>1539</v>
      </c>
      <c r="D625" s="5" t="s">
        <v>48</v>
      </c>
      <c r="E625" s="70">
        <f>IF(B625="","",INDEX(Ingredients!$I$1:$I$5013,(MATCH(InterventionCosts!B625,Ingredients!$A$1:$A$5013,0))))</f>
        <v>1.2444366591928251</v>
      </c>
      <c r="F625" s="5" t="str">
        <f>INDEX(Ingredients!J$1:J$265,(MATCH(InterventionCosts!B625,Ingredients!A$1:A$265,0)))</f>
        <v>per minute</v>
      </c>
      <c r="G625">
        <f>IF(B625="","",INDEX(Ingredients!$E$1:$E$238,(MATCH(InterventionCosts!B625,Ingredients!A$1:A$238,0))))</f>
        <v>2024</v>
      </c>
      <c r="H625" t="str">
        <f>INDEX(Ingredients!$F$1:$F$318,(MATCH(InterventionCosts!B625,Ingredients!A$1:A$318,0)))</f>
        <v xml:space="preserve">April 2024 Salary scale </v>
      </c>
      <c r="I625">
        <f>5</f>
        <v>5</v>
      </c>
      <c r="J625" t="s">
        <v>1474</v>
      </c>
      <c r="K625" s="85">
        <f t="shared" si="27"/>
        <v>6.2221832959641254</v>
      </c>
      <c r="L625" s="85" t="s">
        <v>329</v>
      </c>
    </row>
    <row r="626" spans="1:12">
      <c r="A626" s="5" t="s">
        <v>339</v>
      </c>
      <c r="B626" t="s">
        <v>251</v>
      </c>
      <c r="C626" s="5" t="s">
        <v>1539</v>
      </c>
      <c r="D626" t="s">
        <v>21</v>
      </c>
      <c r="E626" s="70">
        <f>IF(B626="","",INDEX(Ingredients!$I$1:$I$5013,(MATCH(InterventionCosts!B626,Ingredients!$A$1:$A$5013,0))))</f>
        <v>1.0227713593614072</v>
      </c>
      <c r="F626" s="5" t="str">
        <f>INDEX(Ingredients!J$1:J$265,(MATCH(InterventionCosts!B626,Ingredients!A$1:A$265,0)))</f>
        <v>per 1</v>
      </c>
      <c r="G626">
        <f>IF(B626="","",INDEX(Ingredients!$E$1:$E$238,(MATCH(InterventionCosts!B626,Ingredients!A$1:A$238,0))))</f>
        <v>2016</v>
      </c>
      <c r="H626" t="str">
        <f>INDEX(Ingredients!$F$1:$F$318,(MATCH(InterventionCosts!B626,Ingredients!A$1:A$318,0)))</f>
        <v>https://doi.org/10.1038/s41598-019-49109-w</v>
      </c>
      <c r="I626">
        <f>1</f>
        <v>1</v>
      </c>
      <c r="J626" t="s">
        <v>1474</v>
      </c>
      <c r="K626" s="85">
        <f t="shared" si="27"/>
        <v>1.0227713593614072</v>
      </c>
      <c r="L626" s="85" t="s">
        <v>329</v>
      </c>
    </row>
    <row r="627" spans="1:12">
      <c r="A627" s="5" t="s">
        <v>339</v>
      </c>
      <c r="B627" t="s">
        <v>43</v>
      </c>
      <c r="C627" s="5" t="s">
        <v>1539</v>
      </c>
      <c r="D627" t="s">
        <v>21</v>
      </c>
      <c r="E627" s="70">
        <f>IF(B627="","",INDEX(Ingredients!$I$1:$I$5013,(MATCH(InterventionCosts!B627,Ingredients!$A$1:$A$5013,0))))</f>
        <v>0.61939459752201187</v>
      </c>
      <c r="F627" s="5" t="str">
        <f>INDEX(Ingredients!J$1:J$265,(MATCH(InterventionCosts!B627,Ingredients!A$1:A$265,0)))</f>
        <v>per condom</v>
      </c>
      <c r="G627">
        <f>IF(B627="","",INDEX(Ingredients!$E$1:$E$238,(MATCH(InterventionCosts!B627,Ingredients!A$1:A$238,0))))</f>
        <v>2024</v>
      </c>
      <c r="H627" t="str">
        <f>INDEX(Ingredients!$F$1:$F$318,(MATCH(InterventionCosts!B627,Ingredients!A$1:A$318,0)))</f>
        <v>https://www.treasury.gov.za/divisions/ocpo/ostb/contracts/RT75-2021.zip</v>
      </c>
      <c r="I627">
        <f>10</f>
        <v>10</v>
      </c>
      <c r="J627" t="s">
        <v>1474</v>
      </c>
      <c r="K627" s="85">
        <f t="shared" si="27"/>
        <v>6.1939459752201191</v>
      </c>
      <c r="L627" s="85" t="s">
        <v>329</v>
      </c>
    </row>
    <row r="628" spans="1:12" s="89" customFormat="1">
      <c r="A628" s="99" t="s">
        <v>339</v>
      </c>
      <c r="E628" s="100"/>
      <c r="F628" s="89" t="s">
        <v>1164</v>
      </c>
      <c r="G628" s="89" t="str">
        <f>IF(B628="","",INDEX(Ingredients!$E$1:$E$238,(MATCH(InterventionCosts!B628,Ingredients!A$1:A$238,0))))</f>
        <v/>
      </c>
      <c r="K628" s="90"/>
      <c r="L628" s="90">
        <f>SUM(K605:K627)</f>
        <v>72.369908576957812</v>
      </c>
    </row>
    <row r="629" spans="1:12" s="89" customFormat="1">
      <c r="A629" s="99" t="s">
        <v>339</v>
      </c>
      <c r="F629" s="89" t="s">
        <v>117</v>
      </c>
      <c r="G629" s="89" t="str">
        <f>IF(B629="","",INDEX(Ingredients!$E$1:$E$238,(MATCH(InterventionCosts!B629,Ingredients!A$1:A$238,0))))</f>
        <v/>
      </c>
      <c r="K629" s="90"/>
      <c r="L629" s="90" t="s">
        <v>936</v>
      </c>
    </row>
    <row r="630" spans="1:12">
      <c r="G630" t="str">
        <f>IF(B630="","",INDEX(Ingredients!$E$1:$E$238,(MATCH(InterventionCosts!B630,Ingredients!A$1:A$238,0))))</f>
        <v/>
      </c>
    </row>
    <row r="631" spans="1:12">
      <c r="A631" s="5" t="s">
        <v>340</v>
      </c>
      <c r="B631" t="s">
        <v>320</v>
      </c>
      <c r="C631" s="5" t="s">
        <v>1539</v>
      </c>
      <c r="D631" t="s">
        <v>81</v>
      </c>
      <c r="E631" s="70">
        <f>IF(B631="","",INDEX(Ingredients!$I$1:$I$5013,(MATCH(InterventionCosts!B631,Ingredients!$A$1:$A$5013,0))))</f>
        <v>2698.1345728637612</v>
      </c>
      <c r="F631" s="5" t="str">
        <f>INDEX(Ingredients!J$1:J$265,(MATCH(InterventionCosts!B631,Ingredients!A$1:A$265,0)))</f>
        <v>monthly cost</v>
      </c>
      <c r="G631" s="5">
        <f>IF(B631="","",INDEX(Ingredients!$E$1:$E$238,(MATCH(InterventionCosts!B631,Ingredients!A$1:A$238,0))))</f>
        <v>2016</v>
      </c>
      <c r="H631" t="str">
        <f>INDEX(Ingredients!$F$1:$F$318,(MATCH(InterventionCosts!B631,Ingredients!A$1:A$318,0)))</f>
        <v>https://doi.org/10.1038/s41598-019-49109-w</v>
      </c>
      <c r="I631">
        <f>1/1000</f>
        <v>1E-3</v>
      </c>
      <c r="J631" t="s">
        <v>1474</v>
      </c>
      <c r="K631" s="85">
        <f t="shared" ref="K631:K661" si="28">I631*E631</f>
        <v>2.6981345728637613</v>
      </c>
      <c r="L631" s="12" t="s">
        <v>260</v>
      </c>
    </row>
    <row r="632" spans="1:12">
      <c r="A632" s="5" t="s">
        <v>340</v>
      </c>
      <c r="B632" t="s">
        <v>322</v>
      </c>
      <c r="C632" s="5" t="s">
        <v>1539</v>
      </c>
      <c r="D632" t="s">
        <v>67</v>
      </c>
      <c r="E632" s="70">
        <f>IF(B632="","",INDEX(Ingredients!$I$1:$I$5013,(MATCH(InterventionCosts!B632,Ingredients!$A$1:$A$5013,0))))</f>
        <v>1016.3208420138025</v>
      </c>
      <c r="F632" s="5" t="str">
        <f>INDEX(Ingredients!J$1:J$265,(MATCH(InterventionCosts!B632,Ingredients!A$1:A$265,0)))</f>
        <v>monthly cost</v>
      </c>
      <c r="G632" s="5">
        <f>IF(B632="","",INDEX(Ingredients!$E$1:$E$238,(MATCH(InterventionCosts!B632,Ingredients!A$1:A$238,0))))</f>
        <v>2016</v>
      </c>
      <c r="H632" t="str">
        <f>INDEX(Ingredients!$F$1:$F$318,(MATCH(InterventionCosts!B632,Ingredients!A$1:A$318,0)))</f>
        <v>https://doi.org/10.1038/s41598-019-49109-w</v>
      </c>
      <c r="I632">
        <f>1/1000</f>
        <v>1E-3</v>
      </c>
      <c r="J632" t="s">
        <v>1474</v>
      </c>
      <c r="K632" s="85">
        <f t="shared" si="28"/>
        <v>1.0163208420138026</v>
      </c>
      <c r="L632" s="12" t="s">
        <v>260</v>
      </c>
    </row>
    <row r="633" spans="1:12" s="5" customFormat="1">
      <c r="A633" s="5" t="s">
        <v>340</v>
      </c>
      <c r="B633" s="5" t="s">
        <v>243</v>
      </c>
      <c r="C633" s="5" t="s">
        <v>1539</v>
      </c>
      <c r="D633" s="5" t="s">
        <v>48</v>
      </c>
      <c r="E633" s="70">
        <f>IF(B633="","",INDEX(Ingredients!$I$1:$I$5013,(MATCH(InterventionCosts!B633,Ingredients!$A$1:$A$5013,0))))</f>
        <v>1.3151532137518684</v>
      </c>
      <c r="F633" s="5" t="str">
        <f>INDEX(Ingredients!J$1:J$265,(MATCH(InterventionCosts!B633,Ingredients!A$1:A$265,0)))</f>
        <v>per minute</v>
      </c>
      <c r="G633" s="5">
        <f>IF(B633="","",INDEX(Ingredients!$E$1:$E$238,(MATCH(InterventionCosts!B633,Ingredients!A$1:A$238,0))))</f>
        <v>2024</v>
      </c>
      <c r="H633" t="str">
        <f>INDEX(Ingredients!$F$1:$F$318,(MATCH(InterventionCosts!B633,Ingredients!A$1:A$318,0)))</f>
        <v>https://www.psira.co.za/dmdocuments/Illustrative%20Costing%20Guideline%202024-2025%20AREA%201%20and%202.pdf</v>
      </c>
      <c r="I633" s="5">
        <v>0.5</v>
      </c>
      <c r="J633" t="s">
        <v>1474</v>
      </c>
      <c r="K633" s="12">
        <f t="shared" si="28"/>
        <v>0.65757660687593422</v>
      </c>
      <c r="L633" s="12" t="s">
        <v>260</v>
      </c>
    </row>
    <row r="634" spans="1:12">
      <c r="A634" s="5" t="s">
        <v>340</v>
      </c>
      <c r="B634" t="s">
        <v>52</v>
      </c>
      <c r="C634" s="5" t="s">
        <v>1539</v>
      </c>
      <c r="D634" s="5" t="s">
        <v>48</v>
      </c>
      <c r="E634" s="70">
        <f>IF(B634="","",INDEX(Ingredients!$I$1:$I$5013,(MATCH(InterventionCosts!B634,Ingredients!$A$1:$A$5013,0))))</f>
        <v>1.8019482436472347</v>
      </c>
      <c r="F634" s="5" t="str">
        <f>INDEX(Ingredients!J$1:J$265,(MATCH(InterventionCosts!B634,Ingredients!A$1:A$265,0)))</f>
        <v>per minute</v>
      </c>
      <c r="G634">
        <f>IF(B634="","",INDEX(Ingredients!$E$1:$E$238,(MATCH(InterventionCosts!B634,Ingredients!A$1:A$238,0))))</f>
        <v>2024</v>
      </c>
      <c r="H634" t="str">
        <f>INDEX(Ingredients!$F$1:$F$318,(MATCH(InterventionCosts!B634,Ingredients!A$1:A$318,0)))</f>
        <v xml:space="preserve">April 2024 Salary scale </v>
      </c>
      <c r="I634">
        <v>2</v>
      </c>
      <c r="J634" t="s">
        <v>1474</v>
      </c>
      <c r="K634" s="12">
        <f t="shared" si="28"/>
        <v>3.6038964872944694</v>
      </c>
      <c r="L634" s="12" t="s">
        <v>260</v>
      </c>
    </row>
    <row r="635" spans="1:12">
      <c r="A635" s="5" t="s">
        <v>340</v>
      </c>
      <c r="B635" t="s">
        <v>245</v>
      </c>
      <c r="C635" s="5" t="s">
        <v>1539</v>
      </c>
      <c r="D635" t="s">
        <v>21</v>
      </c>
      <c r="E635" s="70">
        <f>IF(B635="","",INDEX(Ingredients!$I$1:$I$5013,(MATCH(InterventionCosts!B635,Ingredients!$A$1:$A$5013,0))))</f>
        <v>129</v>
      </c>
      <c r="F635" s="5" t="str">
        <f>INDEX(Ingredients!J$1:J$265,(MATCH(InterventionCosts!B635,Ingredients!A$1:A$265,0)))</f>
        <v>per 20 files</v>
      </c>
      <c r="G635">
        <f>IF(B635="","",INDEX(Ingredients!$E$1:$E$238,(MATCH(InterventionCosts!B635,Ingredients!A$1:A$238,0))))</f>
        <v>2024</v>
      </c>
      <c r="H635" t="str">
        <f>INDEX(Ingredients!$F$1:$F$318,(MATCH(InterventionCosts!B635,Ingredients!A$1:A$318,0)))</f>
        <v>https://www.makro.co.za/stationery-office-furniture/paper-filing/filing-folders/file-storage/tidy-files-medium-weight-files-/p/000000000000125629_PK</v>
      </c>
      <c r="I635">
        <f>1/20*1.01</f>
        <v>5.0500000000000003E-2</v>
      </c>
      <c r="J635" t="s">
        <v>1474</v>
      </c>
      <c r="K635" s="85">
        <f t="shared" si="28"/>
        <v>6.5145000000000008</v>
      </c>
      <c r="L635" s="12" t="s">
        <v>262</v>
      </c>
    </row>
    <row r="636" spans="1:12">
      <c r="A636" s="5" t="s">
        <v>340</v>
      </c>
      <c r="B636" t="s">
        <v>246</v>
      </c>
      <c r="C636" s="5" t="s">
        <v>1539</v>
      </c>
      <c r="D636" t="s">
        <v>21</v>
      </c>
      <c r="E636" s="70">
        <f>IF(B636="","",INDEX(Ingredients!$I$1:$I$5013,(MATCH(InterventionCosts!B636,Ingredients!$A$1:$A$5013,0))))</f>
        <v>0.16400000000000001</v>
      </c>
      <c r="F636" s="5" t="str">
        <f>INDEX(Ingredients!J$1:J$265,(MATCH(InterventionCosts!B636,Ingredients!A$1:A$265,0)))</f>
        <v>per page</v>
      </c>
      <c r="G636">
        <f>IF(B636="","",INDEX(Ingredients!$E$1:$E$238,(MATCH(InterventionCosts!B636,Ingredients!A$1:A$238,0))))</f>
        <v>2024</v>
      </c>
      <c r="H636" t="str">
        <f>INDEX(Ingredients!$F$1:$F$318,(MATCH(InterventionCosts!B636,Ingredients!A$1:A$318,0)))</f>
        <v>https://www.makro.co.za/stationery-office-furniture/paper-filing/paper/white-paper/copy-paper/typek-a4-office-paper-80-gsm/p/000000000000012434_BOX</v>
      </c>
      <c r="I636">
        <f>1*2*1.01</f>
        <v>2.02</v>
      </c>
      <c r="J636" t="s">
        <v>1474</v>
      </c>
      <c r="K636" s="85">
        <f t="shared" si="28"/>
        <v>0.33128000000000002</v>
      </c>
      <c r="L636" s="12" t="s">
        <v>261</v>
      </c>
    </row>
    <row r="637" spans="1:12">
      <c r="A637" s="5" t="s">
        <v>340</v>
      </c>
      <c r="B637" t="s">
        <v>52</v>
      </c>
      <c r="C637" s="5" t="s">
        <v>1539</v>
      </c>
      <c r="D637" s="5" t="s">
        <v>48</v>
      </c>
      <c r="E637" s="70">
        <f>IF(B637="","",INDEX(Ingredients!$I$1:$I$5013,(MATCH(InterventionCosts!B637,Ingredients!$A$1:$A$5013,0))))</f>
        <v>1.8019482436472347</v>
      </c>
      <c r="F637" s="5" t="str">
        <f>INDEX(Ingredients!J$1:J$265,(MATCH(InterventionCosts!B637,Ingredients!A$1:A$265,0)))</f>
        <v>per minute</v>
      </c>
      <c r="G637">
        <f>IF(B637="","",INDEX(Ingredients!$E$1:$E$238,(MATCH(InterventionCosts!B637,Ingredients!A$1:A$238,0))))</f>
        <v>2024</v>
      </c>
      <c r="H637" t="str">
        <f>INDEX(Ingredients!$F$1:$F$318,(MATCH(InterventionCosts!B637,Ingredients!A$1:A$318,0)))</f>
        <v xml:space="preserve">April 2024 Salary scale </v>
      </c>
      <c r="I637">
        <v>2</v>
      </c>
      <c r="J637" t="s">
        <v>1474</v>
      </c>
      <c r="K637" s="12">
        <f t="shared" si="28"/>
        <v>3.6038964872944694</v>
      </c>
      <c r="L637" s="12" t="s">
        <v>277</v>
      </c>
    </row>
    <row r="638" spans="1:12">
      <c r="A638" s="5" t="s">
        <v>340</v>
      </c>
      <c r="B638" t="s">
        <v>323</v>
      </c>
      <c r="C638" s="5" t="s">
        <v>1539</v>
      </c>
      <c r="D638" t="s">
        <v>81</v>
      </c>
      <c r="E638" s="70">
        <f>IF(B638="","",INDEX(Ingredients!$I$1:$I$5013,(MATCH(InterventionCosts!B638,Ingredients!$A$1:$A$5013,0))))</f>
        <v>1321.110140433256</v>
      </c>
      <c r="F638" s="5" t="str">
        <f>INDEX(Ingredients!J$1:J$265,(MATCH(InterventionCosts!B638,Ingredients!A$1:A$265,0)))</f>
        <v>monthly cost</v>
      </c>
      <c r="G638" s="5">
        <f>IF(B638="","",INDEX(Ingredients!$E$1:$E$238,(MATCH(InterventionCosts!B638,Ingredients!A$1:A$238,0))))</f>
        <v>2016</v>
      </c>
      <c r="H638" t="str">
        <f>INDEX(Ingredients!$F$1:$F$318,(MATCH(InterventionCosts!B638,Ingredients!A$1:A$318,0)))</f>
        <v>https://doi.org/10.1038/s41598-019-49109-w</v>
      </c>
      <c r="I638">
        <f>1/1000</f>
        <v>1E-3</v>
      </c>
      <c r="J638" t="s">
        <v>1474</v>
      </c>
      <c r="K638" s="85">
        <f t="shared" si="28"/>
        <v>1.3211101404332559</v>
      </c>
      <c r="L638" s="12" t="s">
        <v>277</v>
      </c>
    </row>
    <row r="639" spans="1:12">
      <c r="A639" s="5" t="s">
        <v>340</v>
      </c>
      <c r="B639" t="s">
        <v>324</v>
      </c>
      <c r="C639" s="5" t="s">
        <v>1539</v>
      </c>
      <c r="D639" t="s">
        <v>67</v>
      </c>
      <c r="E639" s="70">
        <f>IF(B639="","",INDEX(Ingredients!$I$1:$I$5013,(MATCH(InterventionCosts!B639,Ingredients!$A$1:$A$5013,0))))</f>
        <v>284.21265617383841</v>
      </c>
      <c r="F639" s="5" t="str">
        <f>INDEX(Ingredients!J$1:J$265,(MATCH(InterventionCosts!B639,Ingredients!A$1:A$265,0)))</f>
        <v>monthly cost</v>
      </c>
      <c r="G639" s="5">
        <f>IF(B639="","",INDEX(Ingredients!$E$1:$E$238,(MATCH(InterventionCosts!B639,Ingredients!A$1:A$238,0))))</f>
        <v>2019</v>
      </c>
      <c r="H639" t="str">
        <f>INDEX(Ingredients!$F$1:$F$318,(MATCH(InterventionCosts!B639,Ingredients!A$1:A$318,0)))</f>
        <v>https://doi.org/10.1038/s41598-019-49109-w 2016 updated</v>
      </c>
      <c r="I639">
        <f>1/1000</f>
        <v>1E-3</v>
      </c>
      <c r="J639" t="s">
        <v>1474</v>
      </c>
      <c r="K639" s="85">
        <f t="shared" si="28"/>
        <v>0.2842126561738384</v>
      </c>
      <c r="L639" s="12" t="s">
        <v>277</v>
      </c>
    </row>
    <row r="640" spans="1:12">
      <c r="A640" s="5" t="s">
        <v>340</v>
      </c>
      <c r="B640" t="s">
        <v>54</v>
      </c>
      <c r="C640" s="5" t="s">
        <v>1539</v>
      </c>
      <c r="D640" s="5" t="s">
        <v>48</v>
      </c>
      <c r="E640" s="70">
        <f>IF(B640="","",INDEX(Ingredients!$I$1:$I$5013,(MATCH(InterventionCosts!B640,Ingredients!$A$1:$A$5013,0))))</f>
        <v>1.2444366591928251</v>
      </c>
      <c r="F640" s="5" t="str">
        <f>INDEX(Ingredients!J$1:J$265,(MATCH(InterventionCosts!B640,Ingredients!A$1:A$265,0)))</f>
        <v>per minute</v>
      </c>
      <c r="G640">
        <f>IF(B640="","",INDEX(Ingredients!$E$1:$E$238,(MATCH(InterventionCosts!B640,Ingredients!A$1:A$238,0))))</f>
        <v>2024</v>
      </c>
      <c r="H640" t="str">
        <f>INDEX(Ingredients!$F$1:$F$318,(MATCH(InterventionCosts!B640,Ingredients!A$1:A$318,0)))</f>
        <v xml:space="preserve">April 2024 Salary scale </v>
      </c>
      <c r="I640">
        <v>5</v>
      </c>
      <c r="J640" t="s">
        <v>1474</v>
      </c>
      <c r="K640" s="85">
        <f t="shared" si="28"/>
        <v>6.2221832959641254</v>
      </c>
      <c r="L640" s="85" t="s">
        <v>259</v>
      </c>
    </row>
    <row r="641" spans="1:12">
      <c r="A641" s="5" t="s">
        <v>340</v>
      </c>
      <c r="B641" t="s">
        <v>54</v>
      </c>
      <c r="C641" s="5" t="s">
        <v>1539</v>
      </c>
      <c r="D641" s="5" t="s">
        <v>48</v>
      </c>
      <c r="E641" s="70">
        <f>IF(B641="","",INDEX(Ingredients!$I$1:$I$5013,(MATCH(InterventionCosts!B641,Ingredients!$A$1:$A$5013,0))))</f>
        <v>1.2444366591928251</v>
      </c>
      <c r="F641" s="5" t="str">
        <f>INDEX(Ingredients!J$1:J$265,(MATCH(InterventionCosts!B641,Ingredients!A$1:A$265,0)))</f>
        <v>per minute</v>
      </c>
      <c r="G641">
        <f>IF(B641="","",INDEX(Ingredients!$E$1:$E$238,(MATCH(InterventionCosts!B641,Ingredients!A$1:A$238,0))))</f>
        <v>2024</v>
      </c>
      <c r="H641" t="str">
        <f>INDEX(Ingredients!$F$1:$F$318,(MATCH(InterventionCosts!B641,Ingredients!A$1:A$318,0)))</f>
        <v xml:space="preserve">April 2024 Salary scale </v>
      </c>
      <c r="I641">
        <v>10</v>
      </c>
      <c r="J641" t="s">
        <v>1474</v>
      </c>
      <c r="K641" s="85">
        <f t="shared" si="28"/>
        <v>12.444366591928251</v>
      </c>
      <c r="L641" s="85" t="s">
        <v>257</v>
      </c>
    </row>
    <row r="642" spans="1:12">
      <c r="A642" s="5" t="s">
        <v>340</v>
      </c>
      <c r="B642" t="s">
        <v>246</v>
      </c>
      <c r="C642" s="5" t="s">
        <v>1539</v>
      </c>
      <c r="D642" t="s">
        <v>21</v>
      </c>
      <c r="E642" s="70">
        <f>IF(B642="","",INDEX(Ingredients!$I$1:$I$5013,(MATCH(InterventionCosts!B642,Ingredients!$A$1:$A$5013,0))))</f>
        <v>0.16400000000000001</v>
      </c>
      <c r="F642" s="5" t="str">
        <f>INDEX(Ingredients!J$1:J$265,(MATCH(InterventionCosts!B642,Ingredients!A$1:A$265,0)))</f>
        <v>per page</v>
      </c>
      <c r="G642">
        <f>IF(B642="","",INDEX(Ingredients!$E$1:$E$238,(MATCH(InterventionCosts!B642,Ingredients!A$1:A$238,0))))</f>
        <v>2024</v>
      </c>
      <c r="H642" t="str">
        <f>INDEX(Ingredients!$F$1:$F$318,(MATCH(InterventionCosts!B642,Ingredients!A$1:A$318,0)))</f>
        <v>https://www.makro.co.za/stationery-office-furniture/paper-filing/paper/white-paper/copy-paper/typek-a4-office-paper-80-gsm/p/000000000000012434_BOX</v>
      </c>
      <c r="I642">
        <f>1*1.01</f>
        <v>1.01</v>
      </c>
      <c r="J642" t="s">
        <v>1474</v>
      </c>
      <c r="K642" s="85">
        <f t="shared" si="28"/>
        <v>0.16564000000000001</v>
      </c>
      <c r="L642" s="85" t="s">
        <v>263</v>
      </c>
    </row>
    <row r="643" spans="1:12">
      <c r="A643" s="5" t="s">
        <v>340</v>
      </c>
      <c r="B643" t="s">
        <v>325</v>
      </c>
      <c r="C643" s="5" t="s">
        <v>1539</v>
      </c>
      <c r="D643" t="s">
        <v>81</v>
      </c>
      <c r="E643" s="70">
        <f>IF(B643="","",INDEX(Ingredients!$I$1:$I$5013,(MATCH(InterventionCosts!B643,Ingredients!$A$1:$A$5013,0))))</f>
        <v>264.22202808665122</v>
      </c>
      <c r="F643" s="5" t="str">
        <f>INDEX(Ingredients!J$1:J$265,(MATCH(InterventionCosts!B643,Ingredients!A$1:A$265,0)))</f>
        <v>monthly cost</v>
      </c>
      <c r="G643">
        <f>IF(B643="","",INDEX(Ingredients!$E$1:$E$238,(MATCH(InterventionCosts!B643,Ingredients!A$1:A$238,0))))</f>
        <v>2016</v>
      </c>
      <c r="H643" t="str">
        <f>INDEX(Ingredients!$F$1:$F$318,(MATCH(InterventionCosts!B643,Ingredients!A$1:A$318,0)))</f>
        <v>https://doi.org/10.1038/s41598-019-49109-w</v>
      </c>
      <c r="I643">
        <f>1/1000</f>
        <v>1E-3</v>
      </c>
      <c r="J643" t="s">
        <v>1474</v>
      </c>
      <c r="K643" s="85">
        <f t="shared" si="28"/>
        <v>0.26422202808665124</v>
      </c>
      <c r="L643" s="85" t="s">
        <v>258</v>
      </c>
    </row>
    <row r="644" spans="1:12">
      <c r="A644" s="5" t="s">
        <v>340</v>
      </c>
      <c r="B644" t="s">
        <v>326</v>
      </c>
      <c r="C644" s="5" t="s">
        <v>1539</v>
      </c>
      <c r="D644" t="s">
        <v>67</v>
      </c>
      <c r="E644" s="70">
        <f>IF(B644="","",INDEX(Ingredients!$I$1:$I$5013,(MATCH(InterventionCosts!B644,Ingredients!$A$1:$A$5013,0))))</f>
        <v>141.60550151947027</v>
      </c>
      <c r="F644" s="5" t="str">
        <f>INDEX(Ingredients!J$1:J$265,(MATCH(InterventionCosts!B644,Ingredients!A$1:A$265,0)))</f>
        <v>monthly cost</v>
      </c>
      <c r="G644">
        <f>IF(B644="","",INDEX(Ingredients!$E$1:$E$238,(MATCH(InterventionCosts!B644,Ingredients!A$1:A$238,0))))</f>
        <v>2019</v>
      </c>
      <c r="H644" t="str">
        <f>INDEX(Ingredients!$F$1:$F$318,(MATCH(InterventionCosts!B644,Ingredients!A$1:A$318,0)))</f>
        <v>https://doi.org/10.1038/s41598-019-49109-w 2016 updated</v>
      </c>
      <c r="I644">
        <f>1/1000</f>
        <v>1E-3</v>
      </c>
      <c r="J644" t="s">
        <v>1474</v>
      </c>
      <c r="K644" s="85">
        <f t="shared" si="28"/>
        <v>0.14160550151947027</v>
      </c>
      <c r="L644" s="85" t="s">
        <v>258</v>
      </c>
    </row>
    <row r="645" spans="1:12">
      <c r="A645" s="5" t="s">
        <v>340</v>
      </c>
      <c r="B645" t="s">
        <v>54</v>
      </c>
      <c r="C645" s="5" t="s">
        <v>1539</v>
      </c>
      <c r="D645" t="s">
        <v>21</v>
      </c>
      <c r="E645" s="70">
        <f>IF(B645="","",INDEX(Ingredients!$I$1:$I$5013,(MATCH(InterventionCosts!B645,Ingredients!$A$1:$A$5013,0))))</f>
        <v>1.2444366591928251</v>
      </c>
      <c r="F645" s="5" t="str">
        <f>INDEX(Ingredients!J$1:J$265,(MATCH(InterventionCosts!B645,Ingredients!A$1:A$265,0)))</f>
        <v>per minute</v>
      </c>
      <c r="G645">
        <f>IF(B645="","",INDEX(Ingredients!$E$1:$E$238,(MATCH(InterventionCosts!B645,Ingredients!A$1:A$238,0))))</f>
        <v>2024</v>
      </c>
      <c r="H645" t="str">
        <f>INDEX(Ingredients!$F$1:$F$318,(MATCH(InterventionCosts!B645,Ingredients!A$1:A$318,0)))</f>
        <v xml:space="preserve">April 2024 Salary scale </v>
      </c>
      <c r="I645">
        <v>5</v>
      </c>
      <c r="J645" t="s">
        <v>1474</v>
      </c>
      <c r="K645" s="85">
        <f t="shared" si="28"/>
        <v>6.2221832959641254</v>
      </c>
      <c r="L645" s="85" t="s">
        <v>258</v>
      </c>
    </row>
    <row r="646" spans="1:12">
      <c r="A646" s="5" t="s">
        <v>340</v>
      </c>
      <c r="B646" t="s">
        <v>247</v>
      </c>
      <c r="C646" s="5" t="s">
        <v>1539</v>
      </c>
      <c r="D646" t="s">
        <v>21</v>
      </c>
      <c r="E646" s="70">
        <f>IF(B646="","",INDEX(Ingredients!$I$1:$I$5013,(MATCH(InterventionCosts!B646,Ingredients!$A$1:$A$5013,0))))</f>
        <v>274.72000000000003</v>
      </c>
      <c r="F646" s="5" t="str">
        <f>INDEX(Ingredients!J$1:J$265,(MATCH(InterventionCosts!B646,Ingredients!A$1:A$265,0)))</f>
        <v>per 5L</v>
      </c>
      <c r="G646">
        <f>IF(B646="","",INDEX(Ingredients!$E$1:$E$238,(MATCH(InterventionCosts!B646,Ingredients!A$1:A$238,0))))</f>
        <v>2024</v>
      </c>
      <c r="H646" t="str">
        <f>INDEX(Ingredients!$F$1:$F$318,(MATCH(InterventionCosts!B646,Ingredients!A$1:A$318,0)))</f>
        <v>https://www.health.gov.za/wp-content/uploads/2024/04/HP12-2023LQ-CPA-Add-4-12-Effective-1-May-2024.pdf</v>
      </c>
      <c r="I646">
        <f>1/5000*1.01</f>
        <v>2.02E-4</v>
      </c>
      <c r="J646" t="s">
        <v>1474</v>
      </c>
      <c r="K646" s="85">
        <f t="shared" si="28"/>
        <v>5.5493440000000005E-2</v>
      </c>
      <c r="L646" s="85" t="s">
        <v>357</v>
      </c>
    </row>
    <row r="647" spans="1:12">
      <c r="A647" s="5" t="s">
        <v>340</v>
      </c>
      <c r="B647" t="s">
        <v>1489</v>
      </c>
      <c r="C647" s="5" t="s">
        <v>1539</v>
      </c>
      <c r="D647" t="s">
        <v>21</v>
      </c>
      <c r="E647" s="70">
        <f>IF(B647="","",INDEX(Ingredients!$I$1:$I$5013,(MATCH(InterventionCosts!B647,Ingredients!$A$1:$A$5013,0))))</f>
        <v>53.08</v>
      </c>
      <c r="F647" s="5" t="str">
        <f>INDEX(Ingredients!J$1:J$265,(MATCH(InterventionCosts!B647,Ingredients!A$1:A$265,0)))</f>
        <v>per pack 100, 50 pairs</v>
      </c>
      <c r="G647">
        <f>IF(B647="","",INDEX(Ingredients!$E$1:$E$238,(MATCH(InterventionCosts!B647,Ingredients!A$1:A$238,0))))</f>
        <v>2024</v>
      </c>
      <c r="H647" t="str">
        <f>INDEX(Ingredients!$F$1:$F$318,(MATCH(InterventionCosts!B647,Ingredients!A$1:A$318,0)))</f>
        <v>https://www.treasury.gov.za/divisions/ocpo/ostb/contracts/RT76-2023%20CPA%20Amendment%204-%20Effective%2001%20May%202024.pdf</v>
      </c>
      <c r="I647">
        <f>1/50*1.01</f>
        <v>2.0199999999999999E-2</v>
      </c>
      <c r="J647" t="s">
        <v>1474</v>
      </c>
      <c r="K647" s="85">
        <f t="shared" si="28"/>
        <v>1.0722159999999998</v>
      </c>
      <c r="L647" s="85" t="s">
        <v>265</v>
      </c>
    </row>
    <row r="648" spans="1:12">
      <c r="A648" s="5" t="s">
        <v>340</v>
      </c>
      <c r="B648" t="s">
        <v>79</v>
      </c>
      <c r="C648" s="5" t="s">
        <v>1539</v>
      </c>
      <c r="D648" t="s">
        <v>21</v>
      </c>
      <c r="E648" s="70">
        <f>IF(B648="","",INDEX(Ingredients!$I$1:$I$5013,(MATCH(InterventionCosts!B648,Ingredients!$A$1:$A$5013,0))))</f>
        <v>9.3000000000000007</v>
      </c>
      <c r="F648" s="5" t="str">
        <f>INDEX(Ingredients!J$1:J$265,(MATCH(InterventionCosts!B648,Ingredients!A$1:A$265,0)))</f>
        <v>per test</v>
      </c>
      <c r="G648">
        <f>IF(B648="","",INDEX(Ingredients!$E$1:$E$238,(MATCH(InterventionCosts!B648,Ingredients!A$1:A$238,0))))</f>
        <v>2024</v>
      </c>
      <c r="H648" t="str">
        <f>INDEX(Ingredients!$F$1:$F$318,(MATCH(InterventionCosts!B648,Ingredients!A$1:A$318,0)))</f>
        <v>https://www.treasury.gov.za/divisions/ocpo/ostb/contracts/RT41-2020.zip</v>
      </c>
      <c r="I648">
        <f>1*1.01</f>
        <v>1.01</v>
      </c>
      <c r="J648" t="s">
        <v>1474</v>
      </c>
      <c r="K648" s="85">
        <f t="shared" si="28"/>
        <v>9.3930000000000007</v>
      </c>
      <c r="L648" s="85" t="s">
        <v>258</v>
      </c>
    </row>
    <row r="649" spans="1:12">
      <c r="A649" s="5" t="s">
        <v>340</v>
      </c>
      <c r="B649" t="s">
        <v>248</v>
      </c>
      <c r="C649" s="5" t="s">
        <v>1539</v>
      </c>
      <c r="D649" t="s">
        <v>21</v>
      </c>
      <c r="E649" s="70">
        <f>IF(B649="","",INDEX(Ingredients!$I$1:$I$5013,(MATCH(InterventionCosts!B649,Ingredients!$A$1:$A$5013,0))))</f>
        <v>2.645</v>
      </c>
      <c r="F649" s="5" t="str">
        <f>INDEX(Ingredients!J$1:J$265,(MATCH(InterventionCosts!B649,Ingredients!A$1:A$265,0)))</f>
        <v>per bag</v>
      </c>
      <c r="G649">
        <f>IF(B649="","",INDEX(Ingredients!$E$1:$E$238,(MATCH(InterventionCosts!B649,Ingredients!A$1:A$238,0))))</f>
        <v>2024</v>
      </c>
      <c r="H649" t="str">
        <f>INDEX(Ingredients!$F$1:$F$318,(MATCH(InterventionCosts!B649,Ingredients!A$1:A$318,0)))</f>
        <v>https://medqsupplies.co.za/product/bio-hazard-plastic-bags/</v>
      </c>
      <c r="I649">
        <f>1*1.01</f>
        <v>1.01</v>
      </c>
      <c r="J649" t="s">
        <v>1474</v>
      </c>
      <c r="K649" s="85">
        <f t="shared" si="28"/>
        <v>2.6714500000000001</v>
      </c>
      <c r="L649" s="85" t="s">
        <v>258</v>
      </c>
    </row>
    <row r="650" spans="1:12">
      <c r="A650" s="5" t="s">
        <v>340</v>
      </c>
      <c r="B650" t="s">
        <v>31</v>
      </c>
      <c r="C650" s="5" t="s">
        <v>1539</v>
      </c>
      <c r="D650" t="s">
        <v>21</v>
      </c>
      <c r="E650" s="70">
        <f>IF(B650="","",INDEX(Ingredients!$I$1:$I$5013,(MATCH(InterventionCosts!B650,Ingredients!$A$1:$A$5013,0))))</f>
        <v>31.4</v>
      </c>
      <c r="F650" s="5" t="str">
        <f>INDEX(Ingredients!J$1:J$265,(MATCH(InterventionCosts!B650,Ingredients!A$1:A$265,0)))</f>
        <v>per 100 swabs</v>
      </c>
      <c r="G650">
        <f>IF(B650="","",INDEX(Ingredients!$E$1:$E$238,(MATCH(InterventionCosts!B650,Ingredients!A$1:A$238,0))))</f>
        <v>2024</v>
      </c>
      <c r="H650" t="str">
        <f>INDEX(Ingredients!$F$1:$F$318,(MATCH(InterventionCosts!B650,Ingredients!A$1:A$318,0)))</f>
        <v xml:space="preserve">http://www.treasury.gov.za/divisions/ocpo/ostb/contracts/RT42-2022zip </v>
      </c>
      <c r="I650">
        <f>1/100</f>
        <v>0.01</v>
      </c>
      <c r="J650" t="s">
        <v>1474</v>
      </c>
      <c r="K650" s="85">
        <f t="shared" si="28"/>
        <v>0.314</v>
      </c>
      <c r="L650" s="85" t="s">
        <v>258</v>
      </c>
    </row>
    <row r="651" spans="1:12">
      <c r="A651" s="5" t="s">
        <v>340</v>
      </c>
      <c r="B651" t="s">
        <v>54</v>
      </c>
      <c r="C651" s="5" t="s">
        <v>1539</v>
      </c>
      <c r="D651" s="5" t="s">
        <v>48</v>
      </c>
      <c r="E651" s="70">
        <f>IF(B651="","",INDEX(Ingredients!$I$1:$I$5013,(MATCH(InterventionCosts!B651,Ingredients!$A$1:$A$5013,0))))</f>
        <v>1.2444366591928251</v>
      </c>
      <c r="F651" s="5" t="str">
        <f>INDEX(Ingredients!J$1:J$265,(MATCH(InterventionCosts!B651,Ingredients!A$1:A$265,0)))</f>
        <v>per minute</v>
      </c>
      <c r="G651">
        <f>IF(B651="","",INDEX(Ingredients!$E$1:$E$238,(MATCH(InterventionCosts!B651,Ingredients!A$1:A$238,0))))</f>
        <v>2024</v>
      </c>
      <c r="H651" t="str">
        <f>INDEX(Ingredients!$F$1:$F$318,(MATCH(InterventionCosts!B651,Ingredients!A$1:A$318,0)))</f>
        <v xml:space="preserve">April 2024 Salary scale </v>
      </c>
      <c r="I651">
        <f>5</f>
        <v>5</v>
      </c>
      <c r="J651" t="s">
        <v>1474</v>
      </c>
      <c r="K651" s="85">
        <f t="shared" si="28"/>
        <v>6.2221832959641254</v>
      </c>
      <c r="L651" s="85" t="s">
        <v>316</v>
      </c>
    </row>
    <row r="652" spans="1:12">
      <c r="A652" s="5" t="s">
        <v>340</v>
      </c>
      <c r="B652" t="s">
        <v>249</v>
      </c>
      <c r="C652" s="5" t="s">
        <v>1539</v>
      </c>
      <c r="D652" t="s">
        <v>21</v>
      </c>
      <c r="E652" s="70">
        <f>IF(B652="","",INDEX(Ingredients!$I$1:$I$5013,(MATCH(InterventionCosts!B652,Ingredients!$A$1:$A$5013,0))))</f>
        <v>7.86</v>
      </c>
      <c r="F652" s="5" t="str">
        <f>INDEX(Ingredients!J$1:J$265,(MATCH(InterventionCosts!B652,Ingredients!A$1:A$265,0)))</f>
        <v>per test kit</v>
      </c>
      <c r="G652">
        <f>IF(B652="","",INDEX(Ingredients!$E$1:$E$238,(MATCH(InterventionCosts!B652,Ingredients!A$1:A$238,0))))</f>
        <v>2024</v>
      </c>
      <c r="H652" t="str">
        <f>INDEX(Ingredients!$F$1:$F$318,(MATCH(InterventionCosts!B652,Ingredients!A$1:A$318,0)))</f>
        <v>https://www.treasury.gov.za/divisions/ocpo/ostb/contracts/RT41-2020.zip</v>
      </c>
      <c r="I652">
        <f>1*1.01</f>
        <v>1.01</v>
      </c>
      <c r="J652" t="s">
        <v>1474</v>
      </c>
      <c r="K652" s="85">
        <f t="shared" si="28"/>
        <v>7.9386000000000001</v>
      </c>
      <c r="L652" s="85" t="s">
        <v>316</v>
      </c>
    </row>
    <row r="653" spans="1:12">
      <c r="A653" s="5" t="s">
        <v>340</v>
      </c>
      <c r="B653" t="s">
        <v>54</v>
      </c>
      <c r="C653" s="5" t="s">
        <v>1539</v>
      </c>
      <c r="D653" s="5" t="s">
        <v>48</v>
      </c>
      <c r="E653" s="70">
        <f>IF(B653="","",INDEX(Ingredients!$I$1:$I$5013,(MATCH(InterventionCosts!B653,Ingredients!$A$1:$A$5013,0))))</f>
        <v>1.2444366591928251</v>
      </c>
      <c r="F653" s="5" t="str">
        <f>INDEX(Ingredients!J$1:J$265,(MATCH(InterventionCosts!B653,Ingredients!A$1:A$265,0)))</f>
        <v>per minute</v>
      </c>
      <c r="G653">
        <f>IF(B653="","",INDEX(Ingredients!$E$1:$E$238,(MATCH(InterventionCosts!B653,Ingredients!A$1:A$238,0))))</f>
        <v>2024</v>
      </c>
      <c r="H653" t="str">
        <f>INDEX(Ingredients!$F$1:$F$318,(MATCH(InterventionCosts!B653,Ingredients!A$1:A$318,0)))</f>
        <v xml:space="preserve">April 2024 Salary scale </v>
      </c>
      <c r="I653">
        <f>5*0.0057</f>
        <v>2.8500000000000001E-2</v>
      </c>
      <c r="J653" t="s">
        <v>1474</v>
      </c>
      <c r="K653" s="85">
        <f t="shared" si="28"/>
        <v>3.5466444786995517E-2</v>
      </c>
      <c r="L653" s="85" t="s">
        <v>266</v>
      </c>
    </row>
    <row r="654" spans="1:12">
      <c r="A654" s="5" t="s">
        <v>340</v>
      </c>
      <c r="B654" t="s">
        <v>79</v>
      </c>
      <c r="C654" s="5" t="s">
        <v>1539</v>
      </c>
      <c r="D654" t="s">
        <v>21</v>
      </c>
      <c r="E654" s="70">
        <f>IF(B654="","",INDEX(Ingredients!$I$1:$I$5013,(MATCH(InterventionCosts!B654,Ingredients!$A$1:$A$5013,0))))</f>
        <v>9.3000000000000007</v>
      </c>
      <c r="F654" s="5" t="str">
        <f>INDEX(Ingredients!J$1:J$265,(MATCH(InterventionCosts!B654,Ingredients!A$1:A$265,0)))</f>
        <v>per test</v>
      </c>
      <c r="G654">
        <f>IF(B654="","",INDEX(Ingredients!$E$1:$E$238,(MATCH(InterventionCosts!B654,Ingredients!A$1:A$238,0))))</f>
        <v>2024</v>
      </c>
      <c r="H654" t="str">
        <f>INDEX(Ingredients!$F$1:$F$318,(MATCH(InterventionCosts!B654,Ingredients!A$1:A$318,0)))</f>
        <v>https://www.treasury.gov.za/divisions/ocpo/ostb/contracts/RT41-2020.zip</v>
      </c>
      <c r="I654">
        <f>1*0.0057</f>
        <v>5.7000000000000002E-3</v>
      </c>
      <c r="J654" t="s">
        <v>1474</v>
      </c>
      <c r="K654" s="85">
        <f t="shared" si="28"/>
        <v>5.3010000000000009E-2</v>
      </c>
      <c r="L654" s="85" t="s">
        <v>266</v>
      </c>
    </row>
    <row r="655" spans="1:12">
      <c r="A655" s="5" t="s">
        <v>340</v>
      </c>
      <c r="B655" t="s">
        <v>54</v>
      </c>
      <c r="C655" s="5" t="s">
        <v>1539</v>
      </c>
      <c r="D655" s="5" t="s">
        <v>48</v>
      </c>
      <c r="E655" s="70">
        <f>IF(B655="","",INDEX(Ingredients!$I$1:$I$5013,(MATCH(InterventionCosts!B655,Ingredients!$A$1:$A$5013,0))))</f>
        <v>1.2444366591928251</v>
      </c>
      <c r="F655" s="5" t="str">
        <f>INDEX(Ingredients!J$1:J$265,(MATCH(InterventionCosts!B655,Ingredients!A$1:A$265,0)))</f>
        <v>per minute</v>
      </c>
      <c r="G655">
        <f>IF(B655="","",INDEX(Ingredients!$E$1:$E$238,(MATCH(InterventionCosts!B655,Ingredients!A$1:A$238,0))))</f>
        <v>2024</v>
      </c>
      <c r="H655" t="str">
        <f>INDEX(Ingredients!$F$1:$F$318,(MATCH(InterventionCosts!B655,Ingredients!A$1:A$318,0)))</f>
        <v xml:space="preserve">April 2024 Salary scale </v>
      </c>
      <c r="I655">
        <f>5*0.0057</f>
        <v>2.8500000000000001E-2</v>
      </c>
      <c r="J655" t="s">
        <v>1474</v>
      </c>
      <c r="K655" s="85">
        <f t="shared" si="28"/>
        <v>3.5466444786995517E-2</v>
      </c>
      <c r="L655" s="85" t="s">
        <v>330</v>
      </c>
    </row>
    <row r="656" spans="1:12">
      <c r="A656" s="5" t="s">
        <v>340</v>
      </c>
      <c r="B656" t="s">
        <v>249</v>
      </c>
      <c r="C656" s="5" t="s">
        <v>1539</v>
      </c>
      <c r="D656" t="s">
        <v>21</v>
      </c>
      <c r="E656" s="70">
        <f>IF(B656="","",INDEX(Ingredients!$I$1:$I$5013,(MATCH(InterventionCosts!B656,Ingredients!$A$1:$A$5013,0))))</f>
        <v>7.86</v>
      </c>
      <c r="F656" s="5" t="str">
        <f>INDEX(Ingredients!J$1:J$265,(MATCH(InterventionCosts!B656,Ingredients!A$1:A$265,0)))</f>
        <v>per test kit</v>
      </c>
      <c r="G656">
        <f>IF(B656="","",INDEX(Ingredients!$E$1:$E$238,(MATCH(InterventionCosts!B656,Ingredients!A$1:A$238,0))))</f>
        <v>2024</v>
      </c>
      <c r="H656" t="str">
        <f>INDEX(Ingredients!$F$1:$F$318,(MATCH(InterventionCosts!B656,Ingredients!A$1:A$318,0)))</f>
        <v>https://www.treasury.gov.za/divisions/ocpo/ostb/contracts/RT41-2020.zip</v>
      </c>
      <c r="I656">
        <f>1*0.0057</f>
        <v>5.7000000000000002E-3</v>
      </c>
      <c r="J656" t="s">
        <v>1474</v>
      </c>
      <c r="K656" s="85">
        <f t="shared" si="28"/>
        <v>4.4802000000000002E-2</v>
      </c>
      <c r="L656" s="85" t="s">
        <v>330</v>
      </c>
    </row>
    <row r="657" spans="1:16">
      <c r="A657" s="5" t="s">
        <v>340</v>
      </c>
      <c r="B657" t="s">
        <v>54</v>
      </c>
      <c r="C657" s="5" t="s">
        <v>1539</v>
      </c>
      <c r="D657" s="5" t="s">
        <v>48</v>
      </c>
      <c r="E657" s="70">
        <f>IF(B657="","",INDEX(Ingredients!$I$1:$I$5013,(MATCH(InterventionCosts!B657,Ingredients!$A$1:$A$5013,0))))</f>
        <v>1.2444366591928251</v>
      </c>
      <c r="F657" s="5" t="str">
        <f>INDEX(Ingredients!J$1:J$265,(MATCH(InterventionCosts!B657,Ingredients!A$1:A$265,0)))</f>
        <v>per minute</v>
      </c>
      <c r="G657">
        <f>IF(B657="","",INDEX(Ingredients!$E$1:$E$238,(MATCH(InterventionCosts!B657,Ingredients!A$1:A$238,0))))</f>
        <v>2024</v>
      </c>
      <c r="H657" t="str">
        <f>INDEX(Ingredients!$F$1:$F$318,(MATCH(InterventionCosts!B657,Ingredients!A$1:A$318,0)))</f>
        <v xml:space="preserve">April 2024 Salary scale </v>
      </c>
      <c r="I657">
        <f>3*0.0002</f>
        <v>6.0000000000000006E-4</v>
      </c>
      <c r="J657" t="s">
        <v>1474</v>
      </c>
      <c r="K657" s="85">
        <f t="shared" si="28"/>
        <v>7.4666199551569508E-4</v>
      </c>
      <c r="L657" s="85" t="s">
        <v>267</v>
      </c>
    </row>
    <row r="658" spans="1:16">
      <c r="A658" s="5" t="s">
        <v>340</v>
      </c>
      <c r="B658" t="s">
        <v>250</v>
      </c>
      <c r="C658" s="5" t="s">
        <v>1539</v>
      </c>
      <c r="D658" t="s">
        <v>75</v>
      </c>
      <c r="E658" s="70">
        <f>IF(B658="","",INDEX(Ingredients!$I$1:$I$5013,(MATCH(InterventionCosts!B658,Ingredients!$A$1:$A$5013,0))))</f>
        <v>71.889951748999991</v>
      </c>
      <c r="F658" s="5" t="str">
        <f>INDEX(Ingredients!J$1:J$265,(MATCH(InterventionCosts!B658,Ingredients!A$1:A$265,0)))</f>
        <v>per test</v>
      </c>
      <c r="G658">
        <f>IF(B658="","",INDEX(Ingredients!$E$1:$E$238,(MATCH(InterventionCosts!B658,Ingredients!A$1:A$238,0))))</f>
        <v>2021</v>
      </c>
      <c r="H658" t="str">
        <f>INDEX(Ingredients!$F$1:$F$318,(MATCH(InterventionCosts!B658,Ingredients!A$1:A$318,0)))</f>
        <v>NHLS 2021 price-list</v>
      </c>
      <c r="I658" s="101">
        <f>1*0.0002</f>
        <v>2.0000000000000001E-4</v>
      </c>
      <c r="J658" t="s">
        <v>1474</v>
      </c>
      <c r="K658" s="85">
        <f t="shared" si="28"/>
        <v>1.4377990349799998E-2</v>
      </c>
      <c r="L658" s="85" t="s">
        <v>267</v>
      </c>
    </row>
    <row r="659" spans="1:16">
      <c r="A659" s="5" t="s">
        <v>340</v>
      </c>
      <c r="B659" t="s">
        <v>54</v>
      </c>
      <c r="C659" s="5" t="s">
        <v>1539</v>
      </c>
      <c r="D659" s="5" t="s">
        <v>48</v>
      </c>
      <c r="E659" s="70">
        <f>IF(B659="","",INDEX(Ingredients!$I$1:$I$5013,(MATCH(InterventionCosts!B659,Ingredients!$A$1:$A$5013,0))))</f>
        <v>1.2444366591928251</v>
      </c>
      <c r="F659" s="5" t="str">
        <f>INDEX(Ingredients!J$1:J$265,(MATCH(InterventionCosts!B659,Ingredients!A$1:A$265,0)))</f>
        <v>per minute</v>
      </c>
      <c r="G659">
        <f>IF(B659="","",INDEX(Ingredients!$E$1:$E$238,(MATCH(InterventionCosts!B659,Ingredients!A$1:A$238,0))))</f>
        <v>2024</v>
      </c>
      <c r="H659" t="str">
        <f>INDEX(Ingredients!$F$1:$F$318,(MATCH(InterventionCosts!B659,Ingredients!A$1:A$318,0)))</f>
        <v xml:space="preserve">April 2024 Salary scale </v>
      </c>
      <c r="I659">
        <f>20</f>
        <v>20</v>
      </c>
      <c r="J659" t="s">
        <v>1474</v>
      </c>
      <c r="K659" s="85">
        <f t="shared" si="28"/>
        <v>24.888733183856502</v>
      </c>
      <c r="L659" s="85" t="s">
        <v>268</v>
      </c>
    </row>
    <row r="660" spans="1:16">
      <c r="A660" s="5" t="s">
        <v>340</v>
      </c>
      <c r="B660" t="s">
        <v>251</v>
      </c>
      <c r="C660" s="5" t="s">
        <v>1539</v>
      </c>
      <c r="D660" t="s">
        <v>21</v>
      </c>
      <c r="E660" s="70">
        <f>IF(B660="","",INDEX(Ingredients!$I$1:$I$5013,(MATCH(InterventionCosts!B660,Ingredients!$A$1:$A$5013,0))))</f>
        <v>1.0227713593614072</v>
      </c>
      <c r="F660" s="5" t="str">
        <f>INDEX(Ingredients!J$1:J$265,(MATCH(InterventionCosts!B660,Ingredients!A$1:A$265,0)))</f>
        <v>per 1</v>
      </c>
      <c r="G660">
        <f>IF(B660="","",INDEX(Ingredients!$E$1:$E$238,(MATCH(InterventionCosts!B660,Ingredients!A$1:A$238,0))))</f>
        <v>2016</v>
      </c>
      <c r="H660" t="str">
        <f>INDEX(Ingredients!$F$1:$F$318,(MATCH(InterventionCosts!B660,Ingredients!A$1:A$318,0)))</f>
        <v>https://doi.org/10.1038/s41598-019-49109-w</v>
      </c>
      <c r="I660">
        <f>1</f>
        <v>1</v>
      </c>
      <c r="J660" t="s">
        <v>1474</v>
      </c>
      <c r="K660" s="85">
        <f t="shared" si="28"/>
        <v>1.0227713593614072</v>
      </c>
      <c r="L660" s="85" t="s">
        <v>268</v>
      </c>
    </row>
    <row r="661" spans="1:16">
      <c r="A661" s="5" t="s">
        <v>340</v>
      </c>
      <c r="B661" t="s">
        <v>43</v>
      </c>
      <c r="C661" s="5" t="s">
        <v>1539</v>
      </c>
      <c r="D661" t="s">
        <v>21</v>
      </c>
      <c r="E661" s="70">
        <f>IF(B661="","",INDEX(Ingredients!$I$1:$I$5013,(MATCH(InterventionCosts!B661,Ingredients!$A$1:$A$5013,0))))</f>
        <v>0.61939459752201187</v>
      </c>
      <c r="F661" s="5" t="str">
        <f>INDEX(Ingredients!J$1:J$265,(MATCH(InterventionCosts!B661,Ingredients!A$1:A$265,0)))</f>
        <v>per condom</v>
      </c>
      <c r="G661">
        <f>IF(B661="","",INDEX(Ingredients!$E$1:$E$238,(MATCH(InterventionCosts!B661,Ingredients!A$1:A$238,0))))</f>
        <v>2024</v>
      </c>
      <c r="H661" t="str">
        <f>INDEX(Ingredients!$F$1:$F$318,(MATCH(InterventionCosts!B661,Ingredients!A$1:A$318,0)))</f>
        <v>https://www.treasury.gov.za/divisions/ocpo/ostb/contracts/RT75-2021.zip</v>
      </c>
      <c r="I661">
        <f>10</f>
        <v>10</v>
      </c>
      <c r="J661" t="s">
        <v>1474</v>
      </c>
      <c r="K661" s="85">
        <f t="shared" si="28"/>
        <v>6.1939459752201191</v>
      </c>
      <c r="L661" s="85" t="s">
        <v>268</v>
      </c>
    </row>
    <row r="662" spans="1:16" s="89" customFormat="1">
      <c r="A662" s="99" t="s">
        <v>340</v>
      </c>
      <c r="E662" s="100"/>
      <c r="F662" s="89" t="s">
        <v>1164</v>
      </c>
      <c r="G662" s="89" t="str">
        <f>IF(B662="","",INDEX(Ingredients!$E$1:$E$238,(MATCH(InterventionCosts!B662,Ingredients!A$1:A$238,0))))</f>
        <v/>
      </c>
      <c r="K662" s="90"/>
      <c r="L662" s="90">
        <f>SUM(K631:K661)</f>
        <v>105.44739130273362</v>
      </c>
    </row>
    <row r="663" spans="1:16" s="89" customFormat="1">
      <c r="A663" s="99" t="s">
        <v>340</v>
      </c>
      <c r="F663" s="89" t="s">
        <v>117</v>
      </c>
      <c r="G663" s="89" t="str">
        <f>IF(B663="","",INDEX(Ingredients!$E$1:$E$238,(MATCH(InterventionCosts!B663,Ingredients!A$1:A$238,0))))</f>
        <v/>
      </c>
      <c r="K663" s="90"/>
      <c r="L663" s="90" t="s">
        <v>936</v>
      </c>
    </row>
    <row r="664" spans="1:16" s="1" customFormat="1">
      <c r="A664"/>
      <c r="K664" s="85">
        <f t="shared" ref="K664:K687" si="29">I664*E664</f>
        <v>0</v>
      </c>
      <c r="L664" s="87"/>
      <c r="P664" s="233"/>
    </row>
    <row r="665" spans="1:16" s="1" customFormat="1">
      <c r="A665" t="s">
        <v>932</v>
      </c>
      <c r="B665" t="s">
        <v>320</v>
      </c>
      <c r="C665" s="5" t="s">
        <v>1539</v>
      </c>
      <c r="D665" t="s">
        <v>81</v>
      </c>
      <c r="E665" s="70">
        <f>IF(B665="","",INDEX(Ingredients!$I$1:$I$5013,(MATCH(InterventionCosts!B665,Ingredients!$A$1:$A$5013,0))))</f>
        <v>2698.1345728637612</v>
      </c>
      <c r="F665" s="5" t="str">
        <f>INDEX(Ingredients!J$1:J$265,(MATCH(InterventionCosts!B665,Ingredients!A$1:A$265,0)))</f>
        <v>monthly cost</v>
      </c>
      <c r="G665">
        <f>IF(B665="","",INDEX(Ingredients!$E$1:$E$238,(MATCH(InterventionCosts!B665,Ingredients!A$1:A$238,0))))</f>
        <v>2016</v>
      </c>
      <c r="H665" t="str">
        <f>INDEX(Ingredients!$F$1:$F$318,(MATCH(InterventionCosts!B665,Ingredients!A$1:A$318,0)))</f>
        <v>https://doi.org/10.1038/s41598-019-49109-w</v>
      </c>
      <c r="I665">
        <f>1/1000</f>
        <v>1E-3</v>
      </c>
      <c r="J665" t="s">
        <v>1474</v>
      </c>
      <c r="K665" s="85">
        <f t="shared" si="29"/>
        <v>2.6981345728637613</v>
      </c>
      <c r="L665" s="85" t="s">
        <v>260</v>
      </c>
      <c r="P665" s="233"/>
    </row>
    <row r="666" spans="1:16" s="1" customFormat="1">
      <c r="A666" t="s">
        <v>932</v>
      </c>
      <c r="B666" t="s">
        <v>322</v>
      </c>
      <c r="C666" s="5" t="s">
        <v>1539</v>
      </c>
      <c r="D666" t="s">
        <v>67</v>
      </c>
      <c r="E666" s="70">
        <f>IF(B666="","",INDEX(Ingredients!$I$1:$I$5013,(MATCH(InterventionCosts!B666,Ingredients!$A$1:$A$5013,0))))</f>
        <v>1016.3208420138025</v>
      </c>
      <c r="F666" s="5" t="str">
        <f>INDEX(Ingredients!J$1:J$265,(MATCH(InterventionCosts!B666,Ingredients!A$1:A$265,0)))</f>
        <v>monthly cost</v>
      </c>
      <c r="G666">
        <f>IF(B666="","",INDEX(Ingredients!$E$1:$E$238,(MATCH(InterventionCosts!B666,Ingredients!A$1:A$238,0))))</f>
        <v>2016</v>
      </c>
      <c r="H666" t="str">
        <f>INDEX(Ingredients!$F$1:$F$318,(MATCH(InterventionCosts!B666,Ingredients!A$1:A$318,0)))</f>
        <v>https://doi.org/10.1038/s41598-019-49109-w</v>
      </c>
      <c r="I666">
        <f>1/1000</f>
        <v>1E-3</v>
      </c>
      <c r="J666" t="s">
        <v>1474</v>
      </c>
      <c r="K666" s="85">
        <f t="shared" si="29"/>
        <v>1.0163208420138026</v>
      </c>
      <c r="L666" s="85" t="s">
        <v>260</v>
      </c>
      <c r="P666" s="233"/>
    </row>
    <row r="667" spans="1:16" s="1" customFormat="1">
      <c r="A667" t="s">
        <v>932</v>
      </c>
      <c r="B667" s="5" t="s">
        <v>243</v>
      </c>
      <c r="C667" s="5" t="s">
        <v>1539</v>
      </c>
      <c r="D667" s="5" t="s">
        <v>48</v>
      </c>
      <c r="E667" s="70">
        <f>IF(B667="","",INDEX(Ingredients!$I$1:$I$5013,(MATCH(InterventionCosts!B667,Ingredients!$A$1:$A$5013,0))))</f>
        <v>1.3151532137518684</v>
      </c>
      <c r="F667" s="5" t="str">
        <f>INDEX(Ingredients!J$1:J$265,(MATCH(InterventionCosts!B667,Ingredients!A$1:A$265,0)))</f>
        <v>per minute</v>
      </c>
      <c r="G667">
        <f>IF(B667="","",INDEX(Ingredients!$E$1:$E$238,(MATCH(InterventionCosts!B667,Ingredients!A$1:A$238,0))))</f>
        <v>2024</v>
      </c>
      <c r="H667" t="str">
        <f>INDEX(Ingredients!$F$1:$F$318,(MATCH(InterventionCosts!B667,Ingredients!A$1:A$318,0)))</f>
        <v>https://www.psira.co.za/dmdocuments/Illustrative%20Costing%20Guideline%202024-2025%20AREA%201%20and%202.pdf</v>
      </c>
      <c r="I667" s="5">
        <v>0.5</v>
      </c>
      <c r="J667" t="s">
        <v>1474</v>
      </c>
      <c r="K667" s="85">
        <f t="shared" si="29"/>
        <v>0.65757660687593422</v>
      </c>
      <c r="L667" s="85" t="s">
        <v>260</v>
      </c>
      <c r="P667" s="233"/>
    </row>
    <row r="668" spans="1:16" s="1" customFormat="1">
      <c r="A668" t="s">
        <v>932</v>
      </c>
      <c r="B668" t="s">
        <v>52</v>
      </c>
      <c r="C668" s="5" t="s">
        <v>1539</v>
      </c>
      <c r="D668" s="5" t="s">
        <v>48</v>
      </c>
      <c r="E668" s="70">
        <f>IF(B668="","",INDEX(Ingredients!$I$1:$I$5013,(MATCH(InterventionCosts!B668,Ingredients!$A$1:$A$5013,0))))</f>
        <v>1.8019482436472347</v>
      </c>
      <c r="F668" s="5" t="str">
        <f>INDEX(Ingredients!J$1:J$265,(MATCH(InterventionCosts!B668,Ingredients!A$1:A$265,0)))</f>
        <v>per minute</v>
      </c>
      <c r="G668">
        <f>IF(B668="","",INDEX(Ingredients!$E$1:$E$238,(MATCH(InterventionCosts!B668,Ingredients!A$1:A$238,0))))</f>
        <v>2024</v>
      </c>
      <c r="H668" t="str">
        <f>INDEX(Ingredients!$F$1:$F$318,(MATCH(InterventionCosts!B668,Ingredients!A$1:A$318,0)))</f>
        <v xml:space="preserve">April 2024 Salary scale </v>
      </c>
      <c r="I668">
        <v>2</v>
      </c>
      <c r="J668" t="s">
        <v>1474</v>
      </c>
      <c r="K668" s="85">
        <f t="shared" si="29"/>
        <v>3.6038964872944694</v>
      </c>
      <c r="L668" s="85" t="s">
        <v>260</v>
      </c>
      <c r="P668" s="233"/>
    </row>
    <row r="669" spans="1:16" s="1" customFormat="1">
      <c r="A669" t="s">
        <v>932</v>
      </c>
      <c r="B669" t="s">
        <v>245</v>
      </c>
      <c r="C669" s="5" t="s">
        <v>1539</v>
      </c>
      <c r="D669" t="s">
        <v>21</v>
      </c>
      <c r="E669" s="70">
        <f>IF(B669="","",INDEX(Ingredients!$I$1:$I$5013,(MATCH(InterventionCosts!B669,Ingredients!$A$1:$A$5013,0))))</f>
        <v>129</v>
      </c>
      <c r="F669" s="5" t="str">
        <f>INDEX(Ingredients!J$1:J$265,(MATCH(InterventionCosts!B669,Ingredients!A$1:A$265,0)))</f>
        <v>per 20 files</v>
      </c>
      <c r="G669">
        <f>IF(B669="","",INDEX(Ingredients!$E$1:$E$238,(MATCH(InterventionCosts!B669,Ingredients!A$1:A$238,0))))</f>
        <v>2024</v>
      </c>
      <c r="H669" t="str">
        <f>INDEX(Ingredients!$F$1:$F$318,(MATCH(InterventionCosts!B669,Ingredients!A$1:A$318,0)))</f>
        <v>https://www.makro.co.za/stationery-office-furniture/paper-filing/filing-folders/file-storage/tidy-files-medium-weight-files-/p/000000000000125629_PK</v>
      </c>
      <c r="I669">
        <f>1/20</f>
        <v>0.05</v>
      </c>
      <c r="J669" t="s">
        <v>1474</v>
      </c>
      <c r="K669" s="85">
        <f t="shared" si="29"/>
        <v>6.45</v>
      </c>
      <c r="L669" s="85" t="s">
        <v>262</v>
      </c>
      <c r="P669" s="233"/>
    </row>
    <row r="670" spans="1:16" s="1" customFormat="1">
      <c r="A670" t="s">
        <v>932</v>
      </c>
      <c r="B670" t="s">
        <v>246</v>
      </c>
      <c r="C670" s="5" t="s">
        <v>1539</v>
      </c>
      <c r="D670" t="s">
        <v>21</v>
      </c>
      <c r="E670" s="70">
        <f>IF(B670="","",INDEX(Ingredients!$I$1:$I$5013,(MATCH(InterventionCosts!B670,Ingredients!$A$1:$A$5013,0))))</f>
        <v>0.16400000000000001</v>
      </c>
      <c r="F670" s="5" t="str">
        <f>INDEX(Ingredients!J$1:J$265,(MATCH(InterventionCosts!B670,Ingredients!A$1:A$265,0)))</f>
        <v>per page</v>
      </c>
      <c r="G670">
        <f>IF(B670="","",INDEX(Ingredients!$E$1:$E$238,(MATCH(InterventionCosts!B670,Ingredients!A$1:A$238,0))))</f>
        <v>2024</v>
      </c>
      <c r="H670" t="str">
        <f>INDEX(Ingredients!$F$1:$F$318,(MATCH(InterventionCosts!B670,Ingredients!A$1:A$318,0)))</f>
        <v>https://www.makro.co.za/stationery-office-furniture/paper-filing/paper/white-paper/copy-paper/typek-a4-office-paper-80-gsm/p/000000000000012434_BOX</v>
      </c>
      <c r="I670">
        <f>1*2</f>
        <v>2</v>
      </c>
      <c r="J670" t="s">
        <v>1474</v>
      </c>
      <c r="K670" s="85">
        <f t="shared" si="29"/>
        <v>0.32800000000000001</v>
      </c>
      <c r="L670" s="85" t="s">
        <v>261</v>
      </c>
      <c r="P670" s="233"/>
    </row>
    <row r="671" spans="1:16" s="1" customFormat="1">
      <c r="A671" t="s">
        <v>932</v>
      </c>
      <c r="B671" t="s">
        <v>52</v>
      </c>
      <c r="C671" s="5" t="s">
        <v>1539</v>
      </c>
      <c r="D671" s="5" t="s">
        <v>48</v>
      </c>
      <c r="E671" s="70">
        <f>IF(B671="","",INDEX(Ingredients!$I$1:$I$5013,(MATCH(InterventionCosts!B671,Ingredients!$A$1:$A$5013,0))))</f>
        <v>1.8019482436472347</v>
      </c>
      <c r="F671" s="5" t="str">
        <f>INDEX(Ingredients!J$1:J$265,(MATCH(InterventionCosts!B671,Ingredients!A$1:A$265,0)))</f>
        <v>per minute</v>
      </c>
      <c r="G671">
        <f>IF(B671="","",INDEX(Ingredients!$E$1:$E$238,(MATCH(InterventionCosts!B671,Ingredients!A$1:A$238,0))))</f>
        <v>2024</v>
      </c>
      <c r="H671" t="str">
        <f>INDEX(Ingredients!$F$1:$F$318,(MATCH(InterventionCosts!B671,Ingredients!A$1:A$318,0)))</f>
        <v xml:space="preserve">April 2024 Salary scale </v>
      </c>
      <c r="I671">
        <v>2</v>
      </c>
      <c r="J671" t="s">
        <v>1474</v>
      </c>
      <c r="K671" s="85">
        <f t="shared" si="29"/>
        <v>3.6038964872944694</v>
      </c>
      <c r="L671" s="85" t="s">
        <v>277</v>
      </c>
      <c r="P671" s="233"/>
    </row>
    <row r="672" spans="1:16" s="1" customFormat="1">
      <c r="A672" t="s">
        <v>932</v>
      </c>
      <c r="B672" t="s">
        <v>323</v>
      </c>
      <c r="C672" s="5" t="s">
        <v>1539</v>
      </c>
      <c r="D672" t="s">
        <v>81</v>
      </c>
      <c r="E672" s="70">
        <f>IF(B672="","",INDEX(Ingredients!$I$1:$I$5013,(MATCH(InterventionCosts!B672,Ingredients!$A$1:$A$5013,0))))</f>
        <v>1321.110140433256</v>
      </c>
      <c r="F672" s="5" t="str">
        <f>INDEX(Ingredients!J$1:J$265,(MATCH(InterventionCosts!B672,Ingredients!A$1:A$265,0)))</f>
        <v>monthly cost</v>
      </c>
      <c r="G672">
        <f>IF(B672="","",INDEX(Ingredients!$E$1:$E$238,(MATCH(InterventionCosts!B672,Ingredients!A$1:A$238,0))))</f>
        <v>2016</v>
      </c>
      <c r="H672" t="str">
        <f>INDEX(Ingredients!$F$1:$F$318,(MATCH(InterventionCosts!B672,Ingredients!A$1:A$318,0)))</f>
        <v>https://doi.org/10.1038/s41598-019-49109-w</v>
      </c>
      <c r="I672">
        <f>1/1000</f>
        <v>1E-3</v>
      </c>
      <c r="J672" t="s">
        <v>1474</v>
      </c>
      <c r="K672" s="85">
        <f t="shared" si="29"/>
        <v>1.3211101404332559</v>
      </c>
      <c r="L672" s="85" t="s">
        <v>277</v>
      </c>
      <c r="P672" s="233"/>
    </row>
    <row r="673" spans="1:16" s="1" customFormat="1">
      <c r="A673" t="s">
        <v>932</v>
      </c>
      <c r="B673" t="s">
        <v>324</v>
      </c>
      <c r="C673" s="5" t="s">
        <v>1539</v>
      </c>
      <c r="D673" t="s">
        <v>67</v>
      </c>
      <c r="E673" s="70">
        <f>IF(B673="","",INDEX(Ingredients!$I$1:$I$5013,(MATCH(InterventionCosts!B673,Ingredients!$A$1:$A$5013,0))))</f>
        <v>284.21265617383841</v>
      </c>
      <c r="F673" s="5" t="str">
        <f>INDEX(Ingredients!J$1:J$265,(MATCH(InterventionCosts!B673,Ingredients!A$1:A$265,0)))</f>
        <v>monthly cost</v>
      </c>
      <c r="G673">
        <f>IF(B673="","",INDEX(Ingredients!$E$1:$E$238,(MATCH(InterventionCosts!B673,Ingredients!A$1:A$238,0))))</f>
        <v>2019</v>
      </c>
      <c r="H673" t="str">
        <f>INDEX(Ingredients!$F$1:$F$318,(MATCH(InterventionCosts!B673,Ingredients!A$1:A$318,0)))</f>
        <v>https://doi.org/10.1038/s41598-019-49109-w 2016 updated</v>
      </c>
      <c r="I673">
        <f>1/1000</f>
        <v>1E-3</v>
      </c>
      <c r="J673" t="s">
        <v>1474</v>
      </c>
      <c r="K673" s="85">
        <f t="shared" si="29"/>
        <v>0.2842126561738384</v>
      </c>
      <c r="L673" s="85" t="s">
        <v>277</v>
      </c>
      <c r="P673" s="233"/>
    </row>
    <row r="674" spans="1:16" s="1" customFormat="1">
      <c r="A674" t="s">
        <v>932</v>
      </c>
      <c r="B674" t="s">
        <v>54</v>
      </c>
      <c r="C674" s="5" t="s">
        <v>1539</v>
      </c>
      <c r="D674" s="5" t="s">
        <v>48</v>
      </c>
      <c r="E674" s="70">
        <f>IF(B674="","",INDEX(Ingredients!$I$1:$I$5013,(MATCH(InterventionCosts!B674,Ingredients!$A$1:$A$5013,0))))</f>
        <v>1.2444366591928251</v>
      </c>
      <c r="F674" s="5" t="str">
        <f>INDEX(Ingredients!J$1:J$265,(MATCH(InterventionCosts!B674,Ingredients!A$1:A$265,0)))</f>
        <v>per minute</v>
      </c>
      <c r="G674">
        <f>IF(B674="","",INDEX(Ingredients!$E$1:$E$238,(MATCH(InterventionCosts!B674,Ingredients!A$1:A$238,0))))</f>
        <v>2024</v>
      </c>
      <c r="H674" t="str">
        <f>INDEX(Ingredients!$F$1:$F$318,(MATCH(InterventionCosts!B674,Ingredients!A$1:A$318,0)))</f>
        <v xml:space="preserve">April 2024 Salary scale </v>
      </c>
      <c r="I674">
        <v>5</v>
      </c>
      <c r="J674" t="s">
        <v>1474</v>
      </c>
      <c r="K674" s="85">
        <f t="shared" si="29"/>
        <v>6.2221832959641254</v>
      </c>
      <c r="L674" s="85" t="s">
        <v>259</v>
      </c>
      <c r="P674" s="233"/>
    </row>
    <row r="675" spans="1:16" s="1" customFormat="1">
      <c r="A675" t="s">
        <v>932</v>
      </c>
      <c r="B675" t="s">
        <v>54</v>
      </c>
      <c r="C675" s="5" t="s">
        <v>1539</v>
      </c>
      <c r="D675" s="5" t="s">
        <v>48</v>
      </c>
      <c r="E675" s="70">
        <f>IF(B675="","",INDEX(Ingredients!$I$1:$I$5013,(MATCH(InterventionCosts!B675,Ingredients!$A$1:$A$5013,0))))</f>
        <v>1.2444366591928251</v>
      </c>
      <c r="F675" s="5" t="str">
        <f>INDEX(Ingredients!J$1:J$265,(MATCH(InterventionCosts!B675,Ingredients!A$1:A$265,0)))</f>
        <v>per minute</v>
      </c>
      <c r="G675">
        <f>IF(B675="","",INDEX(Ingredients!$E$1:$E$238,(MATCH(InterventionCosts!B675,Ingredients!A$1:A$238,0))))</f>
        <v>2024</v>
      </c>
      <c r="H675" t="str">
        <f>INDEX(Ingredients!$F$1:$F$318,(MATCH(InterventionCosts!B675,Ingredients!A$1:A$318,0)))</f>
        <v xml:space="preserve">April 2024 Salary scale </v>
      </c>
      <c r="I675">
        <v>20</v>
      </c>
      <c r="J675" t="s">
        <v>1474</v>
      </c>
      <c r="K675" s="85">
        <f t="shared" si="29"/>
        <v>24.888733183856502</v>
      </c>
      <c r="L675" s="85" t="s">
        <v>257</v>
      </c>
      <c r="P675" s="233"/>
    </row>
    <row r="676" spans="1:16" s="1" customFormat="1">
      <c r="A676" t="s">
        <v>932</v>
      </c>
      <c r="B676" t="s">
        <v>246</v>
      </c>
      <c r="C676" s="5" t="s">
        <v>1539</v>
      </c>
      <c r="D676" t="s">
        <v>21</v>
      </c>
      <c r="E676" s="70">
        <f>IF(B676="","",INDEX(Ingredients!$I$1:$I$5013,(MATCH(InterventionCosts!B676,Ingredients!$A$1:$A$5013,0))))</f>
        <v>0.16400000000000001</v>
      </c>
      <c r="F676" s="5" t="str">
        <f>INDEX(Ingredients!J$1:J$265,(MATCH(InterventionCosts!B676,Ingredients!A$1:A$265,0)))</f>
        <v>per page</v>
      </c>
      <c r="G676">
        <f>IF(B676="","",INDEX(Ingredients!$E$1:$E$238,(MATCH(InterventionCosts!B676,Ingredients!A$1:A$238,0))))</f>
        <v>2024</v>
      </c>
      <c r="H676" t="str">
        <f>INDEX(Ingredients!$F$1:$F$318,(MATCH(InterventionCosts!B676,Ingredients!A$1:A$318,0)))</f>
        <v>https://www.makro.co.za/stationery-office-furniture/paper-filing/paper/white-paper/copy-paper/typek-a4-office-paper-80-gsm/p/000000000000012434_BOX</v>
      </c>
      <c r="I676">
        <f>1</f>
        <v>1</v>
      </c>
      <c r="J676" t="s">
        <v>1474</v>
      </c>
      <c r="K676" s="85">
        <f t="shared" si="29"/>
        <v>0.16400000000000001</v>
      </c>
      <c r="L676" s="85" t="s">
        <v>1508</v>
      </c>
      <c r="P676" s="233"/>
    </row>
    <row r="677" spans="1:16" s="1" customFormat="1">
      <c r="A677" t="s">
        <v>932</v>
      </c>
      <c r="B677" t="s">
        <v>325</v>
      </c>
      <c r="C677" s="5" t="s">
        <v>1539</v>
      </c>
      <c r="D677" t="s">
        <v>81</v>
      </c>
      <c r="E677" s="70">
        <f>IF(B677="","",INDEX(Ingredients!$I$1:$I$5013,(MATCH(InterventionCosts!B677,Ingredients!$A$1:$A$5013,0))))</f>
        <v>264.22202808665122</v>
      </c>
      <c r="F677" s="5" t="str">
        <f>INDEX(Ingredients!J$1:J$265,(MATCH(InterventionCosts!B677,Ingredients!A$1:A$265,0)))</f>
        <v>monthly cost</v>
      </c>
      <c r="G677">
        <f>IF(B677="","",INDEX(Ingredients!$E$1:$E$238,(MATCH(InterventionCosts!B677,Ingredients!A$1:A$238,0))))</f>
        <v>2016</v>
      </c>
      <c r="H677" t="str">
        <f>INDEX(Ingredients!$F$1:$F$318,(MATCH(InterventionCosts!B677,Ingredients!A$1:A$318,0)))</f>
        <v>https://doi.org/10.1038/s41598-019-49109-w</v>
      </c>
      <c r="I677">
        <f>1/1000</f>
        <v>1E-3</v>
      </c>
      <c r="J677" t="s">
        <v>1474</v>
      </c>
      <c r="K677" s="85">
        <f t="shared" si="29"/>
        <v>0.26422202808665124</v>
      </c>
      <c r="L677" s="85" t="s">
        <v>258</v>
      </c>
      <c r="P677" s="233"/>
    </row>
    <row r="678" spans="1:16" s="1" customFormat="1">
      <c r="A678" t="s">
        <v>932</v>
      </c>
      <c r="B678" t="s">
        <v>326</v>
      </c>
      <c r="C678" s="5" t="s">
        <v>1539</v>
      </c>
      <c r="D678" t="s">
        <v>67</v>
      </c>
      <c r="E678" s="70">
        <f>IF(B678="","",INDEX(Ingredients!$I$1:$I$5013,(MATCH(InterventionCosts!B678,Ingredients!$A$1:$A$5013,0))))</f>
        <v>141.60550151947027</v>
      </c>
      <c r="F678" s="5" t="str">
        <f>INDEX(Ingredients!J$1:J$265,(MATCH(InterventionCosts!B678,Ingredients!A$1:A$265,0)))</f>
        <v>monthly cost</v>
      </c>
      <c r="G678">
        <f>IF(B678="","",INDEX(Ingredients!$E$1:$E$238,(MATCH(InterventionCosts!B678,Ingredients!A$1:A$238,0))))</f>
        <v>2019</v>
      </c>
      <c r="H678" t="str">
        <f>INDEX(Ingredients!$F$1:$F$318,(MATCH(InterventionCosts!B678,Ingredients!A$1:A$318,0)))</f>
        <v>https://doi.org/10.1038/s41598-019-49109-w 2016 updated</v>
      </c>
      <c r="I678">
        <f>1/1000</f>
        <v>1E-3</v>
      </c>
      <c r="J678" t="s">
        <v>1474</v>
      </c>
      <c r="K678" s="85">
        <f t="shared" si="29"/>
        <v>0.14160550151947027</v>
      </c>
      <c r="L678" s="85" t="s">
        <v>258</v>
      </c>
      <c r="P678" s="233"/>
    </row>
    <row r="679" spans="1:16" s="1" customFormat="1">
      <c r="A679" t="s">
        <v>932</v>
      </c>
      <c r="B679" t="s">
        <v>54</v>
      </c>
      <c r="C679" s="5" t="s">
        <v>1539</v>
      </c>
      <c r="D679" t="s">
        <v>21</v>
      </c>
      <c r="E679" s="70">
        <f>IF(B679="","",INDEX(Ingredients!$I$1:$I$5013,(MATCH(InterventionCosts!B679,Ingredients!$A$1:$A$5013,0))))</f>
        <v>1.2444366591928251</v>
      </c>
      <c r="F679" s="5" t="str">
        <f>INDEX(Ingredients!J$1:J$265,(MATCH(InterventionCosts!B679,Ingredients!A$1:A$265,0)))</f>
        <v>per minute</v>
      </c>
      <c r="G679">
        <f>IF(B679="","",INDEX(Ingredients!$E$1:$E$238,(MATCH(InterventionCosts!B679,Ingredients!A$1:A$238,0))))</f>
        <v>2024</v>
      </c>
      <c r="H679" t="str">
        <f>INDEX(Ingredients!$F$1:$F$318,(MATCH(InterventionCosts!B679,Ingredients!A$1:A$318,0)))</f>
        <v xml:space="preserve">April 2024 Salary scale </v>
      </c>
      <c r="I679">
        <v>0</v>
      </c>
      <c r="J679" t="s">
        <v>1474</v>
      </c>
      <c r="K679" s="85">
        <f t="shared" si="29"/>
        <v>0</v>
      </c>
      <c r="L679" s="85" t="s">
        <v>258</v>
      </c>
      <c r="P679" s="233"/>
    </row>
    <row r="680" spans="1:16" s="1" customFormat="1">
      <c r="A680" t="s">
        <v>932</v>
      </c>
      <c r="B680" t="s">
        <v>247</v>
      </c>
      <c r="C680" s="5" t="s">
        <v>1539</v>
      </c>
      <c r="D680" t="s">
        <v>21</v>
      </c>
      <c r="E680" s="70">
        <f>IF(B680="","",INDEX(Ingredients!$I$1:$I$5013,(MATCH(InterventionCosts!B680,Ingredients!$A$1:$A$5013,0))))</f>
        <v>274.72000000000003</v>
      </c>
      <c r="F680" s="5" t="str">
        <f>INDEX(Ingredients!J$1:J$265,(MATCH(InterventionCosts!B680,Ingredients!A$1:A$265,0)))</f>
        <v>per 5L</v>
      </c>
      <c r="G680">
        <f>IF(B680="","",INDEX(Ingredients!$E$1:$E$238,(MATCH(InterventionCosts!B680,Ingredients!A$1:A$238,0))))</f>
        <v>2024</v>
      </c>
      <c r="H680" t="str">
        <f>INDEX(Ingredients!$F$1:$F$318,(MATCH(InterventionCosts!B680,Ingredients!A$1:A$318,0)))</f>
        <v>https://www.health.gov.za/wp-content/uploads/2024/04/HP12-2023LQ-CPA-Add-4-12-Effective-1-May-2024.pdf</v>
      </c>
      <c r="I680">
        <v>0</v>
      </c>
      <c r="J680" t="s">
        <v>1474</v>
      </c>
      <c r="K680" s="85">
        <f t="shared" si="29"/>
        <v>0</v>
      </c>
      <c r="L680" s="85" t="s">
        <v>264</v>
      </c>
      <c r="P680" s="233"/>
    </row>
    <row r="681" spans="1:16" s="1" customFormat="1">
      <c r="A681" t="s">
        <v>932</v>
      </c>
      <c r="B681" t="s">
        <v>1489</v>
      </c>
      <c r="C681" s="5" t="s">
        <v>1539</v>
      </c>
      <c r="D681" t="s">
        <v>21</v>
      </c>
      <c r="E681" s="70">
        <f>IF(B681="","",INDEX(Ingredients!$I$1:$I$5013,(MATCH(InterventionCosts!B681,Ingredients!$A$1:$A$5013,0))))</f>
        <v>53.08</v>
      </c>
      <c r="F681" s="5" t="str">
        <f>INDEX(Ingredients!J$1:J$265,(MATCH(InterventionCosts!B681,Ingredients!A$1:A$265,0)))</f>
        <v>per pack 100, 50 pairs</v>
      </c>
      <c r="G681">
        <f>IF(B681="","",INDEX(Ingredients!$E$1:$E$238,(MATCH(InterventionCosts!B681,Ingredients!A$1:A$238,0))))</f>
        <v>2024</v>
      </c>
      <c r="H681" t="str">
        <f>INDEX(Ingredients!$F$1:$F$318,(MATCH(InterventionCosts!B681,Ingredients!A$1:A$318,0)))</f>
        <v>https://www.treasury.gov.za/divisions/ocpo/ostb/contracts/RT76-2023%20CPA%20Amendment%204-%20Effective%2001%20May%202024.pdf</v>
      </c>
      <c r="I681">
        <v>0</v>
      </c>
      <c r="J681" t="s">
        <v>1474</v>
      </c>
      <c r="K681" s="85">
        <f t="shared" si="29"/>
        <v>0</v>
      </c>
      <c r="L681" s="85" t="s">
        <v>265</v>
      </c>
      <c r="P681" s="233"/>
    </row>
    <row r="682" spans="1:16" s="1" customFormat="1">
      <c r="A682" t="s">
        <v>932</v>
      </c>
      <c r="B682" t="s">
        <v>1127</v>
      </c>
      <c r="C682" t="s">
        <v>1174</v>
      </c>
      <c r="D682" t="s">
        <v>21</v>
      </c>
      <c r="E682" s="70">
        <f>IF(B682="","",INDEX(Ingredients!$I$1:$I$5013,(MATCH(InterventionCosts!B682,Ingredients!$A$1:$A$5013,0))))</f>
        <v>74.558798087535635</v>
      </c>
      <c r="F682" s="5" t="str">
        <f>INDEX(Ingredients!J$1:J$265,(MATCH(InterventionCosts!B682,Ingredients!A$1:A$265,0)))</f>
        <v>per test kit</v>
      </c>
      <c r="G682">
        <f>IF(B682="","",INDEX(Ingredients!$E$1:$E$238,(MATCH(InterventionCosts!B682,Ingredients!A$1:A$238,0))))</f>
        <v>2024</v>
      </c>
      <c r="H682" t="str">
        <f>INDEX(Ingredients!$F$1:$F$318,(MATCH(InterventionCosts!B682,Ingredients!A$1:A$318,0)))</f>
        <v>https://www.treasury.gov.za/divisions/ocpo/ostb/contracts/RT41-2020%20Addendum%202%20Price%20Adjustment.pdf</v>
      </c>
      <c r="I682">
        <v>1</v>
      </c>
      <c r="J682" t="s">
        <v>1475</v>
      </c>
      <c r="K682" s="85">
        <f t="shared" si="29"/>
        <v>74.558798087535635</v>
      </c>
      <c r="L682" s="85" t="s">
        <v>258</v>
      </c>
      <c r="P682" s="233"/>
    </row>
    <row r="683" spans="1:16" s="1" customFormat="1">
      <c r="A683" t="s">
        <v>932</v>
      </c>
      <c r="B683" t="s">
        <v>248</v>
      </c>
      <c r="C683" s="5" t="s">
        <v>1539</v>
      </c>
      <c r="D683" t="s">
        <v>21</v>
      </c>
      <c r="E683" s="70">
        <f>IF(B683="","",INDEX(Ingredients!$I$1:$I$5013,(MATCH(InterventionCosts!B683,Ingredients!$A$1:$A$5013,0))))</f>
        <v>2.645</v>
      </c>
      <c r="F683" s="5" t="str">
        <f>INDEX(Ingredients!J$1:J$265,(MATCH(InterventionCosts!B683,Ingredients!A$1:A$265,0)))</f>
        <v>per bag</v>
      </c>
      <c r="G683">
        <f>IF(B683="","",INDEX(Ingredients!$E$1:$E$238,(MATCH(InterventionCosts!B683,Ingredients!A$1:A$238,0))))</f>
        <v>2024</v>
      </c>
      <c r="H683" t="str">
        <f>INDEX(Ingredients!$F$1:$F$318,(MATCH(InterventionCosts!B683,Ingredients!A$1:A$318,0)))</f>
        <v>https://medqsupplies.co.za/product/bio-hazard-plastic-bags/</v>
      </c>
      <c r="I683">
        <v>0</v>
      </c>
      <c r="J683" t="s">
        <v>1474</v>
      </c>
      <c r="K683" s="85">
        <f t="shared" si="29"/>
        <v>0</v>
      </c>
      <c r="L683" s="85" t="s">
        <v>258</v>
      </c>
      <c r="P683" s="233"/>
    </row>
    <row r="684" spans="1:16" s="1" customFormat="1">
      <c r="A684" t="s">
        <v>932</v>
      </c>
      <c r="B684" t="s">
        <v>31</v>
      </c>
      <c r="C684" s="5" t="s">
        <v>1539</v>
      </c>
      <c r="D684" t="s">
        <v>21</v>
      </c>
      <c r="E684" s="70">
        <f>IF(B684="","",INDEX(Ingredients!$I$1:$I$5013,(MATCH(InterventionCosts!B684,Ingredients!$A$1:$A$5013,0))))</f>
        <v>31.4</v>
      </c>
      <c r="F684" s="5" t="str">
        <f>INDEX(Ingredients!J$1:J$265,(MATCH(InterventionCosts!B684,Ingredients!A$1:A$265,0)))</f>
        <v>per 100 swabs</v>
      </c>
      <c r="G684">
        <f>IF(B684="","",INDEX(Ingredients!$E$1:$E$238,(MATCH(InterventionCosts!B684,Ingredients!A$1:A$238,0))))</f>
        <v>2024</v>
      </c>
      <c r="H684" t="str">
        <f>INDEX(Ingredients!$F$1:$F$318,(MATCH(InterventionCosts!B684,Ingredients!A$1:A$318,0)))</f>
        <v xml:space="preserve">http://www.treasury.gov.za/divisions/ocpo/ostb/contracts/RT42-2022zip </v>
      </c>
      <c r="I684">
        <v>0</v>
      </c>
      <c r="J684" t="s">
        <v>1474</v>
      </c>
      <c r="K684" s="85">
        <f t="shared" si="29"/>
        <v>0</v>
      </c>
      <c r="L684" s="85" t="s">
        <v>258</v>
      </c>
      <c r="P684" s="233"/>
    </row>
    <row r="685" spans="1:16" s="1" customFormat="1">
      <c r="A685" t="s">
        <v>932</v>
      </c>
      <c r="B685" t="s">
        <v>54</v>
      </c>
      <c r="C685" s="5" t="s">
        <v>1539</v>
      </c>
      <c r="D685" s="5" t="s">
        <v>48</v>
      </c>
      <c r="E685" s="70">
        <f>IF(B685="","",INDEX(Ingredients!$I$1:$I$5013,(MATCH(InterventionCosts!B685,Ingredients!$A$1:$A$5013,0))))</f>
        <v>1.2444366591928251</v>
      </c>
      <c r="F685" s="5" t="str">
        <f>INDEX(Ingredients!J$1:J$265,(MATCH(InterventionCosts!B685,Ingredients!A$1:A$265,0)))</f>
        <v>per minute</v>
      </c>
      <c r="G685">
        <f>IF(B685="","",INDEX(Ingredients!$E$1:$E$238,(MATCH(InterventionCosts!B685,Ingredients!A$1:A$238,0))))</f>
        <v>2024</v>
      </c>
      <c r="H685" t="str">
        <f>INDEX(Ingredients!$F$1:$F$318,(MATCH(InterventionCosts!B685,Ingredients!A$1:A$318,0)))</f>
        <v xml:space="preserve">April 2024 Salary scale </v>
      </c>
      <c r="I685">
        <f>5</f>
        <v>5</v>
      </c>
      <c r="J685" t="s">
        <v>1474</v>
      </c>
      <c r="K685" s="85">
        <f t="shared" si="29"/>
        <v>6.2221832959641254</v>
      </c>
      <c r="L685" s="85" t="s">
        <v>329</v>
      </c>
      <c r="P685" s="233"/>
    </row>
    <row r="686" spans="1:16" s="1" customFormat="1">
      <c r="A686" t="s">
        <v>932</v>
      </c>
      <c r="B686" t="s">
        <v>251</v>
      </c>
      <c r="C686" s="5" t="s">
        <v>1539</v>
      </c>
      <c r="D686" t="s">
        <v>21</v>
      </c>
      <c r="E686" s="70">
        <f>IF(B686="","",INDEX(Ingredients!$I$1:$I$5013,(MATCH(InterventionCosts!B686,Ingredients!$A$1:$A$5013,0))))</f>
        <v>1.0227713593614072</v>
      </c>
      <c r="F686" s="5" t="str">
        <f>INDEX(Ingredients!J$1:J$265,(MATCH(InterventionCosts!B686,Ingredients!A$1:A$265,0)))</f>
        <v>per 1</v>
      </c>
      <c r="G686">
        <f>IF(B686="","",INDEX(Ingredients!$E$1:$E$238,(MATCH(InterventionCosts!B686,Ingredients!A$1:A$238,0))))</f>
        <v>2016</v>
      </c>
      <c r="H686" t="str">
        <f>INDEX(Ingredients!$F$1:$F$318,(MATCH(InterventionCosts!B686,Ingredients!A$1:A$318,0)))</f>
        <v>https://doi.org/10.1038/s41598-019-49109-w</v>
      </c>
      <c r="I686">
        <f>1</f>
        <v>1</v>
      </c>
      <c r="J686" t="s">
        <v>1474</v>
      </c>
      <c r="K686" s="85">
        <f t="shared" si="29"/>
        <v>1.0227713593614072</v>
      </c>
      <c r="L686" s="85" t="s">
        <v>329</v>
      </c>
      <c r="P686" s="233"/>
    </row>
    <row r="687" spans="1:16" s="1" customFormat="1">
      <c r="A687" t="s">
        <v>932</v>
      </c>
      <c r="B687" t="s">
        <v>43</v>
      </c>
      <c r="C687" s="5" t="s">
        <v>1539</v>
      </c>
      <c r="D687" t="s">
        <v>21</v>
      </c>
      <c r="E687" s="70">
        <f>IF(B687="","",INDEX(Ingredients!$I$1:$I$5013,(MATCH(InterventionCosts!B687,Ingredients!$A$1:$A$5013,0))))</f>
        <v>0.61939459752201187</v>
      </c>
      <c r="F687" s="5" t="str">
        <f>INDEX(Ingredients!J$1:J$265,(MATCH(InterventionCosts!B687,Ingredients!A$1:A$265,0)))</f>
        <v>per condom</v>
      </c>
      <c r="G687">
        <f>IF(B687="","",INDEX(Ingredients!$E$1:$E$238,(MATCH(InterventionCosts!B687,Ingredients!A$1:A$238,0))))</f>
        <v>2024</v>
      </c>
      <c r="H687" t="str">
        <f>INDEX(Ingredients!$F$1:$F$318,(MATCH(InterventionCosts!B687,Ingredients!A$1:A$318,0)))</f>
        <v>https://www.treasury.gov.za/divisions/ocpo/ostb/contracts/RT75-2021.zip</v>
      </c>
      <c r="I687">
        <f>10</f>
        <v>10</v>
      </c>
      <c r="J687" t="s">
        <v>1474</v>
      </c>
      <c r="K687" s="85">
        <f t="shared" si="29"/>
        <v>6.1939459752201191</v>
      </c>
      <c r="L687" s="85" t="s">
        <v>329</v>
      </c>
      <c r="P687" s="233"/>
    </row>
    <row r="688" spans="1:16" s="89" customFormat="1">
      <c r="A688" s="4" t="s">
        <v>932</v>
      </c>
      <c r="F688" s="89" t="s">
        <v>1164</v>
      </c>
      <c r="G688" s="89" t="str">
        <f>IF(B688="","",INDEX(Ingredients!$E$1:$E$238,(MATCH(InterventionCosts!B688,Ingredients!A$1:A$238,0))))</f>
        <v/>
      </c>
      <c r="K688" s="90"/>
      <c r="L688" s="90">
        <f>SUM(K665:K687)</f>
        <v>139.64159052045756</v>
      </c>
    </row>
    <row r="689" spans="1:16" s="89" customFormat="1">
      <c r="A689" s="4" t="s">
        <v>932</v>
      </c>
      <c r="F689" s="89" t="s">
        <v>117</v>
      </c>
      <c r="G689" s="89" t="str">
        <f>IF(B689="","",INDEX(Ingredients!$E$1:$E$238,(MATCH(InterventionCosts!B689,Ingredients!A$1:A$238,0))))</f>
        <v/>
      </c>
      <c r="K689" s="90"/>
      <c r="L689" s="90" t="s">
        <v>936</v>
      </c>
    </row>
    <row r="690" spans="1:16" s="1" customFormat="1">
      <c r="A690"/>
      <c r="F690" s="5"/>
      <c r="K690" s="87"/>
      <c r="L690" s="87"/>
      <c r="P690" s="233"/>
    </row>
    <row r="691" spans="1:16" s="1" customFormat="1">
      <c r="A691" t="s">
        <v>933</v>
      </c>
      <c r="B691" t="s">
        <v>320</v>
      </c>
      <c r="C691" s="5" t="s">
        <v>1539</v>
      </c>
      <c r="D691" t="s">
        <v>81</v>
      </c>
      <c r="E691" s="70">
        <f>IF(B691="","",INDEX(Ingredients!$I$1:$I$5013,(MATCH(InterventionCosts!B691,Ingredients!$A$1:$A$5013,0))))</f>
        <v>2698.1345728637612</v>
      </c>
      <c r="F691" s="5" t="str">
        <f>INDEX(Ingredients!J$1:J$265,(MATCH(InterventionCosts!B691,Ingredients!A$1:A$265,0)))</f>
        <v>monthly cost</v>
      </c>
      <c r="G691">
        <f>IF(B691="","",INDEX(Ingredients!$E$1:$E$238,(MATCH(InterventionCosts!B691,Ingredients!A$1:A$238,0))))</f>
        <v>2016</v>
      </c>
      <c r="H691" t="str">
        <f>INDEX(Ingredients!$F$1:$F$318,(MATCH(InterventionCosts!B691,Ingredients!A$1:A$318,0)))</f>
        <v>https://doi.org/10.1038/s41598-019-49109-w</v>
      </c>
      <c r="I691">
        <f>1/1000</f>
        <v>1E-3</v>
      </c>
      <c r="J691" t="s">
        <v>1474</v>
      </c>
      <c r="K691" s="85">
        <f t="shared" ref="K691:K721" si="30">I691*E691</f>
        <v>2.6981345728637613</v>
      </c>
      <c r="L691" s="85" t="s">
        <v>260</v>
      </c>
      <c r="P691" s="233"/>
    </row>
    <row r="692" spans="1:16" s="1" customFormat="1">
      <c r="A692" t="s">
        <v>933</v>
      </c>
      <c r="B692" t="s">
        <v>322</v>
      </c>
      <c r="C692" s="5" t="s">
        <v>1539</v>
      </c>
      <c r="D692" t="s">
        <v>67</v>
      </c>
      <c r="E692" s="70">
        <f>IF(B692="","",INDEX(Ingredients!$I$1:$I$5013,(MATCH(InterventionCosts!B692,Ingredients!$A$1:$A$5013,0))))</f>
        <v>1016.3208420138025</v>
      </c>
      <c r="F692" s="5" t="str">
        <f>INDEX(Ingredients!J$1:J$265,(MATCH(InterventionCosts!B692,Ingredients!A$1:A$265,0)))</f>
        <v>monthly cost</v>
      </c>
      <c r="G692">
        <f>IF(B692="","",INDEX(Ingredients!$E$1:$E$238,(MATCH(InterventionCosts!B692,Ingredients!A$1:A$238,0))))</f>
        <v>2016</v>
      </c>
      <c r="H692" t="str">
        <f>INDEX(Ingredients!$F$1:$F$318,(MATCH(InterventionCosts!B692,Ingredients!A$1:A$318,0)))</f>
        <v>https://doi.org/10.1038/s41598-019-49109-w</v>
      </c>
      <c r="I692">
        <f>1/1000</f>
        <v>1E-3</v>
      </c>
      <c r="J692" t="s">
        <v>1474</v>
      </c>
      <c r="K692" s="85">
        <f t="shared" si="30"/>
        <v>1.0163208420138026</v>
      </c>
      <c r="L692" s="85" t="s">
        <v>260</v>
      </c>
      <c r="P692" s="233"/>
    </row>
    <row r="693" spans="1:16" s="1" customFormat="1">
      <c r="A693" t="s">
        <v>933</v>
      </c>
      <c r="B693" s="5" t="s">
        <v>243</v>
      </c>
      <c r="C693" s="5" t="s">
        <v>1539</v>
      </c>
      <c r="D693" s="5" t="s">
        <v>48</v>
      </c>
      <c r="E693" s="70">
        <f>IF(B693="","",INDEX(Ingredients!$I$1:$I$5013,(MATCH(InterventionCosts!B693,Ingredients!$A$1:$A$5013,0))))</f>
        <v>1.3151532137518684</v>
      </c>
      <c r="F693" s="5" t="str">
        <f>INDEX(Ingredients!J$1:J$265,(MATCH(InterventionCosts!B693,Ingredients!A$1:A$265,0)))</f>
        <v>per minute</v>
      </c>
      <c r="G693">
        <f>IF(B693="","",INDEX(Ingredients!$E$1:$E$238,(MATCH(InterventionCosts!B693,Ingredients!A$1:A$238,0))))</f>
        <v>2024</v>
      </c>
      <c r="H693" t="str">
        <f>INDEX(Ingredients!$F$1:$F$318,(MATCH(InterventionCosts!B693,Ingredients!A$1:A$318,0)))</f>
        <v>https://www.psira.co.za/dmdocuments/Illustrative%20Costing%20Guideline%202024-2025%20AREA%201%20and%202.pdf</v>
      </c>
      <c r="I693" s="5">
        <v>0.5</v>
      </c>
      <c r="J693" t="s">
        <v>1474</v>
      </c>
      <c r="K693" s="85">
        <f t="shared" si="30"/>
        <v>0.65757660687593422</v>
      </c>
      <c r="L693" s="85" t="s">
        <v>260</v>
      </c>
      <c r="P693" s="233"/>
    </row>
    <row r="694" spans="1:16" s="1" customFormat="1">
      <c r="A694" t="s">
        <v>933</v>
      </c>
      <c r="B694" t="s">
        <v>52</v>
      </c>
      <c r="C694" s="5" t="s">
        <v>1539</v>
      </c>
      <c r="D694" s="5" t="s">
        <v>48</v>
      </c>
      <c r="E694" s="70">
        <f>IF(B694="","",INDEX(Ingredients!$I$1:$I$5013,(MATCH(InterventionCosts!B694,Ingredients!$A$1:$A$5013,0))))</f>
        <v>1.8019482436472347</v>
      </c>
      <c r="F694" s="5" t="str">
        <f>INDEX(Ingredients!J$1:J$265,(MATCH(InterventionCosts!B694,Ingredients!A$1:A$265,0)))</f>
        <v>per minute</v>
      </c>
      <c r="G694">
        <f>IF(B694="","",INDEX(Ingredients!$E$1:$E$238,(MATCH(InterventionCosts!B694,Ingredients!A$1:A$238,0))))</f>
        <v>2024</v>
      </c>
      <c r="H694" t="str">
        <f>INDEX(Ingredients!$F$1:$F$318,(MATCH(InterventionCosts!B694,Ingredients!A$1:A$318,0)))</f>
        <v xml:space="preserve">April 2024 Salary scale </v>
      </c>
      <c r="I694">
        <v>2</v>
      </c>
      <c r="J694" t="s">
        <v>1474</v>
      </c>
      <c r="K694" s="85">
        <f t="shared" si="30"/>
        <v>3.6038964872944694</v>
      </c>
      <c r="L694" s="85" t="s">
        <v>260</v>
      </c>
      <c r="P694" s="233"/>
    </row>
    <row r="695" spans="1:16" s="1" customFormat="1">
      <c r="A695" t="s">
        <v>933</v>
      </c>
      <c r="B695" t="s">
        <v>245</v>
      </c>
      <c r="C695" s="5" t="s">
        <v>1539</v>
      </c>
      <c r="D695" t="s">
        <v>21</v>
      </c>
      <c r="E695" s="70">
        <f>IF(B695="","",INDEX(Ingredients!$I$1:$I$5013,(MATCH(InterventionCosts!B695,Ingredients!$A$1:$A$5013,0))))</f>
        <v>129</v>
      </c>
      <c r="F695" s="5" t="str">
        <f>INDEX(Ingredients!J$1:J$265,(MATCH(InterventionCosts!B695,Ingredients!A$1:A$265,0)))</f>
        <v>per 20 files</v>
      </c>
      <c r="G695">
        <f>IF(B695="","",INDEX(Ingredients!$E$1:$E$238,(MATCH(InterventionCosts!B695,Ingredients!A$1:A$238,0))))</f>
        <v>2024</v>
      </c>
      <c r="H695" t="str">
        <f>INDEX(Ingredients!$F$1:$F$318,(MATCH(InterventionCosts!B695,Ingredients!A$1:A$318,0)))</f>
        <v>https://www.makro.co.za/stationery-office-furniture/paper-filing/filing-folders/file-storage/tidy-files-medium-weight-files-/p/000000000000125629_PK</v>
      </c>
      <c r="I695">
        <f>1/20*1.01</f>
        <v>5.0500000000000003E-2</v>
      </c>
      <c r="J695" t="s">
        <v>1474</v>
      </c>
      <c r="K695" s="85">
        <f t="shared" si="30"/>
        <v>6.5145000000000008</v>
      </c>
      <c r="L695" s="85" t="s">
        <v>262</v>
      </c>
      <c r="P695" s="233"/>
    </row>
    <row r="696" spans="1:16" s="1" customFormat="1">
      <c r="A696" t="s">
        <v>933</v>
      </c>
      <c r="B696" t="s">
        <v>246</v>
      </c>
      <c r="C696" s="5" t="s">
        <v>1539</v>
      </c>
      <c r="D696" t="s">
        <v>21</v>
      </c>
      <c r="E696" s="70">
        <f>IF(B696="","",INDEX(Ingredients!$I$1:$I$5013,(MATCH(InterventionCosts!B696,Ingredients!$A$1:$A$5013,0))))</f>
        <v>0.16400000000000001</v>
      </c>
      <c r="F696" s="5" t="str">
        <f>INDEX(Ingredients!J$1:J$265,(MATCH(InterventionCosts!B696,Ingredients!A$1:A$265,0)))</f>
        <v>per page</v>
      </c>
      <c r="G696">
        <f>IF(B696="","",INDEX(Ingredients!$E$1:$E$238,(MATCH(InterventionCosts!B696,Ingredients!A$1:A$238,0))))</f>
        <v>2024</v>
      </c>
      <c r="H696" t="str">
        <f>INDEX(Ingredients!$F$1:$F$318,(MATCH(InterventionCosts!B696,Ingredients!A$1:A$318,0)))</f>
        <v>https://www.makro.co.za/stationery-office-furniture/paper-filing/paper/white-paper/copy-paper/typek-a4-office-paper-80-gsm/p/000000000000012434_BOX</v>
      </c>
      <c r="I696">
        <f>1*2*1.01</f>
        <v>2.02</v>
      </c>
      <c r="J696" t="s">
        <v>1474</v>
      </c>
      <c r="K696" s="85">
        <f t="shared" si="30"/>
        <v>0.33128000000000002</v>
      </c>
      <c r="L696" s="85" t="s">
        <v>261</v>
      </c>
      <c r="P696" s="233"/>
    </row>
    <row r="697" spans="1:16" s="1" customFormat="1">
      <c r="A697" t="s">
        <v>933</v>
      </c>
      <c r="B697" t="s">
        <v>52</v>
      </c>
      <c r="C697" s="5" t="s">
        <v>1539</v>
      </c>
      <c r="D697" s="5" t="s">
        <v>48</v>
      </c>
      <c r="E697" s="70">
        <f>IF(B697="","",INDEX(Ingredients!$I$1:$I$5013,(MATCH(InterventionCosts!B697,Ingredients!$A$1:$A$5013,0))))</f>
        <v>1.8019482436472347</v>
      </c>
      <c r="F697" s="5" t="str">
        <f>INDEX(Ingredients!J$1:J$265,(MATCH(InterventionCosts!B697,Ingredients!A$1:A$265,0)))</f>
        <v>per minute</v>
      </c>
      <c r="G697">
        <f>IF(B697="","",INDEX(Ingredients!$E$1:$E$238,(MATCH(InterventionCosts!B697,Ingredients!A$1:A$238,0))))</f>
        <v>2024</v>
      </c>
      <c r="H697" t="str">
        <f>INDEX(Ingredients!$F$1:$F$318,(MATCH(InterventionCosts!B697,Ingredients!A$1:A$318,0)))</f>
        <v xml:space="preserve">April 2024 Salary scale </v>
      </c>
      <c r="I697">
        <v>2</v>
      </c>
      <c r="J697" t="s">
        <v>1474</v>
      </c>
      <c r="K697" s="85">
        <f t="shared" si="30"/>
        <v>3.6038964872944694</v>
      </c>
      <c r="L697" s="85" t="s">
        <v>277</v>
      </c>
      <c r="P697" s="233"/>
    </row>
    <row r="698" spans="1:16" s="1" customFormat="1">
      <c r="A698" t="s">
        <v>933</v>
      </c>
      <c r="B698" t="s">
        <v>323</v>
      </c>
      <c r="C698" s="5" t="s">
        <v>1539</v>
      </c>
      <c r="D698" t="s">
        <v>81</v>
      </c>
      <c r="E698" s="70">
        <f>IF(B698="","",INDEX(Ingredients!$I$1:$I$5013,(MATCH(InterventionCosts!B698,Ingredients!$A$1:$A$5013,0))))</f>
        <v>1321.110140433256</v>
      </c>
      <c r="F698" s="5" t="str">
        <f>INDEX(Ingredients!J$1:J$265,(MATCH(InterventionCosts!B698,Ingredients!A$1:A$265,0)))</f>
        <v>monthly cost</v>
      </c>
      <c r="G698">
        <f>IF(B698="","",INDEX(Ingredients!$E$1:$E$238,(MATCH(InterventionCosts!B698,Ingredients!A$1:A$238,0))))</f>
        <v>2016</v>
      </c>
      <c r="H698" t="str">
        <f>INDEX(Ingredients!$F$1:$F$318,(MATCH(InterventionCosts!B698,Ingredients!A$1:A$318,0)))</f>
        <v>https://doi.org/10.1038/s41598-019-49109-w</v>
      </c>
      <c r="I698">
        <f>1/1000</f>
        <v>1E-3</v>
      </c>
      <c r="J698" t="s">
        <v>1474</v>
      </c>
      <c r="K698" s="85">
        <f t="shared" si="30"/>
        <v>1.3211101404332559</v>
      </c>
      <c r="L698" s="85" t="s">
        <v>277</v>
      </c>
      <c r="P698" s="233"/>
    </row>
    <row r="699" spans="1:16" s="1" customFormat="1">
      <c r="A699" t="s">
        <v>933</v>
      </c>
      <c r="B699" t="s">
        <v>324</v>
      </c>
      <c r="C699" s="5" t="s">
        <v>1539</v>
      </c>
      <c r="D699" t="s">
        <v>67</v>
      </c>
      <c r="E699" s="70">
        <f>IF(B699="","",INDEX(Ingredients!$I$1:$I$5013,(MATCH(InterventionCosts!B699,Ingredients!$A$1:$A$5013,0))))</f>
        <v>284.21265617383841</v>
      </c>
      <c r="F699" s="5" t="str">
        <f>INDEX(Ingredients!J$1:J$265,(MATCH(InterventionCosts!B699,Ingredients!A$1:A$265,0)))</f>
        <v>monthly cost</v>
      </c>
      <c r="G699">
        <f>IF(B699="","",INDEX(Ingredients!$E$1:$E$238,(MATCH(InterventionCosts!B699,Ingredients!A$1:A$238,0))))</f>
        <v>2019</v>
      </c>
      <c r="H699" t="str">
        <f>INDEX(Ingredients!$F$1:$F$318,(MATCH(InterventionCosts!B699,Ingredients!A$1:A$318,0)))</f>
        <v>https://doi.org/10.1038/s41598-019-49109-w 2016 updated</v>
      </c>
      <c r="I699">
        <f>1/1000</f>
        <v>1E-3</v>
      </c>
      <c r="J699" t="s">
        <v>1474</v>
      </c>
      <c r="K699" s="85">
        <f t="shared" si="30"/>
        <v>0.2842126561738384</v>
      </c>
      <c r="L699" s="85" t="s">
        <v>277</v>
      </c>
      <c r="P699" s="233"/>
    </row>
    <row r="700" spans="1:16" s="1" customFormat="1">
      <c r="A700" t="s">
        <v>933</v>
      </c>
      <c r="B700" t="s">
        <v>54</v>
      </c>
      <c r="C700" s="5" t="s">
        <v>1539</v>
      </c>
      <c r="D700" s="5" t="s">
        <v>48</v>
      </c>
      <c r="E700" s="70">
        <f>IF(B700="","",INDEX(Ingredients!$I$1:$I$5013,(MATCH(InterventionCosts!B700,Ingredients!$A$1:$A$5013,0))))</f>
        <v>1.2444366591928251</v>
      </c>
      <c r="F700" s="5" t="str">
        <f>INDEX(Ingredients!J$1:J$265,(MATCH(InterventionCosts!B700,Ingredients!A$1:A$265,0)))</f>
        <v>per minute</v>
      </c>
      <c r="G700">
        <f>IF(B700="","",INDEX(Ingredients!$E$1:$E$238,(MATCH(InterventionCosts!B700,Ingredients!A$1:A$238,0))))</f>
        <v>2024</v>
      </c>
      <c r="H700" t="str">
        <f>INDEX(Ingredients!$F$1:$F$318,(MATCH(InterventionCosts!B700,Ingredients!A$1:A$318,0)))</f>
        <v xml:space="preserve">April 2024 Salary scale </v>
      </c>
      <c r="I700">
        <v>5</v>
      </c>
      <c r="J700" t="s">
        <v>1474</v>
      </c>
      <c r="K700" s="85">
        <f t="shared" si="30"/>
        <v>6.2221832959641254</v>
      </c>
      <c r="L700" s="85" t="s">
        <v>259</v>
      </c>
      <c r="P700" s="233"/>
    </row>
    <row r="701" spans="1:16" s="1" customFormat="1">
      <c r="A701" t="s">
        <v>933</v>
      </c>
      <c r="B701" t="s">
        <v>54</v>
      </c>
      <c r="C701" s="5" t="s">
        <v>1539</v>
      </c>
      <c r="D701" s="5" t="s">
        <v>48</v>
      </c>
      <c r="E701" s="70">
        <f>IF(B701="","",INDEX(Ingredients!$I$1:$I$5013,(MATCH(InterventionCosts!B701,Ingredients!$A$1:$A$5013,0))))</f>
        <v>1.2444366591928251</v>
      </c>
      <c r="F701" s="5" t="str">
        <f>INDEX(Ingredients!J$1:J$265,(MATCH(InterventionCosts!B701,Ingredients!A$1:A$265,0)))</f>
        <v>per minute</v>
      </c>
      <c r="G701">
        <f>IF(B701="","",INDEX(Ingredients!$E$1:$E$238,(MATCH(InterventionCosts!B701,Ingredients!A$1:A$238,0))))</f>
        <v>2024</v>
      </c>
      <c r="H701" t="str">
        <f>INDEX(Ingredients!$F$1:$F$318,(MATCH(InterventionCosts!B701,Ingredients!A$1:A$318,0)))</f>
        <v xml:space="preserve">April 2024 Salary scale </v>
      </c>
      <c r="I701">
        <v>20</v>
      </c>
      <c r="J701" t="s">
        <v>1474</v>
      </c>
      <c r="K701" s="85">
        <f t="shared" si="30"/>
        <v>24.888733183856502</v>
      </c>
      <c r="L701" s="85" t="s">
        <v>257</v>
      </c>
      <c r="P701" s="233"/>
    </row>
    <row r="702" spans="1:16" s="1" customFormat="1">
      <c r="A702" t="s">
        <v>933</v>
      </c>
      <c r="B702" t="s">
        <v>246</v>
      </c>
      <c r="C702" s="5" t="s">
        <v>1539</v>
      </c>
      <c r="D702" t="s">
        <v>21</v>
      </c>
      <c r="E702" s="70">
        <f>IF(B702="","",INDEX(Ingredients!$I$1:$I$5013,(MATCH(InterventionCosts!B702,Ingredients!$A$1:$A$5013,0))))</f>
        <v>0.16400000000000001</v>
      </c>
      <c r="F702" s="5" t="str">
        <f>INDEX(Ingredients!J$1:J$265,(MATCH(InterventionCosts!B702,Ingredients!A$1:A$265,0)))</f>
        <v>per page</v>
      </c>
      <c r="G702">
        <f>IF(B702="","",INDEX(Ingredients!$E$1:$E$238,(MATCH(InterventionCosts!B702,Ingredients!A$1:A$238,0))))</f>
        <v>2024</v>
      </c>
      <c r="H702" t="str">
        <f>INDEX(Ingredients!$F$1:$F$318,(MATCH(InterventionCosts!B702,Ingredients!A$1:A$318,0)))</f>
        <v>https://www.makro.co.za/stationery-office-furniture/paper-filing/paper/white-paper/copy-paper/typek-a4-office-paper-80-gsm/p/000000000000012434_BOX</v>
      </c>
      <c r="I702">
        <f>1*1.01</f>
        <v>1.01</v>
      </c>
      <c r="J702" t="s">
        <v>1474</v>
      </c>
      <c r="K702" s="85">
        <f t="shared" si="30"/>
        <v>0.16564000000000001</v>
      </c>
      <c r="L702" s="85" t="s">
        <v>1509</v>
      </c>
      <c r="P702" s="233"/>
    </row>
    <row r="703" spans="1:16" s="1" customFormat="1">
      <c r="A703" t="s">
        <v>933</v>
      </c>
      <c r="B703" t="s">
        <v>325</v>
      </c>
      <c r="C703" s="5" t="s">
        <v>1539</v>
      </c>
      <c r="D703" t="s">
        <v>81</v>
      </c>
      <c r="E703" s="70">
        <f>IF(B703="","",INDEX(Ingredients!$I$1:$I$5013,(MATCH(InterventionCosts!B703,Ingredients!$A$1:$A$5013,0))))</f>
        <v>264.22202808665122</v>
      </c>
      <c r="F703" s="5" t="str">
        <f>INDEX(Ingredients!J$1:J$265,(MATCH(InterventionCosts!B703,Ingredients!A$1:A$265,0)))</f>
        <v>monthly cost</v>
      </c>
      <c r="G703">
        <f>IF(B703="","",INDEX(Ingredients!$E$1:$E$238,(MATCH(InterventionCosts!B703,Ingredients!A$1:A$238,0))))</f>
        <v>2016</v>
      </c>
      <c r="H703" t="str">
        <f>INDEX(Ingredients!$F$1:$F$318,(MATCH(InterventionCosts!B703,Ingredients!A$1:A$318,0)))</f>
        <v>https://doi.org/10.1038/s41598-019-49109-w</v>
      </c>
      <c r="I703">
        <f>1/1000</f>
        <v>1E-3</v>
      </c>
      <c r="J703" t="s">
        <v>1474</v>
      </c>
      <c r="K703" s="85">
        <f t="shared" si="30"/>
        <v>0.26422202808665124</v>
      </c>
      <c r="L703" s="85" t="s">
        <v>258</v>
      </c>
      <c r="P703" s="233"/>
    </row>
    <row r="704" spans="1:16" s="1" customFormat="1">
      <c r="A704" t="s">
        <v>933</v>
      </c>
      <c r="B704" t="s">
        <v>326</v>
      </c>
      <c r="C704" s="5" t="s">
        <v>1539</v>
      </c>
      <c r="D704" t="s">
        <v>67</v>
      </c>
      <c r="E704" s="70">
        <f>IF(B704="","",INDEX(Ingredients!$I$1:$I$5013,(MATCH(InterventionCosts!B704,Ingredients!$A$1:$A$5013,0))))</f>
        <v>141.60550151947027</v>
      </c>
      <c r="F704" s="5" t="str">
        <f>INDEX(Ingredients!J$1:J$265,(MATCH(InterventionCosts!B704,Ingredients!A$1:A$265,0)))</f>
        <v>monthly cost</v>
      </c>
      <c r="G704">
        <f>IF(B704="","",INDEX(Ingredients!$E$1:$E$238,(MATCH(InterventionCosts!B704,Ingredients!A$1:A$238,0))))</f>
        <v>2019</v>
      </c>
      <c r="H704" t="str">
        <f>INDEX(Ingredients!$F$1:$F$318,(MATCH(InterventionCosts!B704,Ingredients!A$1:A$318,0)))</f>
        <v>https://doi.org/10.1038/s41598-019-49109-w 2016 updated</v>
      </c>
      <c r="I704">
        <f>1/1000</f>
        <v>1E-3</v>
      </c>
      <c r="J704" t="s">
        <v>1474</v>
      </c>
      <c r="K704" s="85">
        <f t="shared" si="30"/>
        <v>0.14160550151947027</v>
      </c>
      <c r="L704" s="85" t="s">
        <v>258</v>
      </c>
      <c r="P704" s="233"/>
    </row>
    <row r="705" spans="1:16" s="1" customFormat="1">
      <c r="A705" t="s">
        <v>933</v>
      </c>
      <c r="B705" t="s">
        <v>54</v>
      </c>
      <c r="C705" s="5" t="s">
        <v>1539</v>
      </c>
      <c r="D705" t="s">
        <v>21</v>
      </c>
      <c r="E705" s="70">
        <f>IF(B705="","",INDEX(Ingredients!$I$1:$I$5013,(MATCH(InterventionCosts!B705,Ingredients!$A$1:$A$5013,0))))</f>
        <v>1.2444366591928251</v>
      </c>
      <c r="F705" s="5" t="str">
        <f>INDEX(Ingredients!J$1:J$265,(MATCH(InterventionCosts!B705,Ingredients!A$1:A$265,0)))</f>
        <v>per minute</v>
      </c>
      <c r="G705">
        <f>IF(B705="","",INDEX(Ingredients!$E$1:$E$238,(MATCH(InterventionCosts!B705,Ingredients!A$1:A$238,0))))</f>
        <v>2024</v>
      </c>
      <c r="H705" t="str">
        <f>INDEX(Ingredients!$F$1:$F$318,(MATCH(InterventionCosts!B705,Ingredients!A$1:A$318,0)))</f>
        <v xml:space="preserve">April 2024 Salary scale </v>
      </c>
      <c r="I705">
        <v>0</v>
      </c>
      <c r="J705" t="s">
        <v>1474</v>
      </c>
      <c r="K705" s="85">
        <f t="shared" si="30"/>
        <v>0</v>
      </c>
      <c r="L705" s="85" t="s">
        <v>258</v>
      </c>
      <c r="P705" s="233"/>
    </row>
    <row r="706" spans="1:16" s="1" customFormat="1">
      <c r="A706" t="s">
        <v>933</v>
      </c>
      <c r="B706" t="s">
        <v>1127</v>
      </c>
      <c r="C706" t="s">
        <v>1174</v>
      </c>
      <c r="D706" t="s">
        <v>21</v>
      </c>
      <c r="E706" s="70">
        <f>IF(B706="","",INDEX(Ingredients!$I$1:$I$5013,(MATCH(InterventionCosts!B706,Ingredients!$A$1:$A$5013,0))))</f>
        <v>74.558798087535635</v>
      </c>
      <c r="F706" s="5" t="str">
        <f>INDEX(Ingredients!J$1:J$265,(MATCH(InterventionCosts!B706,Ingredients!A$1:A$265,0)))</f>
        <v>per test kit</v>
      </c>
      <c r="G706">
        <f>IF(B706="","",INDEX(Ingredients!$E$1:$E$238,(MATCH(InterventionCosts!B706,Ingredients!A$1:A$238,0))))</f>
        <v>2024</v>
      </c>
      <c r="H706" t="str">
        <f>INDEX(Ingredients!$F$1:$F$318,(MATCH(InterventionCosts!B706,Ingredients!A$1:A$318,0)))</f>
        <v>https://www.treasury.gov.za/divisions/ocpo/ostb/contracts/RT41-2020%20Addendum%202%20Price%20Adjustment.pdf</v>
      </c>
      <c r="I706">
        <v>1</v>
      </c>
      <c r="J706" t="s">
        <v>1475</v>
      </c>
      <c r="K706" s="85">
        <f t="shared" si="30"/>
        <v>74.558798087535635</v>
      </c>
      <c r="L706" s="85" t="s">
        <v>258</v>
      </c>
      <c r="P706" s="233"/>
    </row>
    <row r="707" spans="1:16" s="1" customFormat="1">
      <c r="A707" t="s">
        <v>933</v>
      </c>
      <c r="B707" t="s">
        <v>248</v>
      </c>
      <c r="C707" s="5" t="s">
        <v>1539</v>
      </c>
      <c r="D707" t="s">
        <v>21</v>
      </c>
      <c r="E707" s="70">
        <f>IF(B707="","",INDEX(Ingredients!$I$1:$I$5013,(MATCH(InterventionCosts!B707,Ingredients!$A$1:$A$5013,0))))</f>
        <v>2.645</v>
      </c>
      <c r="F707" s="5" t="str">
        <f>INDEX(Ingredients!J$1:J$265,(MATCH(InterventionCosts!B707,Ingredients!A$1:A$265,0)))</f>
        <v>per bag</v>
      </c>
      <c r="G707">
        <f>IF(B707="","",INDEX(Ingredients!$E$1:$E$238,(MATCH(InterventionCosts!B707,Ingredients!A$1:A$238,0))))</f>
        <v>2024</v>
      </c>
      <c r="H707" t="str">
        <f>INDEX(Ingredients!$F$1:$F$318,(MATCH(InterventionCosts!B707,Ingredients!A$1:A$318,0)))</f>
        <v>https://medqsupplies.co.za/product/bio-hazard-plastic-bags/</v>
      </c>
      <c r="I707">
        <f>1*1.01</f>
        <v>1.01</v>
      </c>
      <c r="J707" t="s">
        <v>1474</v>
      </c>
      <c r="K707" s="85">
        <f t="shared" si="30"/>
        <v>2.6714500000000001</v>
      </c>
      <c r="L707" s="85" t="s">
        <v>316</v>
      </c>
      <c r="P707" s="233"/>
    </row>
    <row r="708" spans="1:16" s="1" customFormat="1">
      <c r="A708" t="s">
        <v>933</v>
      </c>
      <c r="B708" t="s">
        <v>31</v>
      </c>
      <c r="C708" s="5" t="s">
        <v>1539</v>
      </c>
      <c r="D708" t="s">
        <v>21</v>
      </c>
      <c r="E708" s="70">
        <f>IF(B708="","",INDEX(Ingredients!$I$1:$I$5013,(MATCH(InterventionCosts!B708,Ingredients!$A$1:$A$5013,0))))</f>
        <v>31.4</v>
      </c>
      <c r="F708" s="5" t="str">
        <f>INDEX(Ingredients!J$1:J$265,(MATCH(InterventionCosts!B708,Ingredients!A$1:A$265,0)))</f>
        <v>per 100 swabs</v>
      </c>
      <c r="G708">
        <f>IF(B708="","",INDEX(Ingredients!$E$1:$E$238,(MATCH(InterventionCosts!B708,Ingredients!A$1:A$238,0))))</f>
        <v>2024</v>
      </c>
      <c r="H708" t="str">
        <f>INDEX(Ingredients!$F$1:$F$318,(MATCH(InterventionCosts!B708,Ingredients!A$1:A$318,0)))</f>
        <v xml:space="preserve">http://www.treasury.gov.za/divisions/ocpo/ostb/contracts/RT42-2022zip </v>
      </c>
      <c r="I708">
        <f>1/100</f>
        <v>0.01</v>
      </c>
      <c r="J708" t="s">
        <v>1474</v>
      </c>
      <c r="K708" s="85">
        <f t="shared" si="30"/>
        <v>0.314</v>
      </c>
      <c r="L708" s="85" t="s">
        <v>316</v>
      </c>
      <c r="P708" s="233"/>
    </row>
    <row r="709" spans="1:16" s="1" customFormat="1">
      <c r="A709" t="s">
        <v>933</v>
      </c>
      <c r="B709" t="s">
        <v>247</v>
      </c>
      <c r="C709" s="5" t="s">
        <v>1539</v>
      </c>
      <c r="D709" t="s">
        <v>21</v>
      </c>
      <c r="E709" s="70">
        <f>IF(B709="","",INDEX(Ingredients!$I$1:$I$5013,(MATCH(InterventionCosts!B709,Ingredients!$A$1:$A$5013,0))))</f>
        <v>274.72000000000003</v>
      </c>
      <c r="F709" s="5" t="str">
        <f>INDEX(Ingredients!J$1:J$265,(MATCH(InterventionCosts!B709,Ingredients!A$1:A$265,0)))</f>
        <v>per 5L</v>
      </c>
      <c r="G709">
        <f>IF(B709="","",INDEX(Ingredients!$E$1:$E$238,(MATCH(InterventionCosts!B709,Ingredients!A$1:A$238,0))))</f>
        <v>2024</v>
      </c>
      <c r="H709" t="str">
        <f>INDEX(Ingredients!$F$1:$F$318,(MATCH(InterventionCosts!B709,Ingredients!A$1:A$318,0)))</f>
        <v>https://www.health.gov.za/wp-content/uploads/2024/04/HP12-2023LQ-CPA-Add-4-12-Effective-1-May-2024.pdf</v>
      </c>
      <c r="I709">
        <f>1/5000*1.01</f>
        <v>2.02E-4</v>
      </c>
      <c r="J709" t="s">
        <v>1474</v>
      </c>
      <c r="K709" s="85">
        <f t="shared" si="30"/>
        <v>5.5493440000000005E-2</v>
      </c>
      <c r="L709" s="85" t="s">
        <v>959</v>
      </c>
      <c r="P709" s="233"/>
    </row>
    <row r="710" spans="1:16" s="1" customFormat="1">
      <c r="A710" t="s">
        <v>933</v>
      </c>
      <c r="B710" t="s">
        <v>1489</v>
      </c>
      <c r="C710" s="5" t="s">
        <v>1539</v>
      </c>
      <c r="D710" t="s">
        <v>21</v>
      </c>
      <c r="E710" s="70">
        <f>IF(B710="","",INDEX(Ingredients!$I$1:$I$5013,(MATCH(InterventionCosts!B710,Ingredients!$A$1:$A$5013,0))))</f>
        <v>53.08</v>
      </c>
      <c r="F710" s="5" t="str">
        <f>INDEX(Ingredients!J$1:J$265,(MATCH(InterventionCosts!B710,Ingredients!A$1:A$265,0)))</f>
        <v>per pack 100, 50 pairs</v>
      </c>
      <c r="G710">
        <f>IF(B710="","",INDEX(Ingredients!$E$1:$E$238,(MATCH(InterventionCosts!B710,Ingredients!A$1:A$238,0))))</f>
        <v>2024</v>
      </c>
      <c r="H710" t="str">
        <f>INDEX(Ingredients!$F$1:$F$318,(MATCH(InterventionCosts!B710,Ingredients!A$1:A$318,0)))</f>
        <v>https://www.treasury.gov.za/divisions/ocpo/ostb/contracts/RT76-2023%20CPA%20Amendment%204-%20Effective%2001%20May%202024.pdf</v>
      </c>
      <c r="I710">
        <f>1/50*1.01</f>
        <v>2.0199999999999999E-2</v>
      </c>
      <c r="J710" t="s">
        <v>1474</v>
      </c>
      <c r="K710" s="85">
        <f t="shared" si="30"/>
        <v>1.0722159999999998</v>
      </c>
      <c r="L710" s="85" t="s">
        <v>960</v>
      </c>
      <c r="P710" s="233"/>
    </row>
    <row r="711" spans="1:16" s="1" customFormat="1">
      <c r="A711" t="s">
        <v>933</v>
      </c>
      <c r="B711" t="s">
        <v>54</v>
      </c>
      <c r="C711" s="5" t="s">
        <v>1539</v>
      </c>
      <c r="D711" s="5" t="s">
        <v>48</v>
      </c>
      <c r="E711" s="70">
        <f>IF(B711="","",INDEX(Ingredients!$I$1:$I$5013,(MATCH(InterventionCosts!B711,Ingredients!$A$1:$A$5013,0))))</f>
        <v>1.2444366591928251</v>
      </c>
      <c r="F711" s="5" t="str">
        <f>INDEX(Ingredients!J$1:J$265,(MATCH(InterventionCosts!B711,Ingredients!A$1:A$265,0)))</f>
        <v>per minute</v>
      </c>
      <c r="G711">
        <f>IF(B711="","",INDEX(Ingredients!$E$1:$E$238,(MATCH(InterventionCosts!B711,Ingredients!A$1:A$238,0))))</f>
        <v>2024</v>
      </c>
      <c r="H711" t="str">
        <f>INDEX(Ingredients!$F$1:$F$318,(MATCH(InterventionCosts!B711,Ingredients!A$1:A$318,0)))</f>
        <v xml:space="preserve">April 2024 Salary scale </v>
      </c>
      <c r="I711">
        <f>5</f>
        <v>5</v>
      </c>
      <c r="J711" t="s">
        <v>1474</v>
      </c>
      <c r="K711" s="85">
        <f t="shared" si="30"/>
        <v>6.2221832959641254</v>
      </c>
      <c r="L711" s="85" t="s">
        <v>316</v>
      </c>
      <c r="P711" s="233"/>
    </row>
    <row r="712" spans="1:16" s="1" customFormat="1">
      <c r="A712" t="s">
        <v>933</v>
      </c>
      <c r="B712" t="s">
        <v>249</v>
      </c>
      <c r="C712" s="5" t="s">
        <v>1539</v>
      </c>
      <c r="D712" t="s">
        <v>21</v>
      </c>
      <c r="E712" s="70">
        <f>IF(B712="","",INDEX(Ingredients!$I$1:$I$5013,(MATCH(InterventionCosts!B712,Ingredients!$A$1:$A$5013,0))))</f>
        <v>7.86</v>
      </c>
      <c r="F712" s="5" t="str">
        <f>INDEX(Ingredients!J$1:J$265,(MATCH(InterventionCosts!B712,Ingredients!A$1:A$265,0)))</f>
        <v>per test kit</v>
      </c>
      <c r="G712">
        <f>IF(B712="","",INDEX(Ingredients!$E$1:$E$238,(MATCH(InterventionCosts!B712,Ingredients!A$1:A$238,0))))</f>
        <v>2024</v>
      </c>
      <c r="H712" t="str">
        <f>INDEX(Ingredients!$F$1:$F$318,(MATCH(InterventionCosts!B712,Ingredients!A$1:A$318,0)))</f>
        <v>https://www.treasury.gov.za/divisions/ocpo/ostb/contracts/RT41-2020.zip</v>
      </c>
      <c r="I712">
        <f>1*1.01</f>
        <v>1.01</v>
      </c>
      <c r="J712" t="s">
        <v>1474</v>
      </c>
      <c r="K712" s="85">
        <f t="shared" si="30"/>
        <v>7.9386000000000001</v>
      </c>
      <c r="L712" s="85" t="s">
        <v>316</v>
      </c>
      <c r="P712" s="233"/>
    </row>
    <row r="713" spans="1:16" s="1" customFormat="1">
      <c r="A713" t="s">
        <v>933</v>
      </c>
      <c r="B713" t="s">
        <v>54</v>
      </c>
      <c r="C713" s="5" t="s">
        <v>1539</v>
      </c>
      <c r="D713" s="5" t="s">
        <v>48</v>
      </c>
      <c r="E713" s="70">
        <f>IF(B713="","",INDEX(Ingredients!$I$1:$I$5013,(MATCH(InterventionCosts!B713,Ingredients!$A$1:$A$5013,0))))</f>
        <v>1.2444366591928251</v>
      </c>
      <c r="F713" s="5" t="str">
        <f>INDEX(Ingredients!J$1:J$265,(MATCH(InterventionCosts!B713,Ingredients!A$1:A$265,0)))</f>
        <v>per minute</v>
      </c>
      <c r="G713">
        <f>IF(B713="","",INDEX(Ingredients!$E$1:$E$238,(MATCH(InterventionCosts!B713,Ingredients!A$1:A$238,0))))</f>
        <v>2024</v>
      </c>
      <c r="H713" t="str">
        <f>INDEX(Ingredients!$F$1:$F$318,(MATCH(InterventionCosts!B713,Ingredients!A$1:A$318,0)))</f>
        <v xml:space="preserve">April 2024 Salary scale </v>
      </c>
      <c r="I713">
        <f>5*0.0057</f>
        <v>2.8500000000000001E-2</v>
      </c>
      <c r="J713" t="s">
        <v>1474</v>
      </c>
      <c r="K713" s="85">
        <f t="shared" si="30"/>
        <v>3.5466444786995517E-2</v>
      </c>
      <c r="L713" s="85" t="s">
        <v>266</v>
      </c>
      <c r="P713" s="233"/>
    </row>
    <row r="714" spans="1:16" s="1" customFormat="1">
      <c r="A714" t="s">
        <v>933</v>
      </c>
      <c r="B714" t="s">
        <v>79</v>
      </c>
      <c r="C714" s="5" t="s">
        <v>1539</v>
      </c>
      <c r="D714" t="s">
        <v>21</v>
      </c>
      <c r="E714" s="70">
        <f>IF(B714="","",INDEX(Ingredients!$I$1:$I$5013,(MATCH(InterventionCosts!B714,Ingredients!$A$1:$A$5013,0))))</f>
        <v>9.3000000000000007</v>
      </c>
      <c r="F714" s="5" t="str">
        <f>INDEX(Ingredients!J$1:J$265,(MATCH(InterventionCosts!B714,Ingredients!A$1:A$265,0)))</f>
        <v>per test</v>
      </c>
      <c r="G714">
        <f>IF(B714="","",INDEX(Ingredients!$E$1:$E$238,(MATCH(InterventionCosts!B714,Ingredients!A$1:A$238,0))))</f>
        <v>2024</v>
      </c>
      <c r="H714" t="str">
        <f>INDEX(Ingredients!$F$1:$F$318,(MATCH(InterventionCosts!B714,Ingredients!A$1:A$318,0)))</f>
        <v>https://www.treasury.gov.za/divisions/ocpo/ostb/contracts/RT41-2020.zip</v>
      </c>
      <c r="I714">
        <f>1*1.01*0.0057</f>
        <v>5.757E-3</v>
      </c>
      <c r="J714" t="s">
        <v>1474</v>
      </c>
      <c r="K714" s="85">
        <f t="shared" si="30"/>
        <v>5.3540100000000007E-2</v>
      </c>
      <c r="L714" s="85" t="s">
        <v>266</v>
      </c>
      <c r="P714" s="233"/>
    </row>
    <row r="715" spans="1:16" s="1" customFormat="1">
      <c r="A715" t="s">
        <v>933</v>
      </c>
      <c r="B715" t="s">
        <v>54</v>
      </c>
      <c r="C715" s="5" t="s">
        <v>1539</v>
      </c>
      <c r="D715" s="5" t="s">
        <v>48</v>
      </c>
      <c r="E715" s="70">
        <f>IF(B715="","",INDEX(Ingredients!$I$1:$I$5013,(MATCH(InterventionCosts!B715,Ingredients!$A$1:$A$5013,0))))</f>
        <v>1.2444366591928251</v>
      </c>
      <c r="F715" s="5" t="str">
        <f>INDEX(Ingredients!J$1:J$265,(MATCH(InterventionCosts!B715,Ingredients!A$1:A$265,0)))</f>
        <v>per minute</v>
      </c>
      <c r="G715">
        <f>IF(B715="","",INDEX(Ingredients!$E$1:$E$238,(MATCH(InterventionCosts!B715,Ingredients!A$1:A$238,0))))</f>
        <v>2024</v>
      </c>
      <c r="H715" t="str">
        <f>INDEX(Ingredients!$F$1:$F$318,(MATCH(InterventionCosts!B715,Ingredients!A$1:A$318,0)))</f>
        <v xml:space="preserve">April 2024 Salary scale </v>
      </c>
      <c r="I715">
        <f>5*0.0057</f>
        <v>2.8500000000000001E-2</v>
      </c>
      <c r="J715" t="s">
        <v>1474</v>
      </c>
      <c r="K715" s="85">
        <f t="shared" si="30"/>
        <v>3.5466444786995517E-2</v>
      </c>
      <c r="L715" s="85" t="s">
        <v>330</v>
      </c>
      <c r="P715" s="233"/>
    </row>
    <row r="716" spans="1:16" s="1" customFormat="1">
      <c r="A716" t="s">
        <v>933</v>
      </c>
      <c r="B716" t="s">
        <v>249</v>
      </c>
      <c r="C716" s="5" t="s">
        <v>1539</v>
      </c>
      <c r="D716" t="s">
        <v>21</v>
      </c>
      <c r="E716" s="70">
        <f>IF(B716="","",INDEX(Ingredients!$I$1:$I$5013,(MATCH(InterventionCosts!B716,Ingredients!$A$1:$A$5013,0))))</f>
        <v>7.86</v>
      </c>
      <c r="F716" s="5" t="str">
        <f>INDEX(Ingredients!J$1:J$265,(MATCH(InterventionCosts!B716,Ingredients!A$1:A$265,0)))</f>
        <v>per test kit</v>
      </c>
      <c r="G716">
        <f>IF(B716="","",INDEX(Ingredients!$E$1:$E$238,(MATCH(InterventionCosts!B716,Ingredients!A$1:A$238,0))))</f>
        <v>2024</v>
      </c>
      <c r="H716" t="str">
        <f>INDEX(Ingredients!$F$1:$F$318,(MATCH(InterventionCosts!B716,Ingredients!A$1:A$318,0)))</f>
        <v>https://www.treasury.gov.za/divisions/ocpo/ostb/contracts/RT41-2020.zip</v>
      </c>
      <c r="I716">
        <f>1*0.0057</f>
        <v>5.7000000000000002E-3</v>
      </c>
      <c r="J716" t="s">
        <v>1474</v>
      </c>
      <c r="K716" s="85">
        <f t="shared" si="30"/>
        <v>4.4802000000000002E-2</v>
      </c>
      <c r="L716" s="85" t="s">
        <v>330</v>
      </c>
      <c r="P716" s="233"/>
    </row>
    <row r="717" spans="1:16" s="1" customFormat="1">
      <c r="A717" t="s">
        <v>933</v>
      </c>
      <c r="B717" t="s">
        <v>54</v>
      </c>
      <c r="C717" s="5" t="s">
        <v>1539</v>
      </c>
      <c r="D717" s="5" t="s">
        <v>48</v>
      </c>
      <c r="E717" s="70">
        <f>IF(B717="","",INDEX(Ingredients!$I$1:$I$5013,(MATCH(InterventionCosts!B717,Ingredients!$A$1:$A$5013,0))))</f>
        <v>1.2444366591928251</v>
      </c>
      <c r="F717" s="5" t="str">
        <f>INDEX(Ingredients!J$1:J$265,(MATCH(InterventionCosts!B717,Ingredients!A$1:A$265,0)))</f>
        <v>per minute</v>
      </c>
      <c r="G717">
        <f>IF(B717="","",INDEX(Ingredients!$E$1:$E$238,(MATCH(InterventionCosts!B717,Ingredients!A$1:A$238,0))))</f>
        <v>2024</v>
      </c>
      <c r="H717" t="str">
        <f>INDEX(Ingredients!$F$1:$F$318,(MATCH(InterventionCosts!B717,Ingredients!A$1:A$318,0)))</f>
        <v xml:space="preserve">April 2024 Salary scale </v>
      </c>
      <c r="I717">
        <f>3*0.0002</f>
        <v>6.0000000000000006E-4</v>
      </c>
      <c r="J717" t="s">
        <v>1474</v>
      </c>
      <c r="K717" s="85">
        <f t="shared" si="30"/>
        <v>7.4666199551569508E-4</v>
      </c>
      <c r="L717" s="85" t="s">
        <v>267</v>
      </c>
      <c r="P717" s="233"/>
    </row>
    <row r="718" spans="1:16" s="1" customFormat="1">
      <c r="A718" t="s">
        <v>933</v>
      </c>
      <c r="B718" t="s">
        <v>250</v>
      </c>
      <c r="C718" s="5" t="s">
        <v>1539</v>
      </c>
      <c r="D718" t="s">
        <v>75</v>
      </c>
      <c r="E718" s="70">
        <f>IF(B718="","",INDEX(Ingredients!$I$1:$I$5013,(MATCH(InterventionCosts!B718,Ingredients!$A$1:$A$5013,0))))</f>
        <v>71.889951748999991</v>
      </c>
      <c r="F718" s="5" t="str">
        <f>INDEX(Ingredients!J$1:J$265,(MATCH(InterventionCosts!B718,Ingredients!A$1:A$265,0)))</f>
        <v>per test</v>
      </c>
      <c r="G718">
        <f>IF(B718="","",INDEX(Ingredients!$E$1:$E$238,(MATCH(InterventionCosts!B718,Ingredients!A$1:A$238,0))))</f>
        <v>2021</v>
      </c>
      <c r="H718" t="str">
        <f>INDEX(Ingredients!$F$1:$F$318,(MATCH(InterventionCosts!B718,Ingredients!A$1:A$318,0)))</f>
        <v>NHLS 2021 price-list</v>
      </c>
      <c r="I718" s="234">
        <f>1*0.0002</f>
        <v>2.0000000000000001E-4</v>
      </c>
      <c r="J718" t="s">
        <v>1474</v>
      </c>
      <c r="K718" s="85">
        <f t="shared" si="30"/>
        <v>1.4377990349799998E-2</v>
      </c>
      <c r="L718" s="85" t="s">
        <v>267</v>
      </c>
      <c r="P718" s="233"/>
    </row>
    <row r="719" spans="1:16" s="1" customFormat="1">
      <c r="A719" t="s">
        <v>933</v>
      </c>
      <c r="B719" t="s">
        <v>54</v>
      </c>
      <c r="C719" s="5" t="s">
        <v>1539</v>
      </c>
      <c r="D719" s="5" t="s">
        <v>48</v>
      </c>
      <c r="E719" s="70">
        <f>IF(B719="","",INDEX(Ingredients!$I$1:$I$5013,(MATCH(InterventionCosts!B719,Ingredients!$A$1:$A$5013,0))))</f>
        <v>1.2444366591928251</v>
      </c>
      <c r="F719" s="5" t="str">
        <f>INDEX(Ingredients!J$1:J$265,(MATCH(InterventionCosts!B719,Ingredients!A$1:A$265,0)))</f>
        <v>per minute</v>
      </c>
      <c r="G719">
        <f>IF(B719="","",INDEX(Ingredients!$E$1:$E$238,(MATCH(InterventionCosts!B719,Ingredients!A$1:A$238,0))))</f>
        <v>2024</v>
      </c>
      <c r="H719" t="str">
        <f>INDEX(Ingredients!$F$1:$F$318,(MATCH(InterventionCosts!B719,Ingredients!A$1:A$318,0)))</f>
        <v xml:space="preserve">April 2024 Salary scale </v>
      </c>
      <c r="I719">
        <f>20</f>
        <v>20</v>
      </c>
      <c r="J719" t="s">
        <v>1474</v>
      </c>
      <c r="K719" s="85">
        <f t="shared" si="30"/>
        <v>24.888733183856502</v>
      </c>
      <c r="L719" s="85" t="s">
        <v>268</v>
      </c>
      <c r="P719" s="233"/>
    </row>
    <row r="720" spans="1:16" s="1" customFormat="1">
      <c r="A720" t="s">
        <v>933</v>
      </c>
      <c r="B720" t="s">
        <v>251</v>
      </c>
      <c r="C720" s="5" t="s">
        <v>1539</v>
      </c>
      <c r="D720" t="s">
        <v>21</v>
      </c>
      <c r="E720" s="70">
        <f>IF(B720="","",INDEX(Ingredients!$I$1:$I$5013,(MATCH(InterventionCosts!B720,Ingredients!$A$1:$A$5013,0))))</f>
        <v>1.0227713593614072</v>
      </c>
      <c r="F720" s="5" t="str">
        <f>INDEX(Ingredients!J$1:J$265,(MATCH(InterventionCosts!B720,Ingredients!A$1:A$265,0)))</f>
        <v>per 1</v>
      </c>
      <c r="G720">
        <f>IF(B720="","",INDEX(Ingredients!$E$1:$E$238,(MATCH(InterventionCosts!B720,Ingredients!A$1:A$238,0))))</f>
        <v>2016</v>
      </c>
      <c r="H720" t="str">
        <f>INDEX(Ingredients!$F$1:$F$318,(MATCH(InterventionCosts!B720,Ingredients!A$1:A$318,0)))</f>
        <v>https://doi.org/10.1038/s41598-019-49109-w</v>
      </c>
      <c r="I720">
        <f>1</f>
        <v>1</v>
      </c>
      <c r="J720" t="s">
        <v>1474</v>
      </c>
      <c r="K720" s="85">
        <f t="shared" si="30"/>
        <v>1.0227713593614072</v>
      </c>
      <c r="L720" s="85" t="s">
        <v>268</v>
      </c>
      <c r="P720" s="233"/>
    </row>
    <row r="721" spans="1:16" s="1" customFormat="1">
      <c r="A721" t="s">
        <v>933</v>
      </c>
      <c r="B721" t="s">
        <v>43</v>
      </c>
      <c r="C721" s="5" t="s">
        <v>1539</v>
      </c>
      <c r="D721" t="s">
        <v>21</v>
      </c>
      <c r="E721" s="70">
        <f>IF(B721="","",INDEX(Ingredients!$I$1:$I$5013,(MATCH(InterventionCosts!B721,Ingredients!$A$1:$A$5013,0))))</f>
        <v>0.61939459752201187</v>
      </c>
      <c r="F721" s="5" t="str">
        <f>INDEX(Ingredients!J$1:J$265,(MATCH(InterventionCosts!B721,Ingredients!A$1:A$265,0)))</f>
        <v>per condom</v>
      </c>
      <c r="G721">
        <f>IF(B721="","",INDEX(Ingredients!$E$1:$E$238,(MATCH(InterventionCosts!B721,Ingredients!A$1:A$238,0))))</f>
        <v>2024</v>
      </c>
      <c r="H721" t="str">
        <f>INDEX(Ingredients!$F$1:$F$318,(MATCH(InterventionCosts!B721,Ingredients!A$1:A$318,0)))</f>
        <v>https://www.treasury.gov.za/divisions/ocpo/ostb/contracts/RT75-2021.zip</v>
      </c>
      <c r="I721">
        <f>10</f>
        <v>10</v>
      </c>
      <c r="J721" t="s">
        <v>1474</v>
      </c>
      <c r="K721" s="85">
        <f t="shared" si="30"/>
        <v>6.1939459752201191</v>
      </c>
      <c r="L721" s="85" t="s">
        <v>268</v>
      </c>
      <c r="P721" s="233"/>
    </row>
    <row r="722" spans="1:16" s="89" customFormat="1">
      <c r="A722" s="4" t="s">
        <v>933</v>
      </c>
      <c r="F722" s="89" t="s">
        <v>1164</v>
      </c>
      <c r="G722" s="89" t="str">
        <f>IF(B722="","",INDEX(Ingredients!$E$1:$E$238,(MATCH(InterventionCosts!B722,Ingredients!A$1:A$238,0))))</f>
        <v/>
      </c>
      <c r="K722" s="90"/>
      <c r="L722" s="90">
        <f>SUM(K691:K721)</f>
        <v>176.83590278623336</v>
      </c>
    </row>
    <row r="723" spans="1:16" s="89" customFormat="1">
      <c r="A723" s="4" t="s">
        <v>933</v>
      </c>
      <c r="F723" s="89" t="s">
        <v>117</v>
      </c>
      <c r="G723" s="89" t="str">
        <f>IF(B723="","",INDEX(Ingredients!$E$1:$E$238,(MATCH(InterventionCosts!B723,Ingredients!A$1:A$238,0))))</f>
        <v/>
      </c>
      <c r="K723" s="90"/>
      <c r="L723" s="90" t="s">
        <v>936</v>
      </c>
    </row>
    <row r="724" spans="1:16" s="1" customFormat="1">
      <c r="A724"/>
      <c r="B724"/>
      <c r="K724" s="87"/>
      <c r="L724" s="87"/>
      <c r="P724" s="233"/>
    </row>
    <row r="725" spans="1:16" s="89" customFormat="1">
      <c r="A725" s="4" t="s">
        <v>931</v>
      </c>
      <c r="B725" s="89" t="s">
        <v>935</v>
      </c>
      <c r="F725" s="89" t="s">
        <v>1164</v>
      </c>
      <c r="K725" s="90"/>
      <c r="L725" s="90">
        <f>L722*0.04+L688*0.96</f>
        <v>141.12936301108857</v>
      </c>
    </row>
    <row r="726" spans="1:16" s="89" customFormat="1">
      <c r="A726" s="4" t="s">
        <v>931</v>
      </c>
      <c r="F726" s="89" t="s">
        <v>117</v>
      </c>
      <c r="K726" s="90"/>
      <c r="L726" s="90" t="s">
        <v>936</v>
      </c>
    </row>
    <row r="727" spans="1:16" s="1" customFormat="1">
      <c r="A727"/>
      <c r="B727"/>
      <c r="K727" s="87"/>
      <c r="L727" s="87"/>
      <c r="P727" s="233"/>
    </row>
    <row r="728" spans="1:16">
      <c r="A728" t="s">
        <v>445</v>
      </c>
      <c r="B728" s="144" t="s">
        <v>1463</v>
      </c>
      <c r="C728" s="141"/>
      <c r="D728" s="141"/>
      <c r="E728" s="142"/>
      <c r="F728" s="141"/>
      <c r="G728" s="141"/>
      <c r="H728" s="141"/>
      <c r="I728" s="141"/>
      <c r="J728" s="141"/>
      <c r="K728" s="143"/>
    </row>
    <row r="729" spans="1:16">
      <c r="A729" t="s">
        <v>445</v>
      </c>
      <c r="B729" s="136" t="s">
        <v>390</v>
      </c>
    </row>
    <row r="730" spans="1:16">
      <c r="A730" t="s">
        <v>445</v>
      </c>
      <c r="B730" s="137" t="s">
        <v>54</v>
      </c>
      <c r="C730" t="s">
        <v>389</v>
      </c>
      <c r="D730" t="s">
        <v>48</v>
      </c>
      <c r="E730" s="70">
        <f>IF(B730="","",INDEX(Ingredients!$I$1:$I$5013,(MATCH(InterventionCosts!B730,Ingredients!$A$1:$A$5013,0))))</f>
        <v>1.2444366591928251</v>
      </c>
      <c r="F730" s="5" t="str">
        <f>INDEX(Ingredients!J$1:J$265,(MATCH(InterventionCosts!B730,Ingredients!A$1:A$265,0)))</f>
        <v>per minute</v>
      </c>
      <c r="G730">
        <f>IF(B730="","",INDEX(Ingredients!$E$1:$E$238,(MATCH(InterventionCosts!B730,Ingredients!A$1:A$238,0))))</f>
        <v>2024</v>
      </c>
      <c r="H730" t="str">
        <f>INDEX(Ingredients!$F$1:$F$318,(MATCH(InterventionCosts!B730,Ingredients!A$1:A$318,0)))</f>
        <v xml:space="preserve">April 2024 Salary scale </v>
      </c>
      <c r="I730">
        <v>1</v>
      </c>
      <c r="J730" t="s">
        <v>1476</v>
      </c>
      <c r="K730" s="85">
        <f>I730*E730</f>
        <v>1.2444366591928251</v>
      </c>
    </row>
    <row r="731" spans="1:16">
      <c r="A731" t="s">
        <v>445</v>
      </c>
      <c r="B731" s="137" t="s">
        <v>246</v>
      </c>
      <c r="C731" t="s">
        <v>389</v>
      </c>
      <c r="D731" s="5" t="s">
        <v>21</v>
      </c>
      <c r="E731" s="70">
        <f>IF(B731="","",INDEX(Ingredients!$I$1:$I$5013,(MATCH(InterventionCosts!B731,Ingredients!$A$1:$A$5013,0))))</f>
        <v>0.16400000000000001</v>
      </c>
      <c r="F731" s="5" t="str">
        <f>INDEX(Ingredients!J$1:J$265,(MATCH(InterventionCosts!B731,Ingredients!A$1:A$265,0)))</f>
        <v>per page</v>
      </c>
      <c r="G731">
        <f>IF(B731="","",INDEX(Ingredients!$E$1:$E$238,(MATCH(InterventionCosts!B731,Ingredients!A$1:A$238,0))))</f>
        <v>2024</v>
      </c>
      <c r="H731" t="str">
        <f>INDEX(Ingredients!$F$1:$F$318,(MATCH(InterventionCosts!B731,Ingredients!A$1:A$318,0)))</f>
        <v>https://www.makro.co.za/stationery-office-furniture/paper-filing/paper/white-paper/copy-paper/typek-a4-office-paper-80-gsm/p/000000000000012434_BOX</v>
      </c>
      <c r="I731">
        <f>1</f>
        <v>1</v>
      </c>
      <c r="J731" t="s">
        <v>1476</v>
      </c>
      <c r="K731" s="85">
        <f>I731*E731</f>
        <v>0.16400000000000001</v>
      </c>
      <c r="L731" s="85" t="s">
        <v>1509</v>
      </c>
    </row>
    <row r="732" spans="1:16">
      <c r="A732" t="s">
        <v>445</v>
      </c>
      <c r="B732" s="136" t="s">
        <v>391</v>
      </c>
      <c r="F732" s="3" t="s">
        <v>442</v>
      </c>
      <c r="I732" s="3">
        <v>0.113675</v>
      </c>
      <c r="J732" s="3" t="s">
        <v>443</v>
      </c>
    </row>
    <row r="733" spans="1:16">
      <c r="A733" t="s">
        <v>445</v>
      </c>
      <c r="B733" s="137" t="s">
        <v>79</v>
      </c>
      <c r="C733" t="s">
        <v>389</v>
      </c>
      <c r="D733" s="5" t="s">
        <v>21</v>
      </c>
      <c r="E733" s="70">
        <f>IF(B733="","",INDEX(Ingredients!$I$1:$I$5013,(MATCH(InterventionCosts!B733,Ingredients!$A$1:$A$5013,0))))</f>
        <v>9.3000000000000007</v>
      </c>
      <c r="F733" s="5" t="str">
        <f>INDEX(Ingredients!J$1:J$265,(MATCH(InterventionCosts!B733,Ingredients!A$1:A$265,0)))</f>
        <v>per test</v>
      </c>
      <c r="G733">
        <f>IF(B733="","",INDEX(Ingredients!$E$1:$E$238,(MATCH(InterventionCosts!B733,Ingredients!A$1:A$238,0))))</f>
        <v>2024</v>
      </c>
      <c r="H733" t="str">
        <f>INDEX(Ingredients!$F$1:$F$318,(MATCH(InterventionCosts!B733,Ingredients!A$1:A$318,0)))</f>
        <v>https://www.treasury.gov.za/divisions/ocpo/ostb/contracts/RT41-2020.zip</v>
      </c>
      <c r="I733" s="134">
        <f>1/(1-I732)</f>
        <v>1.1282543085211407</v>
      </c>
      <c r="J733" s="133" t="s">
        <v>394</v>
      </c>
      <c r="K733" s="85">
        <f>I733*E733</f>
        <v>10.492765069246609</v>
      </c>
      <c r="L733"/>
    </row>
    <row r="734" spans="1:16">
      <c r="A734" t="s">
        <v>445</v>
      </c>
      <c r="B734" s="137" t="s">
        <v>54</v>
      </c>
      <c r="C734" t="s">
        <v>389</v>
      </c>
      <c r="D734" t="s">
        <v>48</v>
      </c>
      <c r="E734" s="70">
        <f>IF(B734="","",INDEX(Ingredients!$I$1:$I$5013,(MATCH(InterventionCosts!B734,Ingredients!$A$1:$A$5013,0))))</f>
        <v>1.2444366591928251</v>
      </c>
      <c r="F734" s="5" t="str">
        <f>INDEX(Ingredients!J$1:J$265,(MATCH(InterventionCosts!B734,Ingredients!A$1:A$265,0)))</f>
        <v>per minute</v>
      </c>
      <c r="G734">
        <f>IF(B734="","",INDEX(Ingredients!$E$1:$E$238,(MATCH(InterventionCosts!B734,Ingredients!A$1:A$238,0))))</f>
        <v>2024</v>
      </c>
      <c r="H734" t="str">
        <f>INDEX(Ingredients!$F$1:$F$318,(MATCH(InterventionCosts!B734,Ingredients!A$1:A$318,0)))</f>
        <v xml:space="preserve">April 2024 Salary scale </v>
      </c>
      <c r="I734" s="134">
        <f>15+1/(1-I732)</f>
        <v>16.128254308521139</v>
      </c>
      <c r="J734" s="133" t="s">
        <v>395</v>
      </c>
      <c r="K734" s="85">
        <f>I734*E734</f>
        <v>20.070590910308333</v>
      </c>
      <c r="L734"/>
    </row>
    <row r="735" spans="1:16">
      <c r="A735" t="s">
        <v>445</v>
      </c>
      <c r="B735" s="137" t="s">
        <v>1489</v>
      </c>
      <c r="C735" t="s">
        <v>389</v>
      </c>
      <c r="D735" s="5" t="s">
        <v>21</v>
      </c>
      <c r="E735" s="70">
        <f>IF(B735="","",INDEX(Ingredients!$I$1:$I$5013,(MATCH(InterventionCosts!B735,Ingredients!$A$1:$A$5013,0))))</f>
        <v>53.08</v>
      </c>
      <c r="F735" s="5" t="str">
        <f>INDEX(Ingredients!J$1:J$265,(MATCH(InterventionCosts!B735,Ingredients!A$1:A$265,0)))</f>
        <v>per pack 100, 50 pairs</v>
      </c>
      <c r="G735">
        <f>IF(B735="","",INDEX(Ingredients!$E$1:$E$238,(MATCH(InterventionCosts!B735,Ingredients!A$1:A$238,0))))</f>
        <v>2024</v>
      </c>
      <c r="H735" t="str">
        <f>INDEX(Ingredients!$F$1:$F$318,(MATCH(InterventionCosts!B735,Ingredients!A$1:A$318,0)))</f>
        <v>https://www.treasury.gov.za/divisions/ocpo/ostb/contracts/RT76-2023%20CPA%20Amendment%204-%20Effective%2001%20May%202024.pdf</v>
      </c>
      <c r="I735" s="134">
        <f>2/100*(1/(1-I732))</f>
        <v>2.2565086170422816E-2</v>
      </c>
      <c r="J735" s="133" t="s">
        <v>394</v>
      </c>
      <c r="K735" s="85">
        <f>I735*E735</f>
        <v>1.197754773926043</v>
      </c>
      <c r="L735"/>
    </row>
    <row r="736" spans="1:16">
      <c r="A736" t="s">
        <v>445</v>
      </c>
      <c r="B736" s="137" t="s">
        <v>31</v>
      </c>
      <c r="C736" t="s">
        <v>389</v>
      </c>
      <c r="D736" s="5" t="s">
        <v>21</v>
      </c>
      <c r="E736" s="70">
        <f>IF(B736="","",INDEX(Ingredients!$I$1:$I$5013,(MATCH(InterventionCosts!B736,Ingredients!$A$1:$A$5013,0))))</f>
        <v>31.4</v>
      </c>
      <c r="F736" s="5" t="str">
        <f>INDEX(Ingredients!J$1:J$265,(MATCH(InterventionCosts!B736,Ingredients!A$1:A$265,0)))</f>
        <v>per 100 swabs</v>
      </c>
      <c r="G736">
        <f>IF(B736="","",INDEX(Ingredients!$E$1:$E$238,(MATCH(InterventionCosts!B736,Ingredients!A$1:A$238,0))))</f>
        <v>2024</v>
      </c>
      <c r="H736" t="str">
        <f>INDEX(Ingredients!$F$1:$F$318,(MATCH(InterventionCosts!B736,Ingredients!A$1:A$318,0)))</f>
        <v xml:space="preserve">http://www.treasury.gov.za/divisions/ocpo/ostb/contracts/RT42-2022zip </v>
      </c>
      <c r="I736" s="134">
        <f>1/100*(1/(1-I732))</f>
        <v>1.1282543085211408E-2</v>
      </c>
      <c r="J736" s="133" t="s">
        <v>394</v>
      </c>
      <c r="K736" s="85">
        <f>I736*E736</f>
        <v>0.35427185287563823</v>
      </c>
      <c r="L736"/>
    </row>
    <row r="737" spans="1:12">
      <c r="A737" t="s">
        <v>445</v>
      </c>
      <c r="B737" s="136" t="s">
        <v>392</v>
      </c>
      <c r="E737" s="70"/>
      <c r="F737" s="5"/>
    </row>
    <row r="738" spans="1:12">
      <c r="A738" t="s">
        <v>445</v>
      </c>
      <c r="B738" s="137" t="s">
        <v>79</v>
      </c>
      <c r="C738" t="s">
        <v>389</v>
      </c>
      <c r="D738" s="5" t="s">
        <v>21</v>
      </c>
      <c r="E738" s="70">
        <f>IF(B738="","",INDEX(Ingredients!$I$1:$I$5013,(MATCH(InterventionCosts!B738,Ingredients!$A$1:$A$5013,0))))</f>
        <v>9.3000000000000007</v>
      </c>
      <c r="F738" s="5" t="str">
        <f>INDEX(Ingredients!J$1:J$265,(MATCH(InterventionCosts!B738,Ingredients!A$1:A$265,0)))</f>
        <v>per test</v>
      </c>
      <c r="G738">
        <f>IF(B738="","",INDEX(Ingredients!$E$1:$E$238,(MATCH(InterventionCosts!B738,Ingredients!A$1:A$238,0))))</f>
        <v>2024</v>
      </c>
      <c r="H738" t="str">
        <f>INDEX(Ingredients!$F$1:$F$318,(MATCH(InterventionCosts!B738,Ingredients!A$1:A$318,0)))</f>
        <v>https://www.treasury.gov.za/divisions/ocpo/ostb/contracts/RT41-2020.zip</v>
      </c>
      <c r="I738" s="134">
        <f>I732</f>
        <v>0.113675</v>
      </c>
      <c r="J738" s="85" t="s">
        <v>396</v>
      </c>
      <c r="K738" s="85">
        <f>I738*E738</f>
        <v>1.0571775000000001</v>
      </c>
      <c r="L738"/>
    </row>
    <row r="739" spans="1:12">
      <c r="A739" t="s">
        <v>445</v>
      </c>
      <c r="B739" s="137" t="s">
        <v>54</v>
      </c>
      <c r="C739" t="s">
        <v>389</v>
      </c>
      <c r="D739" t="s">
        <v>48</v>
      </c>
      <c r="E739" s="70">
        <f>IF(B739="","",INDEX(Ingredients!$I$1:$I$5013,(MATCH(InterventionCosts!B739,Ingredients!$A$1:$A$5013,0))))</f>
        <v>1.2444366591928251</v>
      </c>
      <c r="F739" s="5" t="str">
        <f>INDEX(Ingredients!J$1:J$265,(MATCH(InterventionCosts!B739,Ingredients!A$1:A$265,0)))</f>
        <v>per minute</v>
      </c>
      <c r="G739">
        <f>IF(B739="","",INDEX(Ingredients!$E$1:$E$238,(MATCH(InterventionCosts!B739,Ingredients!A$1:A$238,0))))</f>
        <v>2024</v>
      </c>
      <c r="H739" t="str">
        <f>INDEX(Ingredients!$F$1:$F$318,(MATCH(InterventionCosts!B739,Ingredients!A$1:A$318,0)))</f>
        <v xml:space="preserve">April 2024 Salary scale </v>
      </c>
      <c r="I739" s="134">
        <f>(15+1/(1-I732))*I732</f>
        <v>1.8333793085211405</v>
      </c>
      <c r="J739" s="133" t="s">
        <v>395</v>
      </c>
      <c r="K739" s="85">
        <f>I739*E739</f>
        <v>2.2815244217293</v>
      </c>
      <c r="L739"/>
    </row>
    <row r="740" spans="1:12">
      <c r="A740" t="s">
        <v>445</v>
      </c>
      <c r="B740" s="137" t="s">
        <v>1489</v>
      </c>
      <c r="C740" t="s">
        <v>389</v>
      </c>
      <c r="D740" s="5" t="s">
        <v>21</v>
      </c>
      <c r="E740" s="70">
        <f>IF(B740="","",INDEX(Ingredients!$I$1:$I$5013,(MATCH(InterventionCosts!B740,Ingredients!$A$1:$A$5013,0))))</f>
        <v>53.08</v>
      </c>
      <c r="F740" s="5" t="str">
        <f>INDEX(Ingredients!J$1:J$265,(MATCH(InterventionCosts!B740,Ingredients!A$1:A$265,0)))</f>
        <v>per pack 100, 50 pairs</v>
      </c>
      <c r="G740">
        <f>IF(B740="","",INDEX(Ingredients!$E$1:$E$238,(MATCH(InterventionCosts!B740,Ingredients!A$1:A$238,0))))</f>
        <v>2024</v>
      </c>
      <c r="H740" t="str">
        <f>INDEX(Ingredients!$F$1:$F$318,(MATCH(InterventionCosts!B740,Ingredients!A$1:A$318,0)))</f>
        <v>https://www.treasury.gov.za/divisions/ocpo/ostb/contracts/RT76-2023%20CPA%20Amendment%204-%20Effective%2001%20May%202024.pdf</v>
      </c>
      <c r="I740">
        <f>2/100*I732</f>
        <v>2.2734999999999999E-3</v>
      </c>
      <c r="J740" s="133" t="s">
        <v>1478</v>
      </c>
      <c r="K740" s="85">
        <f>I740*E740</f>
        <v>0.12067737999999999</v>
      </c>
      <c r="L740"/>
    </row>
    <row r="741" spans="1:12">
      <c r="A741" t="s">
        <v>445</v>
      </c>
      <c r="B741" s="137" t="s">
        <v>31</v>
      </c>
      <c r="C741" t="s">
        <v>389</v>
      </c>
      <c r="D741" s="5" t="s">
        <v>21</v>
      </c>
      <c r="E741" s="70">
        <f>IF(B741="","",INDEX(Ingredients!$I$1:$I$5013,(MATCH(InterventionCosts!B741,Ingredients!$A$1:$A$5013,0))))</f>
        <v>31.4</v>
      </c>
      <c r="F741" s="5" t="str">
        <f>INDEX(Ingredients!J$1:J$265,(MATCH(InterventionCosts!B741,Ingredients!A$1:A$265,0)))</f>
        <v>per 100 swabs</v>
      </c>
      <c r="G741">
        <f>IF(B741="","",INDEX(Ingredients!$E$1:$E$238,(MATCH(InterventionCosts!B741,Ingredients!A$1:A$238,0))))</f>
        <v>2024</v>
      </c>
      <c r="H741" t="str">
        <f>INDEX(Ingredients!$F$1:$F$318,(MATCH(InterventionCosts!B741,Ingredients!A$1:A$318,0)))</f>
        <v xml:space="preserve">http://www.treasury.gov.za/divisions/ocpo/ostb/contracts/RT42-2022zip </v>
      </c>
      <c r="I741">
        <f>1/100*I732</f>
        <v>1.13675E-3</v>
      </c>
      <c r="J741" s="133" t="s">
        <v>1477</v>
      </c>
      <c r="K741" s="85">
        <f>I741*E741</f>
        <v>3.5693949999999995E-2</v>
      </c>
      <c r="L741"/>
    </row>
    <row r="742" spans="1:12">
      <c r="A742" t="s">
        <v>445</v>
      </c>
      <c r="B742" s="136" t="s">
        <v>393</v>
      </c>
      <c r="F742" s="5"/>
    </row>
    <row r="743" spans="1:12">
      <c r="A743" t="s">
        <v>445</v>
      </c>
      <c r="B743" s="137" t="s">
        <v>77</v>
      </c>
      <c r="C743" t="s">
        <v>389</v>
      </c>
      <c r="D743" t="s">
        <v>75</v>
      </c>
      <c r="E743" s="70">
        <f>IF(B743="","",INDEX(Ingredients!$I$1:$I$5013,(MATCH(InterventionCosts!B743,Ingredients!$A$1:$A$5013,0))))</f>
        <v>71.889951748999991</v>
      </c>
      <c r="F743" s="5" t="str">
        <f>INDEX(Ingredients!J$1:J$265,(MATCH(InterventionCosts!B743,Ingredients!A$1:A$265,0)))</f>
        <v>per test</v>
      </c>
      <c r="G743">
        <f>IF(B743="","",INDEX(Ingredients!$E$1:$E$238,(MATCH(InterventionCosts!B743,Ingredients!A$1:A$238,0))))</f>
        <v>2021</v>
      </c>
      <c r="H743" t="str">
        <f>INDEX(Ingredients!$F$1:$F$318,(MATCH(InterventionCosts!B743,Ingredients!A$1:A$318,0)))</f>
        <v>NHLS 2021 price-list</v>
      </c>
      <c r="I743">
        <v>0.02</v>
      </c>
      <c r="J743" s="85" t="s">
        <v>397</v>
      </c>
      <c r="K743" s="85">
        <f>I743*E743</f>
        <v>1.4377990349799998</v>
      </c>
    </row>
    <row r="744" spans="1:12">
      <c r="A744" t="s">
        <v>445</v>
      </c>
      <c r="B744" s="137" t="s">
        <v>54</v>
      </c>
      <c r="C744" t="s">
        <v>389</v>
      </c>
      <c r="D744" t="s">
        <v>48</v>
      </c>
      <c r="E744" s="70">
        <f>IF(B744="","",INDEX(Ingredients!$I$1:$I$5013,(MATCH(InterventionCosts!B744,Ingredients!$A$1:$A$5013,0))))</f>
        <v>1.2444366591928251</v>
      </c>
      <c r="F744" s="5" t="str">
        <f>INDEX(Ingredients!J$1:J$265,(MATCH(InterventionCosts!B744,Ingredients!A$1:A$265,0)))</f>
        <v>per minute</v>
      </c>
      <c r="G744">
        <f>IF(B744="","",INDEX(Ingredients!$E$1:$E$238,(MATCH(InterventionCosts!B744,Ingredients!A$1:A$238,0))))</f>
        <v>2024</v>
      </c>
      <c r="H744" t="str">
        <f>INDEX(Ingredients!$F$1:$F$318,(MATCH(InterventionCosts!B744,Ingredients!A$1:A$318,0)))</f>
        <v xml:space="preserve">April 2024 Salary scale </v>
      </c>
      <c r="I744">
        <f>15*0.02</f>
        <v>0.3</v>
      </c>
      <c r="J744" s="133" t="s">
        <v>395</v>
      </c>
      <c r="K744" s="85">
        <f>I744*E744</f>
        <v>0.3733309977578475</v>
      </c>
    </row>
    <row r="745" spans="1:12">
      <c r="A745" t="s">
        <v>445</v>
      </c>
      <c r="B745" s="137" t="s">
        <v>1489</v>
      </c>
      <c r="C745" t="s">
        <v>389</v>
      </c>
      <c r="D745" s="5" t="s">
        <v>21</v>
      </c>
      <c r="E745" s="70">
        <f>IF(B745="","",INDEX(Ingredients!$I$1:$I$5013,(MATCH(InterventionCosts!B745,Ingredients!$A$1:$A$5013,0))))</f>
        <v>53.08</v>
      </c>
      <c r="F745" s="5" t="str">
        <f>INDEX(Ingredients!J$1:J$265,(MATCH(InterventionCosts!B745,Ingredients!A$1:A$265,0)))</f>
        <v>per pack 100, 50 pairs</v>
      </c>
      <c r="G745">
        <f>IF(B745="","",INDEX(Ingredients!$E$1:$E$238,(MATCH(InterventionCosts!B745,Ingredients!A$1:A$238,0))))</f>
        <v>2024</v>
      </c>
      <c r="H745" t="str">
        <f>INDEX(Ingredients!$F$1:$F$318,(MATCH(InterventionCosts!B745,Ingredients!A$1:A$318,0)))</f>
        <v>https://www.treasury.gov.za/divisions/ocpo/ostb/contracts/RT76-2023%20CPA%20Amendment%204-%20Effective%2001%20May%202024.pdf</v>
      </c>
      <c r="I745">
        <f>2/100*0.02</f>
        <v>4.0000000000000002E-4</v>
      </c>
      <c r="J745" t="s">
        <v>1476</v>
      </c>
      <c r="K745" s="85">
        <f>I745*E745</f>
        <v>2.1232000000000001E-2</v>
      </c>
    </row>
    <row r="746" spans="1:12">
      <c r="A746" t="s">
        <v>445</v>
      </c>
      <c r="B746" s="137" t="s">
        <v>45</v>
      </c>
      <c r="C746" t="s">
        <v>389</v>
      </c>
      <c r="D746" s="5" t="s">
        <v>21</v>
      </c>
      <c r="E746" s="70">
        <f>IF(B746="","",INDEX(Ingredients!$I$1:$I$5013,(MATCH(InterventionCosts!B746,Ingredients!$A$1:$A$5013,0))))</f>
        <v>46</v>
      </c>
      <c r="F746" s="5" t="str">
        <f>INDEX(Ingredients!J$1:J$265,(MATCH(InterventionCosts!B746,Ingredients!A$1:A$265,0)))</f>
        <v>per pack 100</v>
      </c>
      <c r="G746">
        <f>IF(B746="","",INDEX(Ingredients!$E$1:$E$238,(MATCH(InterventionCosts!B746,Ingredients!A$1:A$238,0))))</f>
        <v>2024</v>
      </c>
      <c r="H746" t="str">
        <f>INDEX(Ingredients!$F$1:$F$318,(MATCH(InterventionCosts!B746,Ingredients!A$1:A$318,0)))</f>
        <v>https://www.treasury.gov.za/divisions/ocpo/ostb/contracts/RT284-2023.zip</v>
      </c>
      <c r="I746">
        <f>1/100*0.02</f>
        <v>2.0000000000000001E-4</v>
      </c>
      <c r="J746" t="s">
        <v>1476</v>
      </c>
      <c r="K746" s="135">
        <f>I746*E746</f>
        <v>9.1999999999999998E-3</v>
      </c>
    </row>
    <row r="747" spans="1:12">
      <c r="A747" t="s">
        <v>445</v>
      </c>
      <c r="B747" s="137" t="s">
        <v>31</v>
      </c>
      <c r="C747" t="s">
        <v>389</v>
      </c>
      <c r="D747" s="5" t="s">
        <v>21</v>
      </c>
      <c r="E747" s="70">
        <f>IF(B747="","",INDEX(Ingredients!$I$1:$I$5013,(MATCH(InterventionCosts!B747,Ingredients!$A$1:$A$5013,0))))</f>
        <v>31.4</v>
      </c>
      <c r="F747" s="5" t="str">
        <f>INDEX(Ingredients!J$1:J$265,(MATCH(InterventionCosts!B747,Ingredients!A$1:A$265,0)))</f>
        <v>per 100 swabs</v>
      </c>
      <c r="G747">
        <f>IF(B747="","",INDEX(Ingredients!$E$1:$E$238,(MATCH(InterventionCosts!B747,Ingredients!A$1:A$238,0))))</f>
        <v>2024</v>
      </c>
      <c r="H747" t="str">
        <f>INDEX(Ingredients!$F$1:$F$318,(MATCH(InterventionCosts!B747,Ingredients!A$1:A$318,0)))</f>
        <v xml:space="preserve">http://www.treasury.gov.za/divisions/ocpo/ostb/contracts/RT42-2022zip </v>
      </c>
      <c r="I747">
        <f>1/100*0.02</f>
        <v>2.0000000000000001E-4</v>
      </c>
      <c r="J747" t="s">
        <v>1476</v>
      </c>
      <c r="K747" s="135">
        <f>I747*E747</f>
        <v>6.28E-3</v>
      </c>
    </row>
    <row r="748" spans="1:12">
      <c r="A748" t="s">
        <v>445</v>
      </c>
      <c r="B748" s="136" t="s">
        <v>398</v>
      </c>
    </row>
    <row r="749" spans="1:12">
      <c r="A749" t="s">
        <v>445</v>
      </c>
      <c r="B749" s="137" t="s">
        <v>354</v>
      </c>
      <c r="C749" t="s">
        <v>389</v>
      </c>
      <c r="D749" t="s">
        <v>48</v>
      </c>
      <c r="E749" s="70">
        <f>IF(B749="","",INDEX(Ingredients!$I$1:$I$5013,(MATCH(InterventionCosts!B749,Ingredients!$A$1:$A$5013,0))))</f>
        <v>4.8996605630293981</v>
      </c>
      <c r="F749" s="5" t="str">
        <f>INDEX(Ingredients!J$1:J$265,(MATCH(InterventionCosts!B749,Ingredients!A$1:A$265,0)))</f>
        <v>per minute</v>
      </c>
      <c r="G749">
        <f>IF(B749="","",INDEX(Ingredients!$E$1:$E$238,(MATCH(InterventionCosts!B749,Ingredients!A$1:A$238,0))))</f>
        <v>2024</v>
      </c>
      <c r="H749" t="str">
        <f>INDEX(Ingredients!$F$1:$F$318,(MATCH(InterventionCosts!B749,Ingredients!A$1:A$318,0)))</f>
        <v xml:space="preserve">April 2024 Salary scale </v>
      </c>
      <c r="I749">
        <v>15</v>
      </c>
      <c r="J749" s="133" t="s">
        <v>395</v>
      </c>
      <c r="K749" s="85">
        <f>I749*E749</f>
        <v>73.49490844544097</v>
      </c>
    </row>
    <row r="750" spans="1:12">
      <c r="A750" t="s">
        <v>445</v>
      </c>
      <c r="B750" s="137" t="s">
        <v>399</v>
      </c>
      <c r="C750" t="s">
        <v>389</v>
      </c>
      <c r="D750" t="s">
        <v>75</v>
      </c>
      <c r="E750" s="70">
        <f>IF(B750="","",INDEX(Ingredients!$I$1:$I$5013,(MATCH(InterventionCosts!B750,Ingredients!$A$1:$A$5013,0))))</f>
        <v>164.00940154829999</v>
      </c>
      <c r="F750" s="5" t="str">
        <f>INDEX(Ingredients!J$1:J$265,(MATCH(InterventionCosts!B750,Ingredients!A$1:A$265,0)))</f>
        <v>per test</v>
      </c>
      <c r="G750">
        <f>IF(B750="","",INDEX(Ingredients!$E$1:$E$238,(MATCH(InterventionCosts!B750,Ingredients!A$1:A$238,0))))</f>
        <v>2021</v>
      </c>
      <c r="H750" t="str">
        <f>INDEX(Ingredients!$F$1:$F$318,(MATCH(InterventionCosts!B750,Ingredients!A$1:A$318,0)))</f>
        <v>NHLS 2021 price-list</v>
      </c>
      <c r="I750">
        <v>1</v>
      </c>
      <c r="J750" t="s">
        <v>1476</v>
      </c>
      <c r="K750" s="85">
        <f>I750*E750</f>
        <v>164.00940154829999</v>
      </c>
    </row>
    <row r="751" spans="1:12" ht="16">
      <c r="A751" t="s">
        <v>445</v>
      </c>
      <c r="B751" s="137" t="s">
        <v>400</v>
      </c>
      <c r="C751" t="s">
        <v>389</v>
      </c>
      <c r="D751" t="s">
        <v>75</v>
      </c>
      <c r="E751" s="70">
        <f>IF(B751="","",INDEX(Ingredients!$I$1:$I$5013,(MATCH(InterventionCosts!B751,Ingredients!$A$1:$A$5013,0))))</f>
        <v>59.183820742199998</v>
      </c>
      <c r="F751" s="5" t="str">
        <f>INDEX(Ingredients!J$1:J$265,(MATCH(InterventionCosts!B751,Ingredients!A$1:A$265,0)))</f>
        <v>per test</v>
      </c>
      <c r="G751">
        <f>IF(B751="","",INDEX(Ingredients!$E$1:$E$238,(MATCH(InterventionCosts!B751,Ingredients!A$1:A$238,0))))</f>
        <v>2021</v>
      </c>
      <c r="H751" t="str">
        <f>INDEX(Ingredients!$F$1:$F$318,(MATCH(InterventionCosts!B751,Ingredients!A$1:A$318,0)))</f>
        <v>NHLS 2021 price-list</v>
      </c>
      <c r="I751">
        <v>3.5999999999999997E-2</v>
      </c>
      <c r="J751" t="s">
        <v>403</v>
      </c>
      <c r="K751" s="85">
        <f>I751*E751</f>
        <v>2.1306175467191997</v>
      </c>
      <c r="L751" s="151" t="s">
        <v>404</v>
      </c>
    </row>
    <row r="752" spans="1:12">
      <c r="A752" t="s">
        <v>445</v>
      </c>
      <c r="B752" s="137" t="s">
        <v>401</v>
      </c>
      <c r="C752" t="s">
        <v>389</v>
      </c>
      <c r="D752" s="5" t="s">
        <v>21</v>
      </c>
      <c r="E752" s="70">
        <f>IF(B752="","",INDEX(Ingredients!$I$1:$I$5013,(MATCH(InterventionCosts!B752,Ingredients!$A$1:$A$5013,0))))</f>
        <v>4.8734277524838099</v>
      </c>
      <c r="F752" s="5" t="str">
        <f>INDEX(Ingredients!J$1:J$265,(MATCH(InterventionCosts!B752,Ingredients!A$1:A$265,0)))</f>
        <v>per test</v>
      </c>
      <c r="G752">
        <f>IF(B752="","",INDEX(Ingredients!$E$1:$E$238,(MATCH(InterventionCosts!B752,Ingredients!A$1:A$238,0))))</f>
        <v>2019</v>
      </c>
      <c r="H752" t="str">
        <f>INDEX(Ingredients!$F$1:$F$318,(MATCH(InterventionCosts!B752,Ingredients!A$1:A$318,0)))</f>
        <v>Kendon Medical Supplies Pty Ltd, quote (19 Aug 2019)</v>
      </c>
      <c r="I752">
        <v>1</v>
      </c>
      <c r="J752" t="s">
        <v>1476</v>
      </c>
      <c r="K752" s="85">
        <f>I752*E752</f>
        <v>4.8734277524838099</v>
      </c>
    </row>
    <row r="753" spans="1:13">
      <c r="A753" t="s">
        <v>445</v>
      </c>
      <c r="B753" s="136" t="s">
        <v>405</v>
      </c>
    </row>
    <row r="754" spans="1:13">
      <c r="A754" t="s">
        <v>445</v>
      </c>
      <c r="B754" s="137" t="s">
        <v>54</v>
      </c>
      <c r="C754" t="s">
        <v>389</v>
      </c>
      <c r="D754" t="s">
        <v>48</v>
      </c>
      <c r="E754" s="70">
        <f>IF(B754="","",INDEX(Ingredients!$I$1:$I$5013,(MATCH(InterventionCosts!B754,Ingredients!$A$1:$A$5013,0))))</f>
        <v>1.2444366591928251</v>
      </c>
      <c r="F754" s="5" t="str">
        <f>INDEX(Ingredients!J$1:J$265,(MATCH(InterventionCosts!B754,Ingredients!A$1:A$265,0)))</f>
        <v>per minute</v>
      </c>
      <c r="G754">
        <f>IF(B754="","",INDEX(Ingredients!$E$1:$E$238,(MATCH(InterventionCosts!B754,Ingredients!A$1:A$238,0))))</f>
        <v>2024</v>
      </c>
      <c r="H754" t="str">
        <f>INDEX(Ingredients!$F$1:$F$318,(MATCH(InterventionCosts!B754,Ingredients!A$1:A$318,0)))</f>
        <v xml:space="preserve">April 2024 Salary scale </v>
      </c>
      <c r="I754">
        <v>5</v>
      </c>
      <c r="J754" t="s">
        <v>1476</v>
      </c>
      <c r="K754" s="85">
        <f>I754*E754</f>
        <v>6.2221832959641254</v>
      </c>
    </row>
    <row r="755" spans="1:13">
      <c r="A755" t="s">
        <v>445</v>
      </c>
      <c r="B755" s="139" t="s">
        <v>409</v>
      </c>
      <c r="C755" t="s">
        <v>389</v>
      </c>
      <c r="D755" t="s">
        <v>75</v>
      </c>
      <c r="E755" s="70">
        <f>IF(B755="","",INDEX(Ingredients!$I$1:$I$5013,(MATCH(InterventionCosts!B755,Ingredients!$A$1:$A$5013,0))))</f>
        <v>40.924728346149998</v>
      </c>
      <c r="F755" s="5" t="str">
        <f>INDEX(Ingredients!J$1:J$265,(MATCH(InterventionCosts!B755,Ingredients!A$1:A$265,0)))</f>
        <v>per test</v>
      </c>
      <c r="G755">
        <f>IF(B755="","",INDEX(Ingredients!$E$1:$E$238,(MATCH(InterventionCosts!B755,Ingredients!A$1:A$238,0))))</f>
        <v>2021</v>
      </c>
      <c r="H755" t="str">
        <f>INDEX(Ingredients!$F$1:$F$318,(MATCH(InterventionCosts!B755,Ingredients!A$1:A$318,0)))</f>
        <v>NHLS 2021 price-list</v>
      </c>
      <c r="I755">
        <v>1</v>
      </c>
      <c r="J755" t="s">
        <v>1476</v>
      </c>
      <c r="K755" s="85">
        <f>I755*E755</f>
        <v>40.924728346149998</v>
      </c>
    </row>
    <row r="756" spans="1:13">
      <c r="A756" t="s">
        <v>445</v>
      </c>
      <c r="B756" s="136" t="s">
        <v>411</v>
      </c>
      <c r="E756" s="70"/>
      <c r="F756" s="5"/>
    </row>
    <row r="757" spans="1:13">
      <c r="A757" t="s">
        <v>445</v>
      </c>
      <c r="B757" s="137" t="s">
        <v>410</v>
      </c>
      <c r="C757" t="s">
        <v>389</v>
      </c>
      <c r="D757" t="s">
        <v>70</v>
      </c>
      <c r="E757" s="70">
        <f>IF(B757="","",INDEX(Ingredients!$I$1:$I$5013,(MATCH(InterventionCosts!B757,Ingredients!$A$1:$A$5013,0))))</f>
        <v>64.888000253702032</v>
      </c>
      <c r="F757" s="5" t="str">
        <f>INDEX(Ingredients!J$1:J$265,(MATCH(InterventionCosts!B757,Ingredients!A$1:A$265,0)))</f>
        <v>per drug per month</v>
      </c>
      <c r="G757">
        <f>IF(B757="","",INDEX(Ingredients!$E$1:$E$238,(MATCH(InterventionCosts!B757,Ingredients!A$1:A$238,0))))</f>
        <v>2024</v>
      </c>
      <c r="H757" t="str">
        <f>INDEX(Ingredients!$F$1:$F$318,(MATCH(InterventionCosts!B757,Ingredients!A$1:A$318,0)))</f>
        <v>Master Procurement Circular May 2024</v>
      </c>
      <c r="I757">
        <v>1</v>
      </c>
      <c r="J757" t="s">
        <v>1484</v>
      </c>
      <c r="K757" s="85">
        <f>I757*E757</f>
        <v>64.888000253702032</v>
      </c>
      <c r="M757" s="229"/>
    </row>
    <row r="758" spans="1:13">
      <c r="A758" t="s">
        <v>445</v>
      </c>
      <c r="B758" s="137" t="s">
        <v>354</v>
      </c>
      <c r="C758" t="s">
        <v>389</v>
      </c>
      <c r="D758" t="s">
        <v>48</v>
      </c>
      <c r="E758" s="70">
        <f>IF(B758="","",INDEX(Ingredients!$I$1:$I$5013,(MATCH(InterventionCosts!B758,Ingredients!$A$1:$A$5013,0))))</f>
        <v>4.8996605630293981</v>
      </c>
      <c r="F758" s="5" t="str">
        <f>INDEX(Ingredients!J$1:J$265,(MATCH(InterventionCosts!B758,Ingredients!A$1:A$265,0)))</f>
        <v>per minute</v>
      </c>
      <c r="G758">
        <f>IF(B758="","",INDEX(Ingredients!$E$1:$E$238,(MATCH(InterventionCosts!B758,Ingredients!A$1:A$238,0))))</f>
        <v>2024</v>
      </c>
      <c r="H758" t="str">
        <f>INDEX(Ingredients!$F$1:$F$318,(MATCH(InterventionCosts!B758,Ingredients!A$1:A$318,0)))</f>
        <v xml:space="preserve">April 2024 Salary scale </v>
      </c>
      <c r="I758">
        <v>2</v>
      </c>
      <c r="J758" s="133" t="s">
        <v>395</v>
      </c>
      <c r="K758" s="85">
        <f>I758*E758</f>
        <v>9.7993211260587962</v>
      </c>
    </row>
    <row r="759" spans="1:13">
      <c r="A759" t="s">
        <v>445</v>
      </c>
      <c r="B759" s="137" t="s">
        <v>54</v>
      </c>
      <c r="C759" t="s">
        <v>389</v>
      </c>
      <c r="D759" t="s">
        <v>48</v>
      </c>
      <c r="E759" s="70">
        <f>IF(B759="","",INDEX(Ingredients!$I$1:$I$5013,(MATCH(InterventionCosts!B759,Ingredients!$A$1:$A$5013,0))))</f>
        <v>1.2444366591928251</v>
      </c>
      <c r="F759" s="5" t="str">
        <f>INDEX(Ingredients!J$1:J$265,(MATCH(InterventionCosts!B759,Ingredients!A$1:A$265,0)))</f>
        <v>per minute</v>
      </c>
      <c r="G759">
        <f>IF(B759="","",INDEX(Ingredients!$E$1:$E$238,(MATCH(InterventionCosts!B759,Ingredients!A$1:A$238,0))))</f>
        <v>2024</v>
      </c>
      <c r="H759" t="str">
        <f>INDEX(Ingredients!$F$1:$F$318,(MATCH(InterventionCosts!B759,Ingredients!A$1:A$318,0)))</f>
        <v xml:space="preserve">April 2024 Salary scale </v>
      </c>
      <c r="I759">
        <v>15</v>
      </c>
      <c r="J759" s="133" t="s">
        <v>395</v>
      </c>
      <c r="K759" s="85">
        <f>I759*E759</f>
        <v>18.666549887892376</v>
      </c>
    </row>
    <row r="760" spans="1:13">
      <c r="A760" t="s">
        <v>445</v>
      </c>
      <c r="B760" s="137" t="s">
        <v>43</v>
      </c>
      <c r="C760" t="s">
        <v>389</v>
      </c>
      <c r="D760" s="5" t="s">
        <v>21</v>
      </c>
      <c r="E760" s="70">
        <f>IF(B760="","",INDEX(Ingredients!$I$1:$I$5013,(MATCH(InterventionCosts!B760,Ingredients!$A$1:$A$5013,0))))</f>
        <v>0.61939459752201187</v>
      </c>
      <c r="F760" s="5" t="str">
        <f>INDEX(Ingredients!J$1:J$265,(MATCH(InterventionCosts!B760,Ingredients!A$1:A$265,0)))</f>
        <v>per condom</v>
      </c>
      <c r="G760">
        <f>IF(B760="","",INDEX(Ingredients!$E$1:$E$238,(MATCH(InterventionCosts!B760,Ingredients!A$1:A$238,0))))</f>
        <v>2024</v>
      </c>
      <c r="H760" t="str">
        <f>INDEX(Ingredients!$F$1:$F$318,(MATCH(InterventionCosts!B760,Ingredients!A$1:A$318,0)))</f>
        <v>https://www.treasury.gov.za/divisions/ocpo/ostb/contracts/RT75-2021.zip</v>
      </c>
      <c r="I760">
        <v>6</v>
      </c>
      <c r="J760" t="s">
        <v>1476</v>
      </c>
      <c r="K760" s="85">
        <f>I760*E760</f>
        <v>3.7163675851320712</v>
      </c>
    </row>
    <row r="761" spans="1:13">
      <c r="A761" t="s">
        <v>445</v>
      </c>
      <c r="B761" s="136" t="s">
        <v>408</v>
      </c>
      <c r="C761" t="s">
        <v>389</v>
      </c>
      <c r="D761" t="s">
        <v>75</v>
      </c>
      <c r="E761" s="70">
        <f>IF(B761="","",INDEX(Ingredients!$I$1:$I$5013,(MATCH(InterventionCosts!B761,Ingredients!$A$1:$A$5013,0))))</f>
        <v>39.539473461949996</v>
      </c>
      <c r="F761" s="5" t="str">
        <f>INDEX(Ingredients!J$1:J$265,(MATCH(InterventionCosts!B761,Ingredients!A$1:A$265,0)))</f>
        <v>per test</v>
      </c>
      <c r="G761">
        <f>IF(B761="","",INDEX(Ingredients!$E$1:$E$238,(MATCH(InterventionCosts!B761,Ingredients!A$1:A$238,0))))</f>
        <v>2021</v>
      </c>
      <c r="H761" t="str">
        <f>INDEX(Ingredients!$F$1:$F$318,(MATCH(InterventionCosts!B761,Ingredients!A$1:A$318,0)))</f>
        <v>NHLS 2021 price-list</v>
      </c>
      <c r="I761">
        <v>1</v>
      </c>
      <c r="J761" t="s">
        <v>1476</v>
      </c>
      <c r="K761" s="85">
        <f>I761*E761</f>
        <v>39.539473461949996</v>
      </c>
    </row>
    <row r="762" spans="1:13">
      <c r="A762" t="s">
        <v>445</v>
      </c>
      <c r="B762" s="144" t="s">
        <v>1465</v>
      </c>
      <c r="C762" s="141"/>
      <c r="D762" s="141"/>
      <c r="E762" s="142"/>
      <c r="F762" s="141"/>
      <c r="G762" s="141"/>
      <c r="H762" s="141"/>
      <c r="I762" s="141"/>
      <c r="J762" s="141"/>
      <c r="K762" s="143"/>
    </row>
    <row r="763" spans="1:13">
      <c r="A763" t="s">
        <v>445</v>
      </c>
      <c r="B763" s="136" t="s">
        <v>391</v>
      </c>
      <c r="F763" s="3"/>
      <c r="I763" s="3"/>
      <c r="J763" s="3"/>
    </row>
    <row r="764" spans="1:13">
      <c r="A764" t="s">
        <v>445</v>
      </c>
      <c r="B764" s="137" t="s">
        <v>79</v>
      </c>
      <c r="C764" t="s">
        <v>389</v>
      </c>
      <c r="D764" s="5" t="s">
        <v>21</v>
      </c>
      <c r="E764" s="70">
        <f>IF(B764="","",INDEX(Ingredients!$I$1:$I$5013,(MATCH(InterventionCosts!B764,Ingredients!$A$1:$A$5013,0))))</f>
        <v>9.3000000000000007</v>
      </c>
      <c r="F764" s="5" t="str">
        <f>INDEX(Ingredients!J$1:J$265,(MATCH(InterventionCosts!B764,Ingredients!A$1:A$265,0)))</f>
        <v>per test</v>
      </c>
      <c r="G764">
        <f>IF(B764="","",INDEX(Ingredients!$E$1:$E$238,(MATCH(InterventionCosts!B764,Ingredients!A$1:A$238,0))))</f>
        <v>2024</v>
      </c>
      <c r="H764" t="str">
        <f>INDEX(Ingredients!$F$1:$F$318,(MATCH(InterventionCosts!B764,Ingredients!A$1:A$318,0)))</f>
        <v>https://www.treasury.gov.za/divisions/ocpo/ostb/contracts/RT41-2020.zip</v>
      </c>
      <c r="I764">
        <f>1*$I$782</f>
        <v>1</v>
      </c>
      <c r="J764" s="133" t="s">
        <v>394</v>
      </c>
      <c r="K764" s="85">
        <f>I764*E764</f>
        <v>9.3000000000000007</v>
      </c>
      <c r="L764"/>
    </row>
    <row r="765" spans="1:13">
      <c r="A765" t="s">
        <v>445</v>
      </c>
      <c r="B765" s="137" t="s">
        <v>54</v>
      </c>
      <c r="C765" t="s">
        <v>389</v>
      </c>
      <c r="D765" t="s">
        <v>48</v>
      </c>
      <c r="E765" s="70">
        <f>IF(B765="","",INDEX(Ingredients!$I$1:$I$5013,(MATCH(InterventionCosts!B765,Ingredients!$A$1:$A$5013,0))))</f>
        <v>1.2444366591928251</v>
      </c>
      <c r="F765" s="5" t="str">
        <f>INDEX(Ingredients!J$1:J$265,(MATCH(InterventionCosts!B765,Ingredients!A$1:A$265,0)))</f>
        <v>per minute</v>
      </c>
      <c r="G765">
        <f>IF(B765="","",INDEX(Ingredients!$E$1:$E$238,(MATCH(InterventionCosts!B765,Ingredients!A$1:A$238,0))))</f>
        <v>2024</v>
      </c>
      <c r="H765" t="str">
        <f>INDEX(Ingredients!$F$1:$F$318,(MATCH(InterventionCosts!B765,Ingredients!A$1:A$318,0)))</f>
        <v xml:space="preserve">April 2024 Salary scale </v>
      </c>
      <c r="I765">
        <f>15*$I$782</f>
        <v>15</v>
      </c>
      <c r="J765" s="133" t="s">
        <v>395</v>
      </c>
      <c r="K765" s="85">
        <f>I765*E765</f>
        <v>18.666549887892376</v>
      </c>
      <c r="L765"/>
    </row>
    <row r="766" spans="1:13">
      <c r="A766" t="s">
        <v>445</v>
      </c>
      <c r="B766" s="137" t="s">
        <v>1489</v>
      </c>
      <c r="C766" t="s">
        <v>389</v>
      </c>
      <c r="D766" s="5" t="s">
        <v>21</v>
      </c>
      <c r="E766" s="70">
        <f>IF(B766="","",INDEX(Ingredients!$I$1:$I$5013,(MATCH(InterventionCosts!B766,Ingredients!$A$1:$A$5013,0))))</f>
        <v>53.08</v>
      </c>
      <c r="F766" s="5" t="str">
        <f>INDEX(Ingredients!J$1:J$265,(MATCH(InterventionCosts!B766,Ingredients!A$1:A$265,0)))</f>
        <v>per pack 100, 50 pairs</v>
      </c>
      <c r="G766">
        <f>IF(B766="","",INDEX(Ingredients!$E$1:$E$238,(MATCH(InterventionCosts!B766,Ingredients!A$1:A$238,0))))</f>
        <v>2024</v>
      </c>
      <c r="H766" t="str">
        <f>INDEX(Ingredients!$F$1:$F$318,(MATCH(InterventionCosts!B766,Ingredients!A$1:A$318,0)))</f>
        <v>https://www.treasury.gov.za/divisions/ocpo/ostb/contracts/RT76-2023%20CPA%20Amendment%204-%20Effective%2001%20May%202024.pdf</v>
      </c>
      <c r="I766">
        <f>2/100*$I$782</f>
        <v>0.02</v>
      </c>
      <c r="J766" s="133" t="s">
        <v>394</v>
      </c>
      <c r="K766" s="85">
        <f>I766*E766</f>
        <v>1.0615999999999999</v>
      </c>
      <c r="L766"/>
    </row>
    <row r="767" spans="1:13">
      <c r="A767" t="s">
        <v>445</v>
      </c>
      <c r="B767" s="137" t="s">
        <v>31</v>
      </c>
      <c r="C767" t="s">
        <v>389</v>
      </c>
      <c r="D767" s="5" t="s">
        <v>21</v>
      </c>
      <c r="E767" s="70">
        <f>IF(B767="","",INDEX(Ingredients!$I$1:$I$5013,(MATCH(InterventionCosts!B767,Ingredients!$A$1:$A$5013,0))))</f>
        <v>31.4</v>
      </c>
      <c r="F767" s="5" t="str">
        <f>INDEX(Ingredients!J$1:J$265,(MATCH(InterventionCosts!B767,Ingredients!A$1:A$265,0)))</f>
        <v>per 100 swabs</v>
      </c>
      <c r="G767">
        <f>IF(B767="","",INDEX(Ingredients!$E$1:$E$238,(MATCH(InterventionCosts!B767,Ingredients!A$1:A$238,0))))</f>
        <v>2024</v>
      </c>
      <c r="H767" t="str">
        <f>INDEX(Ingredients!$F$1:$F$318,(MATCH(InterventionCosts!B767,Ingredients!A$1:A$318,0)))</f>
        <v xml:space="preserve">http://www.treasury.gov.za/divisions/ocpo/ostb/contracts/RT42-2022zip </v>
      </c>
      <c r="I767">
        <f>1/100*$I$782</f>
        <v>0.01</v>
      </c>
      <c r="J767" s="133" t="s">
        <v>394</v>
      </c>
      <c r="K767" s="85">
        <f>I767*E767</f>
        <v>0.314</v>
      </c>
      <c r="L767"/>
    </row>
    <row r="768" spans="1:13">
      <c r="A768" t="s">
        <v>445</v>
      </c>
      <c r="B768" s="136" t="s">
        <v>392</v>
      </c>
      <c r="E768" s="70"/>
      <c r="F768" s="3" t="s">
        <v>413</v>
      </c>
      <c r="I768" s="3">
        <v>1.83260085192333E-2</v>
      </c>
      <c r="J768" s="3" t="s">
        <v>443</v>
      </c>
    </row>
    <row r="769" spans="1:13">
      <c r="A769" t="s">
        <v>445</v>
      </c>
      <c r="B769" s="137" t="s">
        <v>79</v>
      </c>
      <c r="C769" t="s">
        <v>389</v>
      </c>
      <c r="D769" s="5" t="s">
        <v>21</v>
      </c>
      <c r="E769" s="70">
        <f>IF(B769="","",INDEX(Ingredients!$I$1:$I$5013,(MATCH(InterventionCosts!B769,Ingredients!$A$1:$A$5013,0))))</f>
        <v>9.3000000000000007</v>
      </c>
      <c r="F769" s="5" t="str">
        <f>INDEX(Ingredients!J$1:J$265,(MATCH(InterventionCosts!B769,Ingredients!A$1:A$265,0)))</f>
        <v>per test</v>
      </c>
      <c r="G769">
        <f>IF(B769="","",INDEX(Ingredients!$E$1:$E$238,(MATCH(InterventionCosts!B769,Ingredients!A$1:A$238,0))))</f>
        <v>2024</v>
      </c>
      <c r="H769" t="str">
        <f>INDEX(Ingredients!$F$1:$F$318,(MATCH(InterventionCosts!B769,Ingredients!A$1:A$318,0)))</f>
        <v>https://www.treasury.gov.za/divisions/ocpo/ostb/contracts/RT41-2020.zip</v>
      </c>
      <c r="I769" s="134">
        <f>I768</f>
        <v>1.83260085192333E-2</v>
      </c>
      <c r="J769" t="s">
        <v>413</v>
      </c>
      <c r="K769" s="85">
        <f>I769*E769</f>
        <v>0.17043187922886971</v>
      </c>
      <c r="L769"/>
    </row>
    <row r="770" spans="1:13">
      <c r="A770" t="s">
        <v>445</v>
      </c>
      <c r="B770" s="137" t="s">
        <v>54</v>
      </c>
      <c r="C770" t="s">
        <v>389</v>
      </c>
      <c r="D770" t="s">
        <v>48</v>
      </c>
      <c r="E770" s="70">
        <f>IF(B770="","",INDEX(Ingredients!$I$1:$I$5013,(MATCH(InterventionCosts!B770,Ingredients!$A$1:$A$5013,0))))</f>
        <v>1.2444366591928251</v>
      </c>
      <c r="F770" s="5" t="str">
        <f>INDEX(Ingredients!J$1:J$265,(MATCH(InterventionCosts!B770,Ingredients!A$1:A$265,0)))</f>
        <v>per minute</v>
      </c>
      <c r="G770">
        <f>IF(B770="","",INDEX(Ingredients!$E$1:$E$238,(MATCH(InterventionCosts!B770,Ingredients!A$1:A$238,0))))</f>
        <v>2024</v>
      </c>
      <c r="H770" t="str">
        <f>INDEX(Ingredients!$F$1:$F$318,(MATCH(InterventionCosts!B770,Ingredients!A$1:A$318,0)))</f>
        <v xml:space="preserve">April 2024 Salary scale </v>
      </c>
      <c r="I770" s="134">
        <f>(15+1/(1-I768))*I768</f>
        <v>0.29355824844593909</v>
      </c>
      <c r="J770" s="133" t="s">
        <v>395</v>
      </c>
      <c r="K770" s="85">
        <f>I770*E770</f>
        <v>0.36531464597456176</v>
      </c>
      <c r="L770"/>
    </row>
    <row r="771" spans="1:13">
      <c r="A771" t="s">
        <v>445</v>
      </c>
      <c r="B771" s="137" t="s">
        <v>1489</v>
      </c>
      <c r="C771" t="s">
        <v>389</v>
      </c>
      <c r="D771" s="5" t="s">
        <v>21</v>
      </c>
      <c r="E771" s="70">
        <f>IF(B771="","",INDEX(Ingredients!$I$1:$I$5013,(MATCH(InterventionCosts!B771,Ingredients!$A$1:$A$5013,0))))</f>
        <v>53.08</v>
      </c>
      <c r="F771" s="5" t="str">
        <f>INDEX(Ingredients!J$1:J$265,(MATCH(InterventionCosts!B771,Ingredients!A$1:A$265,0)))</f>
        <v>per pack 100, 50 pairs</v>
      </c>
      <c r="G771">
        <f>IF(B771="","",INDEX(Ingredients!$E$1:$E$238,(MATCH(InterventionCosts!B771,Ingredients!A$1:A$238,0))))</f>
        <v>2024</v>
      </c>
      <c r="H771" t="str">
        <f>INDEX(Ingredients!$F$1:$F$318,(MATCH(InterventionCosts!B771,Ingredients!A$1:A$318,0)))</f>
        <v>https://www.treasury.gov.za/divisions/ocpo/ostb/contracts/RT76-2023%20CPA%20Amendment%204-%20Effective%2001%20May%202024.pdf</v>
      </c>
      <c r="I771">
        <f>2/100*I768</f>
        <v>3.6652017038466602E-4</v>
      </c>
      <c r="J771" s="133" t="s">
        <v>1480</v>
      </c>
      <c r="K771" s="85">
        <f>I771*E771</f>
        <v>1.9454890644018071E-2</v>
      </c>
      <c r="L771"/>
    </row>
    <row r="772" spans="1:13">
      <c r="A772" t="s">
        <v>445</v>
      </c>
      <c r="B772" s="137" t="s">
        <v>31</v>
      </c>
      <c r="C772" t="s">
        <v>389</v>
      </c>
      <c r="D772" s="5" t="s">
        <v>21</v>
      </c>
      <c r="E772" s="70">
        <f>IF(B772="","",INDEX(Ingredients!$I$1:$I$5013,(MATCH(InterventionCosts!B772,Ingredients!$A$1:$A$5013,0))))</f>
        <v>31.4</v>
      </c>
      <c r="F772" s="5" t="str">
        <f>INDEX(Ingredients!J$1:J$265,(MATCH(InterventionCosts!B772,Ingredients!A$1:A$265,0)))</f>
        <v>per 100 swabs</v>
      </c>
      <c r="G772">
        <f>IF(B772="","",INDEX(Ingredients!$E$1:$E$238,(MATCH(InterventionCosts!B772,Ingredients!A$1:A$238,0))))</f>
        <v>2024</v>
      </c>
      <c r="H772" t="str">
        <f>INDEX(Ingredients!$F$1:$F$318,(MATCH(InterventionCosts!B772,Ingredients!A$1:A$318,0)))</f>
        <v xml:space="preserve">http://www.treasury.gov.za/divisions/ocpo/ostb/contracts/RT42-2022zip </v>
      </c>
      <c r="I772">
        <f>1/100*I768</f>
        <v>1.8326008519233301E-4</v>
      </c>
      <c r="J772" s="133" t="s">
        <v>1479</v>
      </c>
      <c r="K772" s="85">
        <f>I772*E772</f>
        <v>5.7543666750392566E-3</v>
      </c>
      <c r="L772"/>
    </row>
    <row r="773" spans="1:13">
      <c r="A773" t="s">
        <v>445</v>
      </c>
      <c r="B773" s="136" t="s">
        <v>393</v>
      </c>
      <c r="F773" s="5"/>
    </row>
    <row r="774" spans="1:13">
      <c r="A774" t="s">
        <v>445</v>
      </c>
      <c r="B774" s="137" t="s">
        <v>77</v>
      </c>
      <c r="C774" t="s">
        <v>389</v>
      </c>
      <c r="D774" t="s">
        <v>75</v>
      </c>
      <c r="E774" s="70">
        <f>IF(B774="","",INDEX(Ingredients!$I$1:$I$5013,(MATCH(InterventionCosts!B774,Ingredients!$A$1:$A$5013,0))))</f>
        <v>71.889951748999991</v>
      </c>
      <c r="F774" s="5" t="str">
        <f>INDEX(Ingredients!J$1:J$265,(MATCH(InterventionCosts!B774,Ingredients!A$1:A$265,0)))</f>
        <v>per test</v>
      </c>
      <c r="G774">
        <f>IF(B774="","",INDEX(Ingredients!$E$1:$E$238,(MATCH(InterventionCosts!B774,Ingredients!A$1:A$238,0))))</f>
        <v>2021</v>
      </c>
      <c r="H774" t="str">
        <f>INDEX(Ingredients!$F$1:$F$318,(MATCH(InterventionCosts!B774,Ingredients!A$1:A$318,0)))</f>
        <v>NHLS 2021 price-list</v>
      </c>
      <c r="I774">
        <v>0.02</v>
      </c>
      <c r="J774" s="85" t="s">
        <v>397</v>
      </c>
      <c r="K774" s="85">
        <f>I774*E774</f>
        <v>1.4377990349799998</v>
      </c>
    </row>
    <row r="775" spans="1:13">
      <c r="A775" t="s">
        <v>445</v>
      </c>
      <c r="B775" s="137" t="s">
        <v>54</v>
      </c>
      <c r="C775" t="s">
        <v>389</v>
      </c>
      <c r="D775" t="s">
        <v>48</v>
      </c>
      <c r="E775" s="70">
        <f>IF(B775="","",INDEX(Ingredients!$I$1:$I$5013,(MATCH(InterventionCosts!B775,Ingredients!$A$1:$A$5013,0))))</f>
        <v>1.2444366591928251</v>
      </c>
      <c r="F775" s="5" t="str">
        <f>INDEX(Ingredients!J$1:J$265,(MATCH(InterventionCosts!B775,Ingredients!A$1:A$265,0)))</f>
        <v>per minute</v>
      </c>
      <c r="G775">
        <f>IF(B775="","",INDEX(Ingredients!$E$1:$E$238,(MATCH(InterventionCosts!B775,Ingredients!A$1:A$238,0))))</f>
        <v>2024</v>
      </c>
      <c r="H775" t="str">
        <f>INDEX(Ingredients!$F$1:$F$318,(MATCH(InterventionCosts!B775,Ingredients!A$1:A$318,0)))</f>
        <v xml:space="preserve">April 2024 Salary scale </v>
      </c>
      <c r="I775">
        <f>15*0.02</f>
        <v>0.3</v>
      </c>
      <c r="J775" s="133" t="s">
        <v>395</v>
      </c>
      <c r="K775" s="85">
        <f>I775*E775</f>
        <v>0.3733309977578475</v>
      </c>
    </row>
    <row r="776" spans="1:13">
      <c r="A776" t="s">
        <v>445</v>
      </c>
      <c r="B776" s="137" t="s">
        <v>1489</v>
      </c>
      <c r="C776" t="s">
        <v>389</v>
      </c>
      <c r="D776" s="5" t="s">
        <v>21</v>
      </c>
      <c r="E776" s="70">
        <f>IF(B776="","",INDEX(Ingredients!$I$1:$I$5013,(MATCH(InterventionCosts!B776,Ingredients!$A$1:$A$5013,0))))</f>
        <v>53.08</v>
      </c>
      <c r="F776" s="5" t="str">
        <f>INDEX(Ingredients!J$1:J$265,(MATCH(InterventionCosts!B776,Ingredients!A$1:A$265,0)))</f>
        <v>per pack 100, 50 pairs</v>
      </c>
      <c r="G776">
        <f>IF(B776="","",INDEX(Ingredients!$E$1:$E$238,(MATCH(InterventionCosts!B776,Ingredients!A$1:A$238,0))))</f>
        <v>2024</v>
      </c>
      <c r="H776" t="str">
        <f>INDEX(Ingredients!$F$1:$F$318,(MATCH(InterventionCosts!B776,Ingredients!A$1:A$318,0)))</f>
        <v>https://www.treasury.gov.za/divisions/ocpo/ostb/contracts/RT76-2023%20CPA%20Amendment%204-%20Effective%2001%20May%202024.pdf</v>
      </c>
      <c r="I776">
        <f>2/100*0.02</f>
        <v>4.0000000000000002E-4</v>
      </c>
      <c r="J776" s="85" t="s">
        <v>397</v>
      </c>
      <c r="K776" s="85">
        <f>I776*E776</f>
        <v>2.1232000000000001E-2</v>
      </c>
    </row>
    <row r="777" spans="1:13">
      <c r="A777" t="s">
        <v>445</v>
      </c>
      <c r="B777" s="137" t="s">
        <v>45</v>
      </c>
      <c r="C777" t="s">
        <v>389</v>
      </c>
      <c r="D777" s="5" t="s">
        <v>21</v>
      </c>
      <c r="E777" s="70">
        <f>IF(B777="","",INDEX(Ingredients!$I$1:$I$5013,(MATCH(InterventionCosts!B777,Ingredients!$A$1:$A$5013,0))))</f>
        <v>46</v>
      </c>
      <c r="F777" s="5" t="str">
        <f>INDEX(Ingredients!J$1:J$265,(MATCH(InterventionCosts!B777,Ingredients!A$1:A$265,0)))</f>
        <v>per pack 100</v>
      </c>
      <c r="G777">
        <f>IF(B777="","",INDEX(Ingredients!$E$1:$E$238,(MATCH(InterventionCosts!B777,Ingredients!A$1:A$238,0))))</f>
        <v>2024</v>
      </c>
      <c r="H777" t="str">
        <f>INDEX(Ingredients!$F$1:$F$318,(MATCH(InterventionCosts!B777,Ingredients!A$1:A$318,0)))</f>
        <v>https://www.treasury.gov.za/divisions/ocpo/ostb/contracts/RT284-2023.zip</v>
      </c>
      <c r="I777">
        <f>1/100*0.02</f>
        <v>2.0000000000000001E-4</v>
      </c>
      <c r="J777" s="85" t="s">
        <v>397</v>
      </c>
      <c r="K777" s="135">
        <f>I777*E777</f>
        <v>9.1999999999999998E-3</v>
      </c>
    </row>
    <row r="778" spans="1:13">
      <c r="A778" t="s">
        <v>445</v>
      </c>
      <c r="B778" s="137" t="s">
        <v>31</v>
      </c>
      <c r="C778" t="s">
        <v>389</v>
      </c>
      <c r="D778" s="5" t="s">
        <v>21</v>
      </c>
      <c r="E778" s="70">
        <f>IF(B778="","",INDEX(Ingredients!$I$1:$I$5013,(MATCH(InterventionCosts!B778,Ingredients!$A$1:$A$5013,0))))</f>
        <v>31.4</v>
      </c>
      <c r="F778" s="5" t="str">
        <f>INDEX(Ingredients!J$1:J$265,(MATCH(InterventionCosts!B778,Ingredients!A$1:A$265,0)))</f>
        <v>per 100 swabs</v>
      </c>
      <c r="G778">
        <f>IF(B778="","",INDEX(Ingredients!$E$1:$E$238,(MATCH(InterventionCosts!B778,Ingredients!A$1:A$238,0))))</f>
        <v>2024</v>
      </c>
      <c r="H778" t="str">
        <f>INDEX(Ingredients!$F$1:$F$318,(MATCH(InterventionCosts!B778,Ingredients!A$1:A$318,0)))</f>
        <v xml:space="preserve">http://www.treasury.gov.za/divisions/ocpo/ostb/contracts/RT42-2022zip </v>
      </c>
      <c r="I778">
        <f>1/100*0.02</f>
        <v>2.0000000000000001E-4</v>
      </c>
      <c r="J778" s="85" t="s">
        <v>397</v>
      </c>
      <c r="K778" s="135">
        <f>I778*E778</f>
        <v>6.28E-3</v>
      </c>
    </row>
    <row r="779" spans="1:13">
      <c r="A779" t="s">
        <v>445</v>
      </c>
      <c r="B779" s="136" t="s">
        <v>411</v>
      </c>
      <c r="E779" s="70"/>
      <c r="F779" s="5"/>
    </row>
    <row r="780" spans="1:13">
      <c r="A780" t="s">
        <v>445</v>
      </c>
      <c r="B780" s="137" t="s">
        <v>410</v>
      </c>
      <c r="C780" t="s">
        <v>389</v>
      </c>
      <c r="D780" t="s">
        <v>70</v>
      </c>
      <c r="E780" s="70">
        <f>IF(B780="","",INDEX(Ingredients!$I$1:$I$5013,(MATCH(InterventionCosts!B780,Ingredients!$A$1:$A$5013,0))))</f>
        <v>64.888000253702032</v>
      </c>
      <c r="F780" s="5" t="str">
        <f>INDEX(Ingredients!J$1:J$265,(MATCH(InterventionCosts!B780,Ingredients!A$1:A$265,0)))</f>
        <v>per drug per month</v>
      </c>
      <c r="G780">
        <f>IF(B780="","",INDEX(Ingredients!$E$1:$E$238,(MATCH(InterventionCosts!B780,Ingredients!A$1:A$238,0))))</f>
        <v>2024</v>
      </c>
      <c r="H780" t="str">
        <f>INDEX(Ingredients!$F$1:$F$318,(MATCH(InterventionCosts!B780,Ingredients!A$1:A$318,0)))</f>
        <v>Master Procurement Circular May 2024</v>
      </c>
      <c r="I780">
        <v>3</v>
      </c>
      <c r="J780" s="85" t="s">
        <v>1481</v>
      </c>
      <c r="K780" s="85">
        <f>I780*E780</f>
        <v>194.66400076110608</v>
      </c>
      <c r="M780" s="229"/>
    </row>
    <row r="781" spans="1:13">
      <c r="A781" t="s">
        <v>445</v>
      </c>
      <c r="B781" s="137" t="s">
        <v>354</v>
      </c>
      <c r="C781" t="s">
        <v>389</v>
      </c>
      <c r="D781" t="s">
        <v>48</v>
      </c>
      <c r="E781" s="70">
        <f>IF(B781="","",INDEX(Ingredients!$I$1:$I$5013,(MATCH(InterventionCosts!B781,Ingredients!$A$1:$A$5013,0))))</f>
        <v>4.8996605630293981</v>
      </c>
      <c r="F781" s="5" t="str">
        <f>INDEX(Ingredients!J$1:J$265,(MATCH(InterventionCosts!B781,Ingredients!A$1:A$265,0)))</f>
        <v>per minute</v>
      </c>
      <c r="G781">
        <f>IF(B781="","",INDEX(Ingredients!$E$1:$E$238,(MATCH(InterventionCosts!B781,Ingredients!A$1:A$238,0))))</f>
        <v>2024</v>
      </c>
      <c r="H781" t="str">
        <f>INDEX(Ingredients!$F$1:$F$318,(MATCH(InterventionCosts!B781,Ingredients!A$1:A$318,0)))</f>
        <v xml:space="preserve">April 2024 Salary scale </v>
      </c>
      <c r="I781">
        <v>2</v>
      </c>
      <c r="J781" s="133" t="s">
        <v>395</v>
      </c>
      <c r="K781" s="85">
        <f>I781*E781</f>
        <v>9.7993211260587962</v>
      </c>
    </row>
    <row r="782" spans="1:13">
      <c r="A782" t="s">
        <v>445</v>
      </c>
      <c r="B782" s="140" t="s">
        <v>1464</v>
      </c>
      <c r="C782" s="141"/>
      <c r="D782" s="141"/>
      <c r="E782" s="339" t="s">
        <v>1466</v>
      </c>
      <c r="F782" s="439">
        <f>'Summary of unit costs'!$B$34</f>
        <v>6</v>
      </c>
      <c r="G782" s="141"/>
      <c r="H782" s="141"/>
      <c r="I782" s="157">
        <f>FLOOR((F782-1)/3,1)</f>
        <v>1</v>
      </c>
      <c r="J782" s="157" t="s">
        <v>1123</v>
      </c>
      <c r="K782" s="143"/>
      <c r="L782" s="145"/>
    </row>
    <row r="783" spans="1:13">
      <c r="A783" t="s">
        <v>445</v>
      </c>
      <c r="B783" s="136" t="s">
        <v>411</v>
      </c>
      <c r="L783"/>
    </row>
    <row r="784" spans="1:13">
      <c r="A784" t="s">
        <v>445</v>
      </c>
      <c r="B784" s="137" t="s">
        <v>410</v>
      </c>
      <c r="C784" t="s">
        <v>389</v>
      </c>
      <c r="D784" t="s">
        <v>70</v>
      </c>
      <c r="E784" s="70">
        <f>IF(B784="","",INDEX(Ingredients!$I$1:$I$5013,(MATCH(InterventionCosts!B784,Ingredients!$A$1:$A$5013,0))))</f>
        <v>64.888000253702032</v>
      </c>
      <c r="F784" s="5" t="str">
        <f>INDEX(Ingredients!J$1:J$265,(MATCH(InterventionCosts!B784,Ingredients!A$1:A$265,0)))</f>
        <v>per drug per month</v>
      </c>
      <c r="G784">
        <f>IF(B784="","",INDEX(Ingredients!$E$1:$E$238,(MATCH(InterventionCosts!B784,Ingredients!A$1:A$238,0))))</f>
        <v>2024</v>
      </c>
      <c r="H784" t="str">
        <f>INDEX(Ingredients!$F$1:$F$318,(MATCH(InterventionCosts!B784,Ingredients!A$1:A$318,0)))</f>
        <v>Master Procurement Circular May 2024</v>
      </c>
      <c r="I784">
        <f>3*$I$782</f>
        <v>3</v>
      </c>
      <c r="J784" t="s">
        <v>1482</v>
      </c>
      <c r="K784" s="85">
        <f>I784*E784</f>
        <v>194.66400076110608</v>
      </c>
      <c r="M784" s="85"/>
    </row>
    <row r="785" spans="1:11">
      <c r="A785" t="s">
        <v>445</v>
      </c>
      <c r="B785" s="137" t="s">
        <v>354</v>
      </c>
      <c r="C785" t="s">
        <v>389</v>
      </c>
      <c r="D785" t="s">
        <v>48</v>
      </c>
      <c r="E785" s="70">
        <f>IF(B785="","",INDEX(Ingredients!$I$1:$I$5013,(MATCH(InterventionCosts!B785,Ingredients!$A$1:$A$5013,0))))</f>
        <v>4.8996605630293981</v>
      </c>
      <c r="F785" s="5" t="str">
        <f>INDEX(Ingredients!J$1:J$265,(MATCH(InterventionCosts!B785,Ingredients!A$1:A$265,0)))</f>
        <v>per minute</v>
      </c>
      <c r="G785">
        <f>IF(B785="","",INDEX(Ingredients!$E$1:$E$238,(MATCH(InterventionCosts!B785,Ingredients!A$1:A$238,0))))</f>
        <v>2024</v>
      </c>
      <c r="H785" t="str">
        <f>INDEX(Ingredients!$F$1:$F$318,(MATCH(InterventionCosts!B785,Ingredients!A$1:A$318,0)))</f>
        <v xml:space="preserve">April 2024 Salary scale </v>
      </c>
      <c r="I785">
        <f>2*$I$782</f>
        <v>2</v>
      </c>
      <c r="J785" t="s">
        <v>1476</v>
      </c>
      <c r="K785" s="85">
        <f>I785*E785</f>
        <v>9.7993211260587962</v>
      </c>
    </row>
    <row r="786" spans="1:11">
      <c r="A786" t="s">
        <v>445</v>
      </c>
      <c r="B786" s="137" t="s">
        <v>54</v>
      </c>
      <c r="C786" t="s">
        <v>389</v>
      </c>
      <c r="D786" t="s">
        <v>48</v>
      </c>
      <c r="E786" s="70">
        <f>IF(B786="","",INDEX(Ingredients!$I$1:$I$5013,(MATCH(InterventionCosts!B786,Ingredients!$A$1:$A$5013,0))))</f>
        <v>1.2444366591928251</v>
      </c>
      <c r="F786" s="5" t="str">
        <f>INDEX(Ingredients!J$1:J$265,(MATCH(InterventionCosts!B786,Ingredients!A$1:A$265,0)))</f>
        <v>per minute</v>
      </c>
      <c r="G786">
        <f>IF(B786="","",INDEX(Ingredients!$E$1:$E$238,(MATCH(InterventionCosts!B786,Ingredients!A$1:A$238,0))))</f>
        <v>2024</v>
      </c>
      <c r="H786" t="str">
        <f>INDEX(Ingredients!$F$1:$F$318,(MATCH(InterventionCosts!B786,Ingredients!A$1:A$318,0)))</f>
        <v xml:space="preserve">April 2024 Salary scale </v>
      </c>
      <c r="I786">
        <f>10*$I$782</f>
        <v>10</v>
      </c>
      <c r="J786" t="s">
        <v>1476</v>
      </c>
      <c r="K786" s="85">
        <f>I786*E786</f>
        <v>12.444366591928251</v>
      </c>
    </row>
    <row r="787" spans="1:11">
      <c r="A787" t="s">
        <v>445</v>
      </c>
      <c r="B787" s="136" t="s">
        <v>391</v>
      </c>
    </row>
    <row r="788" spans="1:11">
      <c r="A788" t="s">
        <v>445</v>
      </c>
      <c r="B788" s="137" t="s">
        <v>79</v>
      </c>
      <c r="C788" t="s">
        <v>389</v>
      </c>
      <c r="D788" s="5" t="s">
        <v>21</v>
      </c>
      <c r="E788" s="70">
        <f>IF(B788="","",INDEX(Ingredients!$I$1:$I$5013,(MATCH(InterventionCosts!B788,Ingredients!$A$1:$A$5013,0))))</f>
        <v>9.3000000000000007</v>
      </c>
      <c r="F788" s="5" t="str">
        <f>INDEX(Ingredients!J$1:J$265,(MATCH(InterventionCosts!B788,Ingredients!A$1:A$265,0)))</f>
        <v>per test</v>
      </c>
      <c r="G788">
        <f>IF(B788="","",INDEX(Ingredients!$E$1:$E$238,(MATCH(InterventionCosts!B788,Ingredients!A$1:A$238,0))))</f>
        <v>2024</v>
      </c>
      <c r="H788" t="str">
        <f>INDEX(Ingredients!$F$1:$F$318,(MATCH(InterventionCosts!B788,Ingredients!A$1:A$318,0)))</f>
        <v>https://www.treasury.gov.za/divisions/ocpo/ostb/contracts/RT41-2020.zip</v>
      </c>
      <c r="I788">
        <f>1*$I$782</f>
        <v>1</v>
      </c>
      <c r="J788" t="s">
        <v>1472</v>
      </c>
      <c r="K788" s="85">
        <f>I788*E788</f>
        <v>9.3000000000000007</v>
      </c>
    </row>
    <row r="789" spans="1:11">
      <c r="A789" t="s">
        <v>445</v>
      </c>
      <c r="B789" s="137" t="s">
        <v>54</v>
      </c>
      <c r="C789" t="s">
        <v>389</v>
      </c>
      <c r="D789" t="s">
        <v>48</v>
      </c>
      <c r="E789" s="70">
        <f>IF(B789="","",INDEX(Ingredients!$I$1:$I$5013,(MATCH(InterventionCosts!B789,Ingredients!$A$1:$A$5013,0))))</f>
        <v>1.2444366591928251</v>
      </c>
      <c r="F789" s="5" t="str">
        <f>INDEX(Ingredients!J$1:J$265,(MATCH(InterventionCosts!B789,Ingredients!A$1:A$265,0)))</f>
        <v>per minute</v>
      </c>
      <c r="G789">
        <f>IF(B789="","",INDEX(Ingredients!$E$1:$E$238,(MATCH(InterventionCosts!B789,Ingredients!A$1:A$238,0))))</f>
        <v>2024</v>
      </c>
      <c r="H789" t="str">
        <f>INDEX(Ingredients!$F$1:$F$318,(MATCH(InterventionCosts!B789,Ingredients!A$1:A$318,0)))</f>
        <v xml:space="preserve">April 2024 Salary scale </v>
      </c>
      <c r="I789">
        <f>15*$I$782</f>
        <v>15</v>
      </c>
      <c r="J789" s="133" t="s">
        <v>395</v>
      </c>
      <c r="K789" s="85">
        <f>I789*E789</f>
        <v>18.666549887892376</v>
      </c>
    </row>
    <row r="790" spans="1:11">
      <c r="A790" t="s">
        <v>445</v>
      </c>
      <c r="B790" s="137" t="s">
        <v>1489</v>
      </c>
      <c r="C790" t="s">
        <v>389</v>
      </c>
      <c r="D790" s="5" t="s">
        <v>21</v>
      </c>
      <c r="E790" s="70">
        <f>IF(B790="","",INDEX(Ingredients!$I$1:$I$5013,(MATCH(InterventionCosts!B790,Ingredients!$A$1:$A$5013,0))))</f>
        <v>53.08</v>
      </c>
      <c r="F790" s="5" t="str">
        <f>INDEX(Ingredients!J$1:J$265,(MATCH(InterventionCosts!B790,Ingredients!A$1:A$265,0)))</f>
        <v>per pack 100, 50 pairs</v>
      </c>
      <c r="G790">
        <f>IF(B790="","",INDEX(Ingredients!$E$1:$E$238,(MATCH(InterventionCosts!B790,Ingredients!A$1:A$238,0))))</f>
        <v>2024</v>
      </c>
      <c r="H790" t="str">
        <f>INDEX(Ingredients!$F$1:$F$318,(MATCH(InterventionCosts!B790,Ingredients!A$1:A$318,0)))</f>
        <v>https://www.treasury.gov.za/divisions/ocpo/ostb/contracts/RT76-2023%20CPA%20Amendment%204-%20Effective%2001%20May%202024.pdf</v>
      </c>
      <c r="I790">
        <f>2/100*$I$782</f>
        <v>0.02</v>
      </c>
      <c r="J790" t="s">
        <v>1483</v>
      </c>
      <c r="K790" s="85">
        <f>I790*E790</f>
        <v>1.0615999999999999</v>
      </c>
    </row>
    <row r="791" spans="1:11">
      <c r="A791" t="s">
        <v>445</v>
      </c>
      <c r="B791" s="137" t="s">
        <v>31</v>
      </c>
      <c r="C791" t="s">
        <v>389</v>
      </c>
      <c r="D791" s="5" t="s">
        <v>21</v>
      </c>
      <c r="E791" s="70">
        <f>IF(B791="","",INDEX(Ingredients!$I$1:$I$5013,(MATCH(InterventionCosts!B791,Ingredients!$A$1:$A$5013,0))))</f>
        <v>31.4</v>
      </c>
      <c r="F791" s="5" t="str">
        <f>INDEX(Ingredients!J$1:J$265,(MATCH(InterventionCosts!B791,Ingredients!A$1:A$265,0)))</f>
        <v>per 100 swabs</v>
      </c>
      <c r="G791">
        <f>IF(B791="","",INDEX(Ingredients!$E$1:$E$238,(MATCH(InterventionCosts!B791,Ingredients!A$1:A$238,0))))</f>
        <v>2024</v>
      </c>
      <c r="H791" t="str">
        <f>INDEX(Ingredients!$F$1:$F$318,(MATCH(InterventionCosts!B791,Ingredients!A$1:A$318,0)))</f>
        <v xml:space="preserve">http://www.treasury.gov.za/divisions/ocpo/ostb/contracts/RT42-2022zip </v>
      </c>
      <c r="I791">
        <f>1/100*$I$782</f>
        <v>0.01</v>
      </c>
      <c r="J791" t="s">
        <v>1472</v>
      </c>
      <c r="K791" s="85">
        <f>I791*E791</f>
        <v>0.314</v>
      </c>
    </row>
    <row r="792" spans="1:11">
      <c r="A792" t="s">
        <v>445</v>
      </c>
      <c r="B792" s="136" t="s">
        <v>392</v>
      </c>
      <c r="E792" s="70"/>
      <c r="F792" s="3" t="s">
        <v>413</v>
      </c>
      <c r="I792" s="3">
        <v>1.83260085192333E-2</v>
      </c>
      <c r="J792" s="3" t="s">
        <v>443</v>
      </c>
    </row>
    <row r="793" spans="1:11">
      <c r="A793" t="s">
        <v>445</v>
      </c>
      <c r="B793" s="137" t="s">
        <v>79</v>
      </c>
      <c r="C793" t="s">
        <v>389</v>
      </c>
      <c r="D793" s="5" t="s">
        <v>21</v>
      </c>
      <c r="E793" s="70">
        <f>IF(B793="","",INDEX(Ingredients!$I$1:$I$5013,(MATCH(InterventionCosts!B793,Ingredients!$A$1:$A$5013,0))))</f>
        <v>9.3000000000000007</v>
      </c>
      <c r="F793" s="5" t="str">
        <f>INDEX(Ingredients!J$1:J$265,(MATCH(InterventionCosts!B793,Ingredients!A$1:A$265,0)))</f>
        <v>per test</v>
      </c>
      <c r="G793">
        <f>IF(B793="","",INDEX(Ingredients!$E$1:$E$238,(MATCH(InterventionCosts!B793,Ingredients!A$1:A$238,0))))</f>
        <v>2024</v>
      </c>
      <c r="H793" t="str">
        <f>INDEX(Ingredients!$F$1:$F$318,(MATCH(InterventionCosts!B793,Ingredients!A$1:A$318,0)))</f>
        <v>https://www.treasury.gov.za/divisions/ocpo/ostb/contracts/RT41-2020.zip</v>
      </c>
      <c r="I793">
        <f>I792*$I$782</f>
        <v>1.83260085192333E-2</v>
      </c>
      <c r="J793" t="s">
        <v>413</v>
      </c>
      <c r="K793" s="85">
        <f>I793*E793</f>
        <v>0.17043187922886971</v>
      </c>
    </row>
    <row r="794" spans="1:11">
      <c r="A794" t="s">
        <v>445</v>
      </c>
      <c r="B794" s="137" t="s">
        <v>54</v>
      </c>
      <c r="C794" t="s">
        <v>389</v>
      </c>
      <c r="D794" t="s">
        <v>48</v>
      </c>
      <c r="E794" s="70">
        <f>IF(B794="","",INDEX(Ingredients!$I$1:$I$5013,(MATCH(InterventionCosts!B794,Ingredients!$A$1:$A$5013,0))))</f>
        <v>1.2444366591928251</v>
      </c>
      <c r="F794" s="5" t="str">
        <f>INDEX(Ingredients!J$1:J$265,(MATCH(InterventionCosts!B794,Ingredients!A$1:A$265,0)))</f>
        <v>per minute</v>
      </c>
      <c r="G794">
        <f>IF(B794="","",INDEX(Ingredients!$E$1:$E$238,(MATCH(InterventionCosts!B794,Ingredients!A$1:A$238,0))))</f>
        <v>2024</v>
      </c>
      <c r="H794" t="str">
        <f>INDEX(Ingredients!$F$1:$F$318,(MATCH(InterventionCosts!B794,Ingredients!A$1:A$318,0)))</f>
        <v xml:space="preserve">April 2024 Salary scale </v>
      </c>
      <c r="I794">
        <f>(15+1/(1-I792))*I792*$I$782</f>
        <v>0.29355824844593909</v>
      </c>
      <c r="J794" s="133" t="s">
        <v>414</v>
      </c>
      <c r="K794" s="85">
        <f>I794*E794</f>
        <v>0.36531464597456176</v>
      </c>
    </row>
    <row r="795" spans="1:11">
      <c r="A795" t="s">
        <v>445</v>
      </c>
      <c r="B795" s="137" t="s">
        <v>1489</v>
      </c>
      <c r="C795" t="s">
        <v>389</v>
      </c>
      <c r="D795" s="5" t="s">
        <v>21</v>
      </c>
      <c r="E795" s="70">
        <f>IF(B795="","",INDEX(Ingredients!$I$1:$I$5013,(MATCH(InterventionCosts!B795,Ingredients!$A$1:$A$5013,0))))</f>
        <v>53.08</v>
      </c>
      <c r="F795" s="5" t="str">
        <f>INDEX(Ingredients!J$1:J$265,(MATCH(InterventionCosts!B795,Ingredients!A$1:A$265,0)))</f>
        <v>per pack 100, 50 pairs</v>
      </c>
      <c r="G795">
        <f>IF(B795="","",INDEX(Ingredients!$E$1:$E$238,(MATCH(InterventionCosts!B795,Ingredients!A$1:A$238,0))))</f>
        <v>2024</v>
      </c>
      <c r="H795" t="str">
        <f>INDEX(Ingredients!$F$1:$F$318,(MATCH(InterventionCosts!B795,Ingredients!A$1:A$318,0)))</f>
        <v>https://www.treasury.gov.za/divisions/ocpo/ostb/contracts/RT76-2023%20CPA%20Amendment%204-%20Effective%2001%20May%202024.pdf</v>
      </c>
      <c r="I795">
        <f>2/100*I792*$I$782</f>
        <v>3.6652017038466602E-4</v>
      </c>
      <c r="J795" s="133" t="s">
        <v>1480</v>
      </c>
      <c r="K795" s="85">
        <f>I795*E795</f>
        <v>1.9454890644018071E-2</v>
      </c>
    </row>
    <row r="796" spans="1:11">
      <c r="A796" t="s">
        <v>445</v>
      </c>
      <c r="B796" s="137" t="s">
        <v>31</v>
      </c>
      <c r="C796" t="s">
        <v>389</v>
      </c>
      <c r="D796" s="5" t="s">
        <v>21</v>
      </c>
      <c r="E796" s="70">
        <f>IF(B796="","",INDEX(Ingredients!$I$1:$I$5013,(MATCH(InterventionCosts!B796,Ingredients!$A$1:$A$5013,0))))</f>
        <v>31.4</v>
      </c>
      <c r="F796" s="5" t="str">
        <f>INDEX(Ingredients!J$1:J$265,(MATCH(InterventionCosts!B796,Ingredients!A$1:A$265,0)))</f>
        <v>per 100 swabs</v>
      </c>
      <c r="G796">
        <f>IF(B796="","",INDEX(Ingredients!$E$1:$E$238,(MATCH(InterventionCosts!B796,Ingredients!A$1:A$238,0))))</f>
        <v>2024</v>
      </c>
      <c r="H796" t="str">
        <f>INDEX(Ingredients!$F$1:$F$318,(MATCH(InterventionCosts!B796,Ingredients!A$1:A$318,0)))</f>
        <v xml:space="preserve">http://www.treasury.gov.za/divisions/ocpo/ostb/contracts/RT42-2022zip </v>
      </c>
      <c r="I796">
        <f>1/100*I792*$I$782</f>
        <v>1.8326008519233301E-4</v>
      </c>
      <c r="J796" s="133" t="s">
        <v>1479</v>
      </c>
      <c r="K796" s="135">
        <f>I796*E796</f>
        <v>5.7543666750392566E-3</v>
      </c>
    </row>
    <row r="797" spans="1:11">
      <c r="A797" t="s">
        <v>445</v>
      </c>
      <c r="B797" s="136" t="s">
        <v>393</v>
      </c>
      <c r="F797" s="5"/>
    </row>
    <row r="798" spans="1:11">
      <c r="A798" t="s">
        <v>445</v>
      </c>
      <c r="B798" s="137" t="s">
        <v>77</v>
      </c>
      <c r="C798" t="s">
        <v>389</v>
      </c>
      <c r="D798" t="s">
        <v>75</v>
      </c>
      <c r="E798" s="70">
        <f>IF(B798="","",INDEX(Ingredients!$I$1:$I$5013,(MATCH(InterventionCosts!B798,Ingredients!$A$1:$A$5013,0))))</f>
        <v>71.889951748999991</v>
      </c>
      <c r="F798" s="5" t="str">
        <f>INDEX(Ingredients!J$1:J$265,(MATCH(InterventionCosts!B798,Ingredients!A$1:A$265,0)))</f>
        <v>per test</v>
      </c>
      <c r="G798">
        <f>IF(B798="","",INDEX(Ingredients!$E$1:$E$238,(MATCH(InterventionCosts!B798,Ingredients!A$1:A$238,0))))</f>
        <v>2021</v>
      </c>
      <c r="H798" t="str">
        <f>INDEX(Ingredients!$F$1:$F$318,(MATCH(InterventionCosts!B798,Ingredients!A$1:A$318,0)))</f>
        <v>NHLS 2021 price-list</v>
      </c>
      <c r="I798">
        <f>0.02*$I$782</f>
        <v>0.02</v>
      </c>
      <c r="J798" s="85" t="s">
        <v>397</v>
      </c>
      <c r="K798" s="85">
        <f t="shared" ref="K798:K804" si="31">I798*E798</f>
        <v>1.4377990349799998</v>
      </c>
    </row>
    <row r="799" spans="1:11">
      <c r="A799" t="s">
        <v>445</v>
      </c>
      <c r="B799" s="137" t="s">
        <v>54</v>
      </c>
      <c r="C799" t="s">
        <v>389</v>
      </c>
      <c r="D799" t="s">
        <v>48</v>
      </c>
      <c r="E799" s="70">
        <f>IF(B799="","",INDEX(Ingredients!$I$1:$I$5013,(MATCH(InterventionCosts!B799,Ingredients!$A$1:$A$5013,0))))</f>
        <v>1.2444366591928251</v>
      </c>
      <c r="F799" s="5" t="str">
        <f>INDEX(Ingredients!J$1:J$265,(MATCH(InterventionCosts!B799,Ingredients!A$1:A$265,0)))</f>
        <v>per minute</v>
      </c>
      <c r="G799">
        <f>IF(B799="","",INDEX(Ingredients!$E$1:$E$238,(MATCH(InterventionCosts!B799,Ingredients!A$1:A$238,0))))</f>
        <v>2024</v>
      </c>
      <c r="H799" t="str">
        <f>INDEX(Ingredients!$F$1:$F$318,(MATCH(InterventionCosts!B799,Ingredients!A$1:A$318,0)))</f>
        <v xml:space="preserve">April 2024 Salary scale </v>
      </c>
      <c r="I799">
        <f>15*I798*$I$782</f>
        <v>0.3</v>
      </c>
      <c r="J799" s="133" t="s">
        <v>414</v>
      </c>
      <c r="K799" s="85">
        <f t="shared" si="31"/>
        <v>0.3733309977578475</v>
      </c>
    </row>
    <row r="800" spans="1:11">
      <c r="A800" t="s">
        <v>445</v>
      </c>
      <c r="B800" s="137" t="s">
        <v>1489</v>
      </c>
      <c r="C800" t="s">
        <v>389</v>
      </c>
      <c r="D800" s="5" t="s">
        <v>21</v>
      </c>
      <c r="E800" s="70">
        <f>IF(B800="","",INDEX(Ingredients!$I$1:$I$5013,(MATCH(InterventionCosts!B800,Ingredients!$A$1:$A$5013,0))))</f>
        <v>53.08</v>
      </c>
      <c r="F800" s="5" t="str">
        <f>INDEX(Ingredients!J$1:J$265,(MATCH(InterventionCosts!B800,Ingredients!A$1:A$265,0)))</f>
        <v>per pack 100, 50 pairs</v>
      </c>
      <c r="G800">
        <f>IF(B800="","",INDEX(Ingredients!$E$1:$E$238,(MATCH(InterventionCosts!B800,Ingredients!A$1:A$238,0))))</f>
        <v>2024</v>
      </c>
      <c r="H800" t="str">
        <f>INDEX(Ingredients!$F$1:$F$318,(MATCH(InterventionCosts!B800,Ingredients!A$1:A$318,0)))</f>
        <v>https://www.treasury.gov.za/divisions/ocpo/ostb/contracts/RT76-2023%20CPA%20Amendment%204-%20Effective%2001%20May%202024.pdf</v>
      </c>
      <c r="I800">
        <f>2/100*I798*$I$782</f>
        <v>4.0000000000000002E-4</v>
      </c>
      <c r="J800" s="85" t="s">
        <v>397</v>
      </c>
      <c r="K800" s="85">
        <f t="shared" si="31"/>
        <v>2.1232000000000001E-2</v>
      </c>
    </row>
    <row r="801" spans="1:11">
      <c r="A801" t="s">
        <v>445</v>
      </c>
      <c r="B801" s="137" t="s">
        <v>45</v>
      </c>
      <c r="C801" t="s">
        <v>389</v>
      </c>
      <c r="D801" s="5" t="s">
        <v>21</v>
      </c>
      <c r="E801" s="70">
        <f>IF(B801="","",INDEX(Ingredients!$I$1:$I$5013,(MATCH(InterventionCosts!B801,Ingredients!$A$1:$A$5013,0))))</f>
        <v>46</v>
      </c>
      <c r="F801" s="5" t="str">
        <f>INDEX(Ingredients!J$1:J$265,(MATCH(InterventionCosts!B801,Ingredients!A$1:A$265,0)))</f>
        <v>per pack 100</v>
      </c>
      <c r="G801">
        <f>IF(B801="","",INDEX(Ingredients!$E$1:$E$238,(MATCH(InterventionCosts!B801,Ingredients!A$1:A$238,0))))</f>
        <v>2024</v>
      </c>
      <c r="H801" t="str">
        <f>INDEX(Ingredients!$F$1:$F$318,(MATCH(InterventionCosts!B801,Ingredients!A$1:A$318,0)))</f>
        <v>https://www.treasury.gov.za/divisions/ocpo/ostb/contracts/RT284-2023.zip</v>
      </c>
      <c r="I801">
        <f>1/100*I798*$I$782</f>
        <v>2.0000000000000001E-4</v>
      </c>
      <c r="J801" s="85" t="s">
        <v>397</v>
      </c>
      <c r="K801" s="135">
        <f t="shared" si="31"/>
        <v>9.1999999999999998E-3</v>
      </c>
    </row>
    <row r="802" spans="1:11">
      <c r="A802" t="s">
        <v>445</v>
      </c>
      <c r="B802" s="137" t="s">
        <v>31</v>
      </c>
      <c r="C802" t="s">
        <v>389</v>
      </c>
      <c r="D802" s="5" t="s">
        <v>21</v>
      </c>
      <c r="E802" s="70">
        <f>IF(B802="","",INDEX(Ingredients!$I$1:$I$5013,(MATCH(InterventionCosts!B802,Ingredients!$A$1:$A$5013,0))))</f>
        <v>31.4</v>
      </c>
      <c r="F802" s="5" t="str">
        <f>INDEX(Ingredients!J$1:J$265,(MATCH(InterventionCosts!B802,Ingredients!A$1:A$265,0)))</f>
        <v>per 100 swabs</v>
      </c>
      <c r="G802">
        <f>IF(B802="","",INDEX(Ingredients!$E$1:$E$238,(MATCH(InterventionCosts!B802,Ingredients!A$1:A$238,0))))</f>
        <v>2024</v>
      </c>
      <c r="H802" t="str">
        <f>INDEX(Ingredients!$F$1:$F$318,(MATCH(InterventionCosts!B802,Ingredients!A$1:A$318,0)))</f>
        <v xml:space="preserve">http://www.treasury.gov.za/divisions/ocpo/ostb/contracts/RT42-2022zip </v>
      </c>
      <c r="I802">
        <f>1/100*I798*$I$782</f>
        <v>2.0000000000000001E-4</v>
      </c>
      <c r="J802" s="85" t="s">
        <v>397</v>
      </c>
      <c r="K802" s="135">
        <f t="shared" si="31"/>
        <v>6.28E-3</v>
      </c>
    </row>
    <row r="803" spans="1:11">
      <c r="A803" t="s">
        <v>445</v>
      </c>
      <c r="B803" s="139" t="s">
        <v>401</v>
      </c>
      <c r="C803" t="s">
        <v>389</v>
      </c>
      <c r="D803" s="5" t="s">
        <v>21</v>
      </c>
      <c r="E803" s="70">
        <f>IF(B803="","",INDEX(Ingredients!$I$1:$I$5013,(MATCH(InterventionCosts!B803,Ingredients!$A$1:$A$5013,0))))</f>
        <v>4.8734277524838099</v>
      </c>
      <c r="F803" s="5" t="str">
        <f>INDEX(Ingredients!J$1:J$265,(MATCH(InterventionCosts!B803,Ingredients!A$1:A$265,0)))</f>
        <v>per test</v>
      </c>
      <c r="G803">
        <f>IF(B803="","",INDEX(Ingredients!$E$1:$E$238,(MATCH(InterventionCosts!B803,Ingredients!A$1:A$238,0))))</f>
        <v>2019</v>
      </c>
      <c r="H803" t="str">
        <f>INDEX(Ingredients!$F$1:$F$318,(MATCH(InterventionCosts!B803,Ingredients!A$1:A$318,0)))</f>
        <v>Kendon Medical Supplies Pty Ltd, quote (19 Aug 2019)</v>
      </c>
      <c r="I803">
        <f>1*$I$782</f>
        <v>1</v>
      </c>
      <c r="J803" t="s">
        <v>1476</v>
      </c>
      <c r="K803" s="85">
        <f t="shared" si="31"/>
        <v>4.8734277524838099</v>
      </c>
    </row>
    <row r="804" spans="1:11">
      <c r="A804" t="s">
        <v>445</v>
      </c>
      <c r="B804" s="139" t="s">
        <v>43</v>
      </c>
      <c r="C804" t="s">
        <v>389</v>
      </c>
      <c r="D804" s="5" t="s">
        <v>21</v>
      </c>
      <c r="E804" s="70">
        <f>IF(B804="","",INDEX(Ingredients!$I$1:$I$5013,(MATCH(InterventionCosts!B804,Ingredients!$A$1:$A$5013,0))))</f>
        <v>0.61939459752201187</v>
      </c>
      <c r="F804" s="5" t="str">
        <f>INDEX(Ingredients!J$1:J$265,(MATCH(InterventionCosts!B804,Ingredients!A$1:A$265,0)))</f>
        <v>per condom</v>
      </c>
      <c r="G804">
        <f>IF(B804="","",INDEX(Ingredients!$E$1:$E$238,(MATCH(InterventionCosts!B804,Ingredients!A$1:A$238,0))))</f>
        <v>2024</v>
      </c>
      <c r="H804" t="str">
        <f>INDEX(Ingredients!$F$1:$F$318,(MATCH(InterventionCosts!B804,Ingredients!A$1:A$318,0)))</f>
        <v>https://www.treasury.gov.za/divisions/ocpo/ostb/contracts/RT75-2021.zip</v>
      </c>
      <c r="I804">
        <f>6*$I$782</f>
        <v>6</v>
      </c>
      <c r="J804" t="s">
        <v>1476</v>
      </c>
      <c r="K804" s="85">
        <f t="shared" si="31"/>
        <v>3.7163675851320712</v>
      </c>
    </row>
    <row r="805" spans="1:11">
      <c r="A805" t="s">
        <v>445</v>
      </c>
      <c r="B805" s="140" t="s">
        <v>415</v>
      </c>
      <c r="C805" s="141"/>
      <c r="D805" s="141"/>
      <c r="E805" s="142"/>
      <c r="F805" s="141"/>
      <c r="G805" s="141"/>
      <c r="H805" s="141"/>
      <c r="I805" s="141"/>
      <c r="J805" s="141"/>
      <c r="K805" s="143"/>
    </row>
    <row r="806" spans="1:11">
      <c r="A806" t="s">
        <v>445</v>
      </c>
      <c r="B806" s="146" t="s">
        <v>416</v>
      </c>
    </row>
    <row r="807" spans="1:11">
      <c r="A807" t="s">
        <v>445</v>
      </c>
      <c r="B807" s="147" t="s">
        <v>423</v>
      </c>
      <c r="C807" t="s">
        <v>389</v>
      </c>
      <c r="D807" t="s">
        <v>81</v>
      </c>
      <c r="E807" s="70">
        <f>IF(B807="","",INDEX(Ingredients!$I$1:$I$5013,(MATCH(InterventionCosts!B807,Ingredients!$A$1:$A$5013,0))))</f>
        <v>4096.797192613778</v>
      </c>
      <c r="F807" s="5" t="str">
        <f>INDEX(Ingredients!J$1:J$265,(MATCH(InterventionCosts!B807,Ingredients!A$1:A$265,0)))</f>
        <v>per person trained</v>
      </c>
      <c r="G807">
        <f>IF(B807="","",INDEX(Ingredients!$E$1:$E$238,(MATCH(InterventionCosts!B807,Ingredients!A$1:A$238,0))))</f>
        <v>2015</v>
      </c>
      <c r="H807" t="str">
        <f>INDEX(Ingredients!$F$1:$F$318,(MATCH(InterventionCosts!B807,Ingredients!A$1:A$318,0)))</f>
        <v>Clinton Health Access Initiative (2015)</v>
      </c>
      <c r="I807">
        <f>2/160</f>
        <v>1.2500000000000001E-2</v>
      </c>
      <c r="J807" t="s">
        <v>431</v>
      </c>
      <c r="K807" s="85">
        <f>I807*E807</f>
        <v>51.20996490767223</v>
      </c>
    </row>
    <row r="808" spans="1:11">
      <c r="A808" t="s">
        <v>445</v>
      </c>
      <c r="B808" s="147" t="s">
        <v>39</v>
      </c>
      <c r="C808" t="s">
        <v>389</v>
      </c>
      <c r="D808" t="s">
        <v>21</v>
      </c>
      <c r="E808" s="70">
        <f>IF(B808="","",INDEX(Ingredients!$I$1:$I$5013,(MATCH(InterventionCosts!B808,Ingredients!$A$1:$A$5013,0))))</f>
        <v>0.90383818045604736</v>
      </c>
      <c r="F808" s="5" t="str">
        <f>INDEX(Ingredients!J$1:J$265,(MATCH(InterventionCosts!B808,Ingredients!A$1:A$265,0)))</f>
        <v>per material</v>
      </c>
      <c r="G808">
        <f>IF(B808="","",INDEX(Ingredients!$E$1:$E$238,(MATCH(InterventionCosts!B808,Ingredients!A$1:A$238,0))))</f>
        <v>2016</v>
      </c>
      <c r="H808" t="str">
        <f>INDEX(Ingredients!$F$1:$F$318,(MATCH(InterventionCosts!B808,Ingredients!A$1:A$318,0)))</f>
        <v>RSA Global Fund Grant portfolio budgets 2016</v>
      </c>
      <c r="I808">
        <v>1</v>
      </c>
      <c r="J808" t="s">
        <v>406</v>
      </c>
      <c r="K808" s="85">
        <f>I808*E808</f>
        <v>0.90383818045604736</v>
      </c>
    </row>
    <row r="809" spans="1:11">
      <c r="A809" t="s">
        <v>445</v>
      </c>
      <c r="B809" s="146" t="s">
        <v>417</v>
      </c>
    </row>
    <row r="810" spans="1:11">
      <c r="A810" t="s">
        <v>445</v>
      </c>
      <c r="B810" s="147" t="s">
        <v>423</v>
      </c>
      <c r="C810" t="s">
        <v>389</v>
      </c>
      <c r="D810" t="s">
        <v>81</v>
      </c>
      <c r="E810" s="70">
        <f>IF(B810="","",INDEX(Ingredients!$I$1:$I$5013,(MATCH(InterventionCosts!B810,Ingredients!$A$1:$A$5013,0))))</f>
        <v>4096.797192613778</v>
      </c>
      <c r="F810" s="5" t="str">
        <f>INDEX(Ingredients!J$1:J$265,(MATCH(InterventionCosts!B810,Ingredients!A$1:A$265,0)))</f>
        <v>per person trained</v>
      </c>
      <c r="G810">
        <f>IF(B810="","",INDEX(Ingredients!$E$1:$E$238,(MATCH(InterventionCosts!B810,Ingredients!A$1:A$238,0))))</f>
        <v>2015</v>
      </c>
      <c r="H810" t="str">
        <f>INDEX(Ingredients!$F$1:$F$318,(MATCH(InterventionCosts!B810,Ingredients!A$1:A$318,0)))</f>
        <v>Clinton Health Access Initiative (2015)</v>
      </c>
      <c r="I810">
        <f>1/160</f>
        <v>6.2500000000000003E-3</v>
      </c>
      <c r="J810" t="s">
        <v>432</v>
      </c>
      <c r="K810" s="85">
        <f>I810*E810</f>
        <v>25.604982453836115</v>
      </c>
    </row>
    <row r="811" spans="1:11">
      <c r="A811" t="s">
        <v>445</v>
      </c>
      <c r="B811" s="147" t="s">
        <v>39</v>
      </c>
      <c r="C811" t="s">
        <v>389</v>
      </c>
      <c r="D811" t="s">
        <v>21</v>
      </c>
      <c r="E811" s="70">
        <f>IF(B811="","",INDEX(Ingredients!$I$1:$I$5013,(MATCH(InterventionCosts!B811,Ingredients!$A$1:$A$5013,0))))</f>
        <v>0.90383818045604736</v>
      </c>
      <c r="F811" s="5" t="str">
        <f>INDEX(Ingredients!J$1:J$265,(MATCH(InterventionCosts!B811,Ingredients!A$1:A$265,0)))</f>
        <v>per material</v>
      </c>
      <c r="G811">
        <f>IF(B811="","",INDEX(Ingredients!$E$1:$E$238,(MATCH(InterventionCosts!B811,Ingredients!A$1:A$238,0))))</f>
        <v>2016</v>
      </c>
      <c r="H811" t="str">
        <f>INDEX(Ingredients!$F$1:$F$318,(MATCH(InterventionCosts!B811,Ingredients!A$1:A$318,0)))</f>
        <v>RSA Global Fund Grant portfolio budgets 2016</v>
      </c>
      <c r="I811">
        <v>1</v>
      </c>
      <c r="J811" t="s">
        <v>406</v>
      </c>
      <c r="K811" s="85">
        <f>I811*E811</f>
        <v>0.90383818045604736</v>
      </c>
    </row>
    <row r="812" spans="1:11">
      <c r="A812" t="s">
        <v>445</v>
      </c>
      <c r="B812" s="146" t="s">
        <v>418</v>
      </c>
    </row>
    <row r="813" spans="1:11">
      <c r="A813" t="s">
        <v>445</v>
      </c>
      <c r="B813" s="147" t="s">
        <v>424</v>
      </c>
      <c r="C813" t="s">
        <v>389</v>
      </c>
      <c r="D813" t="s">
        <v>81</v>
      </c>
      <c r="E813" s="70">
        <f>IF(B813="","",INDEX(Ingredients!$I$1:$I$5013,(MATCH(InterventionCosts!B813,Ingredients!$A$1:$A$5013,0))))</f>
        <v>628.51855</v>
      </c>
      <c r="F813" s="5" t="str">
        <f>INDEX(Ingredients!J$1:J$265,(MATCH(InterventionCosts!B813,Ingredients!A$1:A$265,0)))</f>
        <v>per person trained</v>
      </c>
      <c r="G813">
        <f>IF(B813="","",INDEX(Ingredients!$E$1:$E$238,(MATCH(InterventionCosts!B813,Ingredients!A$1:A$238,0))))</f>
        <v>2022</v>
      </c>
      <c r="H813" t="str">
        <f>INDEX(Ingredients!$F$1:$F$318,(MATCH(InterventionCosts!B813,Ingredients!A$1:A$318,0)))</f>
        <v>GF Grant Portfolio Budget 2022 (Steve's Cohen personal communication)</v>
      </c>
      <c r="I813">
        <f>1/160</f>
        <v>6.2500000000000003E-3</v>
      </c>
      <c r="J813" t="s">
        <v>432</v>
      </c>
      <c r="K813" s="85">
        <f>I813*E813</f>
        <v>3.9282409375</v>
      </c>
    </row>
    <row r="814" spans="1:11">
      <c r="A814" t="s">
        <v>445</v>
      </c>
      <c r="B814" s="147" t="s">
        <v>39</v>
      </c>
      <c r="C814" t="s">
        <v>389</v>
      </c>
      <c r="D814" t="s">
        <v>21</v>
      </c>
      <c r="E814" s="70">
        <f>IF(B814="","",INDEX(Ingredients!$I$1:$I$5013,(MATCH(InterventionCosts!B814,Ingredients!$A$1:$A$5013,0))))</f>
        <v>0.90383818045604736</v>
      </c>
      <c r="F814" s="5" t="str">
        <f>INDEX(Ingredients!J$1:J$265,(MATCH(InterventionCosts!B814,Ingredients!A$1:A$265,0)))</f>
        <v>per material</v>
      </c>
      <c r="G814">
        <f>IF(B814="","",INDEX(Ingredients!$E$1:$E$238,(MATCH(InterventionCosts!B814,Ingredients!A$1:A$238,0))))</f>
        <v>2016</v>
      </c>
      <c r="H814" t="str">
        <f>INDEX(Ingredients!$F$1:$F$318,(MATCH(InterventionCosts!B814,Ingredients!A$1:A$318,0)))</f>
        <v>RSA Global Fund Grant portfolio budgets 2016</v>
      </c>
      <c r="I814">
        <v>1</v>
      </c>
      <c r="J814" t="s">
        <v>406</v>
      </c>
      <c r="K814" s="85">
        <f>I814*E814</f>
        <v>0.90383818045604736</v>
      </c>
    </row>
    <row r="815" spans="1:11">
      <c r="A815" t="s">
        <v>445</v>
      </c>
      <c r="B815" s="146" t="s">
        <v>419</v>
      </c>
    </row>
    <row r="816" spans="1:11">
      <c r="A816" t="s">
        <v>445</v>
      </c>
      <c r="B816" s="147" t="s">
        <v>111</v>
      </c>
      <c r="C816" t="s">
        <v>389</v>
      </c>
      <c r="D816" t="s">
        <v>81</v>
      </c>
      <c r="E816" s="70">
        <f>IF(B816="","",INDEX(Ingredients!$I$1:$I$5013,(MATCH(InterventionCosts!B816,Ingredients!$A$1:$A$5013,0))))</f>
        <v>239.77392959288917</v>
      </c>
      <c r="F816" s="5" t="str">
        <f>INDEX(Ingredients!J$1:J$265,(MATCH(InterventionCosts!B816,Ingredients!A$1:A$265,0)))</f>
        <v>pp per workshop</v>
      </c>
      <c r="G816">
        <f>IF(B816="","",INDEX(Ingredients!$E$1:$E$238,(MATCH(InterventionCosts!B816,Ingredients!A$1:A$238,0))))</f>
        <v>2018</v>
      </c>
      <c r="H816" t="str">
        <f>INDEX(Ingredients!$F$1:$F$318,(MATCH(InterventionCosts!B816,Ingredients!A$1:A$318,0)))</f>
        <v>RSA Global Fund Grant portfolio budgets 2018, Subject to revision during grant negotiations (Steve's email)</v>
      </c>
      <c r="I816" s="148">
        <f>1/100</f>
        <v>0.01</v>
      </c>
      <c r="J816" s="149" t="s">
        <v>433</v>
      </c>
      <c r="K816" s="85">
        <f>I816*E816</f>
        <v>2.3977392959288917</v>
      </c>
    </row>
    <row r="817" spans="1:14">
      <c r="A817" t="s">
        <v>445</v>
      </c>
      <c r="B817" s="147" t="s">
        <v>39</v>
      </c>
      <c r="C817" t="s">
        <v>389</v>
      </c>
      <c r="D817" t="s">
        <v>21</v>
      </c>
      <c r="E817" s="70">
        <f>IF(B817="","",INDEX(Ingredients!$I$1:$I$5013,(MATCH(InterventionCosts!B817,Ingredients!$A$1:$A$5013,0))))</f>
        <v>0.90383818045604736</v>
      </c>
      <c r="F817" s="5" t="str">
        <f>INDEX(Ingredients!J$1:J$265,(MATCH(InterventionCosts!B817,Ingredients!A$1:A$265,0)))</f>
        <v>per material</v>
      </c>
      <c r="G817">
        <f>IF(B817="","",INDEX(Ingredients!$E$1:$E$238,(MATCH(InterventionCosts!B817,Ingredients!A$1:A$238,0))))</f>
        <v>2016</v>
      </c>
      <c r="H817" t="str">
        <f>INDEX(Ingredients!$F$1:$F$318,(MATCH(InterventionCosts!B817,Ingredients!A$1:A$318,0)))</f>
        <v>RSA Global Fund Grant portfolio budgets 2016</v>
      </c>
      <c r="I817" s="148">
        <v>1</v>
      </c>
      <c r="J817" s="149" t="s">
        <v>434</v>
      </c>
      <c r="K817" s="85">
        <f>I817*E817</f>
        <v>0.90383818045604736</v>
      </c>
    </row>
    <row r="818" spans="1:14">
      <c r="A818" t="s">
        <v>445</v>
      </c>
      <c r="B818" s="147" t="s">
        <v>425</v>
      </c>
      <c r="C818" t="s">
        <v>389</v>
      </c>
      <c r="D818" t="s">
        <v>48</v>
      </c>
      <c r="E818" s="70">
        <f>IF(B818="","",INDEX(Ingredients!$I$1:$I$5013,(MATCH(InterventionCosts!B818,Ingredients!$A$1:$A$5013,0))))</f>
        <v>4100.2266666666665</v>
      </c>
      <c r="F818" s="5" t="str">
        <f>INDEX(Ingredients!J$1:J$265,(MATCH(InterventionCosts!B818,Ingredients!A$1:A$265,0)))</f>
        <v>per month</v>
      </c>
      <c r="G818">
        <f>IF(B818="","",INDEX(Ingredients!$E$1:$E$238,(MATCH(InterventionCosts!B818,Ingredients!A$1:A$238,0))))</f>
        <v>2024</v>
      </c>
      <c r="H818" t="str">
        <f>INDEX(Ingredients!$F$1:$F$318,(MATCH(InterventionCosts!B818,Ingredients!A$1:A$318,0)))</f>
        <v>https://www.health.gov.za/wp-content/uploads/2022/07/Health-Department-welcomes-Bargaining-Council-resolution-to-improve-work-conditions-of-CHWs-27-July-2022.pdf</v>
      </c>
      <c r="I818" s="150">
        <f>((15/(8*60))*workdayspermonth)/160*12</f>
        <v>4.3554687499999994E-2</v>
      </c>
      <c r="J818" s="149" t="s">
        <v>435</v>
      </c>
      <c r="K818" s="85">
        <f>I818*E818</f>
        <v>178.5840911458333</v>
      </c>
    </row>
    <row r="819" spans="1:14">
      <c r="A819" t="s">
        <v>445</v>
      </c>
      <c r="B819" s="146" t="s">
        <v>420</v>
      </c>
    </row>
    <row r="820" spans="1:14">
      <c r="A820" t="s">
        <v>445</v>
      </c>
      <c r="B820" s="147" t="s">
        <v>246</v>
      </c>
      <c r="C820" t="s">
        <v>389</v>
      </c>
      <c r="D820" t="s">
        <v>21</v>
      </c>
      <c r="E820" s="70">
        <f>IF(B820="","",INDEX(Ingredients!$I$1:$I$5013,(MATCH(InterventionCosts!B820,Ingredients!$A$1:$A$5013,0))))</f>
        <v>0.16400000000000001</v>
      </c>
      <c r="F820" s="5" t="str">
        <f>INDEX(Ingredients!J$1:J$265,(MATCH(InterventionCosts!B820,Ingredients!A$1:A$265,0)))</f>
        <v>per page</v>
      </c>
      <c r="G820">
        <f>IF(B820="","",INDEX(Ingredients!$E$1:$E$238,(MATCH(InterventionCosts!B820,Ingredients!A$1:A$238,0))))</f>
        <v>2024</v>
      </c>
      <c r="H820" t="str">
        <f>INDEX(Ingredients!$F$1:$F$318,(MATCH(InterventionCosts!B820,Ingredients!A$1:A$318,0)))</f>
        <v>https://www.makro.co.za/stationery-office-furniture/paper-filing/paper/white-paper/copy-paper/typek-a4-office-paper-80-gsm/p/000000000000012434_BOX</v>
      </c>
      <c r="I820" s="148">
        <f>2*1</f>
        <v>2</v>
      </c>
      <c r="J820" s="149" t="s">
        <v>436</v>
      </c>
      <c r="K820" s="85">
        <f>I820*E820</f>
        <v>0.32800000000000001</v>
      </c>
    </row>
    <row r="821" spans="1:14">
      <c r="A821" t="s">
        <v>445</v>
      </c>
      <c r="B821" s="147" t="s">
        <v>426</v>
      </c>
      <c r="C821" t="s">
        <v>389</v>
      </c>
      <c r="D821" t="s">
        <v>21</v>
      </c>
      <c r="E821" s="70">
        <f>IF(B821="","",INDEX(Ingredients!$I$1:$I$5013,(MATCH(InterventionCosts!B821,Ingredients!$A$1:$A$5013,0))))</f>
        <v>0.45800000000000002</v>
      </c>
      <c r="F821" s="5" t="str">
        <f>INDEX(Ingredients!J$1:J$265,(MATCH(InterventionCosts!B821,Ingredients!A$1:A$265,0)))</f>
        <v>per page</v>
      </c>
      <c r="G821">
        <f>IF(B821="","",INDEX(Ingredients!$E$1:$E$238,(MATCH(InterventionCosts!B821,Ingredients!A$1:A$238,0))))</f>
        <v>2024</v>
      </c>
      <c r="H821" t="str">
        <f>INDEX(Ingredients!$F$1:$F$318,(MATCH(InterventionCosts!B821,Ingredients!A$1:A$318,0)))</f>
        <v>https://www.makro.co.za/stationery-office-furniture/paper-filing/paper/white-paper/a3-paper/typek-a3-office-paper-80-gsm/p/000000000000877929_EA</v>
      </c>
      <c r="I821" s="148">
        <f>1/160*12</f>
        <v>7.5000000000000011E-2</v>
      </c>
      <c r="J821" s="149" t="s">
        <v>437</v>
      </c>
      <c r="K821" s="85">
        <f>I821*E821</f>
        <v>3.4350000000000006E-2</v>
      </c>
    </row>
    <row r="822" spans="1:14">
      <c r="A822" t="s">
        <v>445</v>
      </c>
      <c r="B822" s="147" t="s">
        <v>55</v>
      </c>
      <c r="C822" t="s">
        <v>389</v>
      </c>
      <c r="D822" t="s">
        <v>48</v>
      </c>
      <c r="E822" s="70">
        <f>IF(B822="","",INDEX(Ingredients!$I$1:$I$5013,(MATCH(InterventionCosts!B822,Ingredients!$A$1:$A$5013,0))))</f>
        <v>1.8549350710014947</v>
      </c>
      <c r="F822" s="5" t="str">
        <f>INDEX(Ingredients!J$1:J$265,(MATCH(InterventionCosts!B822,Ingredients!A$1:A$265,0)))</f>
        <v>per minute</v>
      </c>
      <c r="G822">
        <f>IF(B822="","",INDEX(Ingredients!$E$1:$E$238,(MATCH(InterventionCosts!B822,Ingredients!A$1:A$238,0))))</f>
        <v>2024</v>
      </c>
      <c r="H822" t="str">
        <f>INDEX(Ingredients!$F$1:$F$318,(MATCH(InterventionCosts!B822,Ingredients!A$1:A$318,0)))</f>
        <v xml:space="preserve">April 2024 Salary scale </v>
      </c>
      <c r="I822" s="148">
        <f>(60*12)/160</f>
        <v>4.5</v>
      </c>
      <c r="J822" s="149" t="s">
        <v>438</v>
      </c>
      <c r="K822" s="85">
        <f>I822*E822</f>
        <v>8.3472078195067265</v>
      </c>
    </row>
    <row r="823" spans="1:14">
      <c r="A823" t="s">
        <v>445</v>
      </c>
      <c r="B823" s="146" t="s">
        <v>421</v>
      </c>
    </row>
    <row r="824" spans="1:14">
      <c r="A824" t="s">
        <v>445</v>
      </c>
      <c r="B824" s="147" t="s">
        <v>422</v>
      </c>
      <c r="C824" t="s">
        <v>389</v>
      </c>
      <c r="D824" t="s">
        <v>81</v>
      </c>
      <c r="E824" s="70"/>
      <c r="F824" s="5"/>
      <c r="J824" t="s">
        <v>441</v>
      </c>
      <c r="K824" s="85">
        <f>0.07*SUM(K730:K822,K825)</f>
        <v>87.181922355778184</v>
      </c>
      <c r="L824" s="85" t="s">
        <v>427</v>
      </c>
    </row>
    <row r="825" spans="1:14">
      <c r="A825" t="s">
        <v>445</v>
      </c>
      <c r="B825" s="147" t="s">
        <v>52</v>
      </c>
      <c r="C825" t="s">
        <v>389</v>
      </c>
      <c r="D825" t="s">
        <v>48</v>
      </c>
      <c r="E825" s="70">
        <f>IF(B825="","",INDEX(Ingredients!$I$1:$I$5013,(MATCH(InterventionCosts!B825,Ingredients!$A$1:$A$5013,0))))</f>
        <v>1.8019482436472347</v>
      </c>
      <c r="F825" s="5" t="str">
        <f>INDEX(Ingredients!J$1:J$265,(MATCH(InterventionCosts!B825,Ingredients!A$1:A$265,0)))</f>
        <v>per minute</v>
      </c>
      <c r="G825">
        <f>IF(B825="","",INDEX(Ingredients!$E$1:$E$238,(MATCH(InterventionCosts!B825,Ingredients!A$1:A$238,0))))</f>
        <v>2024</v>
      </c>
      <c r="H825" t="str">
        <f>INDEX(Ingredients!$F$1:$F$318,(MATCH(InterventionCosts!B825,Ingredients!A$1:A$318,0)))</f>
        <v xml:space="preserve">April 2024 Salary scale </v>
      </c>
      <c r="I825">
        <v>6</v>
      </c>
      <c r="J825" s="149" t="s">
        <v>439</v>
      </c>
      <c r="K825" s="85">
        <f>I825*E825</f>
        <v>10.811689461883407</v>
      </c>
    </row>
    <row r="826" spans="1:14" s="89" customFormat="1">
      <c r="A826" s="4" t="s">
        <v>445</v>
      </c>
      <c r="F826" s="89" t="s">
        <v>1164</v>
      </c>
      <c r="G826" s="89" t="str">
        <f>IF(B826="","",INDEX(Ingredients!$E$1:$E$238,(MATCH(InterventionCosts!B826,Ingredients!A$1:A$238,0))))</f>
        <v/>
      </c>
      <c r="K826" s="90"/>
      <c r="L826" s="90">
        <f>SUM(K730:K825)</f>
        <v>1332.6379560097521</v>
      </c>
      <c r="M826" s="92"/>
      <c r="N826" s="4"/>
    </row>
    <row r="827" spans="1:14" s="89" customFormat="1">
      <c r="A827" s="4" t="s">
        <v>445</v>
      </c>
      <c r="F827" s="89" t="s">
        <v>117</v>
      </c>
      <c r="G827" s="89" t="str">
        <f>IF(B827="","",INDEX(Ingredients!$E$1:$E$238,(MATCH(InterventionCosts!B827,Ingredients!A$1:A$238,0))))</f>
        <v/>
      </c>
      <c r="K827" s="90"/>
      <c r="L827" s="90" t="s">
        <v>440</v>
      </c>
    </row>
    <row r="829" spans="1:14">
      <c r="A829" t="s">
        <v>446</v>
      </c>
      <c r="B829" s="144" t="s">
        <v>1463</v>
      </c>
      <c r="C829" s="141"/>
      <c r="D829" s="141"/>
      <c r="E829" s="142"/>
      <c r="F829" s="141"/>
      <c r="G829" s="141"/>
      <c r="H829" s="141"/>
      <c r="I829" s="141"/>
      <c r="J829" s="141"/>
      <c r="K829" s="143"/>
    </row>
    <row r="830" spans="1:14">
      <c r="A830" t="s">
        <v>446</v>
      </c>
      <c r="B830" s="136" t="s">
        <v>390</v>
      </c>
    </row>
    <row r="831" spans="1:14">
      <c r="A831" t="s">
        <v>446</v>
      </c>
      <c r="B831" s="137" t="s">
        <v>54</v>
      </c>
      <c r="C831" t="s">
        <v>389</v>
      </c>
      <c r="D831" t="s">
        <v>48</v>
      </c>
      <c r="E831" s="70">
        <f>IF(B831="","",INDEX(Ingredients!$I$1:$I$5013,(MATCH(InterventionCosts!B831,Ingredients!$A$1:$A$5013,0))))</f>
        <v>1.2444366591928251</v>
      </c>
      <c r="F831" s="5" t="str">
        <f>INDEX(Ingredients!J$1:J$265,(MATCH(InterventionCosts!B831,Ingredients!A$1:A$265,0)))</f>
        <v>per minute</v>
      </c>
      <c r="G831">
        <f>IF(B831="","",INDEX(Ingredients!$E$1:$E$238,(MATCH(InterventionCosts!B831,Ingredients!A$1:A$238,0))))</f>
        <v>2024</v>
      </c>
      <c r="H831" t="str">
        <f>INDEX(Ingredients!$F$1:$F$318,(MATCH(InterventionCosts!B831,Ingredients!A$1:A$318,0)))</f>
        <v xml:space="preserve">April 2024 Salary scale </v>
      </c>
      <c r="I831">
        <v>1</v>
      </c>
      <c r="J831" t="s">
        <v>1476</v>
      </c>
      <c r="K831" s="85">
        <f>I831*E831</f>
        <v>1.2444366591928251</v>
      </c>
      <c r="L831" s="85" t="s">
        <v>1510</v>
      </c>
    </row>
    <row r="832" spans="1:14">
      <c r="A832" t="s">
        <v>446</v>
      </c>
      <c r="B832" s="137" t="s">
        <v>246</v>
      </c>
      <c r="C832" t="s">
        <v>389</v>
      </c>
      <c r="D832" s="5" t="s">
        <v>21</v>
      </c>
      <c r="E832" s="70">
        <f>IF(B832="","",INDEX(Ingredients!$I$1:$I$5013,(MATCH(InterventionCosts!B832,Ingredients!$A$1:$A$5013,0))))</f>
        <v>0.16400000000000001</v>
      </c>
      <c r="F832" s="5" t="str">
        <f>INDEX(Ingredients!J$1:J$265,(MATCH(InterventionCosts!B832,Ingredients!A$1:A$265,0)))</f>
        <v>per page</v>
      </c>
      <c r="G832">
        <f>IF(B832="","",INDEX(Ingredients!$E$1:$E$238,(MATCH(InterventionCosts!B832,Ingredients!A$1:A$238,0))))</f>
        <v>2024</v>
      </c>
      <c r="H832" t="str">
        <f>INDEX(Ingredients!$F$1:$F$318,(MATCH(InterventionCosts!B832,Ingredients!A$1:A$318,0)))</f>
        <v>https://www.makro.co.za/stationery-office-furniture/paper-filing/paper/white-paper/copy-paper/typek-a4-office-paper-80-gsm/p/000000000000012434_BOX</v>
      </c>
      <c r="I832">
        <f>1</f>
        <v>1</v>
      </c>
      <c r="J832" t="s">
        <v>1476</v>
      </c>
      <c r="K832" s="85">
        <f>I832*E832</f>
        <v>0.16400000000000001</v>
      </c>
      <c r="L832" s="85" t="s">
        <v>1510</v>
      </c>
    </row>
    <row r="833" spans="1:17">
      <c r="A833" t="s">
        <v>446</v>
      </c>
      <c r="B833" s="136" t="s">
        <v>391</v>
      </c>
      <c r="F833" s="3" t="s">
        <v>396</v>
      </c>
      <c r="I833" s="153">
        <f>0.719002</f>
        <v>0.71900200000000003</v>
      </c>
      <c r="J833" s="3" t="s">
        <v>443</v>
      </c>
      <c r="O833" s="3"/>
      <c r="P833" s="153"/>
      <c r="Q833" s="3"/>
    </row>
    <row r="834" spans="1:17">
      <c r="A834" t="s">
        <v>446</v>
      </c>
      <c r="B834" s="137" t="s">
        <v>79</v>
      </c>
      <c r="C834" t="s">
        <v>389</v>
      </c>
      <c r="D834" s="5" t="s">
        <v>21</v>
      </c>
      <c r="E834" s="70">
        <f>IF(B834="","",INDEX(Ingredients!$I$1:$I$5013,(MATCH(InterventionCosts!B834,Ingredients!$A$1:$A$5013,0))))</f>
        <v>9.3000000000000007</v>
      </c>
      <c r="F834" s="5" t="str">
        <f>INDEX(Ingredients!J$1:J$265,(MATCH(InterventionCosts!B834,Ingredients!A$1:A$265,0)))</f>
        <v>per test</v>
      </c>
      <c r="G834">
        <f>IF(B834="","",INDEX(Ingredients!$E$1:$E$238,(MATCH(InterventionCosts!B834,Ingredients!A$1:A$238,0))))</f>
        <v>2024</v>
      </c>
      <c r="H834" t="str">
        <f>INDEX(Ingredients!$F$1:$F$318,(MATCH(InterventionCosts!B834,Ingredients!A$1:A$318,0)))</f>
        <v>https://www.treasury.gov.za/divisions/ocpo/ostb/contracts/RT41-2020.zip</v>
      </c>
      <c r="I834" s="134">
        <f>1/(1-I833)</f>
        <v>3.5587441903501098</v>
      </c>
      <c r="J834" s="133" t="s">
        <v>394</v>
      </c>
      <c r="K834" s="85">
        <f>I834*E834</f>
        <v>33.096320970256023</v>
      </c>
      <c r="L834"/>
    </row>
    <row r="835" spans="1:17">
      <c r="A835" t="s">
        <v>446</v>
      </c>
      <c r="B835" s="137" t="s">
        <v>54</v>
      </c>
      <c r="C835" t="s">
        <v>389</v>
      </c>
      <c r="D835" t="s">
        <v>48</v>
      </c>
      <c r="E835" s="70">
        <f>IF(B835="","",INDEX(Ingredients!$I$1:$I$5013,(MATCH(InterventionCosts!B835,Ingredients!$A$1:$A$5013,0))))</f>
        <v>1.2444366591928251</v>
      </c>
      <c r="F835" s="5" t="str">
        <f>INDEX(Ingredients!J$1:J$265,(MATCH(InterventionCosts!B835,Ingredients!A$1:A$265,0)))</f>
        <v>per minute</v>
      </c>
      <c r="G835">
        <f>IF(B835="","",INDEX(Ingredients!$E$1:$E$238,(MATCH(InterventionCosts!B835,Ingredients!A$1:A$238,0))))</f>
        <v>2024</v>
      </c>
      <c r="H835" t="str">
        <f>INDEX(Ingredients!$F$1:$F$318,(MATCH(InterventionCosts!B835,Ingredients!A$1:A$318,0)))</f>
        <v xml:space="preserve">April 2024 Salary scale </v>
      </c>
      <c r="I835" s="134">
        <f>15+1/(1-I833)</f>
        <v>18.558744190350112</v>
      </c>
      <c r="J835" s="133" t="s">
        <v>395</v>
      </c>
      <c r="K835" s="85">
        <f>I835*E835</f>
        <v>23.095181619053545</v>
      </c>
      <c r="L835"/>
    </row>
    <row r="836" spans="1:17">
      <c r="A836" t="s">
        <v>446</v>
      </c>
      <c r="B836" s="137" t="s">
        <v>1489</v>
      </c>
      <c r="C836" t="s">
        <v>389</v>
      </c>
      <c r="D836" s="5" t="s">
        <v>21</v>
      </c>
      <c r="E836" s="70">
        <f>IF(B836="","",INDEX(Ingredients!$I$1:$I$5013,(MATCH(InterventionCosts!B836,Ingredients!$A$1:$A$5013,0))))</f>
        <v>53.08</v>
      </c>
      <c r="F836" s="5" t="str">
        <f>INDEX(Ingredients!J$1:J$265,(MATCH(InterventionCosts!B836,Ingredients!A$1:A$265,0)))</f>
        <v>per pack 100, 50 pairs</v>
      </c>
      <c r="G836">
        <f>IF(B836="","",INDEX(Ingredients!$E$1:$E$238,(MATCH(InterventionCosts!B836,Ingredients!A$1:A$238,0))))</f>
        <v>2024</v>
      </c>
      <c r="H836" t="str">
        <f>INDEX(Ingredients!$F$1:$F$318,(MATCH(InterventionCosts!B836,Ingredients!A$1:A$318,0)))</f>
        <v>https://www.treasury.gov.za/divisions/ocpo/ostb/contracts/RT76-2023%20CPA%20Amendment%204-%20Effective%2001%20May%202024.pdf</v>
      </c>
      <c r="I836" s="134">
        <f>2/100*(1/(1-I833))</f>
        <v>7.1174883807002196E-2</v>
      </c>
      <c r="J836" s="133" t="s">
        <v>394</v>
      </c>
      <c r="K836" s="85">
        <f>I836*E836</f>
        <v>3.7779628324756764</v>
      </c>
      <c r="L836"/>
    </row>
    <row r="837" spans="1:17">
      <c r="A837" t="s">
        <v>446</v>
      </c>
      <c r="B837" s="137" t="s">
        <v>31</v>
      </c>
      <c r="C837" t="s">
        <v>389</v>
      </c>
      <c r="D837" s="5" t="s">
        <v>21</v>
      </c>
      <c r="E837" s="70">
        <f>IF(B837="","",INDEX(Ingredients!$I$1:$I$5013,(MATCH(InterventionCosts!B837,Ingredients!$A$1:$A$5013,0))))</f>
        <v>31.4</v>
      </c>
      <c r="F837" s="5" t="str">
        <f>INDEX(Ingredients!J$1:J$265,(MATCH(InterventionCosts!B837,Ingredients!A$1:A$265,0)))</f>
        <v>per 100 swabs</v>
      </c>
      <c r="G837">
        <f>IF(B837="","",INDEX(Ingredients!$E$1:$E$238,(MATCH(InterventionCosts!B837,Ingredients!A$1:A$238,0))))</f>
        <v>2024</v>
      </c>
      <c r="H837" t="str">
        <f>INDEX(Ingredients!$F$1:$F$318,(MATCH(InterventionCosts!B837,Ingredients!A$1:A$318,0)))</f>
        <v xml:space="preserve">http://www.treasury.gov.za/divisions/ocpo/ostb/contracts/RT42-2022zip </v>
      </c>
      <c r="I837" s="134">
        <f>1/100*(1/(1-I833))</f>
        <v>3.5587441903501098E-2</v>
      </c>
      <c r="J837" s="133" t="s">
        <v>394</v>
      </c>
      <c r="K837" s="85">
        <f>I837*E837</f>
        <v>1.1174456757699345</v>
      </c>
      <c r="L837"/>
    </row>
    <row r="838" spans="1:17">
      <c r="A838" t="s">
        <v>446</v>
      </c>
      <c r="B838" s="136" t="s">
        <v>392</v>
      </c>
      <c r="E838" s="70"/>
      <c r="F838" s="5"/>
    </row>
    <row r="839" spans="1:17">
      <c r="A839" t="s">
        <v>446</v>
      </c>
      <c r="B839" s="137" t="s">
        <v>79</v>
      </c>
      <c r="C839" t="s">
        <v>389</v>
      </c>
      <c r="D839" s="5" t="s">
        <v>21</v>
      </c>
      <c r="E839" s="70">
        <f>IF(B839="","",INDEX(Ingredients!$I$1:$I$5013,(MATCH(InterventionCosts!B839,Ingredients!$A$1:$A$5013,0))))</f>
        <v>9.3000000000000007</v>
      </c>
      <c r="F839" s="5" t="str">
        <f>INDEX(Ingredients!J$1:J$265,(MATCH(InterventionCosts!B839,Ingredients!A$1:A$265,0)))</f>
        <v>per test</v>
      </c>
      <c r="G839">
        <f>IF(B839="","",INDEX(Ingredients!$E$1:$E$238,(MATCH(InterventionCosts!B839,Ingredients!A$1:A$238,0))))</f>
        <v>2024</v>
      </c>
      <c r="H839" t="str">
        <f>INDEX(Ingredients!$F$1:$F$318,(MATCH(InterventionCosts!B839,Ingredients!A$1:A$318,0)))</f>
        <v>https://www.treasury.gov.za/divisions/ocpo/ostb/contracts/RT41-2020.zip</v>
      </c>
      <c r="I839" s="134">
        <f>I833</f>
        <v>0.71900200000000003</v>
      </c>
      <c r="J839" s="85" t="s">
        <v>396</v>
      </c>
      <c r="K839" s="85">
        <f>I839*E839</f>
        <v>6.6867186000000007</v>
      </c>
      <c r="L839"/>
    </row>
    <row r="840" spans="1:17">
      <c r="A840" t="s">
        <v>446</v>
      </c>
      <c r="B840" s="137" t="s">
        <v>54</v>
      </c>
      <c r="C840" t="s">
        <v>389</v>
      </c>
      <c r="D840" t="s">
        <v>48</v>
      </c>
      <c r="E840" s="70">
        <f>IF(B840="","",INDEX(Ingredients!$I$1:$I$5013,(MATCH(InterventionCosts!B840,Ingredients!$A$1:$A$5013,0))))</f>
        <v>1.2444366591928251</v>
      </c>
      <c r="F840" s="5" t="str">
        <f>INDEX(Ingredients!J$1:J$265,(MATCH(InterventionCosts!B840,Ingredients!A$1:A$265,0)))</f>
        <v>per minute</v>
      </c>
      <c r="G840">
        <f>IF(B840="","",INDEX(Ingredients!$E$1:$E$238,(MATCH(InterventionCosts!B840,Ingredients!A$1:A$238,0))))</f>
        <v>2024</v>
      </c>
      <c r="H840" t="str">
        <f>INDEX(Ingredients!$F$1:$F$318,(MATCH(InterventionCosts!B840,Ingredients!A$1:A$318,0)))</f>
        <v xml:space="preserve">April 2024 Salary scale </v>
      </c>
      <c r="I840" s="134">
        <f>(15+1/(1-I833))*I833</f>
        <v>13.343774190350112</v>
      </c>
      <c r="J840" s="133" t="s">
        <v>395</v>
      </c>
      <c r="K840" s="85">
        <f>I840*E840</f>
        <v>16.605481774462739</v>
      </c>
      <c r="L840"/>
    </row>
    <row r="841" spans="1:17">
      <c r="A841" t="s">
        <v>446</v>
      </c>
      <c r="B841" s="137" t="s">
        <v>1489</v>
      </c>
      <c r="C841" t="s">
        <v>389</v>
      </c>
      <c r="D841" s="5" t="s">
        <v>21</v>
      </c>
      <c r="E841" s="70">
        <f>IF(B841="","",INDEX(Ingredients!$I$1:$I$5013,(MATCH(InterventionCosts!B841,Ingredients!$A$1:$A$5013,0))))</f>
        <v>53.08</v>
      </c>
      <c r="F841" s="5" t="str">
        <f>INDEX(Ingredients!J$1:J$265,(MATCH(InterventionCosts!B841,Ingredients!A$1:A$265,0)))</f>
        <v>per pack 100, 50 pairs</v>
      </c>
      <c r="G841">
        <f>IF(B841="","",INDEX(Ingredients!$E$1:$E$238,(MATCH(InterventionCosts!B841,Ingredients!A$1:A$238,0))))</f>
        <v>2024</v>
      </c>
      <c r="H841" t="str">
        <f>INDEX(Ingredients!$F$1:$F$318,(MATCH(InterventionCosts!B841,Ingredients!A$1:A$318,0)))</f>
        <v>https://www.treasury.gov.za/divisions/ocpo/ostb/contracts/RT76-2023%20CPA%20Amendment%204-%20Effective%2001%20May%202024.pdf</v>
      </c>
      <c r="I841" s="152">
        <f>2/100*I833</f>
        <v>1.438004E-2</v>
      </c>
      <c r="J841" s="133" t="s">
        <v>1478</v>
      </c>
      <c r="K841" s="85">
        <f>I841*E841</f>
        <v>0.76329252319999996</v>
      </c>
      <c r="L841"/>
    </row>
    <row r="842" spans="1:17">
      <c r="A842" t="s">
        <v>446</v>
      </c>
      <c r="B842" s="137" t="s">
        <v>31</v>
      </c>
      <c r="C842" t="s">
        <v>389</v>
      </c>
      <c r="D842" s="5" t="s">
        <v>21</v>
      </c>
      <c r="E842" s="70">
        <f>IF(B842="","",INDEX(Ingredients!$I$1:$I$5013,(MATCH(InterventionCosts!B842,Ingredients!$A$1:$A$5013,0))))</f>
        <v>31.4</v>
      </c>
      <c r="F842" s="5" t="str">
        <f>INDEX(Ingredients!J$1:J$265,(MATCH(InterventionCosts!B842,Ingredients!A$1:A$265,0)))</f>
        <v>per 100 swabs</v>
      </c>
      <c r="G842">
        <f>IF(B842="","",INDEX(Ingredients!$E$1:$E$238,(MATCH(InterventionCosts!B842,Ingredients!A$1:A$238,0))))</f>
        <v>2024</v>
      </c>
      <c r="H842" t="str">
        <f>INDEX(Ingredients!$F$1:$F$318,(MATCH(InterventionCosts!B842,Ingredients!A$1:A$318,0)))</f>
        <v xml:space="preserve">http://www.treasury.gov.za/divisions/ocpo/ostb/contracts/RT42-2022zip </v>
      </c>
      <c r="I842" s="152">
        <f>1/100*I833</f>
        <v>7.1900200000000001E-3</v>
      </c>
      <c r="J842" s="133" t="s">
        <v>1477</v>
      </c>
      <c r="K842" s="85">
        <f>I842*E842</f>
        <v>0.225766628</v>
      </c>
      <c r="L842"/>
    </row>
    <row r="843" spans="1:17">
      <c r="A843" t="s">
        <v>446</v>
      </c>
      <c r="B843" s="136" t="s">
        <v>393</v>
      </c>
      <c r="F843" s="5"/>
    </row>
    <row r="844" spans="1:17">
      <c r="A844" t="s">
        <v>446</v>
      </c>
      <c r="B844" s="137" t="s">
        <v>77</v>
      </c>
      <c r="C844" t="s">
        <v>389</v>
      </c>
      <c r="D844" t="s">
        <v>75</v>
      </c>
      <c r="E844" s="70">
        <f>IF(B844="","",INDEX(Ingredients!$I$1:$I$5013,(MATCH(InterventionCosts!B844,Ingredients!$A$1:$A$5013,0))))</f>
        <v>71.889951748999991</v>
      </c>
      <c r="F844" s="5" t="str">
        <f>INDEX(Ingredients!J$1:J$265,(MATCH(InterventionCosts!B844,Ingredients!A$1:A$265,0)))</f>
        <v>per test</v>
      </c>
      <c r="G844">
        <f>IF(B844="","",INDEX(Ingredients!$E$1:$E$238,(MATCH(InterventionCosts!B844,Ingredients!A$1:A$238,0))))</f>
        <v>2021</v>
      </c>
      <c r="H844" t="str">
        <f>INDEX(Ingredients!$F$1:$F$318,(MATCH(InterventionCosts!B844,Ingredients!A$1:A$318,0)))</f>
        <v>NHLS 2021 price-list</v>
      </c>
      <c r="I844">
        <v>0.02</v>
      </c>
      <c r="J844" s="85" t="s">
        <v>397</v>
      </c>
      <c r="K844" s="85">
        <f>I844*E844</f>
        <v>1.4377990349799998</v>
      </c>
      <c r="L844" s="85" t="s">
        <v>397</v>
      </c>
    </row>
    <row r="845" spans="1:17">
      <c r="A845" t="s">
        <v>446</v>
      </c>
      <c r="B845" s="137" t="s">
        <v>54</v>
      </c>
      <c r="C845" t="s">
        <v>389</v>
      </c>
      <c r="D845" t="s">
        <v>48</v>
      </c>
      <c r="E845" s="70">
        <f>IF(B845="","",INDEX(Ingredients!$I$1:$I$5013,(MATCH(InterventionCosts!B845,Ingredients!$A$1:$A$5013,0))))</f>
        <v>1.2444366591928251</v>
      </c>
      <c r="F845" s="5" t="str">
        <f>INDEX(Ingredients!J$1:J$265,(MATCH(InterventionCosts!B845,Ingredients!A$1:A$265,0)))</f>
        <v>per minute</v>
      </c>
      <c r="G845">
        <f>IF(B845="","",INDEX(Ingredients!$E$1:$E$238,(MATCH(InterventionCosts!B845,Ingredients!A$1:A$238,0))))</f>
        <v>2024</v>
      </c>
      <c r="H845" t="str">
        <f>INDEX(Ingredients!$F$1:$F$318,(MATCH(InterventionCosts!B845,Ingredients!A$1:A$318,0)))</f>
        <v xml:space="preserve">April 2024 Salary scale </v>
      </c>
      <c r="I845">
        <f>15*0.02</f>
        <v>0.3</v>
      </c>
      <c r="J845" s="133" t="s">
        <v>395</v>
      </c>
      <c r="K845" s="85">
        <f>I845*E845</f>
        <v>0.3733309977578475</v>
      </c>
    </row>
    <row r="846" spans="1:17">
      <c r="A846" t="s">
        <v>446</v>
      </c>
      <c r="B846" s="137" t="s">
        <v>1489</v>
      </c>
      <c r="C846" t="s">
        <v>389</v>
      </c>
      <c r="D846" s="5" t="s">
        <v>21</v>
      </c>
      <c r="E846" s="70">
        <f>IF(B846="","",INDEX(Ingredients!$I$1:$I$5013,(MATCH(InterventionCosts!B846,Ingredients!$A$1:$A$5013,0))))</f>
        <v>53.08</v>
      </c>
      <c r="F846" s="5" t="str">
        <f>INDEX(Ingredients!J$1:J$265,(MATCH(InterventionCosts!B846,Ingredients!A$1:A$265,0)))</f>
        <v>per pack 100, 50 pairs</v>
      </c>
      <c r="G846">
        <f>IF(B846="","",INDEX(Ingredients!$E$1:$E$238,(MATCH(InterventionCosts!B846,Ingredients!A$1:A$238,0))))</f>
        <v>2024</v>
      </c>
      <c r="H846" t="str">
        <f>INDEX(Ingredients!$F$1:$F$318,(MATCH(InterventionCosts!B846,Ingredients!A$1:A$318,0)))</f>
        <v>https://www.treasury.gov.za/divisions/ocpo/ostb/contracts/RT76-2023%20CPA%20Amendment%204-%20Effective%2001%20May%202024.pdf</v>
      </c>
      <c r="I846">
        <f>2/100*0.02</f>
        <v>4.0000000000000002E-4</v>
      </c>
      <c r="J846" t="s">
        <v>1476</v>
      </c>
      <c r="K846" s="85">
        <f>I846*E846</f>
        <v>2.1232000000000001E-2</v>
      </c>
    </row>
    <row r="847" spans="1:17">
      <c r="A847" t="s">
        <v>446</v>
      </c>
      <c r="B847" s="137" t="s">
        <v>45</v>
      </c>
      <c r="C847" t="s">
        <v>389</v>
      </c>
      <c r="D847" s="5" t="s">
        <v>21</v>
      </c>
      <c r="E847" s="70">
        <f>IF(B847="","",INDEX(Ingredients!$I$1:$I$5013,(MATCH(InterventionCosts!B847,Ingredients!$A$1:$A$5013,0))))</f>
        <v>46</v>
      </c>
      <c r="F847" s="5" t="str">
        <f>INDEX(Ingredients!J$1:J$265,(MATCH(InterventionCosts!B847,Ingredients!A$1:A$265,0)))</f>
        <v>per pack 100</v>
      </c>
      <c r="G847">
        <f>IF(B847="","",INDEX(Ingredients!$E$1:$E$238,(MATCH(InterventionCosts!B847,Ingredients!A$1:A$238,0))))</f>
        <v>2024</v>
      </c>
      <c r="H847" t="str">
        <f>INDEX(Ingredients!$F$1:$F$318,(MATCH(InterventionCosts!B847,Ingredients!A$1:A$318,0)))</f>
        <v>https://www.treasury.gov.za/divisions/ocpo/ostb/contracts/RT284-2023.zip</v>
      </c>
      <c r="I847">
        <f>1/100*0.02</f>
        <v>2.0000000000000001E-4</v>
      </c>
      <c r="J847" t="s">
        <v>1476</v>
      </c>
      <c r="K847" s="135">
        <f>I847*E847</f>
        <v>9.1999999999999998E-3</v>
      </c>
    </row>
    <row r="848" spans="1:17">
      <c r="A848" t="s">
        <v>446</v>
      </c>
      <c r="B848" s="137" t="s">
        <v>31</v>
      </c>
      <c r="C848" t="s">
        <v>389</v>
      </c>
      <c r="D848" s="5" t="s">
        <v>21</v>
      </c>
      <c r="E848" s="70">
        <f>IF(B848="","",INDEX(Ingredients!$I$1:$I$5013,(MATCH(InterventionCosts!B848,Ingredients!$A$1:$A$5013,0))))</f>
        <v>31.4</v>
      </c>
      <c r="F848" s="5" t="str">
        <f>INDEX(Ingredients!J$1:J$265,(MATCH(InterventionCosts!B848,Ingredients!A$1:A$265,0)))</f>
        <v>per 100 swabs</v>
      </c>
      <c r="G848">
        <f>IF(B848="","",INDEX(Ingredients!$E$1:$E$238,(MATCH(InterventionCosts!B848,Ingredients!A$1:A$238,0))))</f>
        <v>2024</v>
      </c>
      <c r="H848" t="str">
        <f>INDEX(Ingredients!$F$1:$F$318,(MATCH(InterventionCosts!B848,Ingredients!A$1:A$318,0)))</f>
        <v xml:space="preserve">http://www.treasury.gov.za/divisions/ocpo/ostb/contracts/RT42-2022zip </v>
      </c>
      <c r="I848">
        <f>1/100*0.02</f>
        <v>2.0000000000000001E-4</v>
      </c>
      <c r="J848" t="s">
        <v>1476</v>
      </c>
      <c r="K848" s="135">
        <f>I848*E848</f>
        <v>6.28E-3</v>
      </c>
    </row>
    <row r="849" spans="1:12">
      <c r="A849" t="s">
        <v>446</v>
      </c>
      <c r="B849" s="136" t="s">
        <v>398</v>
      </c>
    </row>
    <row r="850" spans="1:12">
      <c r="A850" t="s">
        <v>446</v>
      </c>
      <c r="B850" s="137" t="s">
        <v>354</v>
      </c>
      <c r="C850" t="s">
        <v>389</v>
      </c>
      <c r="D850" t="s">
        <v>48</v>
      </c>
      <c r="E850" s="70">
        <f>IF(B850="","",INDEX(Ingredients!$I$1:$I$5013,(MATCH(InterventionCosts!B850,Ingredients!$A$1:$A$5013,0))))</f>
        <v>4.8996605630293981</v>
      </c>
      <c r="F850" s="5" t="str">
        <f>INDEX(Ingredients!J$1:J$265,(MATCH(InterventionCosts!B850,Ingredients!A$1:A$265,0)))</f>
        <v>per minute</v>
      </c>
      <c r="G850">
        <f>IF(B850="","",INDEX(Ingredients!$E$1:$E$238,(MATCH(InterventionCosts!B850,Ingredients!A$1:A$238,0))))</f>
        <v>2024</v>
      </c>
      <c r="H850" t="str">
        <f>INDEX(Ingredients!$F$1:$F$318,(MATCH(InterventionCosts!B850,Ingredients!A$1:A$318,0)))</f>
        <v xml:space="preserve">April 2024 Salary scale </v>
      </c>
      <c r="I850">
        <v>15</v>
      </c>
      <c r="J850" s="133" t="s">
        <v>395</v>
      </c>
      <c r="K850" s="85">
        <f>I850*E850</f>
        <v>73.49490844544097</v>
      </c>
    </row>
    <row r="851" spans="1:12">
      <c r="A851" t="s">
        <v>446</v>
      </c>
      <c r="B851" s="137" t="s">
        <v>399</v>
      </c>
      <c r="C851" t="s">
        <v>389</v>
      </c>
      <c r="D851" t="s">
        <v>75</v>
      </c>
      <c r="E851" s="70">
        <f>IF(B851="","",INDEX(Ingredients!$I$1:$I$5013,(MATCH(InterventionCosts!B851,Ingredients!$A$1:$A$5013,0))))</f>
        <v>164.00940154829999</v>
      </c>
      <c r="F851" s="5" t="str">
        <f>INDEX(Ingredients!J$1:J$265,(MATCH(InterventionCosts!B851,Ingredients!A$1:A$265,0)))</f>
        <v>per test</v>
      </c>
      <c r="G851">
        <f>IF(B851="","",INDEX(Ingredients!$E$1:$E$238,(MATCH(InterventionCosts!B851,Ingredients!A$1:A$238,0))))</f>
        <v>2021</v>
      </c>
      <c r="H851" t="str">
        <f>INDEX(Ingredients!$F$1:$F$318,(MATCH(InterventionCosts!B851,Ingredients!A$1:A$318,0)))</f>
        <v>NHLS 2021 price-list</v>
      </c>
      <c r="I851">
        <v>1</v>
      </c>
      <c r="J851" t="s">
        <v>1476</v>
      </c>
      <c r="K851" s="85">
        <f>I851*E851</f>
        <v>164.00940154829999</v>
      </c>
    </row>
    <row r="852" spans="1:12" ht="16">
      <c r="A852" t="s">
        <v>446</v>
      </c>
      <c r="B852" s="137" t="s">
        <v>400</v>
      </c>
      <c r="C852" t="s">
        <v>389</v>
      </c>
      <c r="D852" t="s">
        <v>75</v>
      </c>
      <c r="E852" s="70">
        <f>IF(B852="","",INDEX(Ingredients!$I$1:$I$5013,(MATCH(InterventionCosts!B852,Ingredients!$A$1:$A$5013,0))))</f>
        <v>59.183820742199998</v>
      </c>
      <c r="F852" s="5" t="str">
        <f>INDEX(Ingredients!J$1:J$265,(MATCH(InterventionCosts!B852,Ingredients!A$1:A$265,0)))</f>
        <v>per test</v>
      </c>
      <c r="G852">
        <f>IF(B852="","",INDEX(Ingredients!$E$1:$E$238,(MATCH(InterventionCosts!B852,Ingredients!A$1:A$238,0))))</f>
        <v>2021</v>
      </c>
      <c r="H852" t="str">
        <f>INDEX(Ingredients!$F$1:$F$318,(MATCH(InterventionCosts!B852,Ingredients!A$1:A$318,0)))</f>
        <v>NHLS 2021 price-list</v>
      </c>
      <c r="I852">
        <v>3.5999999999999997E-2</v>
      </c>
      <c r="J852" t="s">
        <v>403</v>
      </c>
      <c r="K852" s="85">
        <f>I852*E852</f>
        <v>2.1306175467191997</v>
      </c>
      <c r="L852" s="151" t="s">
        <v>404</v>
      </c>
    </row>
    <row r="853" spans="1:12">
      <c r="A853" t="s">
        <v>446</v>
      </c>
      <c r="B853" s="137" t="s">
        <v>401</v>
      </c>
      <c r="C853" t="s">
        <v>389</v>
      </c>
      <c r="D853" s="5" t="s">
        <v>21</v>
      </c>
      <c r="E853" s="70">
        <f>IF(B853="","",INDEX(Ingredients!$I$1:$I$5013,(MATCH(InterventionCosts!B853,Ingredients!$A$1:$A$5013,0))))</f>
        <v>4.8734277524838099</v>
      </c>
      <c r="F853" s="5" t="str">
        <f>INDEX(Ingredients!J$1:J$265,(MATCH(InterventionCosts!B853,Ingredients!A$1:A$265,0)))</f>
        <v>per test</v>
      </c>
      <c r="G853">
        <f>IF(B853="","",INDEX(Ingredients!$E$1:$E$238,(MATCH(InterventionCosts!B853,Ingredients!A$1:A$238,0))))</f>
        <v>2019</v>
      </c>
      <c r="H853" t="str">
        <f>INDEX(Ingredients!$F$1:$F$318,(MATCH(InterventionCosts!B853,Ingredients!A$1:A$318,0)))</f>
        <v>Kendon Medical Supplies Pty Ltd, quote (19 Aug 2019)</v>
      </c>
      <c r="I853">
        <v>1</v>
      </c>
      <c r="J853" t="s">
        <v>1476</v>
      </c>
      <c r="K853" s="85">
        <f>I853*E853</f>
        <v>4.8734277524838099</v>
      </c>
    </row>
    <row r="854" spans="1:12">
      <c r="A854" t="s">
        <v>446</v>
      </c>
      <c r="B854" s="136" t="s">
        <v>405</v>
      </c>
    </row>
    <row r="855" spans="1:12">
      <c r="A855" t="s">
        <v>446</v>
      </c>
      <c r="B855" s="137" t="s">
        <v>54</v>
      </c>
      <c r="C855" t="s">
        <v>389</v>
      </c>
      <c r="D855" t="s">
        <v>48</v>
      </c>
      <c r="E855" s="70">
        <f>IF(B855="","",INDEX(Ingredients!$I$1:$I$5013,(MATCH(InterventionCosts!B855,Ingredients!$A$1:$A$5013,0))))</f>
        <v>1.2444366591928251</v>
      </c>
      <c r="F855" s="5" t="str">
        <f>INDEX(Ingredients!J$1:J$265,(MATCH(InterventionCosts!B855,Ingredients!A$1:A$265,0)))</f>
        <v>per minute</v>
      </c>
      <c r="G855">
        <f>IF(B855="","",INDEX(Ingredients!$E$1:$E$238,(MATCH(InterventionCosts!B855,Ingredients!A$1:A$238,0))))</f>
        <v>2024</v>
      </c>
      <c r="H855" t="str">
        <f>INDEX(Ingredients!$F$1:$F$318,(MATCH(InterventionCosts!B855,Ingredients!A$1:A$318,0)))</f>
        <v xml:space="preserve">April 2024 Salary scale </v>
      </c>
      <c r="I855">
        <v>5</v>
      </c>
      <c r="J855" s="133" t="s">
        <v>1476</v>
      </c>
      <c r="K855" s="85">
        <f>I855*E855</f>
        <v>6.2221832959641254</v>
      </c>
    </row>
    <row r="856" spans="1:12">
      <c r="A856" t="s">
        <v>446</v>
      </c>
      <c r="B856" s="139" t="s">
        <v>407</v>
      </c>
      <c r="C856" t="s">
        <v>389</v>
      </c>
      <c r="D856" t="s">
        <v>75</v>
      </c>
      <c r="E856" s="70">
        <f>IF(B856="","",INDEX(Ingredients!$I$1:$I$5013,(MATCH(InterventionCosts!B856,Ingredients!$A$1:$A$5013,0))))</f>
        <v>11.96</v>
      </c>
      <c r="F856" s="5" t="str">
        <f>INDEX(Ingredients!J$1:J$265,(MATCH(InterventionCosts!B856,Ingredients!A$1:A$265,0)))</f>
        <v>per test</v>
      </c>
      <c r="G856">
        <f>IF(B856="","",INDEX(Ingredients!$E$1:$E$238,(MATCH(InterventionCosts!B856,Ingredients!A$1:A$238,0))))</f>
        <v>2024</v>
      </c>
      <c r="H856" t="str">
        <f>INDEX(Ingredients!$F$1:$F$318,(MATCH(InterventionCosts!B856,Ingredients!A$1:A$318,0)))</f>
        <v>https://www.treasury.gov.za/divisions/ocpo/ostb/contracts/RT41-1-2020%20CPA%20Addendum%205.pdf</v>
      </c>
      <c r="I856">
        <v>1</v>
      </c>
      <c r="J856" s="133" t="s">
        <v>1476</v>
      </c>
      <c r="K856" s="85">
        <f>I856*E856</f>
        <v>11.96</v>
      </c>
    </row>
    <row r="857" spans="1:12">
      <c r="A857" t="s">
        <v>446</v>
      </c>
      <c r="B857" s="136" t="s">
        <v>411</v>
      </c>
      <c r="E857" s="70"/>
      <c r="F857" s="5"/>
    </row>
    <row r="858" spans="1:12">
      <c r="A858" t="s">
        <v>446</v>
      </c>
      <c r="B858" s="137" t="s">
        <v>410</v>
      </c>
      <c r="C858" t="s">
        <v>389</v>
      </c>
      <c r="D858" t="s">
        <v>70</v>
      </c>
      <c r="E858" s="70">
        <f>IF(B858="","",INDEX(Ingredients!$I$1:$I$5013,(MATCH(InterventionCosts!B858,Ingredients!$A$1:$A$5013,0))))</f>
        <v>64.888000253702032</v>
      </c>
      <c r="F858" s="5" t="str">
        <f>INDEX(Ingredients!J$1:J$265,(MATCH(InterventionCosts!B858,Ingredients!A$1:A$265,0)))</f>
        <v>per drug per month</v>
      </c>
      <c r="G858">
        <f>IF(B858="","",INDEX(Ingredients!$E$1:$E$238,(MATCH(InterventionCosts!B858,Ingredients!A$1:A$238,0))))</f>
        <v>2024</v>
      </c>
      <c r="H858" t="str">
        <f>INDEX(Ingredients!$F$1:$F$318,(MATCH(InterventionCosts!B858,Ingredients!A$1:A$318,0)))</f>
        <v>Master Procurement Circular May 2024</v>
      </c>
      <c r="I858">
        <v>1</v>
      </c>
      <c r="J858" t="s">
        <v>1484</v>
      </c>
      <c r="K858" s="85">
        <f>I858*E858</f>
        <v>64.888000253702032</v>
      </c>
    </row>
    <row r="859" spans="1:12">
      <c r="A859" t="s">
        <v>446</v>
      </c>
      <c r="B859" s="137" t="s">
        <v>354</v>
      </c>
      <c r="C859" t="s">
        <v>389</v>
      </c>
      <c r="D859" t="s">
        <v>48</v>
      </c>
      <c r="E859" s="70">
        <f>IF(B859="","",INDEX(Ingredients!$I$1:$I$5013,(MATCH(InterventionCosts!B859,Ingredients!$A$1:$A$5013,0))))</f>
        <v>4.8996605630293981</v>
      </c>
      <c r="F859" s="5" t="str">
        <f>INDEX(Ingredients!J$1:J$265,(MATCH(InterventionCosts!B859,Ingredients!A$1:A$265,0)))</f>
        <v>per minute</v>
      </c>
      <c r="G859">
        <f>IF(B859="","",INDEX(Ingredients!$E$1:$E$238,(MATCH(InterventionCosts!B859,Ingredients!A$1:A$238,0))))</f>
        <v>2024</v>
      </c>
      <c r="H859" t="str">
        <f>INDEX(Ingredients!$F$1:$F$318,(MATCH(InterventionCosts!B859,Ingredients!A$1:A$318,0)))</f>
        <v xml:space="preserve">April 2024 Salary scale </v>
      </c>
      <c r="I859">
        <v>2</v>
      </c>
      <c r="J859" s="133" t="s">
        <v>395</v>
      </c>
      <c r="K859" s="85">
        <f>I859*E859</f>
        <v>9.7993211260587962</v>
      </c>
    </row>
    <row r="860" spans="1:12">
      <c r="A860" t="s">
        <v>446</v>
      </c>
      <c r="B860" s="137" t="s">
        <v>54</v>
      </c>
      <c r="C860" t="s">
        <v>389</v>
      </c>
      <c r="D860" t="s">
        <v>48</v>
      </c>
      <c r="E860" s="70">
        <f>IF(B860="","",INDEX(Ingredients!$I$1:$I$5013,(MATCH(InterventionCosts!B860,Ingredients!$A$1:$A$5013,0))))</f>
        <v>1.2444366591928251</v>
      </c>
      <c r="F860" s="5" t="str">
        <f>INDEX(Ingredients!J$1:J$265,(MATCH(InterventionCosts!B860,Ingredients!A$1:A$265,0)))</f>
        <v>per minute</v>
      </c>
      <c r="G860">
        <f>IF(B860="","",INDEX(Ingredients!$E$1:$E$238,(MATCH(InterventionCosts!B860,Ingredients!A$1:A$238,0))))</f>
        <v>2024</v>
      </c>
      <c r="H860" t="str">
        <f>INDEX(Ingredients!$F$1:$F$318,(MATCH(InterventionCosts!B860,Ingredients!A$1:A$318,0)))</f>
        <v xml:space="preserve">April 2024 Salary scale </v>
      </c>
      <c r="I860">
        <v>15</v>
      </c>
      <c r="J860" s="133" t="s">
        <v>395</v>
      </c>
      <c r="K860" s="85">
        <f>I860*E860</f>
        <v>18.666549887892376</v>
      </c>
    </row>
    <row r="861" spans="1:12">
      <c r="A861" t="s">
        <v>446</v>
      </c>
      <c r="B861" s="137" t="s">
        <v>43</v>
      </c>
      <c r="C861" t="s">
        <v>389</v>
      </c>
      <c r="D861" s="5" t="s">
        <v>21</v>
      </c>
      <c r="E861" s="70">
        <f>IF(B861="","",INDEX(Ingredients!$I$1:$I$5013,(MATCH(InterventionCosts!B861,Ingredients!$A$1:$A$5013,0))))</f>
        <v>0.61939459752201187</v>
      </c>
      <c r="F861" s="5" t="str">
        <f>INDEX(Ingredients!J$1:J$265,(MATCH(InterventionCosts!B861,Ingredients!A$1:A$265,0)))</f>
        <v>per condom</v>
      </c>
      <c r="G861">
        <f>IF(B861="","",INDEX(Ingredients!$E$1:$E$238,(MATCH(InterventionCosts!B861,Ingredients!A$1:A$238,0))))</f>
        <v>2024</v>
      </c>
      <c r="H861" t="str">
        <f>INDEX(Ingredients!$F$1:$F$318,(MATCH(InterventionCosts!B861,Ingredients!A$1:A$318,0)))</f>
        <v>https://www.treasury.gov.za/divisions/ocpo/ostb/contracts/RT75-2021.zip</v>
      </c>
      <c r="I861">
        <v>6</v>
      </c>
      <c r="J861" t="s">
        <v>1476</v>
      </c>
      <c r="K861" s="85">
        <f>I861*E861</f>
        <v>3.7163675851320712</v>
      </c>
    </row>
    <row r="862" spans="1:12">
      <c r="A862" t="s">
        <v>446</v>
      </c>
      <c r="B862" s="136" t="s">
        <v>408</v>
      </c>
      <c r="C862" t="s">
        <v>389</v>
      </c>
      <c r="D862" t="s">
        <v>75</v>
      </c>
      <c r="E862" s="70">
        <f>IF(B862="","",INDEX(Ingredients!$I$1:$I$5013,(MATCH(InterventionCosts!B862,Ingredients!$A$1:$A$5013,0))))</f>
        <v>39.539473461949996</v>
      </c>
      <c r="F862" s="5" t="str">
        <f>INDEX(Ingredients!J$1:J$265,(MATCH(InterventionCosts!B862,Ingredients!A$1:A$265,0)))</f>
        <v>per test</v>
      </c>
      <c r="G862">
        <f>IF(B862="","",INDEX(Ingredients!$E$1:$E$238,(MATCH(InterventionCosts!B862,Ingredients!A$1:A$238,0))))</f>
        <v>2021</v>
      </c>
      <c r="H862" t="str">
        <f>INDEX(Ingredients!$F$1:$F$318,(MATCH(InterventionCosts!B862,Ingredients!A$1:A$318,0)))</f>
        <v>NHLS 2021 price-list</v>
      </c>
      <c r="I862">
        <v>1</v>
      </c>
      <c r="J862" t="s">
        <v>1476</v>
      </c>
      <c r="K862" s="85">
        <f>I862*E862</f>
        <v>39.539473461949996</v>
      </c>
    </row>
    <row r="863" spans="1:12">
      <c r="A863" t="s">
        <v>446</v>
      </c>
      <c r="B863" s="144" t="s">
        <v>1465</v>
      </c>
      <c r="C863" s="141"/>
      <c r="D863" s="141"/>
      <c r="E863" s="142"/>
      <c r="F863" s="141"/>
      <c r="G863" s="141"/>
      <c r="H863" s="141"/>
      <c r="I863" s="141"/>
      <c r="J863" s="141"/>
      <c r="K863" s="143"/>
    </row>
    <row r="864" spans="1:12">
      <c r="A864" t="s">
        <v>446</v>
      </c>
      <c r="B864" s="136" t="s">
        <v>391</v>
      </c>
      <c r="F864" s="3"/>
      <c r="I864" s="3"/>
      <c r="J864" s="3"/>
    </row>
    <row r="865" spans="1:12">
      <c r="A865" t="s">
        <v>446</v>
      </c>
      <c r="B865" s="137" t="s">
        <v>79</v>
      </c>
      <c r="C865" t="s">
        <v>389</v>
      </c>
      <c r="D865" s="5" t="s">
        <v>21</v>
      </c>
      <c r="E865" s="70">
        <f>IF(B865="","",INDEX(Ingredients!$I$1:$I$5013,(MATCH(InterventionCosts!B865,Ingredients!$A$1:$A$5013,0))))</f>
        <v>9.3000000000000007</v>
      </c>
      <c r="F865" s="5" t="str">
        <f>INDEX(Ingredients!J$1:J$265,(MATCH(InterventionCosts!B865,Ingredients!A$1:A$265,0)))</f>
        <v>per test</v>
      </c>
      <c r="G865">
        <f>IF(B865="","",INDEX(Ingredients!$E$1:$E$238,(MATCH(InterventionCosts!B865,Ingredients!A$1:A$238,0))))</f>
        <v>2024</v>
      </c>
      <c r="H865" t="str">
        <f>INDEX(Ingredients!$F$1:$F$318,(MATCH(InterventionCosts!B865,Ingredients!A$1:A$318,0)))</f>
        <v>https://www.treasury.gov.za/divisions/ocpo/ostb/contracts/RT41-2020.zip</v>
      </c>
      <c r="I865">
        <f>1*$I$782</f>
        <v>1</v>
      </c>
      <c r="J865" s="133" t="s">
        <v>394</v>
      </c>
      <c r="K865" s="85">
        <f>I865*E865</f>
        <v>9.3000000000000007</v>
      </c>
      <c r="L865"/>
    </row>
    <row r="866" spans="1:12">
      <c r="A866" t="s">
        <v>446</v>
      </c>
      <c r="B866" s="137" t="s">
        <v>54</v>
      </c>
      <c r="C866" t="s">
        <v>389</v>
      </c>
      <c r="D866" t="s">
        <v>48</v>
      </c>
      <c r="E866" s="70">
        <f>IF(B866="","",INDEX(Ingredients!$I$1:$I$5013,(MATCH(InterventionCosts!B866,Ingredients!$A$1:$A$5013,0))))</f>
        <v>1.2444366591928251</v>
      </c>
      <c r="F866" s="5" t="str">
        <f>INDEX(Ingredients!J$1:J$265,(MATCH(InterventionCosts!B866,Ingredients!A$1:A$265,0)))</f>
        <v>per minute</v>
      </c>
      <c r="G866">
        <f>IF(B866="","",INDEX(Ingredients!$E$1:$E$238,(MATCH(InterventionCosts!B866,Ingredients!A$1:A$238,0))))</f>
        <v>2024</v>
      </c>
      <c r="H866" t="str">
        <f>INDEX(Ingredients!$F$1:$F$318,(MATCH(InterventionCosts!B866,Ingredients!A$1:A$318,0)))</f>
        <v xml:space="preserve">April 2024 Salary scale </v>
      </c>
      <c r="I866">
        <f>15*$I$782</f>
        <v>15</v>
      </c>
      <c r="J866" s="133" t="s">
        <v>395</v>
      </c>
      <c r="K866" s="85">
        <f>I866*E866</f>
        <v>18.666549887892376</v>
      </c>
      <c r="L866"/>
    </row>
    <row r="867" spans="1:12">
      <c r="A867" t="s">
        <v>446</v>
      </c>
      <c r="B867" s="137" t="s">
        <v>1489</v>
      </c>
      <c r="C867" t="s">
        <v>389</v>
      </c>
      <c r="D867" s="5" t="s">
        <v>21</v>
      </c>
      <c r="E867" s="70">
        <f>IF(B867="","",INDEX(Ingredients!$I$1:$I$5013,(MATCH(InterventionCosts!B867,Ingredients!$A$1:$A$5013,0))))</f>
        <v>53.08</v>
      </c>
      <c r="F867" s="5" t="str">
        <f>INDEX(Ingredients!J$1:J$265,(MATCH(InterventionCosts!B867,Ingredients!A$1:A$265,0)))</f>
        <v>per pack 100, 50 pairs</v>
      </c>
      <c r="G867">
        <f>IF(B867="","",INDEX(Ingredients!$E$1:$E$238,(MATCH(InterventionCosts!B867,Ingredients!A$1:A$238,0))))</f>
        <v>2024</v>
      </c>
      <c r="H867" t="str">
        <f>INDEX(Ingredients!$F$1:$F$318,(MATCH(InterventionCosts!B867,Ingredients!A$1:A$318,0)))</f>
        <v>https://www.treasury.gov.za/divisions/ocpo/ostb/contracts/RT76-2023%20CPA%20Amendment%204-%20Effective%2001%20May%202024.pdf</v>
      </c>
      <c r="I867">
        <f>2/100*$I$782</f>
        <v>0.02</v>
      </c>
      <c r="J867" s="133" t="s">
        <v>394</v>
      </c>
      <c r="K867" s="85">
        <f>I867*E867</f>
        <v>1.0615999999999999</v>
      </c>
      <c r="L867"/>
    </row>
    <row r="868" spans="1:12">
      <c r="A868" t="s">
        <v>446</v>
      </c>
      <c r="B868" s="137" t="s">
        <v>31</v>
      </c>
      <c r="C868" t="s">
        <v>389</v>
      </c>
      <c r="D868" s="5" t="s">
        <v>21</v>
      </c>
      <c r="E868" s="70">
        <f>IF(B868="","",INDEX(Ingredients!$I$1:$I$5013,(MATCH(InterventionCosts!B868,Ingredients!$A$1:$A$5013,0))))</f>
        <v>31.4</v>
      </c>
      <c r="F868" s="5" t="str">
        <f>INDEX(Ingredients!J$1:J$265,(MATCH(InterventionCosts!B868,Ingredients!A$1:A$265,0)))</f>
        <v>per 100 swabs</v>
      </c>
      <c r="G868">
        <f>IF(B868="","",INDEX(Ingredients!$E$1:$E$238,(MATCH(InterventionCosts!B868,Ingredients!A$1:A$238,0))))</f>
        <v>2024</v>
      </c>
      <c r="H868" t="str">
        <f>INDEX(Ingredients!$F$1:$F$318,(MATCH(InterventionCosts!B868,Ingredients!A$1:A$318,0)))</f>
        <v xml:space="preserve">http://www.treasury.gov.za/divisions/ocpo/ostb/contracts/RT42-2022zip </v>
      </c>
      <c r="I868">
        <f>1/100*$I$782</f>
        <v>0.01</v>
      </c>
      <c r="J868" s="133" t="s">
        <v>394</v>
      </c>
      <c r="K868" s="85">
        <f>I868*E868</f>
        <v>0.314</v>
      </c>
      <c r="L868"/>
    </row>
    <row r="869" spans="1:12">
      <c r="A869" t="s">
        <v>446</v>
      </c>
      <c r="B869" s="136" t="s">
        <v>392</v>
      </c>
      <c r="E869" s="70"/>
      <c r="F869" s="5"/>
      <c r="H869" s="3" t="s">
        <v>413</v>
      </c>
      <c r="I869" s="3">
        <v>6.6746301100770303E-2</v>
      </c>
      <c r="J869" s="3" t="s">
        <v>443</v>
      </c>
    </row>
    <row r="870" spans="1:12">
      <c r="A870" t="s">
        <v>446</v>
      </c>
      <c r="B870" s="137" t="s">
        <v>79</v>
      </c>
      <c r="C870" t="s">
        <v>389</v>
      </c>
      <c r="D870" s="5" t="s">
        <v>21</v>
      </c>
      <c r="E870" s="70">
        <f>IF(B870="","",INDEX(Ingredients!$I$1:$I$5013,(MATCH(InterventionCosts!B870,Ingredients!$A$1:$A$5013,0))))</f>
        <v>9.3000000000000007</v>
      </c>
      <c r="F870" s="5" t="str">
        <f>INDEX(Ingredients!J$1:J$265,(MATCH(InterventionCosts!B870,Ingredients!A$1:A$265,0)))</f>
        <v>per test</v>
      </c>
      <c r="G870">
        <f>IF(B870="","",INDEX(Ingredients!$E$1:$E$238,(MATCH(InterventionCosts!B870,Ingredients!A$1:A$238,0))))</f>
        <v>2024</v>
      </c>
      <c r="H870" t="str">
        <f>INDEX(Ingredients!$F$1:$F$318,(MATCH(InterventionCosts!B870,Ingredients!A$1:A$318,0)))</f>
        <v>https://www.treasury.gov.za/divisions/ocpo/ostb/contracts/RT41-2020.zip</v>
      </c>
      <c r="I870" s="134">
        <f>I869</f>
        <v>6.6746301100770303E-2</v>
      </c>
      <c r="J870" t="s">
        <v>413</v>
      </c>
      <c r="K870" s="85">
        <f>I870*E870</f>
        <v>0.62074060023716382</v>
      </c>
      <c r="L870"/>
    </row>
    <row r="871" spans="1:12">
      <c r="A871" t="s">
        <v>446</v>
      </c>
      <c r="B871" s="137" t="s">
        <v>54</v>
      </c>
      <c r="C871" t="s">
        <v>389</v>
      </c>
      <c r="D871" t="s">
        <v>48</v>
      </c>
      <c r="E871" s="70">
        <f>IF(B871="","",INDEX(Ingredients!$I$1:$I$5013,(MATCH(InterventionCosts!B871,Ingredients!$A$1:$A$5013,0))))</f>
        <v>1.2444366591928251</v>
      </c>
      <c r="F871" s="5" t="str">
        <f>INDEX(Ingredients!J$1:J$265,(MATCH(InterventionCosts!B871,Ingredients!A$1:A$265,0)))</f>
        <v>per minute</v>
      </c>
      <c r="G871">
        <f>IF(B871="","",INDEX(Ingredients!$E$1:$E$238,(MATCH(InterventionCosts!B871,Ingredients!A$1:A$238,0))))</f>
        <v>2024</v>
      </c>
      <c r="H871" t="str">
        <f>INDEX(Ingredients!$F$1:$F$318,(MATCH(InterventionCosts!B871,Ingredients!A$1:A$318,0)))</f>
        <v xml:space="preserve">April 2024 Salary scale </v>
      </c>
      <c r="I871" s="134">
        <f>(15+1/(1-I869))*I869</f>
        <v>1.072714512820701</v>
      </c>
      <c r="J871" s="133" t="s">
        <v>395</v>
      </c>
      <c r="K871" s="85">
        <f>I871*E871</f>
        <v>1.334925264602252</v>
      </c>
      <c r="L871"/>
    </row>
    <row r="872" spans="1:12">
      <c r="A872" t="s">
        <v>446</v>
      </c>
      <c r="B872" s="137" t="s">
        <v>1489</v>
      </c>
      <c r="C872" t="s">
        <v>389</v>
      </c>
      <c r="D872" s="5" t="s">
        <v>21</v>
      </c>
      <c r="E872" s="70">
        <f>IF(B872="","",INDEX(Ingredients!$I$1:$I$5013,(MATCH(InterventionCosts!B872,Ingredients!$A$1:$A$5013,0))))</f>
        <v>53.08</v>
      </c>
      <c r="F872" s="5" t="str">
        <f>INDEX(Ingredients!J$1:J$265,(MATCH(InterventionCosts!B872,Ingredients!A$1:A$265,0)))</f>
        <v>per pack 100, 50 pairs</v>
      </c>
      <c r="G872">
        <f>IF(B872="","",INDEX(Ingredients!$E$1:$E$238,(MATCH(InterventionCosts!B872,Ingredients!A$1:A$238,0))))</f>
        <v>2024</v>
      </c>
      <c r="H872" t="str">
        <f>INDEX(Ingredients!$F$1:$F$318,(MATCH(InterventionCosts!B872,Ingredients!A$1:A$318,0)))</f>
        <v>https://www.treasury.gov.za/divisions/ocpo/ostb/contracts/RT76-2023%20CPA%20Amendment%204-%20Effective%2001%20May%202024.pdf</v>
      </c>
      <c r="I872">
        <f>2/100*I869</f>
        <v>1.3349260220154062E-3</v>
      </c>
      <c r="J872" s="133" t="s">
        <v>1480</v>
      </c>
      <c r="K872" s="85">
        <f>I872*E872</f>
        <v>7.0857873248577757E-2</v>
      </c>
      <c r="L872"/>
    </row>
    <row r="873" spans="1:12">
      <c r="A873" t="s">
        <v>446</v>
      </c>
      <c r="B873" s="137" t="s">
        <v>31</v>
      </c>
      <c r="C873" t="s">
        <v>389</v>
      </c>
      <c r="D873" s="5" t="s">
        <v>21</v>
      </c>
      <c r="E873" s="70">
        <f>IF(B873="","",INDEX(Ingredients!$I$1:$I$5013,(MATCH(InterventionCosts!B873,Ingredients!$A$1:$A$5013,0))))</f>
        <v>31.4</v>
      </c>
      <c r="F873" s="5" t="str">
        <f>INDEX(Ingredients!J$1:J$265,(MATCH(InterventionCosts!B873,Ingredients!A$1:A$265,0)))</f>
        <v>per 100 swabs</v>
      </c>
      <c r="G873">
        <f>IF(B873="","",INDEX(Ingredients!$E$1:$E$238,(MATCH(InterventionCosts!B873,Ingredients!A$1:A$238,0))))</f>
        <v>2024</v>
      </c>
      <c r="H873" t="str">
        <f>INDEX(Ingredients!$F$1:$F$318,(MATCH(InterventionCosts!B873,Ingredients!A$1:A$318,0)))</f>
        <v xml:space="preserve">http://www.treasury.gov.za/divisions/ocpo/ostb/contracts/RT42-2022zip </v>
      </c>
      <c r="I873">
        <f>1/100*I869</f>
        <v>6.6746301100770308E-4</v>
      </c>
      <c r="J873" s="133" t="s">
        <v>1479</v>
      </c>
      <c r="K873" s="85">
        <f>I873*E873</f>
        <v>2.0958338545641875E-2</v>
      </c>
      <c r="L873"/>
    </row>
    <row r="874" spans="1:12">
      <c r="A874" t="s">
        <v>446</v>
      </c>
      <c r="B874" s="136" t="s">
        <v>393</v>
      </c>
      <c r="F874" s="5"/>
    </row>
    <row r="875" spans="1:12">
      <c r="A875" t="s">
        <v>446</v>
      </c>
      <c r="B875" s="137" t="s">
        <v>77</v>
      </c>
      <c r="C875" t="s">
        <v>389</v>
      </c>
      <c r="D875" t="s">
        <v>75</v>
      </c>
      <c r="E875" s="70">
        <f>IF(B875="","",INDEX(Ingredients!$I$1:$I$5013,(MATCH(InterventionCosts!B875,Ingredients!$A$1:$A$5013,0))))</f>
        <v>71.889951748999991</v>
      </c>
      <c r="F875" s="5" t="str">
        <f>INDEX(Ingredients!J$1:J$265,(MATCH(InterventionCosts!B875,Ingredients!A$1:A$265,0)))</f>
        <v>per test</v>
      </c>
      <c r="G875">
        <f>IF(B875="","",INDEX(Ingredients!$E$1:$E$238,(MATCH(InterventionCosts!B875,Ingredients!A$1:A$238,0))))</f>
        <v>2021</v>
      </c>
      <c r="H875" t="str">
        <f>INDEX(Ingredients!$F$1:$F$318,(MATCH(InterventionCosts!B875,Ingredients!A$1:A$318,0)))</f>
        <v>NHLS 2021 price-list</v>
      </c>
      <c r="I875">
        <v>0.02</v>
      </c>
      <c r="J875" s="85" t="s">
        <v>397</v>
      </c>
      <c r="K875" s="85">
        <f>I875*E875</f>
        <v>1.4377990349799998</v>
      </c>
    </row>
    <row r="876" spans="1:12">
      <c r="A876" t="s">
        <v>446</v>
      </c>
      <c r="B876" s="137" t="s">
        <v>54</v>
      </c>
      <c r="C876" t="s">
        <v>389</v>
      </c>
      <c r="D876" t="s">
        <v>48</v>
      </c>
      <c r="E876" s="70">
        <f>IF(B876="","",INDEX(Ingredients!$I$1:$I$5013,(MATCH(InterventionCosts!B876,Ingredients!$A$1:$A$5013,0))))</f>
        <v>1.2444366591928251</v>
      </c>
      <c r="F876" s="5" t="str">
        <f>INDEX(Ingredients!J$1:J$265,(MATCH(InterventionCosts!B876,Ingredients!A$1:A$265,0)))</f>
        <v>per minute</v>
      </c>
      <c r="G876">
        <f>IF(B876="","",INDEX(Ingredients!$E$1:$E$238,(MATCH(InterventionCosts!B876,Ingredients!A$1:A$238,0))))</f>
        <v>2024</v>
      </c>
      <c r="H876" t="str">
        <f>INDEX(Ingredients!$F$1:$F$318,(MATCH(InterventionCosts!B876,Ingredients!A$1:A$318,0)))</f>
        <v xml:space="preserve">April 2024 Salary scale </v>
      </c>
      <c r="I876">
        <f>15*0.02</f>
        <v>0.3</v>
      </c>
      <c r="J876" s="133" t="s">
        <v>395</v>
      </c>
      <c r="K876" s="85">
        <f>I876*E876</f>
        <v>0.3733309977578475</v>
      </c>
    </row>
    <row r="877" spans="1:12">
      <c r="A877" t="s">
        <v>446</v>
      </c>
      <c r="B877" s="137" t="s">
        <v>1489</v>
      </c>
      <c r="C877" t="s">
        <v>389</v>
      </c>
      <c r="D877" s="5" t="s">
        <v>21</v>
      </c>
      <c r="E877" s="70">
        <f>IF(B877="","",INDEX(Ingredients!$I$1:$I$5013,(MATCH(InterventionCosts!B877,Ingredients!$A$1:$A$5013,0))))</f>
        <v>53.08</v>
      </c>
      <c r="F877" s="5" t="str">
        <f>INDEX(Ingredients!J$1:J$265,(MATCH(InterventionCosts!B877,Ingredients!A$1:A$265,0)))</f>
        <v>per pack 100, 50 pairs</v>
      </c>
      <c r="G877">
        <f>IF(B877="","",INDEX(Ingredients!$E$1:$E$238,(MATCH(InterventionCosts!B877,Ingredients!A$1:A$238,0))))</f>
        <v>2024</v>
      </c>
      <c r="H877" t="str">
        <f>INDEX(Ingredients!$F$1:$F$318,(MATCH(InterventionCosts!B877,Ingredients!A$1:A$318,0)))</f>
        <v>https://www.treasury.gov.za/divisions/ocpo/ostb/contracts/RT76-2023%20CPA%20Amendment%204-%20Effective%2001%20May%202024.pdf</v>
      </c>
      <c r="I877">
        <f>2/100*0.02</f>
        <v>4.0000000000000002E-4</v>
      </c>
      <c r="J877" s="85" t="s">
        <v>397</v>
      </c>
      <c r="K877" s="85">
        <f>I877*E877</f>
        <v>2.1232000000000001E-2</v>
      </c>
    </row>
    <row r="878" spans="1:12">
      <c r="A878" t="s">
        <v>446</v>
      </c>
      <c r="B878" s="137" t="s">
        <v>45</v>
      </c>
      <c r="C878" t="s">
        <v>389</v>
      </c>
      <c r="D878" s="5" t="s">
        <v>21</v>
      </c>
      <c r="E878" s="70">
        <f>IF(B878="","",INDEX(Ingredients!$I$1:$I$5013,(MATCH(InterventionCosts!B878,Ingredients!$A$1:$A$5013,0))))</f>
        <v>46</v>
      </c>
      <c r="F878" s="5" t="str">
        <f>INDEX(Ingredients!J$1:J$265,(MATCH(InterventionCosts!B878,Ingredients!A$1:A$265,0)))</f>
        <v>per pack 100</v>
      </c>
      <c r="G878">
        <f>IF(B878="","",INDEX(Ingredients!$E$1:$E$238,(MATCH(InterventionCosts!B878,Ingredients!A$1:A$238,0))))</f>
        <v>2024</v>
      </c>
      <c r="H878" t="str">
        <f>INDEX(Ingredients!$F$1:$F$318,(MATCH(InterventionCosts!B878,Ingredients!A$1:A$318,0)))</f>
        <v>https://www.treasury.gov.za/divisions/ocpo/ostb/contracts/RT284-2023.zip</v>
      </c>
      <c r="I878">
        <f>1/100*0.02</f>
        <v>2.0000000000000001E-4</v>
      </c>
      <c r="J878" s="85" t="s">
        <v>397</v>
      </c>
      <c r="K878" s="135">
        <f>I878*E878</f>
        <v>9.1999999999999998E-3</v>
      </c>
    </row>
    <row r="879" spans="1:12">
      <c r="A879" t="s">
        <v>446</v>
      </c>
      <c r="B879" s="137" t="s">
        <v>31</v>
      </c>
      <c r="C879" t="s">
        <v>389</v>
      </c>
      <c r="D879" s="5" t="s">
        <v>21</v>
      </c>
      <c r="E879" s="70">
        <f>IF(B879="","",INDEX(Ingredients!$I$1:$I$5013,(MATCH(InterventionCosts!B879,Ingredients!$A$1:$A$5013,0))))</f>
        <v>31.4</v>
      </c>
      <c r="F879" s="5" t="str">
        <f>INDEX(Ingredients!J$1:J$265,(MATCH(InterventionCosts!B879,Ingredients!A$1:A$265,0)))</f>
        <v>per 100 swabs</v>
      </c>
      <c r="G879">
        <f>IF(B879="","",INDEX(Ingredients!$E$1:$E$238,(MATCH(InterventionCosts!B879,Ingredients!A$1:A$238,0))))</f>
        <v>2024</v>
      </c>
      <c r="H879" t="str">
        <f>INDEX(Ingredients!$F$1:$F$318,(MATCH(InterventionCosts!B879,Ingredients!A$1:A$318,0)))</f>
        <v xml:space="preserve">http://www.treasury.gov.za/divisions/ocpo/ostb/contracts/RT42-2022zip </v>
      </c>
      <c r="I879">
        <f>1/100*0.02</f>
        <v>2.0000000000000001E-4</v>
      </c>
      <c r="J879" s="85" t="s">
        <v>397</v>
      </c>
      <c r="K879" s="135">
        <f>I879*E879</f>
        <v>6.28E-3</v>
      </c>
    </row>
    <row r="880" spans="1:12">
      <c r="A880" t="s">
        <v>446</v>
      </c>
      <c r="B880" s="136" t="s">
        <v>411</v>
      </c>
      <c r="E880" s="70"/>
      <c r="F880" s="5"/>
    </row>
    <row r="881" spans="1:13">
      <c r="A881" t="s">
        <v>446</v>
      </c>
      <c r="B881" s="137" t="s">
        <v>410</v>
      </c>
      <c r="C881" t="s">
        <v>389</v>
      </c>
      <c r="D881" t="s">
        <v>70</v>
      </c>
      <c r="E881" s="70">
        <f>IF(B881="","",INDEX(Ingredients!$I$1:$I$5013,(MATCH(InterventionCosts!B881,Ingredients!$A$1:$A$5013,0))))</f>
        <v>64.888000253702032</v>
      </c>
      <c r="F881" s="5" t="str">
        <f>INDEX(Ingredients!J$1:J$265,(MATCH(InterventionCosts!B881,Ingredients!A$1:A$265,0)))</f>
        <v>per drug per month</v>
      </c>
      <c r="G881">
        <f>IF(B881="","",INDEX(Ingredients!$E$1:$E$238,(MATCH(InterventionCosts!B881,Ingredients!A$1:A$238,0))))</f>
        <v>2024</v>
      </c>
      <c r="H881" t="str">
        <f>INDEX(Ingredients!$F$1:$F$318,(MATCH(InterventionCosts!B881,Ingredients!A$1:A$318,0)))</f>
        <v>Master Procurement Circular May 2024</v>
      </c>
      <c r="I881">
        <v>3</v>
      </c>
      <c r="J881" s="85" t="s">
        <v>1481</v>
      </c>
      <c r="K881" s="85">
        <f>I881*E881</f>
        <v>194.66400076110608</v>
      </c>
      <c r="M881" s="229"/>
    </row>
    <row r="882" spans="1:13">
      <c r="A882" t="s">
        <v>446</v>
      </c>
      <c r="B882" s="137" t="s">
        <v>354</v>
      </c>
      <c r="C882" t="s">
        <v>389</v>
      </c>
      <c r="D882" t="s">
        <v>48</v>
      </c>
      <c r="E882" s="70">
        <f>IF(B882="","",INDEX(Ingredients!$I$1:$I$5013,(MATCH(InterventionCosts!B882,Ingredients!$A$1:$A$5013,0))))</f>
        <v>4.8996605630293981</v>
      </c>
      <c r="F882" s="5" t="str">
        <f>INDEX(Ingredients!J$1:J$265,(MATCH(InterventionCosts!B882,Ingredients!A$1:A$265,0)))</f>
        <v>per minute</v>
      </c>
      <c r="G882">
        <f>IF(B882="","",INDEX(Ingredients!$E$1:$E$238,(MATCH(InterventionCosts!B882,Ingredients!A$1:A$238,0))))</f>
        <v>2024</v>
      </c>
      <c r="H882" t="str">
        <f>INDEX(Ingredients!$F$1:$F$318,(MATCH(InterventionCosts!B882,Ingredients!A$1:A$318,0)))</f>
        <v xml:space="preserve">April 2024 Salary scale </v>
      </c>
      <c r="I882">
        <v>2</v>
      </c>
      <c r="J882" s="133" t="s">
        <v>395</v>
      </c>
      <c r="K882" s="85">
        <f>I882*E882</f>
        <v>9.7993211260587962</v>
      </c>
    </row>
    <row r="883" spans="1:13">
      <c r="A883" t="s">
        <v>446</v>
      </c>
      <c r="B883" s="140" t="s">
        <v>1464</v>
      </c>
      <c r="C883" s="141"/>
      <c r="D883" s="141"/>
      <c r="E883" s="339" t="s">
        <v>1466</v>
      </c>
      <c r="F883" s="439">
        <f>'Summary of unit costs'!$B$35</f>
        <v>3</v>
      </c>
      <c r="G883" s="141"/>
      <c r="H883" s="141"/>
      <c r="I883" s="157">
        <f>FLOOR((F883-1)/3,1)</f>
        <v>0</v>
      </c>
      <c r="J883" s="157" t="s">
        <v>1123</v>
      </c>
      <c r="K883" s="143"/>
    </row>
    <row r="884" spans="1:13">
      <c r="A884" t="s">
        <v>446</v>
      </c>
      <c r="B884" s="136" t="s">
        <v>411</v>
      </c>
      <c r="L884" s="145"/>
    </row>
    <row r="885" spans="1:13">
      <c r="A885" t="s">
        <v>446</v>
      </c>
      <c r="B885" s="137" t="s">
        <v>410</v>
      </c>
      <c r="C885" t="s">
        <v>389</v>
      </c>
      <c r="D885" t="s">
        <v>70</v>
      </c>
      <c r="E885" s="70">
        <f>IF(B885="","",INDEX(Ingredients!$I$1:$I$5013,(MATCH(InterventionCosts!B885,Ingredients!$A$1:$A$5013,0))))</f>
        <v>64.888000253702032</v>
      </c>
      <c r="F885" s="5" t="str">
        <f>INDEX(Ingredients!J$1:J$265,(MATCH(InterventionCosts!B885,Ingredients!A$1:A$265,0)))</f>
        <v>per drug per month</v>
      </c>
      <c r="G885">
        <f>IF(B885="","",INDEX(Ingredients!$E$1:$E$238,(MATCH(InterventionCosts!B885,Ingredients!A$1:A$238,0))))</f>
        <v>2024</v>
      </c>
      <c r="H885" t="str">
        <f>INDEX(Ingredients!$F$1:$F$318,(MATCH(InterventionCosts!B885,Ingredients!A$1:A$318,0)))</f>
        <v>Master Procurement Circular May 2024</v>
      </c>
      <c r="I885">
        <f>3*I883</f>
        <v>0</v>
      </c>
      <c r="J885" s="85" t="s">
        <v>1481</v>
      </c>
      <c r="K885" s="85">
        <f>I885*E885</f>
        <v>0</v>
      </c>
    </row>
    <row r="886" spans="1:13">
      <c r="A886" t="s">
        <v>446</v>
      </c>
      <c r="B886" s="137" t="s">
        <v>354</v>
      </c>
      <c r="C886" t="s">
        <v>389</v>
      </c>
      <c r="D886" t="s">
        <v>48</v>
      </c>
      <c r="E886" s="70">
        <f>IF(B886="","",INDEX(Ingredients!$I$1:$I$5013,(MATCH(InterventionCosts!B886,Ingredients!$A$1:$A$5013,0))))</f>
        <v>4.8996605630293981</v>
      </c>
      <c r="F886" s="5" t="str">
        <f>INDEX(Ingredients!J$1:J$265,(MATCH(InterventionCosts!B886,Ingredients!A$1:A$265,0)))</f>
        <v>per minute</v>
      </c>
      <c r="G886">
        <f>IF(B886="","",INDEX(Ingredients!$E$1:$E$238,(MATCH(InterventionCosts!B886,Ingredients!A$1:A$238,0))))</f>
        <v>2024</v>
      </c>
      <c r="H886" t="str">
        <f>INDEX(Ingredients!$F$1:$F$318,(MATCH(InterventionCosts!B886,Ingredients!A$1:A$318,0)))</f>
        <v xml:space="preserve">April 2024 Salary scale </v>
      </c>
      <c r="I886">
        <f>2*$I$883</f>
        <v>0</v>
      </c>
      <c r="J886" t="s">
        <v>1476</v>
      </c>
      <c r="K886" s="85">
        <f>I886*E886</f>
        <v>0</v>
      </c>
    </row>
    <row r="887" spans="1:13">
      <c r="A887" t="s">
        <v>446</v>
      </c>
      <c r="B887" s="137" t="s">
        <v>54</v>
      </c>
      <c r="C887" t="s">
        <v>389</v>
      </c>
      <c r="D887" t="s">
        <v>48</v>
      </c>
      <c r="E887" s="70">
        <f>IF(B887="","",INDEX(Ingredients!$I$1:$I$5013,(MATCH(InterventionCosts!B887,Ingredients!$A$1:$A$5013,0))))</f>
        <v>1.2444366591928251</v>
      </c>
      <c r="F887" s="5" t="str">
        <f>INDEX(Ingredients!J$1:J$265,(MATCH(InterventionCosts!B887,Ingredients!A$1:A$265,0)))</f>
        <v>per minute</v>
      </c>
      <c r="G887">
        <f>IF(B887="","",INDEX(Ingredients!$E$1:$E$238,(MATCH(InterventionCosts!B887,Ingredients!A$1:A$238,0))))</f>
        <v>2024</v>
      </c>
      <c r="H887" t="str">
        <f>INDEX(Ingredients!$F$1:$F$318,(MATCH(InterventionCosts!B887,Ingredients!A$1:A$318,0)))</f>
        <v xml:space="preserve">April 2024 Salary scale </v>
      </c>
      <c r="I887">
        <f>10*$I$883</f>
        <v>0</v>
      </c>
      <c r="J887" t="s">
        <v>1476</v>
      </c>
      <c r="K887" s="85">
        <f>I887*E887</f>
        <v>0</v>
      </c>
    </row>
    <row r="888" spans="1:13">
      <c r="A888" t="s">
        <v>446</v>
      </c>
      <c r="B888" s="136" t="s">
        <v>391</v>
      </c>
    </row>
    <row r="889" spans="1:13">
      <c r="A889" t="s">
        <v>446</v>
      </c>
      <c r="B889" s="137" t="s">
        <v>79</v>
      </c>
      <c r="C889" t="s">
        <v>389</v>
      </c>
      <c r="D889" s="5" t="s">
        <v>21</v>
      </c>
      <c r="E889" s="70">
        <f>IF(B889="","",INDEX(Ingredients!$I$1:$I$5013,(MATCH(InterventionCosts!B889,Ingredients!$A$1:$A$5013,0))))</f>
        <v>9.3000000000000007</v>
      </c>
      <c r="F889" s="5" t="str">
        <f>INDEX(Ingredients!J$1:J$265,(MATCH(InterventionCosts!B889,Ingredients!A$1:A$265,0)))</f>
        <v>per test</v>
      </c>
      <c r="G889">
        <f>IF(B889="","",INDEX(Ingredients!$E$1:$E$238,(MATCH(InterventionCosts!B889,Ingredients!A$1:A$238,0))))</f>
        <v>2024</v>
      </c>
      <c r="H889" t="str">
        <f>INDEX(Ingredients!$F$1:$F$318,(MATCH(InterventionCosts!B889,Ingredients!A$1:A$318,0)))</f>
        <v>https://www.treasury.gov.za/divisions/ocpo/ostb/contracts/RT41-2020.zip</v>
      </c>
      <c r="I889">
        <f>1*$I$883</f>
        <v>0</v>
      </c>
      <c r="J889" t="s">
        <v>1472</v>
      </c>
      <c r="K889" s="85">
        <f>I889*E889</f>
        <v>0</v>
      </c>
    </row>
    <row r="890" spans="1:13">
      <c r="A890" t="s">
        <v>446</v>
      </c>
      <c r="B890" s="137" t="s">
        <v>54</v>
      </c>
      <c r="C890" t="s">
        <v>389</v>
      </c>
      <c r="D890" t="s">
        <v>48</v>
      </c>
      <c r="E890" s="70">
        <f>IF(B890="","",INDEX(Ingredients!$I$1:$I$5013,(MATCH(InterventionCosts!B890,Ingredients!$A$1:$A$5013,0))))</f>
        <v>1.2444366591928251</v>
      </c>
      <c r="F890" s="5" t="str">
        <f>INDEX(Ingredients!J$1:J$265,(MATCH(InterventionCosts!B890,Ingredients!A$1:A$265,0)))</f>
        <v>per minute</v>
      </c>
      <c r="G890">
        <f>IF(B890="","",INDEX(Ingredients!$E$1:$E$238,(MATCH(InterventionCosts!B890,Ingredients!A$1:A$238,0))))</f>
        <v>2024</v>
      </c>
      <c r="H890" t="str">
        <f>INDEX(Ingredients!$F$1:$F$318,(MATCH(InterventionCosts!B890,Ingredients!A$1:A$318,0)))</f>
        <v xml:space="preserve">April 2024 Salary scale </v>
      </c>
      <c r="I890">
        <f>15*$I$883</f>
        <v>0</v>
      </c>
      <c r="J890" s="133" t="s">
        <v>395</v>
      </c>
      <c r="K890" s="85">
        <f>I890*E890</f>
        <v>0</v>
      </c>
    </row>
    <row r="891" spans="1:13">
      <c r="A891" t="s">
        <v>446</v>
      </c>
      <c r="B891" s="137" t="s">
        <v>1489</v>
      </c>
      <c r="C891" t="s">
        <v>389</v>
      </c>
      <c r="D891" s="5" t="s">
        <v>21</v>
      </c>
      <c r="E891" s="70">
        <f>IF(B891="","",INDEX(Ingredients!$I$1:$I$5013,(MATCH(InterventionCosts!B891,Ingredients!$A$1:$A$5013,0))))</f>
        <v>53.08</v>
      </c>
      <c r="F891" s="5" t="str">
        <f>INDEX(Ingredients!J$1:J$265,(MATCH(InterventionCosts!B891,Ingredients!A$1:A$265,0)))</f>
        <v>per pack 100, 50 pairs</v>
      </c>
      <c r="G891">
        <f>IF(B891="","",INDEX(Ingredients!$E$1:$E$238,(MATCH(InterventionCosts!B891,Ingredients!A$1:A$238,0))))</f>
        <v>2024</v>
      </c>
      <c r="H891" t="str">
        <f>INDEX(Ingredients!$F$1:$F$318,(MATCH(InterventionCosts!B891,Ingredients!A$1:A$318,0)))</f>
        <v>https://www.treasury.gov.za/divisions/ocpo/ostb/contracts/RT76-2023%20CPA%20Amendment%204-%20Effective%2001%20May%202024.pdf</v>
      </c>
      <c r="I891">
        <f>2/100*$I$883</f>
        <v>0</v>
      </c>
      <c r="J891" t="s">
        <v>1483</v>
      </c>
      <c r="K891" s="85">
        <f>I891*E891</f>
        <v>0</v>
      </c>
    </row>
    <row r="892" spans="1:13">
      <c r="A892" t="s">
        <v>446</v>
      </c>
      <c r="B892" s="137" t="s">
        <v>31</v>
      </c>
      <c r="C892" t="s">
        <v>389</v>
      </c>
      <c r="D892" s="5" t="s">
        <v>21</v>
      </c>
      <c r="E892" s="70">
        <f>IF(B892="","",INDEX(Ingredients!$I$1:$I$5013,(MATCH(InterventionCosts!B892,Ingredients!$A$1:$A$5013,0))))</f>
        <v>31.4</v>
      </c>
      <c r="F892" s="5" t="str">
        <f>INDEX(Ingredients!J$1:J$265,(MATCH(InterventionCosts!B892,Ingredients!A$1:A$265,0)))</f>
        <v>per 100 swabs</v>
      </c>
      <c r="G892">
        <f>IF(B892="","",INDEX(Ingredients!$E$1:$E$238,(MATCH(InterventionCosts!B892,Ingredients!A$1:A$238,0))))</f>
        <v>2024</v>
      </c>
      <c r="H892" t="str">
        <f>INDEX(Ingredients!$F$1:$F$318,(MATCH(InterventionCosts!B892,Ingredients!A$1:A$318,0)))</f>
        <v xml:space="preserve">http://www.treasury.gov.za/divisions/ocpo/ostb/contracts/RT42-2022zip </v>
      </c>
      <c r="I892">
        <f>1/100*$I$883</f>
        <v>0</v>
      </c>
      <c r="J892" t="s">
        <v>1472</v>
      </c>
      <c r="K892" s="85">
        <f>I892*E892</f>
        <v>0</v>
      </c>
    </row>
    <row r="893" spans="1:13">
      <c r="A893" t="s">
        <v>446</v>
      </c>
      <c r="B893" s="136" t="s">
        <v>392</v>
      </c>
      <c r="E893" s="70"/>
      <c r="F893" s="3" t="s">
        <v>413</v>
      </c>
      <c r="I893" s="3">
        <v>6.6746301100770303E-2</v>
      </c>
      <c r="J893" s="3" t="s">
        <v>443</v>
      </c>
    </row>
    <row r="894" spans="1:13">
      <c r="A894" t="s">
        <v>446</v>
      </c>
      <c r="B894" s="137" t="s">
        <v>79</v>
      </c>
      <c r="C894" t="s">
        <v>389</v>
      </c>
      <c r="D894" s="5" t="s">
        <v>21</v>
      </c>
      <c r="E894" s="70">
        <f>IF(B894="","",INDEX(Ingredients!$I$1:$I$5013,(MATCH(InterventionCosts!B894,Ingredients!$A$1:$A$5013,0))))</f>
        <v>9.3000000000000007</v>
      </c>
      <c r="F894" s="5" t="str">
        <f>INDEX(Ingredients!J$1:J$265,(MATCH(InterventionCosts!B894,Ingredients!A$1:A$265,0)))</f>
        <v>per test</v>
      </c>
      <c r="G894">
        <f>IF(B894="","",INDEX(Ingredients!$E$1:$E$238,(MATCH(InterventionCosts!B894,Ingredients!A$1:A$238,0))))</f>
        <v>2024</v>
      </c>
      <c r="H894" t="str">
        <f>INDEX(Ingredients!$F$1:$F$318,(MATCH(InterventionCosts!B894,Ingredients!A$1:A$318,0)))</f>
        <v>https://www.treasury.gov.za/divisions/ocpo/ostb/contracts/RT41-2020.zip</v>
      </c>
      <c r="I894">
        <f>I893*$I$883</f>
        <v>0</v>
      </c>
      <c r="J894" t="s">
        <v>413</v>
      </c>
      <c r="K894" s="85">
        <f>I894*E894</f>
        <v>0</v>
      </c>
    </row>
    <row r="895" spans="1:13">
      <c r="A895" t="s">
        <v>446</v>
      </c>
      <c r="B895" s="137" t="s">
        <v>54</v>
      </c>
      <c r="C895" t="s">
        <v>389</v>
      </c>
      <c r="D895" t="s">
        <v>48</v>
      </c>
      <c r="E895" s="70">
        <f>IF(B895="","",INDEX(Ingredients!$I$1:$I$5013,(MATCH(InterventionCosts!B895,Ingredients!$A$1:$A$5013,0))))</f>
        <v>1.2444366591928251</v>
      </c>
      <c r="F895" s="5" t="str">
        <f>INDEX(Ingredients!J$1:J$265,(MATCH(InterventionCosts!B895,Ingredients!A$1:A$265,0)))</f>
        <v>per minute</v>
      </c>
      <c r="G895">
        <f>IF(B895="","",INDEX(Ingredients!$E$1:$E$238,(MATCH(InterventionCosts!B895,Ingredients!A$1:A$238,0))))</f>
        <v>2024</v>
      </c>
      <c r="H895" t="str">
        <f>INDEX(Ingredients!$F$1:$F$318,(MATCH(InterventionCosts!B895,Ingredients!A$1:A$318,0)))</f>
        <v xml:space="preserve">April 2024 Salary scale </v>
      </c>
      <c r="I895">
        <f>(15+1/(1-I893))*I893*$I$883</f>
        <v>0</v>
      </c>
      <c r="J895" s="133" t="s">
        <v>414</v>
      </c>
      <c r="K895" s="85">
        <f>I895*E895</f>
        <v>0</v>
      </c>
    </row>
    <row r="896" spans="1:13">
      <c r="A896" t="s">
        <v>446</v>
      </c>
      <c r="B896" s="137" t="s">
        <v>1489</v>
      </c>
      <c r="C896" t="s">
        <v>389</v>
      </c>
      <c r="D896" s="5" t="s">
        <v>21</v>
      </c>
      <c r="E896" s="70">
        <f>IF(B896="","",INDEX(Ingredients!$I$1:$I$5013,(MATCH(InterventionCosts!B896,Ingredients!$A$1:$A$5013,0))))</f>
        <v>53.08</v>
      </c>
      <c r="F896" s="5" t="str">
        <f>INDEX(Ingredients!J$1:J$265,(MATCH(InterventionCosts!B896,Ingredients!A$1:A$265,0)))</f>
        <v>per pack 100, 50 pairs</v>
      </c>
      <c r="G896">
        <f>IF(B896="","",INDEX(Ingredients!$E$1:$E$238,(MATCH(InterventionCosts!B896,Ingredients!A$1:A$238,0))))</f>
        <v>2024</v>
      </c>
      <c r="H896" t="str">
        <f>INDEX(Ingredients!$F$1:$F$318,(MATCH(InterventionCosts!B896,Ingredients!A$1:A$318,0)))</f>
        <v>https://www.treasury.gov.za/divisions/ocpo/ostb/contracts/RT76-2023%20CPA%20Amendment%204-%20Effective%2001%20May%202024.pdf</v>
      </c>
      <c r="I896">
        <f>2/100*I893*$I$883</f>
        <v>0</v>
      </c>
      <c r="J896" s="133" t="s">
        <v>1480</v>
      </c>
      <c r="K896" s="85">
        <f>I896*E896</f>
        <v>0</v>
      </c>
    </row>
    <row r="897" spans="1:11">
      <c r="A897" t="s">
        <v>446</v>
      </c>
      <c r="B897" s="137" t="s">
        <v>31</v>
      </c>
      <c r="C897" t="s">
        <v>389</v>
      </c>
      <c r="D897" s="5" t="s">
        <v>21</v>
      </c>
      <c r="E897" s="70">
        <f>IF(B897="","",INDEX(Ingredients!$I$1:$I$5013,(MATCH(InterventionCosts!B897,Ingredients!$A$1:$A$5013,0))))</f>
        <v>31.4</v>
      </c>
      <c r="F897" s="5" t="str">
        <f>INDEX(Ingredients!J$1:J$265,(MATCH(InterventionCosts!B897,Ingredients!A$1:A$265,0)))</f>
        <v>per 100 swabs</v>
      </c>
      <c r="G897">
        <f>IF(B897="","",INDEX(Ingredients!$E$1:$E$238,(MATCH(InterventionCosts!B897,Ingredients!A$1:A$238,0))))</f>
        <v>2024</v>
      </c>
      <c r="H897" t="str">
        <f>INDEX(Ingredients!$F$1:$F$318,(MATCH(InterventionCosts!B897,Ingredients!A$1:A$318,0)))</f>
        <v xml:space="preserve">http://www.treasury.gov.za/divisions/ocpo/ostb/contracts/RT42-2022zip </v>
      </c>
      <c r="I897">
        <f>1/100*I893*$I$883</f>
        <v>0</v>
      </c>
      <c r="J897" s="133" t="s">
        <v>1479</v>
      </c>
      <c r="K897" s="135">
        <f>I897*E897</f>
        <v>0</v>
      </c>
    </row>
    <row r="898" spans="1:11">
      <c r="A898" t="s">
        <v>446</v>
      </c>
      <c r="B898" s="136" t="s">
        <v>393</v>
      </c>
      <c r="F898" s="5"/>
    </row>
    <row r="899" spans="1:11">
      <c r="A899" t="s">
        <v>446</v>
      </c>
      <c r="B899" s="137" t="s">
        <v>77</v>
      </c>
      <c r="C899" t="s">
        <v>389</v>
      </c>
      <c r="D899" t="s">
        <v>75</v>
      </c>
      <c r="E899" s="70">
        <f>IF(B899="","",INDEX(Ingredients!$I$1:$I$5013,(MATCH(InterventionCosts!B899,Ingredients!$A$1:$A$5013,0))))</f>
        <v>71.889951748999991</v>
      </c>
      <c r="F899" s="5" t="str">
        <f>INDEX(Ingredients!J$1:J$265,(MATCH(InterventionCosts!B899,Ingredients!A$1:A$265,0)))</f>
        <v>per test</v>
      </c>
      <c r="G899">
        <f>IF(B899="","",INDEX(Ingredients!$E$1:$E$238,(MATCH(InterventionCosts!B899,Ingredients!A$1:A$238,0))))</f>
        <v>2021</v>
      </c>
      <c r="H899" t="str">
        <f>INDEX(Ingredients!$F$1:$F$318,(MATCH(InterventionCosts!B899,Ingredients!A$1:A$318,0)))</f>
        <v>NHLS 2021 price-list</v>
      </c>
      <c r="I899">
        <f>0.02*$I$883</f>
        <v>0</v>
      </c>
      <c r="J899" s="85" t="s">
        <v>397</v>
      </c>
      <c r="K899" s="85">
        <f t="shared" ref="K899:K905" si="32">I899*E899</f>
        <v>0</v>
      </c>
    </row>
    <row r="900" spans="1:11">
      <c r="A900" t="s">
        <v>446</v>
      </c>
      <c r="B900" s="137" t="s">
        <v>54</v>
      </c>
      <c r="C900" t="s">
        <v>389</v>
      </c>
      <c r="D900" t="s">
        <v>48</v>
      </c>
      <c r="E900" s="70">
        <f>IF(B900="","",INDEX(Ingredients!$I$1:$I$5013,(MATCH(InterventionCosts!B900,Ingredients!$A$1:$A$5013,0))))</f>
        <v>1.2444366591928251</v>
      </c>
      <c r="F900" s="5" t="str">
        <f>INDEX(Ingredients!J$1:J$265,(MATCH(InterventionCosts!B900,Ingredients!A$1:A$265,0)))</f>
        <v>per minute</v>
      </c>
      <c r="G900">
        <f>IF(B900="","",INDEX(Ingredients!$E$1:$E$238,(MATCH(InterventionCosts!B900,Ingredients!A$1:A$238,0))))</f>
        <v>2024</v>
      </c>
      <c r="H900" t="str">
        <f>INDEX(Ingredients!$F$1:$F$318,(MATCH(InterventionCosts!B900,Ingredients!A$1:A$318,0)))</f>
        <v xml:space="preserve">April 2024 Salary scale </v>
      </c>
      <c r="I900">
        <f>15*I899*$I$883</f>
        <v>0</v>
      </c>
      <c r="J900" s="133" t="s">
        <v>414</v>
      </c>
      <c r="K900" s="85">
        <f t="shared" si="32"/>
        <v>0</v>
      </c>
    </row>
    <row r="901" spans="1:11">
      <c r="A901" t="s">
        <v>446</v>
      </c>
      <c r="B901" s="137" t="s">
        <v>1489</v>
      </c>
      <c r="C901" t="s">
        <v>389</v>
      </c>
      <c r="D901" s="5" t="s">
        <v>21</v>
      </c>
      <c r="E901" s="70">
        <f>IF(B901="","",INDEX(Ingredients!$I$1:$I$5013,(MATCH(InterventionCosts!B901,Ingredients!$A$1:$A$5013,0))))</f>
        <v>53.08</v>
      </c>
      <c r="F901" s="5" t="str">
        <f>INDEX(Ingredients!J$1:J$265,(MATCH(InterventionCosts!B901,Ingredients!A$1:A$265,0)))</f>
        <v>per pack 100, 50 pairs</v>
      </c>
      <c r="G901">
        <f>IF(B901="","",INDEX(Ingredients!$E$1:$E$238,(MATCH(InterventionCosts!B901,Ingredients!A$1:A$238,0))))</f>
        <v>2024</v>
      </c>
      <c r="H901" t="str">
        <f>INDEX(Ingredients!$F$1:$F$318,(MATCH(InterventionCosts!B901,Ingredients!A$1:A$318,0)))</f>
        <v>https://www.treasury.gov.za/divisions/ocpo/ostb/contracts/RT76-2023%20CPA%20Amendment%204-%20Effective%2001%20May%202024.pdf</v>
      </c>
      <c r="I901">
        <f>2/100*I899*$I$883</f>
        <v>0</v>
      </c>
      <c r="J901" s="85" t="s">
        <v>397</v>
      </c>
      <c r="K901" s="85">
        <f t="shared" si="32"/>
        <v>0</v>
      </c>
    </row>
    <row r="902" spans="1:11">
      <c r="A902" t="s">
        <v>446</v>
      </c>
      <c r="B902" s="137" t="s">
        <v>45</v>
      </c>
      <c r="C902" t="s">
        <v>389</v>
      </c>
      <c r="D902" s="5" t="s">
        <v>21</v>
      </c>
      <c r="E902" s="70">
        <f>IF(B902="","",INDEX(Ingredients!$I$1:$I$5013,(MATCH(InterventionCosts!B902,Ingredients!$A$1:$A$5013,0))))</f>
        <v>46</v>
      </c>
      <c r="F902" s="5" t="str">
        <f>INDEX(Ingredients!J$1:J$265,(MATCH(InterventionCosts!B902,Ingredients!A$1:A$265,0)))</f>
        <v>per pack 100</v>
      </c>
      <c r="G902">
        <f>IF(B902="","",INDEX(Ingredients!$E$1:$E$238,(MATCH(InterventionCosts!B902,Ingredients!A$1:A$238,0))))</f>
        <v>2024</v>
      </c>
      <c r="H902" t="str">
        <f>INDEX(Ingredients!$F$1:$F$318,(MATCH(InterventionCosts!B902,Ingredients!A$1:A$318,0)))</f>
        <v>https://www.treasury.gov.za/divisions/ocpo/ostb/contracts/RT284-2023.zip</v>
      </c>
      <c r="I902">
        <f>1/100*I899*$I$883</f>
        <v>0</v>
      </c>
      <c r="J902" s="85" t="s">
        <v>397</v>
      </c>
      <c r="K902" s="135">
        <f t="shared" si="32"/>
        <v>0</v>
      </c>
    </row>
    <row r="903" spans="1:11">
      <c r="A903" t="s">
        <v>446</v>
      </c>
      <c r="B903" s="137" t="s">
        <v>31</v>
      </c>
      <c r="C903" t="s">
        <v>389</v>
      </c>
      <c r="D903" s="5" t="s">
        <v>21</v>
      </c>
      <c r="E903" s="70">
        <f>IF(B903="","",INDEX(Ingredients!$I$1:$I$5013,(MATCH(InterventionCosts!B903,Ingredients!$A$1:$A$5013,0))))</f>
        <v>31.4</v>
      </c>
      <c r="F903" s="5" t="str">
        <f>INDEX(Ingredients!J$1:J$265,(MATCH(InterventionCosts!B903,Ingredients!A$1:A$265,0)))</f>
        <v>per 100 swabs</v>
      </c>
      <c r="G903">
        <f>IF(B903="","",INDEX(Ingredients!$E$1:$E$238,(MATCH(InterventionCosts!B903,Ingredients!A$1:A$238,0))))</f>
        <v>2024</v>
      </c>
      <c r="H903" t="str">
        <f>INDEX(Ingredients!$F$1:$F$318,(MATCH(InterventionCosts!B903,Ingredients!A$1:A$318,0)))</f>
        <v xml:space="preserve">http://www.treasury.gov.za/divisions/ocpo/ostb/contracts/RT42-2022zip </v>
      </c>
      <c r="I903">
        <f>1/100*I899*$I$883</f>
        <v>0</v>
      </c>
      <c r="J903" s="85" t="s">
        <v>397</v>
      </c>
      <c r="K903" s="135">
        <f t="shared" si="32"/>
        <v>0</v>
      </c>
    </row>
    <row r="904" spans="1:11">
      <c r="A904" t="s">
        <v>446</v>
      </c>
      <c r="B904" s="139" t="s">
        <v>401</v>
      </c>
      <c r="C904" t="s">
        <v>389</v>
      </c>
      <c r="D904" s="5" t="s">
        <v>21</v>
      </c>
      <c r="E904" s="70">
        <f>IF(B904="","",INDEX(Ingredients!$I$1:$I$5013,(MATCH(InterventionCosts!B904,Ingredients!$A$1:$A$5013,0))))</f>
        <v>4.8734277524838099</v>
      </c>
      <c r="F904" s="5" t="str">
        <f>INDEX(Ingredients!J$1:J$265,(MATCH(InterventionCosts!B904,Ingredients!A$1:A$265,0)))</f>
        <v>per test</v>
      </c>
      <c r="G904">
        <f>IF(B904="","",INDEX(Ingredients!$E$1:$E$238,(MATCH(InterventionCosts!B904,Ingredients!A$1:A$238,0))))</f>
        <v>2019</v>
      </c>
      <c r="H904" t="str">
        <f>INDEX(Ingredients!$F$1:$F$318,(MATCH(InterventionCosts!B904,Ingredients!A$1:A$318,0)))</f>
        <v>Kendon Medical Supplies Pty Ltd, quote (19 Aug 2019)</v>
      </c>
      <c r="I904">
        <f>1*$I$883</f>
        <v>0</v>
      </c>
      <c r="J904" t="s">
        <v>1476</v>
      </c>
      <c r="K904" s="85">
        <f t="shared" si="32"/>
        <v>0</v>
      </c>
    </row>
    <row r="905" spans="1:11">
      <c r="A905" t="s">
        <v>446</v>
      </c>
      <c r="B905" s="139" t="s">
        <v>43</v>
      </c>
      <c r="C905" t="s">
        <v>389</v>
      </c>
      <c r="D905" s="5" t="s">
        <v>21</v>
      </c>
      <c r="E905" s="70">
        <f>IF(B905="","",INDEX(Ingredients!$I$1:$I$5013,(MATCH(InterventionCosts!B905,Ingredients!$A$1:$A$5013,0))))</f>
        <v>0.61939459752201187</v>
      </c>
      <c r="F905" s="5" t="str">
        <f>INDEX(Ingredients!J$1:J$265,(MATCH(InterventionCosts!B905,Ingredients!A$1:A$265,0)))</f>
        <v>per condom</v>
      </c>
      <c r="G905">
        <f>IF(B905="","",INDEX(Ingredients!$E$1:$E$238,(MATCH(InterventionCosts!B905,Ingredients!A$1:A$238,0))))</f>
        <v>2024</v>
      </c>
      <c r="H905" t="str">
        <f>INDEX(Ingredients!$F$1:$F$318,(MATCH(InterventionCosts!B905,Ingredients!A$1:A$318,0)))</f>
        <v>https://www.treasury.gov.za/divisions/ocpo/ostb/contracts/RT75-2021.zip</v>
      </c>
      <c r="I905">
        <f>6*$I$883</f>
        <v>0</v>
      </c>
      <c r="J905" t="s">
        <v>1476</v>
      </c>
      <c r="K905" s="85">
        <f t="shared" si="32"/>
        <v>0</v>
      </c>
    </row>
    <row r="906" spans="1:11">
      <c r="A906" t="s">
        <v>446</v>
      </c>
      <c r="B906" s="140" t="s">
        <v>415</v>
      </c>
      <c r="C906" s="141"/>
      <c r="D906" s="141"/>
      <c r="E906" s="142"/>
      <c r="F906" s="141"/>
      <c r="G906" s="141"/>
      <c r="H906" s="141"/>
      <c r="I906" s="141"/>
      <c r="J906" s="141"/>
      <c r="K906" s="143"/>
    </row>
    <row r="907" spans="1:11">
      <c r="A907" t="s">
        <v>446</v>
      </c>
      <c r="B907" s="146" t="s">
        <v>416</v>
      </c>
    </row>
    <row r="908" spans="1:11">
      <c r="A908" t="s">
        <v>446</v>
      </c>
      <c r="B908" s="147" t="s">
        <v>423</v>
      </c>
      <c r="C908" t="s">
        <v>389</v>
      </c>
      <c r="D908" t="s">
        <v>81</v>
      </c>
      <c r="E908" s="70">
        <f>IF(B908="","",INDEX(Ingredients!$I$1:$I$5013,(MATCH(InterventionCosts!B908,Ingredients!$A$1:$A$5013,0))))</f>
        <v>4096.797192613778</v>
      </c>
      <c r="F908" s="5" t="str">
        <f>INDEX(Ingredients!J$1:J$265,(MATCH(InterventionCosts!B908,Ingredients!A$1:A$265,0)))</f>
        <v>per person trained</v>
      </c>
      <c r="G908">
        <f>IF(B908="","",INDEX(Ingredients!$E$1:$E$238,(MATCH(InterventionCosts!B908,Ingredients!A$1:A$238,0))))</f>
        <v>2015</v>
      </c>
      <c r="H908" t="str">
        <f>INDEX(Ingredients!$F$1:$F$318,(MATCH(InterventionCosts!B908,Ingredients!A$1:A$318,0)))</f>
        <v>Clinton Health Access Initiative (2015)</v>
      </c>
      <c r="I908">
        <f>2/160</f>
        <v>1.2500000000000001E-2</v>
      </c>
      <c r="J908" t="s">
        <v>431</v>
      </c>
      <c r="K908" s="85">
        <f>I908*E908</f>
        <v>51.20996490767223</v>
      </c>
    </row>
    <row r="909" spans="1:11">
      <c r="A909" t="s">
        <v>446</v>
      </c>
      <c r="B909" s="147" t="s">
        <v>39</v>
      </c>
      <c r="C909" t="s">
        <v>389</v>
      </c>
      <c r="D909" t="s">
        <v>21</v>
      </c>
      <c r="E909" s="70">
        <f>IF(B909="","",INDEX(Ingredients!$I$1:$I$5013,(MATCH(InterventionCosts!B909,Ingredients!$A$1:$A$5013,0))))</f>
        <v>0.90383818045604736</v>
      </c>
      <c r="F909" s="5" t="str">
        <f>INDEX(Ingredients!J$1:J$265,(MATCH(InterventionCosts!B909,Ingredients!A$1:A$265,0)))</f>
        <v>per material</v>
      </c>
      <c r="G909">
        <f>IF(B909="","",INDEX(Ingredients!$E$1:$E$238,(MATCH(InterventionCosts!B909,Ingredients!A$1:A$238,0))))</f>
        <v>2016</v>
      </c>
      <c r="H909" t="str">
        <f>INDEX(Ingredients!$F$1:$F$318,(MATCH(InterventionCosts!B909,Ingredients!A$1:A$318,0)))</f>
        <v>RSA Global Fund Grant portfolio budgets 2016</v>
      </c>
      <c r="I909">
        <v>1</v>
      </c>
      <c r="J909" t="s">
        <v>406</v>
      </c>
      <c r="K909" s="85">
        <f>I909*E909</f>
        <v>0.90383818045604736</v>
      </c>
    </row>
    <row r="910" spans="1:11">
      <c r="A910" t="s">
        <v>446</v>
      </c>
      <c r="B910" s="146" t="s">
        <v>417</v>
      </c>
    </row>
    <row r="911" spans="1:11">
      <c r="A911" t="s">
        <v>446</v>
      </c>
      <c r="B911" s="147" t="s">
        <v>423</v>
      </c>
      <c r="C911" t="s">
        <v>389</v>
      </c>
      <c r="D911" t="s">
        <v>81</v>
      </c>
      <c r="E911" s="70">
        <f>IF(B911="","",INDEX(Ingredients!$I$1:$I$5013,(MATCH(InterventionCosts!B911,Ingredients!$A$1:$A$5013,0))))</f>
        <v>4096.797192613778</v>
      </c>
      <c r="F911" s="5" t="str">
        <f>INDEX(Ingredients!J$1:J$265,(MATCH(InterventionCosts!B911,Ingredients!A$1:A$265,0)))</f>
        <v>per person trained</v>
      </c>
      <c r="G911">
        <f>IF(B911="","",INDEX(Ingredients!$E$1:$E$238,(MATCH(InterventionCosts!B911,Ingredients!A$1:A$238,0))))</f>
        <v>2015</v>
      </c>
      <c r="H911" t="str">
        <f>INDEX(Ingredients!$F$1:$F$318,(MATCH(InterventionCosts!B911,Ingredients!A$1:A$318,0)))</f>
        <v>Clinton Health Access Initiative (2015)</v>
      </c>
      <c r="I911">
        <f>1/160</f>
        <v>6.2500000000000003E-3</v>
      </c>
      <c r="J911" t="s">
        <v>432</v>
      </c>
      <c r="K911" s="85">
        <f>I911*E911</f>
        <v>25.604982453836115</v>
      </c>
    </row>
    <row r="912" spans="1:11">
      <c r="A912" t="s">
        <v>446</v>
      </c>
      <c r="B912" s="147" t="s">
        <v>39</v>
      </c>
      <c r="C912" t="s">
        <v>389</v>
      </c>
      <c r="D912" t="s">
        <v>21</v>
      </c>
      <c r="E912" s="70">
        <f>IF(B912="","",INDEX(Ingredients!$I$1:$I$5013,(MATCH(InterventionCosts!B912,Ingredients!$A$1:$A$5013,0))))</f>
        <v>0.90383818045604736</v>
      </c>
      <c r="F912" s="5" t="str">
        <f>INDEX(Ingredients!J$1:J$265,(MATCH(InterventionCosts!B912,Ingredients!A$1:A$265,0)))</f>
        <v>per material</v>
      </c>
      <c r="G912">
        <f>IF(B912="","",INDEX(Ingredients!$E$1:$E$238,(MATCH(InterventionCosts!B912,Ingredients!A$1:A$238,0))))</f>
        <v>2016</v>
      </c>
      <c r="H912" t="str">
        <f>INDEX(Ingredients!$F$1:$F$318,(MATCH(InterventionCosts!B912,Ingredients!A$1:A$318,0)))</f>
        <v>RSA Global Fund Grant portfolio budgets 2016</v>
      </c>
      <c r="I912">
        <v>1</v>
      </c>
      <c r="J912" t="s">
        <v>406</v>
      </c>
      <c r="K912" s="85">
        <f>I912*E912</f>
        <v>0.90383818045604736</v>
      </c>
    </row>
    <row r="913" spans="1:14">
      <c r="A913" t="s">
        <v>446</v>
      </c>
      <c r="B913" s="146" t="s">
        <v>418</v>
      </c>
    </row>
    <row r="914" spans="1:14">
      <c r="A914" t="s">
        <v>446</v>
      </c>
      <c r="B914" s="147" t="s">
        <v>424</v>
      </c>
      <c r="C914" t="s">
        <v>389</v>
      </c>
      <c r="D914" t="s">
        <v>81</v>
      </c>
      <c r="E914" s="70">
        <f>IF(B914="","",INDEX(Ingredients!$I$1:$I$5013,(MATCH(InterventionCosts!B914,Ingredients!$A$1:$A$5013,0))))</f>
        <v>628.51855</v>
      </c>
      <c r="F914" s="5" t="str">
        <f>INDEX(Ingredients!J$1:J$265,(MATCH(InterventionCosts!B914,Ingredients!A$1:A$265,0)))</f>
        <v>per person trained</v>
      </c>
      <c r="G914">
        <f>IF(B914="","",INDEX(Ingredients!$E$1:$E$238,(MATCH(InterventionCosts!B914,Ingredients!A$1:A$238,0))))</f>
        <v>2022</v>
      </c>
      <c r="H914" t="str">
        <f>INDEX(Ingredients!$F$1:$F$318,(MATCH(InterventionCosts!B914,Ingredients!A$1:A$318,0)))</f>
        <v>GF Grant Portfolio Budget 2022 (Steve's Cohen personal communication)</v>
      </c>
      <c r="I914">
        <f>1/160</f>
        <v>6.2500000000000003E-3</v>
      </c>
      <c r="J914" t="s">
        <v>432</v>
      </c>
      <c r="K914" s="85">
        <f>I914*E914</f>
        <v>3.9282409375</v>
      </c>
    </row>
    <row r="915" spans="1:14">
      <c r="A915" t="s">
        <v>446</v>
      </c>
      <c r="B915" s="147" t="s">
        <v>39</v>
      </c>
      <c r="C915" t="s">
        <v>389</v>
      </c>
      <c r="D915" t="s">
        <v>21</v>
      </c>
      <c r="E915" s="70">
        <f>IF(B915="","",INDEX(Ingredients!$I$1:$I$5013,(MATCH(InterventionCosts!B915,Ingredients!$A$1:$A$5013,0))))</f>
        <v>0.90383818045604736</v>
      </c>
      <c r="F915" s="5" t="str">
        <f>INDEX(Ingredients!J$1:J$265,(MATCH(InterventionCosts!B915,Ingredients!A$1:A$265,0)))</f>
        <v>per material</v>
      </c>
      <c r="G915">
        <f>IF(B915="","",INDEX(Ingredients!$E$1:$E$238,(MATCH(InterventionCosts!B915,Ingredients!A$1:A$238,0))))</f>
        <v>2016</v>
      </c>
      <c r="H915" t="str">
        <f>INDEX(Ingredients!$F$1:$F$318,(MATCH(InterventionCosts!B915,Ingredients!A$1:A$318,0)))</f>
        <v>RSA Global Fund Grant portfolio budgets 2016</v>
      </c>
      <c r="I915">
        <v>1</v>
      </c>
      <c r="J915" t="s">
        <v>406</v>
      </c>
      <c r="K915" s="85">
        <f>I915*E915</f>
        <v>0.90383818045604736</v>
      </c>
    </row>
    <row r="916" spans="1:14">
      <c r="A916" t="s">
        <v>446</v>
      </c>
      <c r="B916" s="146" t="s">
        <v>419</v>
      </c>
    </row>
    <row r="917" spans="1:14">
      <c r="A917" t="s">
        <v>446</v>
      </c>
      <c r="B917" s="147" t="s">
        <v>111</v>
      </c>
      <c r="C917" t="s">
        <v>389</v>
      </c>
      <c r="D917" t="s">
        <v>81</v>
      </c>
      <c r="E917" s="70">
        <f>IF(B917="","",INDEX(Ingredients!$I$1:$I$5013,(MATCH(InterventionCosts!B917,Ingredients!$A$1:$A$5013,0))))</f>
        <v>239.77392959288917</v>
      </c>
      <c r="F917" s="5" t="str">
        <f>INDEX(Ingredients!J$1:J$265,(MATCH(InterventionCosts!B917,Ingredients!A$1:A$265,0)))</f>
        <v>pp per workshop</v>
      </c>
      <c r="G917">
        <f>IF(B917="","",INDEX(Ingredients!$E$1:$E$238,(MATCH(InterventionCosts!B917,Ingredients!A$1:A$238,0))))</f>
        <v>2018</v>
      </c>
      <c r="H917" t="str">
        <f>INDEX(Ingredients!$F$1:$F$318,(MATCH(InterventionCosts!B917,Ingredients!A$1:A$318,0)))</f>
        <v>RSA Global Fund Grant portfolio budgets 2018, Subject to revision during grant negotiations (Steve's email)</v>
      </c>
      <c r="I917" s="148">
        <f>1/100</f>
        <v>0.01</v>
      </c>
      <c r="J917" s="149" t="s">
        <v>433</v>
      </c>
      <c r="K917" s="85">
        <f>I917*E917</f>
        <v>2.3977392959288917</v>
      </c>
    </row>
    <row r="918" spans="1:14">
      <c r="A918" t="s">
        <v>446</v>
      </c>
      <c r="B918" s="147" t="s">
        <v>39</v>
      </c>
      <c r="C918" t="s">
        <v>389</v>
      </c>
      <c r="D918" t="s">
        <v>21</v>
      </c>
      <c r="E918" s="70">
        <f>IF(B918="","",INDEX(Ingredients!$I$1:$I$5013,(MATCH(InterventionCosts!B918,Ingredients!$A$1:$A$5013,0))))</f>
        <v>0.90383818045604736</v>
      </c>
      <c r="F918" s="5" t="str">
        <f>INDEX(Ingredients!J$1:J$265,(MATCH(InterventionCosts!B918,Ingredients!A$1:A$265,0)))</f>
        <v>per material</v>
      </c>
      <c r="G918">
        <f>IF(B918="","",INDEX(Ingredients!$E$1:$E$238,(MATCH(InterventionCosts!B918,Ingredients!A$1:A$238,0))))</f>
        <v>2016</v>
      </c>
      <c r="H918" t="str">
        <f>INDEX(Ingredients!$F$1:$F$318,(MATCH(InterventionCosts!B918,Ingredients!A$1:A$318,0)))</f>
        <v>RSA Global Fund Grant portfolio budgets 2016</v>
      </c>
      <c r="I918" s="148">
        <v>1</v>
      </c>
      <c r="J918" s="149" t="s">
        <v>434</v>
      </c>
      <c r="K918" s="85">
        <f>I918*E918</f>
        <v>0.90383818045604736</v>
      </c>
    </row>
    <row r="919" spans="1:14">
      <c r="A919" t="s">
        <v>446</v>
      </c>
      <c r="B919" s="147" t="s">
        <v>425</v>
      </c>
      <c r="C919" t="s">
        <v>389</v>
      </c>
      <c r="D919" t="s">
        <v>48</v>
      </c>
      <c r="E919" s="70">
        <f>IF(B919="","",INDEX(Ingredients!$I$1:$I$5013,(MATCH(InterventionCosts!B919,Ingredients!$A$1:$A$5013,0))))</f>
        <v>4100.2266666666665</v>
      </c>
      <c r="F919" s="5" t="str">
        <f>INDEX(Ingredients!J$1:J$265,(MATCH(InterventionCosts!B919,Ingredients!A$1:A$265,0)))</f>
        <v>per month</v>
      </c>
      <c r="G919">
        <f>IF(B919="","",INDEX(Ingredients!$E$1:$E$238,(MATCH(InterventionCosts!B919,Ingredients!A$1:A$238,0))))</f>
        <v>2024</v>
      </c>
      <c r="H919" t="str">
        <f>INDEX(Ingredients!$F$1:$F$318,(MATCH(InterventionCosts!B919,Ingredients!A$1:A$318,0)))</f>
        <v>https://www.health.gov.za/wp-content/uploads/2022/07/Health-Department-welcomes-Bargaining-Council-resolution-to-improve-work-conditions-of-CHWs-27-July-2022.pdf</v>
      </c>
      <c r="I919" s="150">
        <f>((15/(8*60))*workdayspermonth)/160*12</f>
        <v>4.3554687499999994E-2</v>
      </c>
      <c r="J919" s="149" t="s">
        <v>435</v>
      </c>
      <c r="K919" s="85">
        <f>I919*E919</f>
        <v>178.5840911458333</v>
      </c>
    </row>
    <row r="920" spans="1:14">
      <c r="A920" t="s">
        <v>446</v>
      </c>
      <c r="B920" s="146" t="s">
        <v>420</v>
      </c>
    </row>
    <row r="921" spans="1:14">
      <c r="A921" t="s">
        <v>446</v>
      </c>
      <c r="B921" s="147" t="s">
        <v>246</v>
      </c>
      <c r="C921" t="s">
        <v>389</v>
      </c>
      <c r="D921" t="s">
        <v>21</v>
      </c>
      <c r="E921" s="70">
        <f>IF(B921="","",INDEX(Ingredients!$I$1:$I$5013,(MATCH(InterventionCosts!B921,Ingredients!$A$1:$A$5013,0))))</f>
        <v>0.16400000000000001</v>
      </c>
      <c r="F921" s="5" t="str">
        <f>INDEX(Ingredients!J$1:J$265,(MATCH(InterventionCosts!B921,Ingredients!A$1:A$265,0)))</f>
        <v>per page</v>
      </c>
      <c r="G921">
        <f>IF(B921="","",INDEX(Ingredients!$E$1:$E$238,(MATCH(InterventionCosts!B921,Ingredients!A$1:A$238,0))))</f>
        <v>2024</v>
      </c>
      <c r="H921" t="str">
        <f>INDEX(Ingredients!$F$1:$F$318,(MATCH(InterventionCosts!B921,Ingredients!A$1:A$318,0)))</f>
        <v>https://www.makro.co.za/stationery-office-furniture/paper-filing/paper/white-paper/copy-paper/typek-a4-office-paper-80-gsm/p/000000000000012434_BOX</v>
      </c>
      <c r="I921" s="148">
        <f>2*1</f>
        <v>2</v>
      </c>
      <c r="J921" s="149" t="s">
        <v>436</v>
      </c>
      <c r="K921" s="85">
        <f>I921*E921</f>
        <v>0.32800000000000001</v>
      </c>
    </row>
    <row r="922" spans="1:14">
      <c r="A922" t="s">
        <v>446</v>
      </c>
      <c r="B922" s="147" t="s">
        <v>426</v>
      </c>
      <c r="C922" t="s">
        <v>389</v>
      </c>
      <c r="D922" t="s">
        <v>21</v>
      </c>
      <c r="E922" s="70">
        <f>IF(B922="","",INDEX(Ingredients!$I$1:$I$5013,(MATCH(InterventionCosts!B922,Ingredients!$A$1:$A$5013,0))))</f>
        <v>0.45800000000000002</v>
      </c>
      <c r="F922" s="5" t="str">
        <f>INDEX(Ingredients!J$1:J$265,(MATCH(InterventionCosts!B922,Ingredients!A$1:A$265,0)))</f>
        <v>per page</v>
      </c>
      <c r="G922">
        <f>IF(B922="","",INDEX(Ingredients!$E$1:$E$238,(MATCH(InterventionCosts!B922,Ingredients!A$1:A$238,0))))</f>
        <v>2024</v>
      </c>
      <c r="H922" t="str">
        <f>INDEX(Ingredients!$F$1:$F$318,(MATCH(InterventionCosts!B922,Ingredients!A$1:A$318,0)))</f>
        <v>https://www.makro.co.za/stationery-office-furniture/paper-filing/paper/white-paper/a3-paper/typek-a3-office-paper-80-gsm/p/000000000000877929_EA</v>
      </c>
      <c r="I922" s="148">
        <f>1/160*12</f>
        <v>7.5000000000000011E-2</v>
      </c>
      <c r="J922" s="149" t="s">
        <v>437</v>
      </c>
      <c r="K922" s="85">
        <f>I922*E922</f>
        <v>3.4350000000000006E-2</v>
      </c>
    </row>
    <row r="923" spans="1:14">
      <c r="A923" t="s">
        <v>446</v>
      </c>
      <c r="B923" s="147" t="s">
        <v>55</v>
      </c>
      <c r="C923" t="s">
        <v>389</v>
      </c>
      <c r="D923" t="s">
        <v>48</v>
      </c>
      <c r="E923" s="70">
        <f>IF(B923="","",INDEX(Ingredients!$I$1:$I$5013,(MATCH(InterventionCosts!B923,Ingredients!$A$1:$A$5013,0))))</f>
        <v>1.8549350710014947</v>
      </c>
      <c r="F923" s="5" t="str">
        <f>INDEX(Ingredients!J$1:J$265,(MATCH(InterventionCosts!B923,Ingredients!A$1:A$265,0)))</f>
        <v>per minute</v>
      </c>
      <c r="G923">
        <f>IF(B923="","",INDEX(Ingredients!$E$1:$E$238,(MATCH(InterventionCosts!B923,Ingredients!A$1:A$238,0))))</f>
        <v>2024</v>
      </c>
      <c r="H923" t="str">
        <f>INDEX(Ingredients!$F$1:$F$318,(MATCH(InterventionCosts!B923,Ingredients!A$1:A$318,0)))</f>
        <v xml:space="preserve">April 2024 Salary scale </v>
      </c>
      <c r="I923" s="148">
        <f>(60*12)/160</f>
        <v>4.5</v>
      </c>
      <c r="J923" s="149" t="s">
        <v>438</v>
      </c>
      <c r="K923" s="85">
        <f>I923*E923</f>
        <v>8.3472078195067265</v>
      </c>
    </row>
    <row r="924" spans="1:14">
      <c r="A924" t="s">
        <v>446</v>
      </c>
      <c r="B924" s="146" t="s">
        <v>421</v>
      </c>
    </row>
    <row r="925" spans="1:14">
      <c r="A925" t="s">
        <v>446</v>
      </c>
      <c r="B925" s="147" t="s">
        <v>422</v>
      </c>
      <c r="C925" t="s">
        <v>389</v>
      </c>
      <c r="D925" t="s">
        <v>81</v>
      </c>
      <c r="E925" s="70"/>
      <c r="F925" s="5"/>
      <c r="J925" t="s">
        <v>441</v>
      </c>
      <c r="K925" s="85">
        <f>0.07*SUM(K831:K923,K926)</f>
        <v>70.734098039304385</v>
      </c>
      <c r="L925" s="85" t="s">
        <v>427</v>
      </c>
    </row>
    <row r="926" spans="1:14">
      <c r="A926" t="s">
        <v>446</v>
      </c>
      <c r="B926" s="147" t="s">
        <v>52</v>
      </c>
      <c r="C926" t="s">
        <v>389</v>
      </c>
      <c r="D926" t="s">
        <v>48</v>
      </c>
      <c r="E926" s="70">
        <f>IF(B926="","",INDEX(Ingredients!$I$1:$I$5013,(MATCH(InterventionCosts!B926,Ingredients!$A$1:$A$5013,0))))</f>
        <v>1.8019482436472347</v>
      </c>
      <c r="F926" s="5" t="str">
        <f>INDEX(Ingredients!J$1:J$265,(MATCH(InterventionCosts!B926,Ingredients!A$1:A$265,0)))</f>
        <v>per minute</v>
      </c>
      <c r="G926">
        <f>IF(B926="","",INDEX(Ingredients!$E$1:$E$238,(MATCH(InterventionCosts!B926,Ingredients!A$1:A$238,0))))</f>
        <v>2024</v>
      </c>
      <c r="H926" t="str">
        <f>INDEX(Ingredients!$F$1:$F$318,(MATCH(InterventionCosts!B926,Ingredients!A$1:A$318,0)))</f>
        <v xml:space="preserve">April 2024 Salary scale </v>
      </c>
      <c r="I926">
        <v>6</v>
      </c>
      <c r="J926" s="149" t="s">
        <v>439</v>
      </c>
      <c r="K926" s="85">
        <f>I926*E926</f>
        <v>10.811689461883407</v>
      </c>
    </row>
    <row r="927" spans="1:14" s="89" customFormat="1">
      <c r="A927" s="4" t="s">
        <v>446</v>
      </c>
      <c r="F927" s="89" t="s">
        <v>1164</v>
      </c>
      <c r="G927" s="89" t="str">
        <f>IF(B927="","",INDEX(Ingredients!$E$1:$E$238,(MATCH(InterventionCosts!B927,Ingredients!A$1:A$238,0))))</f>
        <v/>
      </c>
      <c r="K927" s="90"/>
      <c r="L927" s="90">
        <f>SUM(K831:K926)</f>
        <v>1081.2212128865096</v>
      </c>
      <c r="M927" s="92"/>
      <c r="N927" s="4"/>
    </row>
    <row r="928" spans="1:14" s="89" customFormat="1">
      <c r="A928" s="4" t="s">
        <v>446</v>
      </c>
      <c r="F928" s="89" t="s">
        <v>117</v>
      </c>
      <c r="G928" s="89" t="str">
        <f>IF(B928="","",INDEX(Ingredients!$E$1:$E$238,(MATCH(InterventionCosts!B928,Ingredients!A$1:A$238,0))))</f>
        <v/>
      </c>
      <c r="K928" s="90"/>
      <c r="L928" s="90" t="s">
        <v>440</v>
      </c>
    </row>
    <row r="930" spans="1:12">
      <c r="A930" t="s">
        <v>447</v>
      </c>
      <c r="B930" s="144" t="s">
        <v>1463</v>
      </c>
      <c r="C930" s="141"/>
      <c r="D930" s="141"/>
      <c r="E930" s="142"/>
      <c r="F930" s="141"/>
      <c r="G930" s="141"/>
      <c r="H930" s="141"/>
      <c r="I930" s="141"/>
      <c r="J930" s="141"/>
      <c r="K930" s="143"/>
    </row>
    <row r="931" spans="1:12">
      <c r="A931" t="s">
        <v>447</v>
      </c>
      <c r="B931" s="136" t="s">
        <v>390</v>
      </c>
    </row>
    <row r="932" spans="1:12">
      <c r="A932" t="s">
        <v>447</v>
      </c>
      <c r="B932" s="137" t="s">
        <v>54</v>
      </c>
      <c r="C932" t="s">
        <v>389</v>
      </c>
      <c r="D932" t="s">
        <v>48</v>
      </c>
      <c r="E932" s="70">
        <f>IF(B932="","",INDEX(Ingredients!$I$1:$I$5013,(MATCH(InterventionCosts!B932,Ingredients!$A$1:$A$5013,0))))</f>
        <v>1.2444366591928251</v>
      </c>
      <c r="F932" s="5" t="str">
        <f>INDEX(Ingredients!J$1:J$265,(MATCH(InterventionCosts!B932,Ingredients!A$1:A$265,0)))</f>
        <v>per minute</v>
      </c>
      <c r="G932">
        <f>IF(B932="","",INDEX(Ingredients!$E$1:$E$238,(MATCH(InterventionCosts!B932,Ingredients!A$1:A$238,0))))</f>
        <v>2024</v>
      </c>
      <c r="H932" t="str">
        <f>INDEX(Ingredients!$F$1:$F$318,(MATCH(InterventionCosts!B932,Ingredients!A$1:A$318,0)))</f>
        <v xml:space="preserve">April 2024 Salary scale </v>
      </c>
      <c r="I932">
        <v>1</v>
      </c>
      <c r="J932" t="s">
        <v>1476</v>
      </c>
      <c r="K932" s="85">
        <f>I932*E932</f>
        <v>1.2444366591928251</v>
      </c>
    </row>
    <row r="933" spans="1:12">
      <c r="A933" t="s">
        <v>447</v>
      </c>
      <c r="B933" s="137" t="s">
        <v>246</v>
      </c>
      <c r="C933" t="s">
        <v>389</v>
      </c>
      <c r="D933" s="5" t="s">
        <v>21</v>
      </c>
      <c r="E933" s="70">
        <f>IF(B933="","",INDEX(Ingredients!$I$1:$I$5013,(MATCH(InterventionCosts!B933,Ingredients!$A$1:$A$5013,0))))</f>
        <v>0.16400000000000001</v>
      </c>
      <c r="F933" s="5" t="str">
        <f>INDEX(Ingredients!J$1:J$265,(MATCH(InterventionCosts!B933,Ingredients!A$1:A$265,0)))</f>
        <v>per page</v>
      </c>
      <c r="G933">
        <f>IF(B933="","",INDEX(Ingredients!$E$1:$E$238,(MATCH(InterventionCosts!B933,Ingredients!A$1:A$238,0))))</f>
        <v>2024</v>
      </c>
      <c r="H933" t="str">
        <f>INDEX(Ingredients!$F$1:$F$318,(MATCH(InterventionCosts!B933,Ingredients!A$1:A$318,0)))</f>
        <v>https://www.makro.co.za/stationery-office-furniture/paper-filing/paper/white-paper/copy-paper/typek-a4-office-paper-80-gsm/p/000000000000012434_BOX</v>
      </c>
      <c r="I933">
        <f>1</f>
        <v>1</v>
      </c>
      <c r="J933" t="s">
        <v>1476</v>
      </c>
      <c r="K933" s="85">
        <f>I933*E933</f>
        <v>0.16400000000000001</v>
      </c>
      <c r="L933" s="85" t="s">
        <v>1510</v>
      </c>
    </row>
    <row r="934" spans="1:12">
      <c r="A934" t="s">
        <v>447</v>
      </c>
      <c r="B934" s="136" t="s">
        <v>391</v>
      </c>
      <c r="F934" s="145" t="s">
        <v>396</v>
      </c>
      <c r="I934" s="153">
        <f>0.0480833123941767</f>
        <v>4.8083312394176701E-2</v>
      </c>
      <c r="J934" s="3" t="s">
        <v>443</v>
      </c>
    </row>
    <row r="935" spans="1:12">
      <c r="A935" t="s">
        <v>447</v>
      </c>
      <c r="B935" s="137" t="s">
        <v>79</v>
      </c>
      <c r="C935" t="s">
        <v>389</v>
      </c>
      <c r="D935" s="5" t="s">
        <v>21</v>
      </c>
      <c r="E935" s="70">
        <f>IF(B935="","",INDEX(Ingredients!$I$1:$I$5013,(MATCH(InterventionCosts!B935,Ingredients!$A$1:$A$5013,0))))</f>
        <v>9.3000000000000007</v>
      </c>
      <c r="F935" s="5" t="str">
        <f>INDEX(Ingredients!J$1:J$265,(MATCH(InterventionCosts!B935,Ingredients!A$1:A$265,0)))</f>
        <v>per test</v>
      </c>
      <c r="G935">
        <f>IF(B935="","",INDEX(Ingredients!$E$1:$E$238,(MATCH(InterventionCosts!B935,Ingredients!A$1:A$238,0))))</f>
        <v>2024</v>
      </c>
      <c r="H935" t="str">
        <f>INDEX(Ingredients!$F$1:$F$318,(MATCH(InterventionCosts!B935,Ingredients!A$1:A$318,0)))</f>
        <v>https://www.treasury.gov.za/divisions/ocpo/ostb/contracts/RT41-2020.zip</v>
      </c>
      <c r="I935" s="134">
        <f>1/(1-I934)</f>
        <v>1.0505121015528278</v>
      </c>
      <c r="J935" s="133" t="s">
        <v>394</v>
      </c>
      <c r="K935" s="85">
        <f>I935*E935</f>
        <v>9.7697625444412992</v>
      </c>
      <c r="L935"/>
    </row>
    <row r="936" spans="1:12">
      <c r="A936" t="s">
        <v>447</v>
      </c>
      <c r="B936" s="137" t="s">
        <v>54</v>
      </c>
      <c r="C936" t="s">
        <v>389</v>
      </c>
      <c r="D936" t="s">
        <v>48</v>
      </c>
      <c r="E936" s="70">
        <f>IF(B936="","",INDEX(Ingredients!$I$1:$I$5013,(MATCH(InterventionCosts!B936,Ingredients!$A$1:$A$5013,0))))</f>
        <v>1.2444366591928251</v>
      </c>
      <c r="F936" s="5" t="str">
        <f>INDEX(Ingredients!J$1:J$265,(MATCH(InterventionCosts!B936,Ingredients!A$1:A$265,0)))</f>
        <v>per minute</v>
      </c>
      <c r="G936">
        <f>IF(B936="","",INDEX(Ingredients!$E$1:$E$238,(MATCH(InterventionCosts!B936,Ingredients!A$1:A$238,0))))</f>
        <v>2024</v>
      </c>
      <c r="H936" t="str">
        <f>INDEX(Ingredients!$F$1:$F$318,(MATCH(InterventionCosts!B936,Ingredients!A$1:A$318,0)))</f>
        <v xml:space="preserve">April 2024 Salary scale </v>
      </c>
      <c r="I936" s="134">
        <f>15+1/(1-I934)</f>
        <v>16.050512101552826</v>
      </c>
      <c r="J936" s="133" t="s">
        <v>395</v>
      </c>
      <c r="K936" s="85">
        <f>I936*E936</f>
        <v>19.97384565799041</v>
      </c>
      <c r="L936"/>
    </row>
    <row r="937" spans="1:12">
      <c r="A937" t="s">
        <v>447</v>
      </c>
      <c r="B937" s="137" t="s">
        <v>1489</v>
      </c>
      <c r="C937" t="s">
        <v>389</v>
      </c>
      <c r="D937" s="5" t="s">
        <v>21</v>
      </c>
      <c r="E937" s="70">
        <f>IF(B937="","",INDEX(Ingredients!$I$1:$I$5013,(MATCH(InterventionCosts!B937,Ingredients!$A$1:$A$5013,0))))</f>
        <v>53.08</v>
      </c>
      <c r="F937" s="5" t="str">
        <f>INDEX(Ingredients!J$1:J$265,(MATCH(InterventionCosts!B937,Ingredients!A$1:A$265,0)))</f>
        <v>per pack 100, 50 pairs</v>
      </c>
      <c r="G937">
        <f>IF(B937="","",INDEX(Ingredients!$E$1:$E$238,(MATCH(InterventionCosts!B937,Ingredients!A$1:A$238,0))))</f>
        <v>2024</v>
      </c>
      <c r="H937" t="str">
        <f>INDEX(Ingredients!$F$1:$F$318,(MATCH(InterventionCosts!B937,Ingredients!A$1:A$318,0)))</f>
        <v>https://www.treasury.gov.za/divisions/ocpo/ostb/contracts/RT76-2023%20CPA%20Amendment%204-%20Effective%2001%20May%202024.pdf</v>
      </c>
      <c r="I937" s="134">
        <f>2/100*(1/(1-I934))</f>
        <v>2.1010242031056555E-2</v>
      </c>
      <c r="J937" s="133" t="s">
        <v>394</v>
      </c>
      <c r="K937" s="85">
        <f>I937*E937</f>
        <v>1.115223647008482</v>
      </c>
      <c r="L937"/>
    </row>
    <row r="938" spans="1:12">
      <c r="A938" t="s">
        <v>447</v>
      </c>
      <c r="B938" s="137" t="s">
        <v>31</v>
      </c>
      <c r="C938" t="s">
        <v>389</v>
      </c>
      <c r="D938" s="5" t="s">
        <v>21</v>
      </c>
      <c r="E938" s="70">
        <f>IF(B938="","",INDEX(Ingredients!$I$1:$I$5013,(MATCH(InterventionCosts!B938,Ingredients!$A$1:$A$5013,0))))</f>
        <v>31.4</v>
      </c>
      <c r="F938" s="5" t="str">
        <f>INDEX(Ingredients!J$1:J$265,(MATCH(InterventionCosts!B938,Ingredients!A$1:A$265,0)))</f>
        <v>per 100 swabs</v>
      </c>
      <c r="G938">
        <f>IF(B938="","",INDEX(Ingredients!$E$1:$E$238,(MATCH(InterventionCosts!B938,Ingredients!A$1:A$238,0))))</f>
        <v>2024</v>
      </c>
      <c r="H938" t="str">
        <f>INDEX(Ingredients!$F$1:$F$318,(MATCH(InterventionCosts!B938,Ingredients!A$1:A$318,0)))</f>
        <v xml:space="preserve">http://www.treasury.gov.za/divisions/ocpo/ostb/contracts/RT42-2022zip </v>
      </c>
      <c r="I938" s="134">
        <f>1/100*(1/(1-I934))</f>
        <v>1.0505121015528278E-2</v>
      </c>
      <c r="J938" s="133" t="s">
        <v>394</v>
      </c>
      <c r="K938" s="85">
        <f>I938*E938</f>
        <v>0.32986079988758787</v>
      </c>
      <c r="L938"/>
    </row>
    <row r="939" spans="1:12">
      <c r="A939" t="s">
        <v>447</v>
      </c>
      <c r="B939" s="136" t="s">
        <v>392</v>
      </c>
      <c r="E939" s="70"/>
      <c r="F939" s="5"/>
    </row>
    <row r="940" spans="1:12">
      <c r="A940" t="s">
        <v>447</v>
      </c>
      <c r="B940" s="137" t="s">
        <v>79</v>
      </c>
      <c r="C940" t="s">
        <v>389</v>
      </c>
      <c r="D940" s="5" t="s">
        <v>21</v>
      </c>
      <c r="E940" s="70">
        <f>IF(B940="","",INDEX(Ingredients!$I$1:$I$5013,(MATCH(InterventionCosts!B940,Ingredients!$A$1:$A$5013,0))))</f>
        <v>9.3000000000000007</v>
      </c>
      <c r="F940" s="5" t="str">
        <f>INDEX(Ingredients!J$1:J$265,(MATCH(InterventionCosts!B940,Ingredients!A$1:A$265,0)))</f>
        <v>per test</v>
      </c>
      <c r="G940">
        <f>IF(B940="","",INDEX(Ingredients!$E$1:$E$238,(MATCH(InterventionCosts!B940,Ingredients!A$1:A$238,0))))</f>
        <v>2024</v>
      </c>
      <c r="H940" t="str">
        <f>INDEX(Ingredients!$F$1:$F$318,(MATCH(InterventionCosts!B940,Ingredients!A$1:A$318,0)))</f>
        <v>https://www.treasury.gov.za/divisions/ocpo/ostb/contracts/RT41-2020.zip</v>
      </c>
      <c r="I940" s="134">
        <f>I934</f>
        <v>4.8083312394176701E-2</v>
      </c>
      <c r="J940" s="85" t="s">
        <v>396</v>
      </c>
      <c r="K940" s="85">
        <f>I940*E940</f>
        <v>0.44717480526584336</v>
      </c>
      <c r="L940"/>
    </row>
    <row r="941" spans="1:12">
      <c r="A941" t="s">
        <v>447</v>
      </c>
      <c r="B941" s="137" t="s">
        <v>54</v>
      </c>
      <c r="C941" t="s">
        <v>389</v>
      </c>
      <c r="D941" t="s">
        <v>48</v>
      </c>
      <c r="E941" s="70">
        <f>IF(B941="","",INDEX(Ingredients!$I$1:$I$5013,(MATCH(InterventionCosts!B941,Ingredients!$A$1:$A$5013,0))))</f>
        <v>1.2444366591928251</v>
      </c>
      <c r="F941" s="5" t="str">
        <f>INDEX(Ingredients!J$1:J$265,(MATCH(InterventionCosts!B941,Ingredients!A$1:A$265,0)))</f>
        <v>per minute</v>
      </c>
      <c r="G941">
        <f>IF(B941="","",INDEX(Ingredients!$E$1:$E$238,(MATCH(InterventionCosts!B941,Ingredients!A$1:A$238,0))))</f>
        <v>2024</v>
      </c>
      <c r="H941" t="str">
        <f>INDEX(Ingredients!$F$1:$F$318,(MATCH(InterventionCosts!B941,Ingredients!A$1:A$318,0)))</f>
        <v xml:space="preserve">April 2024 Salary scale </v>
      </c>
      <c r="I941" s="134">
        <f>(15+1/(1-I934))*I934</f>
        <v>0.77176178746547808</v>
      </c>
      <c r="J941" s="133" t="s">
        <v>395</v>
      </c>
      <c r="K941" s="85">
        <f>I941*E941</f>
        <v>0.96040866048622264</v>
      </c>
      <c r="L941"/>
    </row>
    <row r="942" spans="1:12">
      <c r="A942" t="s">
        <v>447</v>
      </c>
      <c r="B942" s="137" t="s">
        <v>1489</v>
      </c>
      <c r="C942" t="s">
        <v>389</v>
      </c>
      <c r="D942" s="5" t="s">
        <v>21</v>
      </c>
      <c r="E942" s="70">
        <f>IF(B942="","",INDEX(Ingredients!$I$1:$I$5013,(MATCH(InterventionCosts!B942,Ingredients!$A$1:$A$5013,0))))</f>
        <v>53.08</v>
      </c>
      <c r="F942" s="5" t="str">
        <f>INDEX(Ingredients!J$1:J$265,(MATCH(InterventionCosts!B942,Ingredients!A$1:A$265,0)))</f>
        <v>per pack 100, 50 pairs</v>
      </c>
      <c r="G942">
        <f>IF(B942="","",INDEX(Ingredients!$E$1:$E$238,(MATCH(InterventionCosts!B942,Ingredients!A$1:A$238,0))))</f>
        <v>2024</v>
      </c>
      <c r="H942" t="str">
        <f>INDEX(Ingredients!$F$1:$F$318,(MATCH(InterventionCosts!B942,Ingredients!A$1:A$318,0)))</f>
        <v>https://www.treasury.gov.za/divisions/ocpo/ostb/contracts/RT76-2023%20CPA%20Amendment%204-%20Effective%2001%20May%202024.pdf</v>
      </c>
      <c r="I942" s="152">
        <f>2/100*I934</f>
        <v>9.6166624788353403E-4</v>
      </c>
      <c r="J942" s="133" t="s">
        <v>1480</v>
      </c>
      <c r="K942" s="85">
        <f>I942*E942</f>
        <v>5.1045244437657983E-2</v>
      </c>
      <c r="L942"/>
    </row>
    <row r="943" spans="1:12">
      <c r="A943" t="s">
        <v>447</v>
      </c>
      <c r="B943" s="137" t="s">
        <v>31</v>
      </c>
      <c r="C943" t="s">
        <v>389</v>
      </c>
      <c r="D943" s="5" t="s">
        <v>21</v>
      </c>
      <c r="E943" s="70">
        <f>IF(B943="","",INDEX(Ingredients!$I$1:$I$5013,(MATCH(InterventionCosts!B943,Ingredients!$A$1:$A$5013,0))))</f>
        <v>31.4</v>
      </c>
      <c r="F943" s="5" t="str">
        <f>INDEX(Ingredients!J$1:J$265,(MATCH(InterventionCosts!B943,Ingredients!A$1:A$265,0)))</f>
        <v>per 100 swabs</v>
      </c>
      <c r="G943">
        <f>IF(B943="","",INDEX(Ingredients!$E$1:$E$238,(MATCH(InterventionCosts!B943,Ingredients!A$1:A$238,0))))</f>
        <v>2024</v>
      </c>
      <c r="H943" t="str">
        <f>INDEX(Ingredients!$F$1:$F$318,(MATCH(InterventionCosts!B943,Ingredients!A$1:A$318,0)))</f>
        <v xml:space="preserve">http://www.treasury.gov.za/divisions/ocpo/ostb/contracts/RT42-2022zip </v>
      </c>
      <c r="I943" s="152">
        <f>1/100*I934</f>
        <v>4.8083312394176701E-4</v>
      </c>
      <c r="J943" s="133" t="s">
        <v>1479</v>
      </c>
      <c r="K943" s="85">
        <f>I943*E943</f>
        <v>1.5098160091771484E-2</v>
      </c>
      <c r="L943"/>
    </row>
    <row r="944" spans="1:12">
      <c r="A944" t="s">
        <v>447</v>
      </c>
      <c r="B944" s="136" t="s">
        <v>393</v>
      </c>
      <c r="F944" s="5"/>
    </row>
    <row r="945" spans="1:12">
      <c r="A945" t="s">
        <v>447</v>
      </c>
      <c r="B945" s="137" t="s">
        <v>77</v>
      </c>
      <c r="C945" t="s">
        <v>389</v>
      </c>
      <c r="D945" t="s">
        <v>75</v>
      </c>
      <c r="E945" s="70">
        <f>IF(B945="","",INDEX(Ingredients!$I$1:$I$5013,(MATCH(InterventionCosts!B945,Ingredients!$A$1:$A$5013,0))))</f>
        <v>71.889951748999991</v>
      </c>
      <c r="F945" s="5" t="str">
        <f>INDEX(Ingredients!J$1:J$265,(MATCH(InterventionCosts!B945,Ingredients!A$1:A$265,0)))</f>
        <v>per test</v>
      </c>
      <c r="G945">
        <f>IF(B945="","",INDEX(Ingredients!$E$1:$E$238,(MATCH(InterventionCosts!B945,Ingredients!A$1:A$238,0))))</f>
        <v>2021</v>
      </c>
      <c r="H945" t="str">
        <f>INDEX(Ingredients!$F$1:$F$318,(MATCH(InterventionCosts!B945,Ingredients!A$1:A$318,0)))</f>
        <v>NHLS 2021 price-list</v>
      </c>
      <c r="I945">
        <v>0.02</v>
      </c>
      <c r="J945" s="85" t="s">
        <v>397</v>
      </c>
      <c r="K945" s="85">
        <f>I945*E945</f>
        <v>1.4377990349799998</v>
      </c>
      <c r="L945" s="85" t="s">
        <v>397</v>
      </c>
    </row>
    <row r="946" spans="1:12">
      <c r="A946" t="s">
        <v>447</v>
      </c>
      <c r="B946" s="137" t="s">
        <v>54</v>
      </c>
      <c r="C946" t="s">
        <v>389</v>
      </c>
      <c r="D946" t="s">
        <v>48</v>
      </c>
      <c r="E946" s="70">
        <f>IF(B946="","",INDEX(Ingredients!$I$1:$I$5013,(MATCH(InterventionCosts!B946,Ingredients!$A$1:$A$5013,0))))</f>
        <v>1.2444366591928251</v>
      </c>
      <c r="F946" s="5" t="str">
        <f>INDEX(Ingredients!J$1:J$265,(MATCH(InterventionCosts!B946,Ingredients!A$1:A$265,0)))</f>
        <v>per minute</v>
      </c>
      <c r="G946">
        <f>IF(B946="","",INDEX(Ingredients!$E$1:$E$238,(MATCH(InterventionCosts!B946,Ingredients!A$1:A$238,0))))</f>
        <v>2024</v>
      </c>
      <c r="H946" t="str">
        <f>INDEX(Ingredients!$F$1:$F$318,(MATCH(InterventionCosts!B946,Ingredients!A$1:A$318,0)))</f>
        <v xml:space="preserve">April 2024 Salary scale </v>
      </c>
      <c r="I946">
        <f>15*0.02</f>
        <v>0.3</v>
      </c>
      <c r="J946" s="133" t="s">
        <v>395</v>
      </c>
      <c r="K946" s="85">
        <f>I946*E946</f>
        <v>0.3733309977578475</v>
      </c>
    </row>
    <row r="947" spans="1:12">
      <c r="A947" t="s">
        <v>447</v>
      </c>
      <c r="B947" s="137" t="s">
        <v>1489</v>
      </c>
      <c r="C947" t="s">
        <v>389</v>
      </c>
      <c r="D947" s="5" t="s">
        <v>21</v>
      </c>
      <c r="E947" s="70">
        <f>IF(B947="","",INDEX(Ingredients!$I$1:$I$5013,(MATCH(InterventionCosts!B947,Ingredients!$A$1:$A$5013,0))))</f>
        <v>53.08</v>
      </c>
      <c r="F947" s="5" t="str">
        <f>INDEX(Ingredients!J$1:J$265,(MATCH(InterventionCosts!B947,Ingredients!A$1:A$265,0)))</f>
        <v>per pack 100, 50 pairs</v>
      </c>
      <c r="G947">
        <f>IF(B947="","",INDEX(Ingredients!$E$1:$E$238,(MATCH(InterventionCosts!B947,Ingredients!A$1:A$238,0))))</f>
        <v>2024</v>
      </c>
      <c r="H947" t="str">
        <f>INDEX(Ingredients!$F$1:$F$318,(MATCH(InterventionCosts!B947,Ingredients!A$1:A$318,0)))</f>
        <v>https://www.treasury.gov.za/divisions/ocpo/ostb/contracts/RT76-2023%20CPA%20Amendment%204-%20Effective%2001%20May%202024.pdf</v>
      </c>
      <c r="I947">
        <f>2/100*0.02</f>
        <v>4.0000000000000002E-4</v>
      </c>
      <c r="J947" s="85" t="s">
        <v>397</v>
      </c>
      <c r="K947" s="85">
        <f>I947*E947</f>
        <v>2.1232000000000001E-2</v>
      </c>
    </row>
    <row r="948" spans="1:12">
      <c r="A948" t="s">
        <v>447</v>
      </c>
      <c r="B948" s="137" t="s">
        <v>45</v>
      </c>
      <c r="C948" t="s">
        <v>389</v>
      </c>
      <c r="D948" s="5" t="s">
        <v>21</v>
      </c>
      <c r="E948" s="70">
        <f>IF(B948="","",INDEX(Ingredients!$I$1:$I$5013,(MATCH(InterventionCosts!B948,Ingredients!$A$1:$A$5013,0))))</f>
        <v>46</v>
      </c>
      <c r="F948" s="5" t="str">
        <f>INDEX(Ingredients!J$1:J$265,(MATCH(InterventionCosts!B948,Ingredients!A$1:A$265,0)))</f>
        <v>per pack 100</v>
      </c>
      <c r="G948">
        <f>IF(B948="","",INDEX(Ingredients!$E$1:$E$238,(MATCH(InterventionCosts!B948,Ingredients!A$1:A$238,0))))</f>
        <v>2024</v>
      </c>
      <c r="H948" t="str">
        <f>INDEX(Ingredients!$F$1:$F$318,(MATCH(InterventionCosts!B948,Ingredients!A$1:A$318,0)))</f>
        <v>https://www.treasury.gov.za/divisions/ocpo/ostb/contracts/RT284-2023.zip</v>
      </c>
      <c r="I948">
        <f>1/100*0.02</f>
        <v>2.0000000000000001E-4</v>
      </c>
      <c r="J948" s="85" t="s">
        <v>397</v>
      </c>
      <c r="K948" s="135">
        <f>I948*E948</f>
        <v>9.1999999999999998E-3</v>
      </c>
    </row>
    <row r="949" spans="1:12">
      <c r="A949" t="s">
        <v>447</v>
      </c>
      <c r="B949" s="137" t="s">
        <v>31</v>
      </c>
      <c r="C949" t="s">
        <v>389</v>
      </c>
      <c r="D949" s="5" t="s">
        <v>21</v>
      </c>
      <c r="E949" s="70">
        <f>IF(B949="","",INDEX(Ingredients!$I$1:$I$5013,(MATCH(InterventionCosts!B949,Ingredients!$A$1:$A$5013,0))))</f>
        <v>31.4</v>
      </c>
      <c r="F949" s="5" t="str">
        <f>INDEX(Ingredients!J$1:J$265,(MATCH(InterventionCosts!B949,Ingredients!A$1:A$265,0)))</f>
        <v>per 100 swabs</v>
      </c>
      <c r="G949">
        <f>IF(B949="","",INDEX(Ingredients!$E$1:$E$238,(MATCH(InterventionCosts!B949,Ingredients!A$1:A$238,0))))</f>
        <v>2024</v>
      </c>
      <c r="H949" t="str">
        <f>INDEX(Ingredients!$F$1:$F$318,(MATCH(InterventionCosts!B949,Ingredients!A$1:A$318,0)))</f>
        <v xml:space="preserve">http://www.treasury.gov.za/divisions/ocpo/ostb/contracts/RT42-2022zip </v>
      </c>
      <c r="I949">
        <f>1/100*0.02</f>
        <v>2.0000000000000001E-4</v>
      </c>
      <c r="J949" s="85" t="s">
        <v>397</v>
      </c>
      <c r="K949" s="135">
        <f>I949*E949</f>
        <v>6.28E-3</v>
      </c>
    </row>
    <row r="950" spans="1:12">
      <c r="A950" t="s">
        <v>447</v>
      </c>
      <c r="B950" s="136" t="s">
        <v>398</v>
      </c>
    </row>
    <row r="951" spans="1:12">
      <c r="A951" t="s">
        <v>447</v>
      </c>
      <c r="B951" s="137" t="s">
        <v>354</v>
      </c>
      <c r="C951" t="s">
        <v>389</v>
      </c>
      <c r="D951" t="s">
        <v>48</v>
      </c>
      <c r="E951" s="70">
        <f>IF(B951="","",INDEX(Ingredients!$I$1:$I$5013,(MATCH(InterventionCosts!B951,Ingredients!$A$1:$A$5013,0))))</f>
        <v>4.8996605630293981</v>
      </c>
      <c r="F951" s="5" t="str">
        <f>INDEX(Ingredients!J$1:J$265,(MATCH(InterventionCosts!B951,Ingredients!A$1:A$265,0)))</f>
        <v>per minute</v>
      </c>
      <c r="G951">
        <f>IF(B951="","",INDEX(Ingredients!$E$1:$E$238,(MATCH(InterventionCosts!B951,Ingredients!A$1:A$238,0))))</f>
        <v>2024</v>
      </c>
      <c r="H951" t="str">
        <f>INDEX(Ingredients!$F$1:$F$318,(MATCH(InterventionCosts!B951,Ingredients!A$1:A$318,0)))</f>
        <v xml:space="preserve">April 2024 Salary scale </v>
      </c>
      <c r="I951">
        <v>15</v>
      </c>
      <c r="J951" s="133" t="s">
        <v>395</v>
      </c>
      <c r="K951" s="85">
        <f>I951*E951</f>
        <v>73.49490844544097</v>
      </c>
    </row>
    <row r="952" spans="1:12">
      <c r="A952" t="s">
        <v>447</v>
      </c>
      <c r="B952" s="137" t="s">
        <v>399</v>
      </c>
      <c r="C952" t="s">
        <v>389</v>
      </c>
      <c r="D952" t="s">
        <v>75</v>
      </c>
      <c r="E952" s="70">
        <f>IF(B952="","",INDEX(Ingredients!$I$1:$I$5013,(MATCH(InterventionCosts!B952,Ingredients!$A$1:$A$5013,0))))</f>
        <v>164.00940154829999</v>
      </c>
      <c r="F952" s="5" t="str">
        <f>INDEX(Ingredients!J$1:J$265,(MATCH(InterventionCosts!B952,Ingredients!A$1:A$265,0)))</f>
        <v>per test</v>
      </c>
      <c r="G952">
        <f>IF(B952="","",INDEX(Ingredients!$E$1:$E$238,(MATCH(InterventionCosts!B952,Ingredients!A$1:A$238,0))))</f>
        <v>2021</v>
      </c>
      <c r="H952" t="str">
        <f>INDEX(Ingredients!$F$1:$F$318,(MATCH(InterventionCosts!B952,Ingredients!A$1:A$318,0)))</f>
        <v>NHLS 2021 price-list</v>
      </c>
      <c r="I952">
        <v>1</v>
      </c>
      <c r="J952" t="s">
        <v>1476</v>
      </c>
      <c r="K952" s="85">
        <f>I952*E952</f>
        <v>164.00940154829999</v>
      </c>
    </row>
    <row r="953" spans="1:12" ht="16">
      <c r="A953" t="s">
        <v>447</v>
      </c>
      <c r="B953" s="137" t="s">
        <v>400</v>
      </c>
      <c r="C953" t="s">
        <v>389</v>
      </c>
      <c r="D953" t="s">
        <v>75</v>
      </c>
      <c r="E953" s="70">
        <f>IF(B953="","",INDEX(Ingredients!$I$1:$I$5013,(MATCH(InterventionCosts!B953,Ingredients!$A$1:$A$5013,0))))</f>
        <v>59.183820742199998</v>
      </c>
      <c r="F953" s="5" t="str">
        <f>INDEX(Ingredients!J$1:J$265,(MATCH(InterventionCosts!B953,Ingredients!A$1:A$265,0)))</f>
        <v>per test</v>
      </c>
      <c r="G953">
        <f>IF(B953="","",INDEX(Ingredients!$E$1:$E$238,(MATCH(InterventionCosts!B953,Ingredients!A$1:A$238,0))))</f>
        <v>2021</v>
      </c>
      <c r="H953" t="str">
        <f>INDEX(Ingredients!$F$1:$F$318,(MATCH(InterventionCosts!B953,Ingredients!A$1:A$318,0)))</f>
        <v>NHLS 2021 price-list</v>
      </c>
      <c r="I953">
        <v>3.5999999999999997E-2</v>
      </c>
      <c r="J953" t="s">
        <v>403</v>
      </c>
      <c r="K953" s="85">
        <f>I953*E953</f>
        <v>2.1306175467191997</v>
      </c>
      <c r="L953" s="151" t="s">
        <v>404</v>
      </c>
    </row>
    <row r="954" spans="1:12">
      <c r="A954" t="s">
        <v>447</v>
      </c>
      <c r="B954" s="136" t="s">
        <v>405</v>
      </c>
    </row>
    <row r="955" spans="1:12">
      <c r="A955" t="s">
        <v>447</v>
      </c>
      <c r="B955" s="137" t="s">
        <v>54</v>
      </c>
      <c r="C955" t="s">
        <v>389</v>
      </c>
      <c r="D955" t="s">
        <v>48</v>
      </c>
      <c r="E955" s="70">
        <f>IF(B955="","",INDEX(Ingredients!$I$1:$I$5013,(MATCH(InterventionCosts!B955,Ingredients!$A$1:$A$5013,0))))</f>
        <v>1.2444366591928251</v>
      </c>
      <c r="F955" s="5" t="str">
        <f>INDEX(Ingredients!J$1:J$265,(MATCH(InterventionCosts!B955,Ingredients!A$1:A$265,0)))</f>
        <v>per minute</v>
      </c>
      <c r="G955">
        <f>IF(B955="","",INDEX(Ingredients!$E$1:$E$238,(MATCH(InterventionCosts!B955,Ingredients!A$1:A$238,0))))</f>
        <v>2024</v>
      </c>
      <c r="H955" t="str">
        <f>INDEX(Ingredients!$F$1:$F$318,(MATCH(InterventionCosts!B955,Ingredients!A$1:A$318,0)))</f>
        <v xml:space="preserve">April 2024 Salary scale </v>
      </c>
      <c r="I955">
        <v>5</v>
      </c>
      <c r="J955" s="133" t="s">
        <v>406</v>
      </c>
      <c r="K955" s="85">
        <f>I955*E955</f>
        <v>6.2221832959641254</v>
      </c>
    </row>
    <row r="956" spans="1:12">
      <c r="A956" t="s">
        <v>447</v>
      </c>
      <c r="B956" s="139" t="s">
        <v>409</v>
      </c>
      <c r="C956" t="s">
        <v>389</v>
      </c>
      <c r="D956" t="s">
        <v>75</v>
      </c>
      <c r="E956" s="70">
        <f>IF(B956="","",INDEX(Ingredients!$I$1:$I$5013,(MATCH(InterventionCosts!B956,Ingredients!$A$1:$A$5013,0))))</f>
        <v>40.924728346149998</v>
      </c>
      <c r="F956" s="5" t="str">
        <f>INDEX(Ingredients!J$1:J$265,(MATCH(InterventionCosts!B956,Ingredients!A$1:A$265,0)))</f>
        <v>per test</v>
      </c>
      <c r="G956">
        <f>IF(B956="","",INDEX(Ingredients!$E$1:$E$238,(MATCH(InterventionCosts!B956,Ingredients!A$1:A$238,0))))</f>
        <v>2021</v>
      </c>
      <c r="H956" t="str">
        <f>INDEX(Ingredients!$F$1:$F$318,(MATCH(InterventionCosts!B956,Ingredients!A$1:A$318,0)))</f>
        <v>NHLS 2021 price-list</v>
      </c>
      <c r="I956">
        <v>1</v>
      </c>
      <c r="J956" t="s">
        <v>1476</v>
      </c>
      <c r="K956" s="85">
        <f>I956*E956</f>
        <v>40.924728346149998</v>
      </c>
    </row>
    <row r="957" spans="1:12">
      <c r="A957" t="s">
        <v>447</v>
      </c>
      <c r="B957" s="136" t="s">
        <v>411</v>
      </c>
      <c r="E957" s="70"/>
      <c r="F957" s="5"/>
    </row>
    <row r="958" spans="1:12">
      <c r="A958" t="s">
        <v>447</v>
      </c>
      <c r="B958" s="137" t="s">
        <v>410</v>
      </c>
      <c r="C958" t="s">
        <v>389</v>
      </c>
      <c r="D958" t="s">
        <v>70</v>
      </c>
      <c r="E958" s="70">
        <f>IF(B958="","",INDEX(Ingredients!$I$1:$I$5013,(MATCH(InterventionCosts!B958,Ingredients!$A$1:$A$5013,0))))</f>
        <v>64.888000253702032</v>
      </c>
      <c r="F958" s="5" t="str">
        <f>INDEX(Ingredients!J$1:J$265,(MATCH(InterventionCosts!B958,Ingredients!A$1:A$265,0)))</f>
        <v>per drug per month</v>
      </c>
      <c r="G958">
        <f>IF(B958="","",INDEX(Ingredients!$E$1:$E$238,(MATCH(InterventionCosts!B958,Ingredients!A$1:A$238,0))))</f>
        <v>2024</v>
      </c>
      <c r="H958" t="str">
        <f>INDEX(Ingredients!$F$1:$F$318,(MATCH(InterventionCosts!B958,Ingredients!A$1:A$318,0)))</f>
        <v>Master Procurement Circular May 2024</v>
      </c>
      <c r="I958">
        <v>1</v>
      </c>
      <c r="J958" t="s">
        <v>1484</v>
      </c>
      <c r="K958" s="85">
        <f>I958*E958</f>
        <v>64.888000253702032</v>
      </c>
    </row>
    <row r="959" spans="1:12">
      <c r="A959" t="s">
        <v>447</v>
      </c>
      <c r="B959" s="137" t="s">
        <v>354</v>
      </c>
      <c r="C959" t="s">
        <v>389</v>
      </c>
      <c r="D959" t="s">
        <v>48</v>
      </c>
      <c r="E959" s="70">
        <f>IF(B959="","",INDEX(Ingredients!$I$1:$I$5013,(MATCH(InterventionCosts!B959,Ingredients!$A$1:$A$5013,0))))</f>
        <v>4.8996605630293981</v>
      </c>
      <c r="F959" s="5" t="str">
        <f>INDEX(Ingredients!J$1:J$265,(MATCH(InterventionCosts!B959,Ingredients!A$1:A$265,0)))</f>
        <v>per minute</v>
      </c>
      <c r="G959">
        <f>IF(B959="","",INDEX(Ingredients!$E$1:$E$238,(MATCH(InterventionCosts!B959,Ingredients!A$1:A$238,0))))</f>
        <v>2024</v>
      </c>
      <c r="H959" t="str">
        <f>INDEX(Ingredients!$F$1:$F$318,(MATCH(InterventionCosts!B959,Ingredients!A$1:A$318,0)))</f>
        <v xml:space="preserve">April 2024 Salary scale </v>
      </c>
      <c r="I959">
        <v>2</v>
      </c>
      <c r="J959" s="133" t="s">
        <v>395</v>
      </c>
      <c r="K959" s="85">
        <f>I959*E959</f>
        <v>9.7993211260587962</v>
      </c>
    </row>
    <row r="960" spans="1:12">
      <c r="A960" t="s">
        <v>447</v>
      </c>
      <c r="B960" s="137" t="s">
        <v>54</v>
      </c>
      <c r="C960" t="s">
        <v>389</v>
      </c>
      <c r="D960" t="s">
        <v>48</v>
      </c>
      <c r="E960" s="70">
        <f>IF(B960="","",INDEX(Ingredients!$I$1:$I$5013,(MATCH(InterventionCosts!B960,Ingredients!$A$1:$A$5013,0))))</f>
        <v>1.2444366591928251</v>
      </c>
      <c r="F960" s="5" t="str">
        <f>INDEX(Ingredients!J$1:J$265,(MATCH(InterventionCosts!B960,Ingredients!A$1:A$265,0)))</f>
        <v>per minute</v>
      </c>
      <c r="G960">
        <f>IF(B960="","",INDEX(Ingredients!$E$1:$E$238,(MATCH(InterventionCosts!B960,Ingredients!A$1:A$238,0))))</f>
        <v>2024</v>
      </c>
      <c r="H960" t="str">
        <f>INDEX(Ingredients!$F$1:$F$318,(MATCH(InterventionCosts!B960,Ingredients!A$1:A$318,0)))</f>
        <v xml:space="preserve">April 2024 Salary scale </v>
      </c>
      <c r="I960">
        <v>15</v>
      </c>
      <c r="J960" s="133" t="s">
        <v>395</v>
      </c>
      <c r="K960" s="85">
        <f>I960*E960</f>
        <v>18.666549887892376</v>
      </c>
    </row>
    <row r="961" spans="1:12">
      <c r="A961" t="s">
        <v>447</v>
      </c>
      <c r="B961" s="137" t="s">
        <v>43</v>
      </c>
      <c r="C961" t="s">
        <v>389</v>
      </c>
      <c r="D961" s="5" t="s">
        <v>21</v>
      </c>
      <c r="E961" s="70">
        <f>IF(B961="","",INDEX(Ingredients!$I$1:$I$5013,(MATCH(InterventionCosts!B961,Ingredients!$A$1:$A$5013,0))))</f>
        <v>0.61939459752201187</v>
      </c>
      <c r="F961" s="5" t="str">
        <f>INDEX(Ingredients!J$1:J$265,(MATCH(InterventionCosts!B961,Ingredients!A$1:A$265,0)))</f>
        <v>per condom</v>
      </c>
      <c r="G961">
        <f>IF(B961="","",INDEX(Ingredients!$E$1:$E$238,(MATCH(InterventionCosts!B961,Ingredients!A$1:A$238,0))))</f>
        <v>2024</v>
      </c>
      <c r="H961" t="str">
        <f>INDEX(Ingredients!$F$1:$F$318,(MATCH(InterventionCosts!B961,Ingredients!A$1:A$318,0)))</f>
        <v>https://www.treasury.gov.za/divisions/ocpo/ostb/contracts/RT75-2021.zip</v>
      </c>
      <c r="I961">
        <v>6</v>
      </c>
      <c r="J961" t="s">
        <v>1476</v>
      </c>
      <c r="K961" s="85">
        <f>I961*E961</f>
        <v>3.7163675851320712</v>
      </c>
    </row>
    <row r="962" spans="1:12">
      <c r="A962" t="s">
        <v>447</v>
      </c>
      <c r="B962" s="136" t="s">
        <v>408</v>
      </c>
      <c r="C962" t="s">
        <v>389</v>
      </c>
      <c r="D962" t="s">
        <v>75</v>
      </c>
      <c r="E962" s="70">
        <f>IF(B962="","",INDEX(Ingredients!$I$1:$I$5013,(MATCH(InterventionCosts!B962,Ingredients!$A$1:$A$5013,0))))</f>
        <v>39.539473461949996</v>
      </c>
      <c r="F962" s="5" t="str">
        <f>INDEX(Ingredients!J$1:J$265,(MATCH(InterventionCosts!B962,Ingredients!A$1:A$265,0)))</f>
        <v>per test</v>
      </c>
      <c r="G962">
        <f>IF(B962="","",INDEX(Ingredients!$E$1:$E$238,(MATCH(InterventionCosts!B962,Ingredients!A$1:A$238,0))))</f>
        <v>2021</v>
      </c>
      <c r="H962" t="str">
        <f>INDEX(Ingredients!$F$1:$F$318,(MATCH(InterventionCosts!B962,Ingredients!A$1:A$318,0)))</f>
        <v>NHLS 2021 price-list</v>
      </c>
      <c r="I962">
        <v>1</v>
      </c>
      <c r="J962" t="s">
        <v>1476</v>
      </c>
      <c r="K962" s="85">
        <f>I962*E962</f>
        <v>39.539473461949996</v>
      </c>
    </row>
    <row r="963" spans="1:12">
      <c r="A963" t="s">
        <v>447</v>
      </c>
      <c r="B963" s="144" t="s">
        <v>1465</v>
      </c>
      <c r="C963" s="141"/>
      <c r="D963" s="141"/>
      <c r="E963" s="142"/>
      <c r="F963" s="141"/>
      <c r="G963" s="141"/>
      <c r="H963" s="141"/>
      <c r="I963" s="141"/>
      <c r="J963" s="141"/>
      <c r="K963" s="143"/>
    </row>
    <row r="964" spans="1:12">
      <c r="A964" t="s">
        <v>447</v>
      </c>
      <c r="B964" s="136" t="s">
        <v>391</v>
      </c>
      <c r="F964" s="3"/>
      <c r="I964" s="3"/>
      <c r="J964" s="3"/>
    </row>
    <row r="965" spans="1:12">
      <c r="A965" t="s">
        <v>447</v>
      </c>
      <c r="B965" s="137" t="s">
        <v>79</v>
      </c>
      <c r="C965" t="s">
        <v>389</v>
      </c>
      <c r="D965" s="5" t="s">
        <v>21</v>
      </c>
      <c r="E965" s="70">
        <f>IF(B965="","",INDEX(Ingredients!$I$1:$I$5013,(MATCH(InterventionCosts!B965,Ingredients!$A$1:$A$5013,0))))</f>
        <v>9.3000000000000007</v>
      </c>
      <c r="F965" s="5" t="str">
        <f>INDEX(Ingredients!J$1:J$265,(MATCH(InterventionCosts!B965,Ingredients!A$1:A$265,0)))</f>
        <v>per test</v>
      </c>
      <c r="G965">
        <f>IF(B965="","",INDEX(Ingredients!$E$1:$E$238,(MATCH(InterventionCosts!B965,Ingredients!A$1:A$238,0))))</f>
        <v>2024</v>
      </c>
      <c r="H965" t="str">
        <f>INDEX(Ingredients!$F$1:$F$318,(MATCH(InterventionCosts!B965,Ingredients!A$1:A$318,0)))</f>
        <v>https://www.treasury.gov.za/divisions/ocpo/ostb/contracts/RT41-2020.zip</v>
      </c>
      <c r="I965">
        <f>1*$I$782</f>
        <v>1</v>
      </c>
      <c r="J965" s="133" t="s">
        <v>394</v>
      </c>
      <c r="K965" s="85">
        <f>I965*E965</f>
        <v>9.3000000000000007</v>
      </c>
      <c r="L965"/>
    </row>
    <row r="966" spans="1:12">
      <c r="A966" t="s">
        <v>447</v>
      </c>
      <c r="B966" s="137" t="s">
        <v>54</v>
      </c>
      <c r="C966" t="s">
        <v>389</v>
      </c>
      <c r="D966" t="s">
        <v>48</v>
      </c>
      <c r="E966" s="70">
        <f>IF(B966="","",INDEX(Ingredients!$I$1:$I$5013,(MATCH(InterventionCosts!B966,Ingredients!$A$1:$A$5013,0))))</f>
        <v>1.2444366591928251</v>
      </c>
      <c r="F966" s="5" t="str">
        <f>INDEX(Ingredients!J$1:J$265,(MATCH(InterventionCosts!B966,Ingredients!A$1:A$265,0)))</f>
        <v>per minute</v>
      </c>
      <c r="G966">
        <f>IF(B966="","",INDEX(Ingredients!$E$1:$E$238,(MATCH(InterventionCosts!B966,Ingredients!A$1:A$238,0))))</f>
        <v>2024</v>
      </c>
      <c r="H966" t="str">
        <f>INDEX(Ingredients!$F$1:$F$318,(MATCH(InterventionCosts!B966,Ingredients!A$1:A$318,0)))</f>
        <v xml:space="preserve">April 2024 Salary scale </v>
      </c>
      <c r="I966">
        <f>15*$I$782</f>
        <v>15</v>
      </c>
      <c r="J966" s="133" t="s">
        <v>395</v>
      </c>
      <c r="K966" s="85">
        <f>I966*E966</f>
        <v>18.666549887892376</v>
      </c>
      <c r="L966"/>
    </row>
    <row r="967" spans="1:12">
      <c r="A967" t="s">
        <v>447</v>
      </c>
      <c r="B967" s="137" t="s">
        <v>1489</v>
      </c>
      <c r="C967" t="s">
        <v>389</v>
      </c>
      <c r="D967" s="5" t="s">
        <v>21</v>
      </c>
      <c r="E967" s="70">
        <f>IF(B967="","",INDEX(Ingredients!$I$1:$I$5013,(MATCH(InterventionCosts!B967,Ingredients!$A$1:$A$5013,0))))</f>
        <v>53.08</v>
      </c>
      <c r="F967" s="5" t="str">
        <f>INDEX(Ingredients!J$1:J$265,(MATCH(InterventionCosts!B967,Ingredients!A$1:A$265,0)))</f>
        <v>per pack 100, 50 pairs</v>
      </c>
      <c r="G967">
        <f>IF(B967="","",INDEX(Ingredients!$E$1:$E$238,(MATCH(InterventionCosts!B967,Ingredients!A$1:A$238,0))))</f>
        <v>2024</v>
      </c>
      <c r="H967" t="str">
        <f>INDEX(Ingredients!$F$1:$F$318,(MATCH(InterventionCosts!B967,Ingredients!A$1:A$318,0)))</f>
        <v>https://www.treasury.gov.za/divisions/ocpo/ostb/contracts/RT76-2023%20CPA%20Amendment%204-%20Effective%2001%20May%202024.pdf</v>
      </c>
      <c r="I967">
        <f>2/100*$I$782</f>
        <v>0.02</v>
      </c>
      <c r="J967" s="133" t="s">
        <v>394</v>
      </c>
      <c r="K967" s="85">
        <f>I967*E967</f>
        <v>1.0615999999999999</v>
      </c>
      <c r="L967"/>
    </row>
    <row r="968" spans="1:12">
      <c r="A968" t="s">
        <v>447</v>
      </c>
      <c r="B968" s="137" t="s">
        <v>31</v>
      </c>
      <c r="C968" t="s">
        <v>389</v>
      </c>
      <c r="D968" s="5" t="s">
        <v>21</v>
      </c>
      <c r="E968" s="70">
        <f>IF(B968="","",INDEX(Ingredients!$I$1:$I$5013,(MATCH(InterventionCosts!B968,Ingredients!$A$1:$A$5013,0))))</f>
        <v>31.4</v>
      </c>
      <c r="F968" s="5" t="str">
        <f>INDEX(Ingredients!J$1:J$265,(MATCH(InterventionCosts!B968,Ingredients!A$1:A$265,0)))</f>
        <v>per 100 swabs</v>
      </c>
      <c r="G968">
        <f>IF(B968="","",INDEX(Ingredients!$E$1:$E$238,(MATCH(InterventionCosts!B968,Ingredients!A$1:A$238,0))))</f>
        <v>2024</v>
      </c>
      <c r="H968" t="str">
        <f>INDEX(Ingredients!$F$1:$F$318,(MATCH(InterventionCosts!B968,Ingredients!A$1:A$318,0)))</f>
        <v xml:space="preserve">http://www.treasury.gov.za/divisions/ocpo/ostb/contracts/RT42-2022zip </v>
      </c>
      <c r="I968">
        <f>1/100*$I$782</f>
        <v>0.01</v>
      </c>
      <c r="J968" s="133" t="s">
        <v>394</v>
      </c>
      <c r="K968" s="85">
        <f>I968*E968</f>
        <v>0.314</v>
      </c>
      <c r="L968"/>
    </row>
    <row r="969" spans="1:12">
      <c r="A969" t="s">
        <v>447</v>
      </c>
      <c r="B969" s="136" t="s">
        <v>392</v>
      </c>
      <c r="E969" s="70"/>
      <c r="F969" s="5"/>
      <c r="H969" s="3" t="s">
        <v>413</v>
      </c>
      <c r="I969" s="3">
        <v>1.0399680955290223E-2</v>
      </c>
      <c r="J969" s="3" t="s">
        <v>443</v>
      </c>
    </row>
    <row r="970" spans="1:12">
      <c r="A970" t="s">
        <v>447</v>
      </c>
      <c r="B970" s="137" t="s">
        <v>79</v>
      </c>
      <c r="C970" t="s">
        <v>389</v>
      </c>
      <c r="D970" s="5" t="s">
        <v>21</v>
      </c>
      <c r="E970" s="70">
        <f>IF(B970="","",INDEX(Ingredients!$I$1:$I$5013,(MATCH(InterventionCosts!B970,Ingredients!$A$1:$A$5013,0))))</f>
        <v>9.3000000000000007</v>
      </c>
      <c r="F970" s="5" t="str">
        <f>INDEX(Ingredients!J$1:J$265,(MATCH(InterventionCosts!B970,Ingredients!A$1:A$265,0)))</f>
        <v>per test</v>
      </c>
      <c r="G970">
        <f>IF(B970="","",INDEX(Ingredients!$E$1:$E$238,(MATCH(InterventionCosts!B970,Ingredients!A$1:A$238,0))))</f>
        <v>2024</v>
      </c>
      <c r="H970" t="str">
        <f>INDEX(Ingredients!$F$1:$F$318,(MATCH(InterventionCosts!B970,Ingredients!A$1:A$318,0)))</f>
        <v>https://www.treasury.gov.za/divisions/ocpo/ostb/contracts/RT41-2020.zip</v>
      </c>
      <c r="I970" s="134">
        <f>I969</f>
        <v>1.0399680955290223E-2</v>
      </c>
      <c r="J970" t="s">
        <v>413</v>
      </c>
      <c r="K970" s="85">
        <f>I970*E970</f>
        <v>9.6717032884199083E-2</v>
      </c>
      <c r="L970"/>
    </row>
    <row r="971" spans="1:12">
      <c r="A971" t="s">
        <v>447</v>
      </c>
      <c r="B971" s="137" t="s">
        <v>54</v>
      </c>
      <c r="C971" t="s">
        <v>389</v>
      </c>
      <c r="D971" t="s">
        <v>48</v>
      </c>
      <c r="E971" s="70">
        <f>IF(B971="","",INDEX(Ingredients!$I$1:$I$5013,(MATCH(InterventionCosts!B971,Ingredients!$A$1:$A$5013,0))))</f>
        <v>1.2444366591928251</v>
      </c>
      <c r="F971" s="5" t="str">
        <f>INDEX(Ingredients!J$1:J$265,(MATCH(InterventionCosts!B971,Ingredients!A$1:A$265,0)))</f>
        <v>per minute</v>
      </c>
      <c r="G971">
        <f>IF(B971="","",INDEX(Ingredients!$E$1:$E$238,(MATCH(InterventionCosts!B971,Ingredients!A$1:A$238,0))))</f>
        <v>2024</v>
      </c>
      <c r="H971" t="str">
        <f>INDEX(Ingredients!$F$1:$F$318,(MATCH(InterventionCosts!B971,Ingredients!A$1:A$318,0)))</f>
        <v xml:space="preserve">April 2024 Salary scale </v>
      </c>
      <c r="I971" s="134">
        <f>(15+1/(1-I969))*I969</f>
        <v>0.1665041852291701</v>
      </c>
      <c r="J971" s="133" t="s">
        <v>395</v>
      </c>
      <c r="K971" s="85">
        <f>I971*E971</f>
        <v>0.20720391200821178</v>
      </c>
      <c r="L971"/>
    </row>
    <row r="972" spans="1:12">
      <c r="A972" t="s">
        <v>447</v>
      </c>
      <c r="B972" s="137" t="s">
        <v>1489</v>
      </c>
      <c r="C972" t="s">
        <v>389</v>
      </c>
      <c r="D972" s="5" t="s">
        <v>21</v>
      </c>
      <c r="E972" s="70">
        <f>IF(B972="","",INDEX(Ingredients!$I$1:$I$5013,(MATCH(InterventionCosts!B972,Ingredients!$A$1:$A$5013,0))))</f>
        <v>53.08</v>
      </c>
      <c r="F972" s="5" t="str">
        <f>INDEX(Ingredients!J$1:J$265,(MATCH(InterventionCosts!B972,Ingredients!A$1:A$265,0)))</f>
        <v>per pack 100, 50 pairs</v>
      </c>
      <c r="G972">
        <f>IF(B972="","",INDEX(Ingredients!$E$1:$E$238,(MATCH(InterventionCosts!B972,Ingredients!A$1:A$238,0))))</f>
        <v>2024</v>
      </c>
      <c r="H972" t="str">
        <f>INDEX(Ingredients!$F$1:$F$318,(MATCH(InterventionCosts!B972,Ingredients!A$1:A$318,0)))</f>
        <v>https://www.treasury.gov.za/divisions/ocpo/ostb/contracts/RT76-2023%20CPA%20Amendment%204-%20Effective%2001%20May%202024.pdf</v>
      </c>
      <c r="I972">
        <f>2/100*I969</f>
        <v>2.0799361910580448E-4</v>
      </c>
      <c r="J972" s="133" t="s">
        <v>1480</v>
      </c>
      <c r="K972" s="85">
        <f>I972*E972</f>
        <v>1.1040301302136101E-2</v>
      </c>
      <c r="L972"/>
    </row>
    <row r="973" spans="1:12">
      <c r="A973" t="s">
        <v>447</v>
      </c>
      <c r="B973" s="137" t="s">
        <v>31</v>
      </c>
      <c r="C973" t="s">
        <v>389</v>
      </c>
      <c r="D973" s="5" t="s">
        <v>21</v>
      </c>
      <c r="E973" s="70">
        <f>IF(B973="","",INDEX(Ingredients!$I$1:$I$5013,(MATCH(InterventionCosts!B973,Ingredients!$A$1:$A$5013,0))))</f>
        <v>31.4</v>
      </c>
      <c r="F973" s="5" t="str">
        <f>INDEX(Ingredients!J$1:J$265,(MATCH(InterventionCosts!B973,Ingredients!A$1:A$265,0)))</f>
        <v>per 100 swabs</v>
      </c>
      <c r="G973">
        <f>IF(B973="","",INDEX(Ingredients!$E$1:$E$238,(MATCH(InterventionCosts!B973,Ingredients!A$1:A$238,0))))</f>
        <v>2024</v>
      </c>
      <c r="H973" t="str">
        <f>INDEX(Ingredients!$F$1:$F$318,(MATCH(InterventionCosts!B973,Ingredients!A$1:A$318,0)))</f>
        <v xml:space="preserve">http://www.treasury.gov.za/divisions/ocpo/ostb/contracts/RT42-2022zip </v>
      </c>
      <c r="I973">
        <f>1/100*I969</f>
        <v>1.0399680955290224E-4</v>
      </c>
      <c r="J973" s="133" t="s">
        <v>1479</v>
      </c>
      <c r="K973" s="85">
        <f>I973*E973</f>
        <v>3.2654998199611301E-3</v>
      </c>
      <c r="L973"/>
    </row>
    <row r="974" spans="1:12">
      <c r="A974" t="s">
        <v>447</v>
      </c>
      <c r="B974" s="136" t="s">
        <v>393</v>
      </c>
      <c r="F974" s="5"/>
    </row>
    <row r="975" spans="1:12">
      <c r="A975" t="s">
        <v>447</v>
      </c>
      <c r="B975" s="137" t="s">
        <v>77</v>
      </c>
      <c r="C975" t="s">
        <v>389</v>
      </c>
      <c r="D975" t="s">
        <v>75</v>
      </c>
      <c r="E975" s="70">
        <f>IF(B975="","",INDEX(Ingredients!$I$1:$I$5013,(MATCH(InterventionCosts!B975,Ingredients!$A$1:$A$5013,0))))</f>
        <v>71.889951748999991</v>
      </c>
      <c r="F975" s="5" t="str">
        <f>INDEX(Ingredients!J$1:J$265,(MATCH(InterventionCosts!B975,Ingredients!A$1:A$265,0)))</f>
        <v>per test</v>
      </c>
      <c r="G975">
        <f>IF(B975="","",INDEX(Ingredients!$E$1:$E$238,(MATCH(InterventionCosts!B975,Ingredients!A$1:A$238,0))))</f>
        <v>2021</v>
      </c>
      <c r="H975" t="str">
        <f>INDEX(Ingredients!$F$1:$F$318,(MATCH(InterventionCosts!B975,Ingredients!A$1:A$318,0)))</f>
        <v>NHLS 2021 price-list</v>
      </c>
      <c r="I975">
        <v>0.02</v>
      </c>
      <c r="J975" s="85" t="s">
        <v>397</v>
      </c>
      <c r="K975" s="85">
        <f>I975*E975</f>
        <v>1.4377990349799998</v>
      </c>
      <c r="L975" s="85" t="s">
        <v>397</v>
      </c>
    </row>
    <row r="976" spans="1:12">
      <c r="A976" t="s">
        <v>447</v>
      </c>
      <c r="B976" s="137" t="s">
        <v>54</v>
      </c>
      <c r="C976" t="s">
        <v>389</v>
      </c>
      <c r="D976" t="s">
        <v>48</v>
      </c>
      <c r="E976" s="70">
        <f>IF(B976="","",INDEX(Ingredients!$I$1:$I$5013,(MATCH(InterventionCosts!B976,Ingredients!$A$1:$A$5013,0))))</f>
        <v>1.2444366591928251</v>
      </c>
      <c r="F976" s="5" t="str">
        <f>INDEX(Ingredients!J$1:J$265,(MATCH(InterventionCosts!B976,Ingredients!A$1:A$265,0)))</f>
        <v>per minute</v>
      </c>
      <c r="G976">
        <f>IF(B976="","",INDEX(Ingredients!$E$1:$E$238,(MATCH(InterventionCosts!B976,Ingredients!A$1:A$238,0))))</f>
        <v>2024</v>
      </c>
      <c r="H976" t="str">
        <f>INDEX(Ingredients!$F$1:$F$318,(MATCH(InterventionCosts!B976,Ingredients!A$1:A$318,0)))</f>
        <v xml:space="preserve">April 2024 Salary scale </v>
      </c>
      <c r="I976">
        <f>15*0.02</f>
        <v>0.3</v>
      </c>
      <c r="J976" s="133" t="s">
        <v>395</v>
      </c>
      <c r="K976" s="85">
        <f>I976*E976</f>
        <v>0.3733309977578475</v>
      </c>
    </row>
    <row r="977" spans="1:13">
      <c r="A977" t="s">
        <v>447</v>
      </c>
      <c r="B977" s="137" t="s">
        <v>1489</v>
      </c>
      <c r="C977" t="s">
        <v>389</v>
      </c>
      <c r="D977" s="5" t="s">
        <v>21</v>
      </c>
      <c r="E977" s="70">
        <f>IF(B977="","",INDEX(Ingredients!$I$1:$I$5013,(MATCH(InterventionCosts!B977,Ingredients!$A$1:$A$5013,0))))</f>
        <v>53.08</v>
      </c>
      <c r="F977" s="5" t="str">
        <f>INDEX(Ingredients!J$1:J$265,(MATCH(InterventionCosts!B977,Ingredients!A$1:A$265,0)))</f>
        <v>per pack 100, 50 pairs</v>
      </c>
      <c r="G977">
        <f>IF(B977="","",INDEX(Ingredients!$E$1:$E$238,(MATCH(InterventionCosts!B977,Ingredients!A$1:A$238,0))))</f>
        <v>2024</v>
      </c>
      <c r="H977" t="str">
        <f>INDEX(Ingredients!$F$1:$F$318,(MATCH(InterventionCosts!B977,Ingredients!A$1:A$318,0)))</f>
        <v>https://www.treasury.gov.za/divisions/ocpo/ostb/contracts/RT76-2023%20CPA%20Amendment%204-%20Effective%2001%20May%202024.pdf</v>
      </c>
      <c r="I977">
        <f>2/100*0.02</f>
        <v>4.0000000000000002E-4</v>
      </c>
      <c r="J977" s="85" t="s">
        <v>397</v>
      </c>
      <c r="K977" s="85">
        <f>I977*E977</f>
        <v>2.1232000000000001E-2</v>
      </c>
    </row>
    <row r="978" spans="1:13">
      <c r="A978" t="s">
        <v>447</v>
      </c>
      <c r="B978" s="137" t="s">
        <v>45</v>
      </c>
      <c r="C978" t="s">
        <v>389</v>
      </c>
      <c r="D978" s="5" t="s">
        <v>21</v>
      </c>
      <c r="E978" s="70">
        <f>IF(B978="","",INDEX(Ingredients!$I$1:$I$5013,(MATCH(InterventionCosts!B978,Ingredients!$A$1:$A$5013,0))))</f>
        <v>46</v>
      </c>
      <c r="F978" s="5" t="str">
        <f>INDEX(Ingredients!J$1:J$265,(MATCH(InterventionCosts!B978,Ingredients!A$1:A$265,0)))</f>
        <v>per pack 100</v>
      </c>
      <c r="G978">
        <f>IF(B978="","",INDEX(Ingredients!$E$1:$E$238,(MATCH(InterventionCosts!B978,Ingredients!A$1:A$238,0))))</f>
        <v>2024</v>
      </c>
      <c r="H978" t="str">
        <f>INDEX(Ingredients!$F$1:$F$318,(MATCH(InterventionCosts!B978,Ingredients!A$1:A$318,0)))</f>
        <v>https://www.treasury.gov.za/divisions/ocpo/ostb/contracts/RT284-2023.zip</v>
      </c>
      <c r="I978">
        <f>1/100*0.02</f>
        <v>2.0000000000000001E-4</v>
      </c>
      <c r="J978" s="85" t="s">
        <v>397</v>
      </c>
      <c r="K978" s="135">
        <f>I978*E978</f>
        <v>9.1999999999999998E-3</v>
      </c>
    </row>
    <row r="979" spans="1:13">
      <c r="A979" t="s">
        <v>447</v>
      </c>
      <c r="B979" s="137" t="s">
        <v>31</v>
      </c>
      <c r="C979" t="s">
        <v>389</v>
      </c>
      <c r="D979" s="5" t="s">
        <v>21</v>
      </c>
      <c r="E979" s="70">
        <f>IF(B979="","",INDEX(Ingredients!$I$1:$I$5013,(MATCH(InterventionCosts!B979,Ingredients!$A$1:$A$5013,0))))</f>
        <v>31.4</v>
      </c>
      <c r="F979" s="5" t="str">
        <f>INDEX(Ingredients!J$1:J$265,(MATCH(InterventionCosts!B979,Ingredients!A$1:A$265,0)))</f>
        <v>per 100 swabs</v>
      </c>
      <c r="G979">
        <f>IF(B979="","",INDEX(Ingredients!$E$1:$E$238,(MATCH(InterventionCosts!B979,Ingredients!A$1:A$238,0))))</f>
        <v>2024</v>
      </c>
      <c r="H979" t="str">
        <f>INDEX(Ingredients!$F$1:$F$318,(MATCH(InterventionCosts!B979,Ingredients!A$1:A$318,0)))</f>
        <v xml:space="preserve">http://www.treasury.gov.za/divisions/ocpo/ostb/contracts/RT42-2022zip </v>
      </c>
      <c r="I979">
        <f>1/100*0.02</f>
        <v>2.0000000000000001E-4</v>
      </c>
      <c r="J979" s="85" t="s">
        <v>397</v>
      </c>
      <c r="K979" s="135">
        <f>I979*E979</f>
        <v>6.28E-3</v>
      </c>
    </row>
    <row r="980" spans="1:13">
      <c r="A980" t="s">
        <v>447</v>
      </c>
      <c r="B980" s="136" t="s">
        <v>411</v>
      </c>
      <c r="E980" s="70"/>
      <c r="F980" s="5"/>
    </row>
    <row r="981" spans="1:13">
      <c r="A981" t="s">
        <v>447</v>
      </c>
      <c r="B981" s="137" t="s">
        <v>410</v>
      </c>
      <c r="C981" t="s">
        <v>389</v>
      </c>
      <c r="D981" t="s">
        <v>70</v>
      </c>
      <c r="E981" s="70">
        <f>IF(B981="","",INDEX(Ingredients!$I$1:$I$5013,(MATCH(InterventionCosts!B981,Ingredients!$A$1:$A$5013,0))))</f>
        <v>64.888000253702032</v>
      </c>
      <c r="F981" s="5" t="str">
        <f>INDEX(Ingredients!J$1:J$265,(MATCH(InterventionCosts!B981,Ingredients!A$1:A$265,0)))</f>
        <v>per drug per month</v>
      </c>
      <c r="G981">
        <f>IF(B981="","",INDEX(Ingredients!$E$1:$E$238,(MATCH(InterventionCosts!B981,Ingredients!A$1:A$238,0))))</f>
        <v>2024</v>
      </c>
      <c r="H981" t="str">
        <f>INDEX(Ingredients!$F$1:$F$318,(MATCH(InterventionCosts!B981,Ingredients!A$1:A$318,0)))</f>
        <v>Master Procurement Circular May 2024</v>
      </c>
      <c r="I981">
        <v>3</v>
      </c>
      <c r="J981" s="85" t="s">
        <v>1481</v>
      </c>
      <c r="K981" s="85">
        <f>I981*E981</f>
        <v>194.66400076110608</v>
      </c>
      <c r="L981" s="85" t="s">
        <v>1467</v>
      </c>
      <c r="M981" s="229"/>
    </row>
    <row r="982" spans="1:13">
      <c r="A982" t="s">
        <v>447</v>
      </c>
      <c r="B982" s="137" t="s">
        <v>354</v>
      </c>
      <c r="C982" t="s">
        <v>389</v>
      </c>
      <c r="D982" t="s">
        <v>48</v>
      </c>
      <c r="E982" s="70">
        <f>IF(B982="","",INDEX(Ingredients!$I$1:$I$5013,(MATCH(InterventionCosts!B982,Ingredients!$A$1:$A$5013,0))))</f>
        <v>4.8996605630293981</v>
      </c>
      <c r="F982" s="5" t="str">
        <f>INDEX(Ingredients!J$1:J$265,(MATCH(InterventionCosts!B982,Ingredients!A$1:A$265,0)))</f>
        <v>per minute</v>
      </c>
      <c r="G982">
        <f>IF(B982="","",INDEX(Ingredients!$E$1:$E$238,(MATCH(InterventionCosts!B982,Ingredients!A$1:A$238,0))))</f>
        <v>2024</v>
      </c>
      <c r="H982" t="str">
        <f>INDEX(Ingredients!$F$1:$F$318,(MATCH(InterventionCosts!B982,Ingredients!A$1:A$318,0)))</f>
        <v xml:space="preserve">April 2024 Salary scale </v>
      </c>
      <c r="I982">
        <v>2</v>
      </c>
      <c r="J982" s="133" t="s">
        <v>395</v>
      </c>
      <c r="K982" s="85">
        <f>I982*E982</f>
        <v>9.7993211260587962</v>
      </c>
    </row>
    <row r="983" spans="1:13">
      <c r="A983" t="s">
        <v>447</v>
      </c>
      <c r="B983" s="140" t="s">
        <v>1464</v>
      </c>
      <c r="C983" s="141"/>
      <c r="D983" s="141"/>
      <c r="E983" s="339" t="s">
        <v>1466</v>
      </c>
      <c r="F983" s="439">
        <f>'Summary of unit costs'!$B$36</f>
        <v>3</v>
      </c>
      <c r="G983" s="141"/>
      <c r="H983" s="141"/>
      <c r="I983" s="157">
        <f>FLOOR((F983-1)/3,1)</f>
        <v>0</v>
      </c>
      <c r="J983" s="157" t="s">
        <v>1123</v>
      </c>
      <c r="K983" s="143"/>
    </row>
    <row r="984" spans="1:13">
      <c r="A984" t="s">
        <v>447</v>
      </c>
      <c r="B984" s="136" t="s">
        <v>411</v>
      </c>
      <c r="L984" s="145"/>
    </row>
    <row r="985" spans="1:13">
      <c r="A985" t="s">
        <v>447</v>
      </c>
      <c r="B985" s="137" t="s">
        <v>410</v>
      </c>
      <c r="C985" t="s">
        <v>389</v>
      </c>
      <c r="D985" t="s">
        <v>70</v>
      </c>
      <c r="E985" s="70">
        <f>IF(B985="","",INDEX(Ingredients!$I$1:$I$5013,(MATCH(InterventionCosts!B985,Ingredients!$A$1:$A$5013,0))))</f>
        <v>64.888000253702032</v>
      </c>
      <c r="F985" s="5" t="str">
        <f>INDEX(Ingredients!J$1:J$265,(MATCH(InterventionCosts!B985,Ingredients!A$1:A$265,0)))</f>
        <v>per drug per month</v>
      </c>
      <c r="G985">
        <f>IF(B985="","",INDEX(Ingredients!$E$1:$E$238,(MATCH(InterventionCosts!B985,Ingredients!A$1:A$238,0))))</f>
        <v>2024</v>
      </c>
      <c r="H985" t="str">
        <f>INDEX(Ingredients!$F$1:$F$318,(MATCH(InterventionCosts!B985,Ingredients!A$1:A$318,0)))</f>
        <v>Master Procurement Circular May 2024</v>
      </c>
      <c r="I985">
        <f>3*I983</f>
        <v>0</v>
      </c>
      <c r="J985" s="85" t="s">
        <v>1481</v>
      </c>
      <c r="K985" s="85">
        <f>I985*E985</f>
        <v>0</v>
      </c>
    </row>
    <row r="986" spans="1:13">
      <c r="A986" t="s">
        <v>447</v>
      </c>
      <c r="B986" s="137" t="s">
        <v>354</v>
      </c>
      <c r="C986" t="s">
        <v>389</v>
      </c>
      <c r="D986" t="s">
        <v>48</v>
      </c>
      <c r="E986" s="70">
        <f>IF(B986="","",INDEX(Ingredients!$I$1:$I$5013,(MATCH(InterventionCosts!B986,Ingredients!$A$1:$A$5013,0))))</f>
        <v>4.8996605630293981</v>
      </c>
      <c r="F986" s="5" t="str">
        <f>INDEX(Ingredients!J$1:J$265,(MATCH(InterventionCosts!B986,Ingredients!A$1:A$265,0)))</f>
        <v>per minute</v>
      </c>
      <c r="G986">
        <f>IF(B986="","",INDEX(Ingredients!$E$1:$E$238,(MATCH(InterventionCosts!B986,Ingredients!A$1:A$238,0))))</f>
        <v>2024</v>
      </c>
      <c r="H986" t="str">
        <f>INDEX(Ingredients!$F$1:$F$318,(MATCH(InterventionCosts!B986,Ingredients!A$1:A$318,0)))</f>
        <v xml:space="preserve">April 2024 Salary scale </v>
      </c>
      <c r="I986">
        <f>2*$I$883</f>
        <v>0</v>
      </c>
      <c r="J986" t="s">
        <v>1476</v>
      </c>
      <c r="K986" s="85">
        <f>I986*E986</f>
        <v>0</v>
      </c>
    </row>
    <row r="987" spans="1:13">
      <c r="A987" t="s">
        <v>447</v>
      </c>
      <c r="B987" s="137" t="s">
        <v>54</v>
      </c>
      <c r="C987" t="s">
        <v>389</v>
      </c>
      <c r="D987" t="s">
        <v>48</v>
      </c>
      <c r="E987" s="70">
        <f>IF(B987="","",INDEX(Ingredients!$I$1:$I$5013,(MATCH(InterventionCosts!B987,Ingredients!$A$1:$A$5013,0))))</f>
        <v>1.2444366591928251</v>
      </c>
      <c r="F987" s="5" t="str">
        <f>INDEX(Ingredients!J$1:J$265,(MATCH(InterventionCosts!B987,Ingredients!A$1:A$265,0)))</f>
        <v>per minute</v>
      </c>
      <c r="G987">
        <f>IF(B987="","",INDEX(Ingredients!$E$1:$E$238,(MATCH(InterventionCosts!B987,Ingredients!A$1:A$238,0))))</f>
        <v>2024</v>
      </c>
      <c r="H987" t="str">
        <f>INDEX(Ingredients!$F$1:$F$318,(MATCH(InterventionCosts!B987,Ingredients!A$1:A$318,0)))</f>
        <v xml:space="preserve">April 2024 Salary scale </v>
      </c>
      <c r="I987">
        <f>10*$I$883</f>
        <v>0</v>
      </c>
      <c r="J987" t="s">
        <v>1476</v>
      </c>
      <c r="K987" s="85">
        <f>I987*E987</f>
        <v>0</v>
      </c>
    </row>
    <row r="988" spans="1:13">
      <c r="A988" t="s">
        <v>447</v>
      </c>
      <c r="B988" s="136" t="s">
        <v>391</v>
      </c>
    </row>
    <row r="989" spans="1:13">
      <c r="A989" t="s">
        <v>447</v>
      </c>
      <c r="B989" s="137" t="s">
        <v>79</v>
      </c>
      <c r="C989" t="s">
        <v>389</v>
      </c>
      <c r="D989" s="5" t="s">
        <v>21</v>
      </c>
      <c r="E989" s="70">
        <f>IF(B989="","",INDEX(Ingredients!$I$1:$I$5013,(MATCH(InterventionCosts!B989,Ingredients!$A$1:$A$5013,0))))</f>
        <v>9.3000000000000007</v>
      </c>
      <c r="F989" s="5" t="str">
        <f>INDEX(Ingredients!J$1:J$265,(MATCH(InterventionCosts!B989,Ingredients!A$1:A$265,0)))</f>
        <v>per test</v>
      </c>
      <c r="G989">
        <f>IF(B989="","",INDEX(Ingredients!$E$1:$E$238,(MATCH(InterventionCosts!B989,Ingredients!A$1:A$238,0))))</f>
        <v>2024</v>
      </c>
      <c r="H989" t="str">
        <f>INDEX(Ingredients!$F$1:$F$318,(MATCH(InterventionCosts!B989,Ingredients!A$1:A$318,0)))</f>
        <v>https://www.treasury.gov.za/divisions/ocpo/ostb/contracts/RT41-2020.zip</v>
      </c>
      <c r="I989">
        <f>1*$I$883</f>
        <v>0</v>
      </c>
      <c r="J989" t="s">
        <v>1472</v>
      </c>
      <c r="K989" s="85">
        <f>I989*E989</f>
        <v>0</v>
      </c>
    </row>
    <row r="990" spans="1:13">
      <c r="A990" t="s">
        <v>447</v>
      </c>
      <c r="B990" s="137" t="s">
        <v>54</v>
      </c>
      <c r="C990" t="s">
        <v>389</v>
      </c>
      <c r="D990" t="s">
        <v>48</v>
      </c>
      <c r="E990" s="70">
        <f>IF(B990="","",INDEX(Ingredients!$I$1:$I$5013,(MATCH(InterventionCosts!B990,Ingredients!$A$1:$A$5013,0))))</f>
        <v>1.2444366591928251</v>
      </c>
      <c r="F990" s="5" t="str">
        <f>INDEX(Ingredients!J$1:J$265,(MATCH(InterventionCosts!B990,Ingredients!A$1:A$265,0)))</f>
        <v>per minute</v>
      </c>
      <c r="G990">
        <f>IF(B990="","",INDEX(Ingredients!$E$1:$E$238,(MATCH(InterventionCosts!B990,Ingredients!A$1:A$238,0))))</f>
        <v>2024</v>
      </c>
      <c r="H990" t="str">
        <f>INDEX(Ingredients!$F$1:$F$318,(MATCH(InterventionCosts!B990,Ingredients!A$1:A$318,0)))</f>
        <v xml:space="preserve">April 2024 Salary scale </v>
      </c>
      <c r="I990">
        <f>15*$I$883</f>
        <v>0</v>
      </c>
      <c r="J990" s="133" t="s">
        <v>395</v>
      </c>
      <c r="K990" s="85">
        <f>I990*E990</f>
        <v>0</v>
      </c>
    </row>
    <row r="991" spans="1:13">
      <c r="A991" t="s">
        <v>447</v>
      </c>
      <c r="B991" s="137" t="s">
        <v>1489</v>
      </c>
      <c r="C991" t="s">
        <v>389</v>
      </c>
      <c r="D991" s="5" t="s">
        <v>21</v>
      </c>
      <c r="E991" s="70">
        <f>IF(B991="","",INDEX(Ingredients!$I$1:$I$5013,(MATCH(InterventionCosts!B991,Ingredients!$A$1:$A$5013,0))))</f>
        <v>53.08</v>
      </c>
      <c r="F991" s="5" t="str">
        <f>INDEX(Ingredients!J$1:J$265,(MATCH(InterventionCosts!B991,Ingredients!A$1:A$265,0)))</f>
        <v>per pack 100, 50 pairs</v>
      </c>
      <c r="G991">
        <f>IF(B991="","",INDEX(Ingredients!$E$1:$E$238,(MATCH(InterventionCosts!B991,Ingredients!A$1:A$238,0))))</f>
        <v>2024</v>
      </c>
      <c r="H991" t="str">
        <f>INDEX(Ingredients!$F$1:$F$318,(MATCH(InterventionCosts!B991,Ingredients!A$1:A$318,0)))</f>
        <v>https://www.treasury.gov.za/divisions/ocpo/ostb/contracts/RT76-2023%20CPA%20Amendment%204-%20Effective%2001%20May%202024.pdf</v>
      </c>
      <c r="I991">
        <f>2/100*$I$883</f>
        <v>0</v>
      </c>
      <c r="J991" t="s">
        <v>1483</v>
      </c>
      <c r="K991" s="85">
        <f>I991*E991</f>
        <v>0</v>
      </c>
    </row>
    <row r="992" spans="1:13">
      <c r="A992" t="s">
        <v>447</v>
      </c>
      <c r="B992" s="137" t="s">
        <v>31</v>
      </c>
      <c r="C992" t="s">
        <v>389</v>
      </c>
      <c r="D992" s="5" t="s">
        <v>21</v>
      </c>
      <c r="E992" s="70">
        <f>IF(B992="","",INDEX(Ingredients!$I$1:$I$5013,(MATCH(InterventionCosts!B992,Ingredients!$A$1:$A$5013,0))))</f>
        <v>31.4</v>
      </c>
      <c r="F992" s="5" t="str">
        <f>INDEX(Ingredients!J$1:J$265,(MATCH(InterventionCosts!B992,Ingredients!A$1:A$265,0)))</f>
        <v>per 100 swabs</v>
      </c>
      <c r="G992">
        <f>IF(B992="","",INDEX(Ingredients!$E$1:$E$238,(MATCH(InterventionCosts!B992,Ingredients!A$1:A$238,0))))</f>
        <v>2024</v>
      </c>
      <c r="H992" t="str">
        <f>INDEX(Ingredients!$F$1:$F$318,(MATCH(InterventionCosts!B992,Ingredients!A$1:A$318,0)))</f>
        <v xml:space="preserve">http://www.treasury.gov.za/divisions/ocpo/ostb/contracts/RT42-2022zip </v>
      </c>
      <c r="I992">
        <f>1/100*$I$883</f>
        <v>0</v>
      </c>
      <c r="J992" t="s">
        <v>1472</v>
      </c>
      <c r="K992" s="85">
        <f>I992*E992</f>
        <v>0</v>
      </c>
    </row>
    <row r="993" spans="1:11">
      <c r="A993" t="s">
        <v>447</v>
      </c>
      <c r="B993" s="136" t="s">
        <v>392</v>
      </c>
      <c r="E993" s="70"/>
      <c r="F993" s="3" t="s">
        <v>413</v>
      </c>
      <c r="I993" s="3">
        <v>1.0399680955290223E-2</v>
      </c>
      <c r="J993" s="3" t="s">
        <v>443</v>
      </c>
    </row>
    <row r="994" spans="1:11">
      <c r="A994" t="s">
        <v>447</v>
      </c>
      <c r="B994" s="137" t="s">
        <v>79</v>
      </c>
      <c r="C994" t="s">
        <v>389</v>
      </c>
      <c r="D994" s="5" t="s">
        <v>21</v>
      </c>
      <c r="E994" s="70">
        <f>IF(B994="","",INDEX(Ingredients!$I$1:$I$5013,(MATCH(InterventionCosts!B994,Ingredients!$A$1:$A$5013,0))))</f>
        <v>9.3000000000000007</v>
      </c>
      <c r="F994" s="5" t="str">
        <f>INDEX(Ingredients!J$1:J$265,(MATCH(InterventionCosts!B994,Ingredients!A$1:A$265,0)))</f>
        <v>per test</v>
      </c>
      <c r="G994">
        <f>IF(B994="","",INDEX(Ingredients!$E$1:$E$238,(MATCH(InterventionCosts!B994,Ingredients!A$1:A$238,0))))</f>
        <v>2024</v>
      </c>
      <c r="H994" t="str">
        <f>INDEX(Ingredients!$F$1:$F$318,(MATCH(InterventionCosts!B994,Ingredients!A$1:A$318,0)))</f>
        <v>https://www.treasury.gov.za/divisions/ocpo/ostb/contracts/RT41-2020.zip</v>
      </c>
      <c r="I994">
        <f>I993*$I$883</f>
        <v>0</v>
      </c>
      <c r="J994" t="s">
        <v>413</v>
      </c>
      <c r="K994" s="85">
        <f>I994*E994</f>
        <v>0</v>
      </c>
    </row>
    <row r="995" spans="1:11">
      <c r="A995" t="s">
        <v>447</v>
      </c>
      <c r="B995" s="137" t="s">
        <v>54</v>
      </c>
      <c r="C995" t="s">
        <v>389</v>
      </c>
      <c r="D995" t="s">
        <v>48</v>
      </c>
      <c r="E995" s="70">
        <f>IF(B995="","",INDEX(Ingredients!$I$1:$I$5013,(MATCH(InterventionCosts!B995,Ingredients!$A$1:$A$5013,0))))</f>
        <v>1.2444366591928251</v>
      </c>
      <c r="F995" s="5" t="str">
        <f>INDEX(Ingredients!J$1:J$265,(MATCH(InterventionCosts!B995,Ingredients!A$1:A$265,0)))</f>
        <v>per minute</v>
      </c>
      <c r="G995">
        <f>IF(B995="","",INDEX(Ingredients!$E$1:$E$238,(MATCH(InterventionCosts!B995,Ingredients!A$1:A$238,0))))</f>
        <v>2024</v>
      </c>
      <c r="H995" t="str">
        <f>INDEX(Ingredients!$F$1:$F$318,(MATCH(InterventionCosts!B995,Ingredients!A$1:A$318,0)))</f>
        <v xml:space="preserve">April 2024 Salary scale </v>
      </c>
      <c r="I995">
        <f>(15+1/(1-I993))*I993*$I$883</f>
        <v>0</v>
      </c>
      <c r="J995" s="133" t="s">
        <v>414</v>
      </c>
      <c r="K995" s="85">
        <f>I995*E995</f>
        <v>0</v>
      </c>
    </row>
    <row r="996" spans="1:11">
      <c r="A996" t="s">
        <v>447</v>
      </c>
      <c r="B996" s="137" t="s">
        <v>1489</v>
      </c>
      <c r="C996" t="s">
        <v>389</v>
      </c>
      <c r="D996" s="5" t="s">
        <v>21</v>
      </c>
      <c r="E996" s="70">
        <f>IF(B996="","",INDEX(Ingredients!$I$1:$I$5013,(MATCH(InterventionCosts!B996,Ingredients!$A$1:$A$5013,0))))</f>
        <v>53.08</v>
      </c>
      <c r="F996" s="5" t="str">
        <f>INDEX(Ingredients!J$1:J$265,(MATCH(InterventionCosts!B996,Ingredients!A$1:A$265,0)))</f>
        <v>per pack 100, 50 pairs</v>
      </c>
      <c r="G996">
        <f>IF(B996="","",INDEX(Ingredients!$E$1:$E$238,(MATCH(InterventionCosts!B996,Ingredients!A$1:A$238,0))))</f>
        <v>2024</v>
      </c>
      <c r="H996" t="str">
        <f>INDEX(Ingredients!$F$1:$F$318,(MATCH(InterventionCosts!B996,Ingredients!A$1:A$318,0)))</f>
        <v>https://www.treasury.gov.za/divisions/ocpo/ostb/contracts/RT76-2023%20CPA%20Amendment%204-%20Effective%2001%20May%202024.pdf</v>
      </c>
      <c r="I996">
        <f>2/100*I993*$I$883</f>
        <v>0</v>
      </c>
      <c r="J996" s="133" t="s">
        <v>1480</v>
      </c>
      <c r="K996" s="85">
        <f>I996*E996</f>
        <v>0</v>
      </c>
    </row>
    <row r="997" spans="1:11">
      <c r="A997" t="s">
        <v>447</v>
      </c>
      <c r="B997" s="137" t="s">
        <v>31</v>
      </c>
      <c r="C997" t="s">
        <v>389</v>
      </c>
      <c r="D997" s="5" t="s">
        <v>21</v>
      </c>
      <c r="E997" s="70">
        <f>IF(B997="","",INDEX(Ingredients!$I$1:$I$5013,(MATCH(InterventionCosts!B997,Ingredients!$A$1:$A$5013,0))))</f>
        <v>31.4</v>
      </c>
      <c r="F997" s="5" t="str">
        <f>INDEX(Ingredients!J$1:J$265,(MATCH(InterventionCosts!B997,Ingredients!A$1:A$265,0)))</f>
        <v>per 100 swabs</v>
      </c>
      <c r="G997">
        <f>IF(B997="","",INDEX(Ingredients!$E$1:$E$238,(MATCH(InterventionCosts!B997,Ingredients!A$1:A$238,0))))</f>
        <v>2024</v>
      </c>
      <c r="H997" t="str">
        <f>INDEX(Ingredients!$F$1:$F$318,(MATCH(InterventionCosts!B997,Ingredients!A$1:A$318,0)))</f>
        <v xml:space="preserve">http://www.treasury.gov.za/divisions/ocpo/ostb/contracts/RT42-2022zip </v>
      </c>
      <c r="I997">
        <f>1/100*I993*$I$883</f>
        <v>0</v>
      </c>
      <c r="J997" s="133" t="s">
        <v>1479</v>
      </c>
      <c r="K997" s="135">
        <f>I997*E997</f>
        <v>0</v>
      </c>
    </row>
    <row r="998" spans="1:11">
      <c r="A998" t="s">
        <v>447</v>
      </c>
      <c r="B998" s="136" t="s">
        <v>393</v>
      </c>
      <c r="F998" s="5"/>
    </row>
    <row r="999" spans="1:11">
      <c r="A999" t="s">
        <v>447</v>
      </c>
      <c r="B999" s="137" t="s">
        <v>77</v>
      </c>
      <c r="C999" t="s">
        <v>389</v>
      </c>
      <c r="D999" t="s">
        <v>75</v>
      </c>
      <c r="E999" s="70">
        <f>IF(B999="","",INDEX(Ingredients!$I$1:$I$5013,(MATCH(InterventionCosts!B999,Ingredients!$A$1:$A$5013,0))))</f>
        <v>71.889951748999991</v>
      </c>
      <c r="F999" s="5" t="str">
        <f>INDEX(Ingredients!J$1:J$265,(MATCH(InterventionCosts!B999,Ingredients!A$1:A$265,0)))</f>
        <v>per test</v>
      </c>
      <c r="G999">
        <f>IF(B999="","",INDEX(Ingredients!$E$1:$E$238,(MATCH(InterventionCosts!B999,Ingredients!A$1:A$238,0))))</f>
        <v>2021</v>
      </c>
      <c r="H999" t="str">
        <f>INDEX(Ingredients!$F$1:$F$318,(MATCH(InterventionCosts!B999,Ingredients!A$1:A$318,0)))</f>
        <v>NHLS 2021 price-list</v>
      </c>
      <c r="I999">
        <f>0.02*$I$883</f>
        <v>0</v>
      </c>
      <c r="J999" s="85" t="s">
        <v>397</v>
      </c>
      <c r="K999" s="85">
        <f t="shared" ref="K999:K1004" si="33">I999*E999</f>
        <v>0</v>
      </c>
    </row>
    <row r="1000" spans="1:11">
      <c r="A1000" t="s">
        <v>447</v>
      </c>
      <c r="B1000" s="137" t="s">
        <v>54</v>
      </c>
      <c r="C1000" t="s">
        <v>389</v>
      </c>
      <c r="D1000" t="s">
        <v>48</v>
      </c>
      <c r="E1000" s="70">
        <f>IF(B1000="","",INDEX(Ingredients!$I$1:$I$5013,(MATCH(InterventionCosts!B1000,Ingredients!$A$1:$A$5013,0))))</f>
        <v>1.2444366591928251</v>
      </c>
      <c r="F1000" s="5" t="str">
        <f>INDEX(Ingredients!J$1:J$265,(MATCH(InterventionCosts!B1000,Ingredients!A$1:A$265,0)))</f>
        <v>per minute</v>
      </c>
      <c r="G1000">
        <f>IF(B1000="","",INDEX(Ingredients!$E$1:$E$238,(MATCH(InterventionCosts!B1000,Ingredients!A$1:A$238,0))))</f>
        <v>2024</v>
      </c>
      <c r="H1000" t="str">
        <f>INDEX(Ingredients!$F$1:$F$318,(MATCH(InterventionCosts!B1000,Ingredients!A$1:A$318,0)))</f>
        <v xml:space="preserve">April 2024 Salary scale </v>
      </c>
      <c r="I1000">
        <f>15*I999*$I$883</f>
        <v>0</v>
      </c>
      <c r="J1000" s="133" t="s">
        <v>414</v>
      </c>
      <c r="K1000" s="85">
        <f t="shared" si="33"/>
        <v>0</v>
      </c>
    </row>
    <row r="1001" spans="1:11">
      <c r="A1001" t="s">
        <v>447</v>
      </c>
      <c r="B1001" s="137" t="s">
        <v>1489</v>
      </c>
      <c r="C1001" t="s">
        <v>389</v>
      </c>
      <c r="D1001" s="5" t="s">
        <v>21</v>
      </c>
      <c r="E1001" s="70">
        <f>IF(B1001="","",INDEX(Ingredients!$I$1:$I$5013,(MATCH(InterventionCosts!B1001,Ingredients!$A$1:$A$5013,0))))</f>
        <v>53.08</v>
      </c>
      <c r="F1001" s="5" t="str">
        <f>INDEX(Ingredients!J$1:J$265,(MATCH(InterventionCosts!B1001,Ingredients!A$1:A$265,0)))</f>
        <v>per pack 100, 50 pairs</v>
      </c>
      <c r="G1001">
        <f>IF(B1001="","",INDEX(Ingredients!$E$1:$E$238,(MATCH(InterventionCosts!B1001,Ingredients!A$1:A$238,0))))</f>
        <v>2024</v>
      </c>
      <c r="H1001" t="str">
        <f>INDEX(Ingredients!$F$1:$F$318,(MATCH(InterventionCosts!B1001,Ingredients!A$1:A$318,0)))</f>
        <v>https://www.treasury.gov.za/divisions/ocpo/ostb/contracts/RT76-2023%20CPA%20Amendment%204-%20Effective%2001%20May%202024.pdf</v>
      </c>
      <c r="I1001">
        <f>2/100*I999*$I$883</f>
        <v>0</v>
      </c>
      <c r="J1001" s="85" t="s">
        <v>397</v>
      </c>
      <c r="K1001" s="85">
        <f t="shared" si="33"/>
        <v>0</v>
      </c>
    </row>
    <row r="1002" spans="1:11">
      <c r="A1002" t="s">
        <v>447</v>
      </c>
      <c r="B1002" s="137" t="s">
        <v>45</v>
      </c>
      <c r="C1002" t="s">
        <v>389</v>
      </c>
      <c r="D1002" s="5" t="s">
        <v>21</v>
      </c>
      <c r="E1002" s="70">
        <f>IF(B1002="","",INDEX(Ingredients!$I$1:$I$5013,(MATCH(InterventionCosts!B1002,Ingredients!$A$1:$A$5013,0))))</f>
        <v>46</v>
      </c>
      <c r="F1002" s="5" t="str">
        <f>INDEX(Ingredients!J$1:J$265,(MATCH(InterventionCosts!B1002,Ingredients!A$1:A$265,0)))</f>
        <v>per pack 100</v>
      </c>
      <c r="G1002">
        <f>IF(B1002="","",INDEX(Ingredients!$E$1:$E$238,(MATCH(InterventionCosts!B1002,Ingredients!A$1:A$238,0))))</f>
        <v>2024</v>
      </c>
      <c r="H1002" t="str">
        <f>INDEX(Ingredients!$F$1:$F$318,(MATCH(InterventionCosts!B1002,Ingredients!A$1:A$318,0)))</f>
        <v>https://www.treasury.gov.za/divisions/ocpo/ostb/contracts/RT284-2023.zip</v>
      </c>
      <c r="I1002">
        <f>1/100*I999*$I$883</f>
        <v>0</v>
      </c>
      <c r="J1002" s="85" t="s">
        <v>397</v>
      </c>
      <c r="K1002" s="135">
        <f t="shared" si="33"/>
        <v>0</v>
      </c>
    </row>
    <row r="1003" spans="1:11">
      <c r="A1003" t="s">
        <v>447</v>
      </c>
      <c r="B1003" s="137" t="s">
        <v>31</v>
      </c>
      <c r="C1003" t="s">
        <v>389</v>
      </c>
      <c r="D1003" s="5" t="s">
        <v>21</v>
      </c>
      <c r="E1003" s="70">
        <f>IF(B1003="","",INDEX(Ingredients!$I$1:$I$5013,(MATCH(InterventionCosts!B1003,Ingredients!$A$1:$A$5013,0))))</f>
        <v>31.4</v>
      </c>
      <c r="F1003" s="5" t="str">
        <f>INDEX(Ingredients!J$1:J$265,(MATCH(InterventionCosts!B1003,Ingredients!A$1:A$265,0)))</f>
        <v>per 100 swabs</v>
      </c>
      <c r="G1003">
        <f>IF(B1003="","",INDEX(Ingredients!$E$1:$E$238,(MATCH(InterventionCosts!B1003,Ingredients!A$1:A$238,0))))</f>
        <v>2024</v>
      </c>
      <c r="H1003" t="str">
        <f>INDEX(Ingredients!$F$1:$F$318,(MATCH(InterventionCosts!B1003,Ingredients!A$1:A$318,0)))</f>
        <v xml:space="preserve">http://www.treasury.gov.za/divisions/ocpo/ostb/contracts/RT42-2022zip </v>
      </c>
      <c r="I1003">
        <f>1/100*I999*$I$883</f>
        <v>0</v>
      </c>
      <c r="J1003" s="85" t="s">
        <v>397</v>
      </c>
      <c r="K1003" s="135">
        <f t="shared" si="33"/>
        <v>0</v>
      </c>
    </row>
    <row r="1004" spans="1:11">
      <c r="A1004" t="s">
        <v>447</v>
      </c>
      <c r="B1004" s="139" t="s">
        <v>43</v>
      </c>
      <c r="C1004" t="s">
        <v>389</v>
      </c>
      <c r="D1004" s="5" t="s">
        <v>21</v>
      </c>
      <c r="E1004" s="70">
        <f>IF(B1004="","",INDEX(Ingredients!$I$1:$I$5013,(MATCH(InterventionCosts!B1004,Ingredients!$A$1:$A$5013,0))))</f>
        <v>0.61939459752201187</v>
      </c>
      <c r="F1004" s="5" t="str">
        <f>INDEX(Ingredients!J$1:J$265,(MATCH(InterventionCosts!B1004,Ingredients!A$1:A$265,0)))</f>
        <v>per condom</v>
      </c>
      <c r="G1004">
        <f>IF(B1004="","",INDEX(Ingredients!$E$1:$E$238,(MATCH(InterventionCosts!B1004,Ingredients!A$1:A$238,0))))</f>
        <v>2024</v>
      </c>
      <c r="H1004" t="str">
        <f>INDEX(Ingredients!$F$1:$F$318,(MATCH(InterventionCosts!B1004,Ingredients!A$1:A$318,0)))</f>
        <v>https://www.treasury.gov.za/divisions/ocpo/ostb/contracts/RT75-2021.zip</v>
      </c>
      <c r="I1004">
        <f>6*$I$883</f>
        <v>0</v>
      </c>
      <c r="J1004" t="s">
        <v>1476</v>
      </c>
      <c r="K1004" s="85">
        <f t="shared" si="33"/>
        <v>0</v>
      </c>
    </row>
    <row r="1005" spans="1:11">
      <c r="A1005" t="s">
        <v>447</v>
      </c>
      <c r="B1005" s="140" t="s">
        <v>415</v>
      </c>
      <c r="C1005" s="141"/>
      <c r="D1005" s="141"/>
      <c r="E1005" s="142"/>
      <c r="F1005" s="141"/>
      <c r="G1005" s="141"/>
      <c r="H1005" s="141"/>
      <c r="I1005" s="141"/>
      <c r="J1005" s="141"/>
      <c r="K1005" s="143"/>
    </row>
    <row r="1006" spans="1:11">
      <c r="A1006" t="s">
        <v>447</v>
      </c>
      <c r="B1006" s="146" t="s">
        <v>416</v>
      </c>
    </row>
    <row r="1007" spans="1:11">
      <c r="A1007" t="s">
        <v>447</v>
      </c>
      <c r="B1007" s="147" t="s">
        <v>423</v>
      </c>
      <c r="C1007" t="s">
        <v>389</v>
      </c>
      <c r="D1007" t="s">
        <v>81</v>
      </c>
      <c r="E1007" s="70">
        <f>IF(B1007="","",INDEX(Ingredients!$I$1:$I$5013,(MATCH(InterventionCosts!B1007,Ingredients!$A$1:$A$5013,0))))</f>
        <v>4096.797192613778</v>
      </c>
      <c r="F1007" s="5" t="str">
        <f>INDEX(Ingredients!J$1:J$265,(MATCH(InterventionCosts!B1007,Ingredients!A$1:A$265,0)))</f>
        <v>per person trained</v>
      </c>
      <c r="G1007">
        <f>IF(B1007="","",INDEX(Ingredients!$E$1:$E$238,(MATCH(InterventionCosts!B1007,Ingredients!A$1:A$238,0))))</f>
        <v>2015</v>
      </c>
      <c r="H1007" t="str">
        <f>INDEX(Ingredients!$F$1:$F$318,(MATCH(InterventionCosts!B1007,Ingredients!A$1:A$318,0)))</f>
        <v>Clinton Health Access Initiative (2015)</v>
      </c>
      <c r="I1007">
        <f>2/160</f>
        <v>1.2500000000000001E-2</v>
      </c>
      <c r="J1007" t="s">
        <v>431</v>
      </c>
      <c r="K1007" s="85">
        <f>I1007*E1007</f>
        <v>51.20996490767223</v>
      </c>
    </row>
    <row r="1008" spans="1:11">
      <c r="A1008" t="s">
        <v>447</v>
      </c>
      <c r="B1008" s="147" t="s">
        <v>39</v>
      </c>
      <c r="C1008" t="s">
        <v>389</v>
      </c>
      <c r="D1008" t="s">
        <v>21</v>
      </c>
      <c r="E1008" s="70">
        <f>IF(B1008="","",INDEX(Ingredients!$I$1:$I$5013,(MATCH(InterventionCosts!B1008,Ingredients!$A$1:$A$5013,0))))</f>
        <v>0.90383818045604736</v>
      </c>
      <c r="F1008" s="5" t="str">
        <f>INDEX(Ingredients!J$1:J$265,(MATCH(InterventionCosts!B1008,Ingredients!A$1:A$265,0)))</f>
        <v>per material</v>
      </c>
      <c r="G1008">
        <f>IF(B1008="","",INDEX(Ingredients!$E$1:$E$238,(MATCH(InterventionCosts!B1008,Ingredients!A$1:A$238,0))))</f>
        <v>2016</v>
      </c>
      <c r="H1008" t="str">
        <f>INDEX(Ingredients!$F$1:$F$318,(MATCH(InterventionCosts!B1008,Ingredients!A$1:A$318,0)))</f>
        <v>RSA Global Fund Grant portfolio budgets 2016</v>
      </c>
      <c r="I1008">
        <v>1</v>
      </c>
      <c r="J1008" t="s">
        <v>406</v>
      </c>
      <c r="K1008" s="85">
        <f>I1008*E1008</f>
        <v>0.90383818045604736</v>
      </c>
    </row>
    <row r="1009" spans="1:12">
      <c r="A1009" t="s">
        <v>447</v>
      </c>
      <c r="B1009" s="146" t="s">
        <v>417</v>
      </c>
    </row>
    <row r="1010" spans="1:12">
      <c r="A1010" t="s">
        <v>447</v>
      </c>
      <c r="B1010" s="147" t="s">
        <v>423</v>
      </c>
      <c r="C1010" t="s">
        <v>389</v>
      </c>
      <c r="D1010" t="s">
        <v>81</v>
      </c>
      <c r="E1010" s="70">
        <f>IF(B1010="","",INDEX(Ingredients!$I$1:$I$5013,(MATCH(InterventionCosts!B1010,Ingredients!$A$1:$A$5013,0))))</f>
        <v>4096.797192613778</v>
      </c>
      <c r="F1010" s="5" t="str">
        <f>INDEX(Ingredients!J$1:J$265,(MATCH(InterventionCosts!B1010,Ingredients!A$1:A$265,0)))</f>
        <v>per person trained</v>
      </c>
      <c r="G1010">
        <f>IF(B1010="","",INDEX(Ingredients!$E$1:$E$238,(MATCH(InterventionCosts!B1010,Ingredients!A$1:A$238,0))))</f>
        <v>2015</v>
      </c>
      <c r="H1010" t="str">
        <f>INDEX(Ingredients!$F$1:$F$318,(MATCH(InterventionCosts!B1010,Ingredients!A$1:A$318,0)))</f>
        <v>Clinton Health Access Initiative (2015)</v>
      </c>
      <c r="I1010">
        <f>1/160</f>
        <v>6.2500000000000003E-3</v>
      </c>
      <c r="J1010" t="s">
        <v>432</v>
      </c>
      <c r="K1010" s="85">
        <f>I1010*E1010</f>
        <v>25.604982453836115</v>
      </c>
    </row>
    <row r="1011" spans="1:12">
      <c r="A1011" t="s">
        <v>447</v>
      </c>
      <c r="B1011" s="147" t="s">
        <v>39</v>
      </c>
      <c r="C1011" t="s">
        <v>389</v>
      </c>
      <c r="D1011" t="s">
        <v>21</v>
      </c>
      <c r="E1011" s="70">
        <f>IF(B1011="","",INDEX(Ingredients!$I$1:$I$5013,(MATCH(InterventionCosts!B1011,Ingredients!$A$1:$A$5013,0))))</f>
        <v>0.90383818045604736</v>
      </c>
      <c r="F1011" s="5" t="str">
        <f>INDEX(Ingredients!J$1:J$265,(MATCH(InterventionCosts!B1011,Ingredients!A$1:A$265,0)))</f>
        <v>per material</v>
      </c>
      <c r="G1011">
        <f>IF(B1011="","",INDEX(Ingredients!$E$1:$E$238,(MATCH(InterventionCosts!B1011,Ingredients!A$1:A$238,0))))</f>
        <v>2016</v>
      </c>
      <c r="H1011" t="str">
        <f>INDEX(Ingredients!$F$1:$F$318,(MATCH(InterventionCosts!B1011,Ingredients!A$1:A$318,0)))</f>
        <v>RSA Global Fund Grant portfolio budgets 2016</v>
      </c>
      <c r="I1011">
        <v>1</v>
      </c>
      <c r="J1011" t="s">
        <v>406</v>
      </c>
      <c r="K1011" s="85">
        <f>I1011*E1011</f>
        <v>0.90383818045604736</v>
      </c>
    </row>
    <row r="1012" spans="1:12">
      <c r="A1012" t="s">
        <v>447</v>
      </c>
      <c r="B1012" s="146" t="s">
        <v>418</v>
      </c>
    </row>
    <row r="1013" spans="1:12">
      <c r="A1013" t="s">
        <v>447</v>
      </c>
      <c r="B1013" s="147" t="s">
        <v>424</v>
      </c>
      <c r="C1013" t="s">
        <v>389</v>
      </c>
      <c r="D1013" t="s">
        <v>81</v>
      </c>
      <c r="E1013" s="70">
        <f>IF(B1013="","",INDEX(Ingredients!$I$1:$I$5013,(MATCH(InterventionCosts!B1013,Ingredients!$A$1:$A$5013,0))))</f>
        <v>628.51855</v>
      </c>
      <c r="F1013" s="5" t="str">
        <f>INDEX(Ingredients!J$1:J$265,(MATCH(InterventionCosts!B1013,Ingredients!A$1:A$265,0)))</f>
        <v>per person trained</v>
      </c>
      <c r="G1013">
        <f>IF(B1013="","",INDEX(Ingredients!$E$1:$E$238,(MATCH(InterventionCosts!B1013,Ingredients!A$1:A$238,0))))</f>
        <v>2022</v>
      </c>
      <c r="H1013" t="str">
        <f>INDEX(Ingredients!$F$1:$F$318,(MATCH(InterventionCosts!B1013,Ingredients!A$1:A$318,0)))</f>
        <v>GF Grant Portfolio Budget 2022 (Steve's Cohen personal communication)</v>
      </c>
      <c r="I1013">
        <f>1/160</f>
        <v>6.2500000000000003E-3</v>
      </c>
      <c r="J1013" t="s">
        <v>432</v>
      </c>
      <c r="K1013" s="85">
        <f>I1013*E1013</f>
        <v>3.9282409375</v>
      </c>
    </row>
    <row r="1014" spans="1:12">
      <c r="A1014" t="s">
        <v>447</v>
      </c>
      <c r="B1014" s="147" t="s">
        <v>39</v>
      </c>
      <c r="C1014" t="s">
        <v>389</v>
      </c>
      <c r="D1014" t="s">
        <v>21</v>
      </c>
      <c r="E1014" s="70">
        <f>IF(B1014="","",INDEX(Ingredients!$I$1:$I$5013,(MATCH(InterventionCosts!B1014,Ingredients!$A$1:$A$5013,0))))</f>
        <v>0.90383818045604736</v>
      </c>
      <c r="F1014" s="5" t="str">
        <f>INDEX(Ingredients!J$1:J$265,(MATCH(InterventionCosts!B1014,Ingredients!A$1:A$265,0)))</f>
        <v>per material</v>
      </c>
      <c r="G1014">
        <f>IF(B1014="","",INDEX(Ingredients!$E$1:$E$238,(MATCH(InterventionCosts!B1014,Ingredients!A$1:A$238,0))))</f>
        <v>2016</v>
      </c>
      <c r="H1014" t="str">
        <f>INDEX(Ingredients!$F$1:$F$318,(MATCH(InterventionCosts!B1014,Ingredients!A$1:A$318,0)))</f>
        <v>RSA Global Fund Grant portfolio budgets 2016</v>
      </c>
      <c r="I1014">
        <v>1</v>
      </c>
      <c r="J1014" t="s">
        <v>406</v>
      </c>
      <c r="K1014" s="85">
        <f>I1014*E1014</f>
        <v>0.90383818045604736</v>
      </c>
    </row>
    <row r="1015" spans="1:12">
      <c r="A1015" t="s">
        <v>447</v>
      </c>
      <c r="B1015" s="146" t="s">
        <v>419</v>
      </c>
    </row>
    <row r="1016" spans="1:12">
      <c r="A1016" t="s">
        <v>447</v>
      </c>
      <c r="B1016" s="147" t="s">
        <v>111</v>
      </c>
      <c r="C1016" t="s">
        <v>389</v>
      </c>
      <c r="D1016" t="s">
        <v>81</v>
      </c>
      <c r="E1016" s="70">
        <f>IF(B1016="","",INDEX(Ingredients!$I$1:$I$5013,(MATCH(InterventionCosts!B1016,Ingredients!$A$1:$A$5013,0))))</f>
        <v>239.77392959288917</v>
      </c>
      <c r="F1016" s="5" t="str">
        <f>INDEX(Ingredients!J$1:J$265,(MATCH(InterventionCosts!B1016,Ingredients!A$1:A$265,0)))</f>
        <v>pp per workshop</v>
      </c>
      <c r="G1016">
        <f>IF(B1016="","",INDEX(Ingredients!$E$1:$E$238,(MATCH(InterventionCosts!B1016,Ingredients!A$1:A$238,0))))</f>
        <v>2018</v>
      </c>
      <c r="H1016" t="str">
        <f>INDEX(Ingredients!$F$1:$F$318,(MATCH(InterventionCosts!B1016,Ingredients!A$1:A$318,0)))</f>
        <v>RSA Global Fund Grant portfolio budgets 2018, Subject to revision during grant negotiations (Steve's email)</v>
      </c>
      <c r="I1016" s="148">
        <f>1/100</f>
        <v>0.01</v>
      </c>
      <c r="J1016" s="149" t="s">
        <v>433</v>
      </c>
      <c r="K1016" s="85">
        <f>I1016*E1016</f>
        <v>2.3977392959288917</v>
      </c>
    </row>
    <row r="1017" spans="1:12">
      <c r="A1017" t="s">
        <v>447</v>
      </c>
      <c r="B1017" s="147" t="s">
        <v>39</v>
      </c>
      <c r="C1017" t="s">
        <v>389</v>
      </c>
      <c r="D1017" t="s">
        <v>21</v>
      </c>
      <c r="E1017" s="70">
        <f>IF(B1017="","",INDEX(Ingredients!$I$1:$I$5013,(MATCH(InterventionCosts!B1017,Ingredients!$A$1:$A$5013,0))))</f>
        <v>0.90383818045604736</v>
      </c>
      <c r="F1017" s="5" t="str">
        <f>INDEX(Ingredients!J$1:J$265,(MATCH(InterventionCosts!B1017,Ingredients!A$1:A$265,0)))</f>
        <v>per material</v>
      </c>
      <c r="G1017">
        <f>IF(B1017="","",INDEX(Ingredients!$E$1:$E$238,(MATCH(InterventionCosts!B1017,Ingredients!A$1:A$238,0))))</f>
        <v>2016</v>
      </c>
      <c r="H1017" t="str">
        <f>INDEX(Ingredients!$F$1:$F$318,(MATCH(InterventionCosts!B1017,Ingredients!A$1:A$318,0)))</f>
        <v>RSA Global Fund Grant portfolio budgets 2016</v>
      </c>
      <c r="I1017" s="148">
        <v>1</v>
      </c>
      <c r="J1017" s="149" t="s">
        <v>434</v>
      </c>
      <c r="K1017" s="85">
        <f>I1017*E1017</f>
        <v>0.90383818045604736</v>
      </c>
    </row>
    <row r="1018" spans="1:12">
      <c r="A1018" t="s">
        <v>447</v>
      </c>
      <c r="B1018" s="147" t="s">
        <v>425</v>
      </c>
      <c r="C1018" t="s">
        <v>389</v>
      </c>
      <c r="D1018" t="s">
        <v>48</v>
      </c>
      <c r="E1018" s="70">
        <f>IF(B1018="","",INDEX(Ingredients!$I$1:$I$5013,(MATCH(InterventionCosts!B1018,Ingredients!$A$1:$A$5013,0))))</f>
        <v>4100.2266666666665</v>
      </c>
      <c r="F1018" s="5" t="str">
        <f>INDEX(Ingredients!J$1:J$265,(MATCH(InterventionCosts!B1018,Ingredients!A$1:A$265,0)))</f>
        <v>per month</v>
      </c>
      <c r="G1018">
        <f>IF(B1018="","",INDEX(Ingredients!$E$1:$E$238,(MATCH(InterventionCosts!B1018,Ingredients!A$1:A$238,0))))</f>
        <v>2024</v>
      </c>
      <c r="H1018" t="str">
        <f>INDEX(Ingredients!$F$1:$F$318,(MATCH(InterventionCosts!B1018,Ingredients!A$1:A$318,0)))</f>
        <v>https://www.health.gov.za/wp-content/uploads/2022/07/Health-Department-welcomes-Bargaining-Council-resolution-to-improve-work-conditions-of-CHWs-27-July-2022.pdf</v>
      </c>
      <c r="I1018" s="150">
        <f>((15/(8*60))*workdayspermonth)/160*12</f>
        <v>4.3554687499999994E-2</v>
      </c>
      <c r="J1018" s="149" t="s">
        <v>435</v>
      </c>
      <c r="K1018" s="85">
        <f>I1018*E1018</f>
        <v>178.5840911458333</v>
      </c>
    </row>
    <row r="1019" spans="1:12">
      <c r="A1019" t="s">
        <v>447</v>
      </c>
      <c r="B1019" s="146" t="s">
        <v>420</v>
      </c>
    </row>
    <row r="1020" spans="1:12">
      <c r="A1020" t="s">
        <v>447</v>
      </c>
      <c r="B1020" s="147" t="s">
        <v>246</v>
      </c>
      <c r="C1020" t="s">
        <v>389</v>
      </c>
      <c r="D1020" t="s">
        <v>21</v>
      </c>
      <c r="E1020" s="70">
        <f>IF(B1020="","",INDEX(Ingredients!$I$1:$I$5013,(MATCH(InterventionCosts!B1020,Ingredients!$A$1:$A$5013,0))))</f>
        <v>0.16400000000000001</v>
      </c>
      <c r="F1020" s="5" t="str">
        <f>INDEX(Ingredients!J$1:J$265,(MATCH(InterventionCosts!B1020,Ingredients!A$1:A$265,0)))</f>
        <v>per page</v>
      </c>
      <c r="G1020">
        <f>IF(B1020="","",INDEX(Ingredients!$E$1:$E$238,(MATCH(InterventionCosts!B1020,Ingredients!A$1:A$238,0))))</f>
        <v>2024</v>
      </c>
      <c r="H1020" t="str">
        <f>INDEX(Ingredients!$F$1:$F$318,(MATCH(InterventionCosts!B1020,Ingredients!A$1:A$318,0)))</f>
        <v>https://www.makro.co.za/stationery-office-furniture/paper-filing/paper/white-paper/copy-paper/typek-a4-office-paper-80-gsm/p/000000000000012434_BOX</v>
      </c>
      <c r="I1020" s="148">
        <f>2*1</f>
        <v>2</v>
      </c>
      <c r="J1020" s="149" t="s">
        <v>436</v>
      </c>
      <c r="K1020" s="85">
        <f>I1020*E1020</f>
        <v>0.32800000000000001</v>
      </c>
    </row>
    <row r="1021" spans="1:12">
      <c r="A1021" t="s">
        <v>447</v>
      </c>
      <c r="B1021" s="147" t="s">
        <v>426</v>
      </c>
      <c r="C1021" t="s">
        <v>389</v>
      </c>
      <c r="D1021" t="s">
        <v>21</v>
      </c>
      <c r="E1021" s="70">
        <f>IF(B1021="","",INDEX(Ingredients!$I$1:$I$5013,(MATCH(InterventionCosts!B1021,Ingredients!$A$1:$A$5013,0))))</f>
        <v>0.45800000000000002</v>
      </c>
      <c r="F1021" s="5" t="str">
        <f>INDEX(Ingredients!J$1:J$265,(MATCH(InterventionCosts!B1021,Ingredients!A$1:A$265,0)))</f>
        <v>per page</v>
      </c>
      <c r="G1021">
        <f>IF(B1021="","",INDEX(Ingredients!$E$1:$E$238,(MATCH(InterventionCosts!B1021,Ingredients!A$1:A$238,0))))</f>
        <v>2024</v>
      </c>
      <c r="H1021" t="str">
        <f>INDEX(Ingredients!$F$1:$F$318,(MATCH(InterventionCosts!B1021,Ingredients!A$1:A$318,0)))</f>
        <v>https://www.makro.co.za/stationery-office-furniture/paper-filing/paper/white-paper/a3-paper/typek-a3-office-paper-80-gsm/p/000000000000877929_EA</v>
      </c>
      <c r="I1021" s="148">
        <f>1/160*12</f>
        <v>7.5000000000000011E-2</v>
      </c>
      <c r="J1021" s="149" t="s">
        <v>437</v>
      </c>
      <c r="K1021" s="85">
        <f>I1021*E1021</f>
        <v>3.4350000000000006E-2</v>
      </c>
    </row>
    <row r="1022" spans="1:12">
      <c r="A1022" t="s">
        <v>447</v>
      </c>
      <c r="B1022" s="147" t="s">
        <v>55</v>
      </c>
      <c r="C1022" t="s">
        <v>389</v>
      </c>
      <c r="D1022" t="s">
        <v>48</v>
      </c>
      <c r="E1022" s="70">
        <f>IF(B1022="","",INDEX(Ingredients!$I$1:$I$5013,(MATCH(InterventionCosts!B1022,Ingredients!$A$1:$A$5013,0))))</f>
        <v>1.8549350710014947</v>
      </c>
      <c r="F1022" s="5" t="str">
        <f>INDEX(Ingredients!J$1:J$265,(MATCH(InterventionCosts!B1022,Ingredients!A$1:A$265,0)))</f>
        <v>per minute</v>
      </c>
      <c r="G1022">
        <f>IF(B1022="","",INDEX(Ingredients!$E$1:$E$238,(MATCH(InterventionCosts!B1022,Ingredients!A$1:A$238,0))))</f>
        <v>2024</v>
      </c>
      <c r="H1022" t="str">
        <f>INDEX(Ingredients!$F$1:$F$318,(MATCH(InterventionCosts!B1022,Ingredients!A$1:A$318,0)))</f>
        <v xml:space="preserve">April 2024 Salary scale </v>
      </c>
      <c r="I1022" s="148">
        <f>(60*12)/160</f>
        <v>4.5</v>
      </c>
      <c r="J1022" s="149" t="s">
        <v>438</v>
      </c>
      <c r="K1022" s="85">
        <f>I1022*E1022</f>
        <v>8.3472078195067265</v>
      </c>
    </row>
    <row r="1023" spans="1:12">
      <c r="A1023" t="s">
        <v>447</v>
      </c>
      <c r="B1023" s="146" t="s">
        <v>421</v>
      </c>
    </row>
    <row r="1024" spans="1:12">
      <c r="A1024" t="s">
        <v>447</v>
      </c>
      <c r="B1024" s="147" t="s">
        <v>422</v>
      </c>
      <c r="C1024" t="s">
        <v>389</v>
      </c>
      <c r="D1024" t="s">
        <v>81</v>
      </c>
      <c r="E1024" s="70"/>
      <c r="F1024" s="5"/>
      <c r="J1024" t="s">
        <v>441</v>
      </c>
      <c r="K1024" s="85">
        <f>0.07*SUM(K932:K1022,K1025)</f>
        <v>68.610038630465084</v>
      </c>
      <c r="L1024" s="85" t="s">
        <v>427</v>
      </c>
    </row>
    <row r="1025" spans="1:14">
      <c r="A1025" t="s">
        <v>447</v>
      </c>
      <c r="B1025" s="147" t="s">
        <v>52</v>
      </c>
      <c r="C1025" t="s">
        <v>389</v>
      </c>
      <c r="D1025" t="s">
        <v>48</v>
      </c>
      <c r="E1025" s="70">
        <f>IF(B1025="","",INDEX(Ingredients!$I$1:$I$5013,(MATCH(InterventionCosts!B1025,Ingredients!$A$1:$A$5013,0))))</f>
        <v>1.8019482436472347</v>
      </c>
      <c r="F1025" s="5" t="str">
        <f>INDEX(Ingredients!J$1:J$265,(MATCH(InterventionCosts!B1025,Ingredients!A$1:A$265,0)))</f>
        <v>per minute</v>
      </c>
      <c r="G1025">
        <f>IF(B1025="","",INDEX(Ingredients!$E$1:$E$238,(MATCH(InterventionCosts!B1025,Ingredients!A$1:A$238,0))))</f>
        <v>2024</v>
      </c>
      <c r="H1025" t="str">
        <f>INDEX(Ingredients!$F$1:$F$318,(MATCH(InterventionCosts!B1025,Ingredients!A$1:A$318,0)))</f>
        <v xml:space="preserve">April 2024 Salary scale </v>
      </c>
      <c r="I1025">
        <v>6</v>
      </c>
      <c r="J1025" s="149" t="s">
        <v>439</v>
      </c>
      <c r="K1025" s="85">
        <f>I1025*E1025</f>
        <v>10.811689461883407</v>
      </c>
    </row>
    <row r="1026" spans="1:14" s="89" customFormat="1">
      <c r="A1026" s="4" t="s">
        <v>447</v>
      </c>
      <c r="F1026" s="89" t="s">
        <v>1164</v>
      </c>
      <c r="G1026" s="89" t="str">
        <f>IF(B1026="","",INDEX(Ingredients!$E$1:$E$238,(MATCH(InterventionCosts!B1026,Ingredients!A$1:A$238,0))))</f>
        <v/>
      </c>
      <c r="K1026" s="90"/>
      <c r="L1026" s="90">
        <f>SUM(K932:K1025)</f>
        <v>1048.753447637109</v>
      </c>
      <c r="M1026" s="92"/>
      <c r="N1026" s="4"/>
    </row>
    <row r="1027" spans="1:14" s="89" customFormat="1">
      <c r="A1027" s="4" t="s">
        <v>447</v>
      </c>
      <c r="F1027" s="89" t="s">
        <v>117</v>
      </c>
      <c r="G1027" s="89" t="str">
        <f>IF(B1027="","",INDEX(Ingredients!$E$1:$E$238,(MATCH(InterventionCosts!B1027,Ingredients!A$1:A$238,0))))</f>
        <v/>
      </c>
      <c r="K1027" s="90"/>
      <c r="L1027" s="90" t="s">
        <v>440</v>
      </c>
    </row>
    <row r="1029" spans="1:14">
      <c r="A1029" t="s">
        <v>448</v>
      </c>
      <c r="B1029" s="144" t="s">
        <v>1463</v>
      </c>
      <c r="C1029" s="141"/>
      <c r="D1029" s="141"/>
      <c r="E1029" s="142"/>
      <c r="F1029" s="141"/>
      <c r="G1029" s="141"/>
      <c r="H1029" s="141"/>
      <c r="I1029" s="141"/>
      <c r="J1029" s="141"/>
      <c r="K1029" s="143"/>
    </row>
    <row r="1030" spans="1:14">
      <c r="A1030" t="s">
        <v>448</v>
      </c>
      <c r="B1030" s="136" t="s">
        <v>390</v>
      </c>
    </row>
    <row r="1031" spans="1:14">
      <c r="A1031" t="s">
        <v>448</v>
      </c>
      <c r="B1031" s="137" t="s">
        <v>54</v>
      </c>
      <c r="C1031" t="s">
        <v>389</v>
      </c>
      <c r="D1031" t="s">
        <v>48</v>
      </c>
      <c r="E1031" s="70">
        <f>IF(B1031="","",INDEX(Ingredients!$I$1:$I$5013,(MATCH(InterventionCosts!B1031,Ingredients!$A$1:$A$5013,0))))</f>
        <v>1.2444366591928251</v>
      </c>
      <c r="F1031" s="5" t="str">
        <f>INDEX(Ingredients!J$1:J$265,(MATCH(InterventionCosts!B1031,Ingredients!A$1:A$265,0)))</f>
        <v>per minute</v>
      </c>
      <c r="G1031">
        <f>IF(B1031="","",INDEX(Ingredients!$E$1:$E$238,(MATCH(InterventionCosts!B1031,Ingredients!A$1:A$238,0))))</f>
        <v>2024</v>
      </c>
      <c r="H1031" t="str">
        <f>INDEX(Ingredients!$F$1:$F$318,(MATCH(InterventionCosts!B1031,Ingredients!A$1:A$318,0)))</f>
        <v xml:space="preserve">April 2024 Salary scale </v>
      </c>
      <c r="I1031">
        <v>1</v>
      </c>
      <c r="J1031" s="133" t="s">
        <v>1476</v>
      </c>
      <c r="K1031" s="85">
        <f>I1031*E1031</f>
        <v>1.2444366591928251</v>
      </c>
    </row>
    <row r="1032" spans="1:14">
      <c r="A1032" t="s">
        <v>448</v>
      </c>
      <c r="B1032" s="137" t="s">
        <v>246</v>
      </c>
      <c r="C1032" t="s">
        <v>389</v>
      </c>
      <c r="D1032" s="5" t="s">
        <v>21</v>
      </c>
      <c r="E1032" s="70">
        <f>IF(B1032="","",INDEX(Ingredients!$I$1:$I$5013,(MATCH(InterventionCosts!B1032,Ingredients!$A$1:$A$5013,0))))</f>
        <v>0.16400000000000001</v>
      </c>
      <c r="F1032" s="5" t="str">
        <f>INDEX(Ingredients!J$1:J$265,(MATCH(InterventionCosts!B1032,Ingredients!A$1:A$265,0)))</f>
        <v>per page</v>
      </c>
      <c r="G1032">
        <f>IF(B1032="","",INDEX(Ingredients!$E$1:$E$238,(MATCH(InterventionCosts!B1032,Ingredients!A$1:A$238,0))))</f>
        <v>2024</v>
      </c>
      <c r="H1032" t="str">
        <f>INDEX(Ingredients!$F$1:$F$318,(MATCH(InterventionCosts!B1032,Ingredients!A$1:A$318,0)))</f>
        <v>https://www.makro.co.za/stationery-office-furniture/paper-filing/paper/white-paper/copy-paper/typek-a4-office-paper-80-gsm/p/000000000000012434_BOX</v>
      </c>
      <c r="I1032">
        <f>1</f>
        <v>1</v>
      </c>
      <c r="J1032" s="133" t="s">
        <v>1476</v>
      </c>
      <c r="K1032" s="85">
        <f>I1032*E1032</f>
        <v>0.16400000000000001</v>
      </c>
      <c r="L1032" s="85" t="s">
        <v>1510</v>
      </c>
    </row>
    <row r="1033" spans="1:14">
      <c r="A1033" t="s">
        <v>448</v>
      </c>
      <c r="B1033" s="136" t="s">
        <v>391</v>
      </c>
      <c r="F1033" s="145" t="s">
        <v>396</v>
      </c>
      <c r="I1033" s="153">
        <f>0.086</f>
        <v>8.5999999999999993E-2</v>
      </c>
      <c r="J1033" s="3" t="s">
        <v>443</v>
      </c>
    </row>
    <row r="1034" spans="1:14">
      <c r="A1034" t="s">
        <v>448</v>
      </c>
      <c r="B1034" s="137" t="s">
        <v>79</v>
      </c>
      <c r="C1034" t="s">
        <v>389</v>
      </c>
      <c r="D1034" s="5" t="s">
        <v>21</v>
      </c>
      <c r="E1034" s="70">
        <f>IF(B1034="","",INDEX(Ingredients!$I$1:$I$5013,(MATCH(InterventionCosts!B1034,Ingredients!$A$1:$A$5013,0))))</f>
        <v>9.3000000000000007</v>
      </c>
      <c r="F1034" s="5" t="str">
        <f>INDEX(Ingredients!J$1:J$265,(MATCH(InterventionCosts!B1034,Ingredients!A$1:A$265,0)))</f>
        <v>per test</v>
      </c>
      <c r="G1034">
        <f>IF(B1034="","",INDEX(Ingredients!$E$1:$E$238,(MATCH(InterventionCosts!B1034,Ingredients!A$1:A$238,0))))</f>
        <v>2024</v>
      </c>
      <c r="H1034" t="str">
        <f>INDEX(Ingredients!$F$1:$F$318,(MATCH(InterventionCosts!B1034,Ingredients!A$1:A$318,0)))</f>
        <v>https://www.treasury.gov.za/divisions/ocpo/ostb/contracts/RT41-2020.zip</v>
      </c>
      <c r="I1034" s="134">
        <f>1/(1-I1033)</f>
        <v>1.0940919037199124</v>
      </c>
      <c r="J1034" s="133" t="s">
        <v>394</v>
      </c>
      <c r="K1034" s="85">
        <f>I1034*E1034</f>
        <v>10.175054704595185</v>
      </c>
      <c r="L1034"/>
    </row>
    <row r="1035" spans="1:14">
      <c r="A1035" t="s">
        <v>448</v>
      </c>
      <c r="B1035" s="137" t="s">
        <v>54</v>
      </c>
      <c r="C1035" t="s">
        <v>389</v>
      </c>
      <c r="D1035" t="s">
        <v>48</v>
      </c>
      <c r="E1035" s="70">
        <f>IF(B1035="","",INDEX(Ingredients!$I$1:$I$5013,(MATCH(InterventionCosts!B1035,Ingredients!$A$1:$A$5013,0))))</f>
        <v>1.2444366591928251</v>
      </c>
      <c r="F1035" s="5" t="str">
        <f>INDEX(Ingredients!J$1:J$265,(MATCH(InterventionCosts!B1035,Ingredients!A$1:A$265,0)))</f>
        <v>per minute</v>
      </c>
      <c r="G1035">
        <f>IF(B1035="","",INDEX(Ingredients!$E$1:$E$238,(MATCH(InterventionCosts!B1035,Ingredients!A$1:A$238,0))))</f>
        <v>2024</v>
      </c>
      <c r="H1035" t="str">
        <f>INDEX(Ingredients!$F$1:$F$318,(MATCH(InterventionCosts!B1035,Ingredients!A$1:A$318,0)))</f>
        <v xml:space="preserve">April 2024 Salary scale </v>
      </c>
      <c r="I1035" s="134">
        <f>15+1/(1-I1033)</f>
        <v>16.094091903719914</v>
      </c>
      <c r="J1035" s="133" t="s">
        <v>395</v>
      </c>
      <c r="K1035" s="85">
        <f>I1035*E1035</f>
        <v>20.028077961407504</v>
      </c>
      <c r="L1035"/>
    </row>
    <row r="1036" spans="1:14">
      <c r="A1036" t="s">
        <v>448</v>
      </c>
      <c r="B1036" s="137" t="s">
        <v>1489</v>
      </c>
      <c r="C1036" t="s">
        <v>389</v>
      </c>
      <c r="D1036" s="5" t="s">
        <v>21</v>
      </c>
      <c r="E1036" s="70">
        <f>IF(B1036="","",INDEX(Ingredients!$I$1:$I$5013,(MATCH(InterventionCosts!B1036,Ingredients!$A$1:$A$5013,0))))</f>
        <v>53.08</v>
      </c>
      <c r="F1036" s="5" t="str">
        <f>INDEX(Ingredients!J$1:J$265,(MATCH(InterventionCosts!B1036,Ingredients!A$1:A$265,0)))</f>
        <v>per pack 100, 50 pairs</v>
      </c>
      <c r="G1036">
        <f>IF(B1036="","",INDEX(Ingredients!$E$1:$E$238,(MATCH(InterventionCosts!B1036,Ingredients!A$1:A$238,0))))</f>
        <v>2024</v>
      </c>
      <c r="H1036" t="str">
        <f>INDEX(Ingredients!$F$1:$F$318,(MATCH(InterventionCosts!B1036,Ingredients!A$1:A$318,0)))</f>
        <v>https://www.treasury.gov.za/divisions/ocpo/ostb/contracts/RT76-2023%20CPA%20Amendment%204-%20Effective%2001%20May%202024.pdf</v>
      </c>
      <c r="I1036" s="134">
        <f>2/100*(1/(1-I1033))</f>
        <v>2.1881838074398249E-2</v>
      </c>
      <c r="J1036" s="133" t="s">
        <v>394</v>
      </c>
      <c r="K1036" s="85">
        <f>I1036*E1036</f>
        <v>1.161487964989059</v>
      </c>
      <c r="L1036"/>
    </row>
    <row r="1037" spans="1:14">
      <c r="A1037" t="s">
        <v>448</v>
      </c>
      <c r="B1037" s="137" t="s">
        <v>31</v>
      </c>
      <c r="C1037" t="s">
        <v>389</v>
      </c>
      <c r="D1037" s="5" t="s">
        <v>21</v>
      </c>
      <c r="E1037" s="70">
        <f>IF(B1037="","",INDEX(Ingredients!$I$1:$I$5013,(MATCH(InterventionCosts!B1037,Ingredients!$A$1:$A$5013,0))))</f>
        <v>31.4</v>
      </c>
      <c r="F1037" s="5" t="str">
        <f>INDEX(Ingredients!J$1:J$265,(MATCH(InterventionCosts!B1037,Ingredients!A$1:A$265,0)))</f>
        <v>per 100 swabs</v>
      </c>
      <c r="G1037">
        <f>IF(B1037="","",INDEX(Ingredients!$E$1:$E$238,(MATCH(InterventionCosts!B1037,Ingredients!A$1:A$238,0))))</f>
        <v>2024</v>
      </c>
      <c r="H1037" t="str">
        <f>INDEX(Ingredients!$F$1:$F$318,(MATCH(InterventionCosts!B1037,Ingredients!A$1:A$318,0)))</f>
        <v xml:space="preserve">http://www.treasury.gov.za/divisions/ocpo/ostb/contracts/RT42-2022zip </v>
      </c>
      <c r="I1037" s="134">
        <f>1/100*(1/(1-I1033))</f>
        <v>1.0940919037199124E-2</v>
      </c>
      <c r="J1037" s="133" t="s">
        <v>394</v>
      </c>
      <c r="K1037" s="85">
        <f>I1037*E1037</f>
        <v>0.34354485776805249</v>
      </c>
      <c r="L1037"/>
    </row>
    <row r="1038" spans="1:14">
      <c r="A1038" t="s">
        <v>448</v>
      </c>
      <c r="B1038" s="136" t="s">
        <v>392</v>
      </c>
      <c r="E1038" s="70"/>
      <c r="F1038" s="5"/>
    </row>
    <row r="1039" spans="1:14">
      <c r="A1039" t="s">
        <v>448</v>
      </c>
      <c r="B1039" s="137" t="s">
        <v>79</v>
      </c>
      <c r="C1039" t="s">
        <v>389</v>
      </c>
      <c r="D1039" s="5" t="s">
        <v>21</v>
      </c>
      <c r="E1039" s="70">
        <f>IF(B1039="","",INDEX(Ingredients!$I$1:$I$5013,(MATCH(InterventionCosts!B1039,Ingredients!$A$1:$A$5013,0))))</f>
        <v>9.3000000000000007</v>
      </c>
      <c r="F1039" s="5" t="str">
        <f>INDEX(Ingredients!J$1:J$265,(MATCH(InterventionCosts!B1039,Ingredients!A$1:A$265,0)))</f>
        <v>per test</v>
      </c>
      <c r="G1039">
        <f>IF(B1039="","",INDEX(Ingredients!$E$1:$E$238,(MATCH(InterventionCosts!B1039,Ingredients!A$1:A$238,0))))</f>
        <v>2024</v>
      </c>
      <c r="H1039" t="str">
        <f>INDEX(Ingredients!$F$1:$F$318,(MATCH(InterventionCosts!B1039,Ingredients!A$1:A$318,0)))</f>
        <v>https://www.treasury.gov.za/divisions/ocpo/ostb/contracts/RT41-2020.zip</v>
      </c>
      <c r="I1039" s="134">
        <f>I1033</f>
        <v>8.5999999999999993E-2</v>
      </c>
      <c r="J1039" s="85" t="s">
        <v>396</v>
      </c>
      <c r="K1039" s="85">
        <f>I1039*E1039</f>
        <v>0.79979999999999996</v>
      </c>
      <c r="L1039"/>
    </row>
    <row r="1040" spans="1:14">
      <c r="A1040" t="s">
        <v>448</v>
      </c>
      <c r="B1040" s="137" t="s">
        <v>54</v>
      </c>
      <c r="C1040" t="s">
        <v>389</v>
      </c>
      <c r="D1040" t="s">
        <v>48</v>
      </c>
      <c r="E1040" s="70">
        <f>IF(B1040="","",INDEX(Ingredients!$I$1:$I$5013,(MATCH(InterventionCosts!B1040,Ingredients!$A$1:$A$5013,0))))</f>
        <v>1.2444366591928251</v>
      </c>
      <c r="F1040" s="5" t="str">
        <f>INDEX(Ingredients!J$1:J$265,(MATCH(InterventionCosts!B1040,Ingredients!A$1:A$265,0)))</f>
        <v>per minute</v>
      </c>
      <c r="G1040">
        <f>IF(B1040="","",INDEX(Ingredients!$E$1:$E$238,(MATCH(InterventionCosts!B1040,Ingredients!A$1:A$238,0))))</f>
        <v>2024</v>
      </c>
      <c r="H1040" t="str">
        <f>INDEX(Ingredients!$F$1:$F$318,(MATCH(InterventionCosts!B1040,Ingredients!A$1:A$318,0)))</f>
        <v xml:space="preserve">April 2024 Salary scale </v>
      </c>
      <c r="I1040" s="134">
        <f>(15+1/(1-I1033))*I1033</f>
        <v>1.3840919037199124</v>
      </c>
      <c r="J1040" s="133" t="s">
        <v>395</v>
      </c>
      <c r="K1040" s="85">
        <f>I1040*E1040</f>
        <v>1.7224147046810452</v>
      </c>
      <c r="L1040"/>
    </row>
    <row r="1041" spans="1:12">
      <c r="A1041" t="s">
        <v>448</v>
      </c>
      <c r="B1041" s="137" t="s">
        <v>1489</v>
      </c>
      <c r="C1041" t="s">
        <v>389</v>
      </c>
      <c r="D1041" s="5" t="s">
        <v>21</v>
      </c>
      <c r="E1041" s="70">
        <f>IF(B1041="","",INDEX(Ingredients!$I$1:$I$5013,(MATCH(InterventionCosts!B1041,Ingredients!$A$1:$A$5013,0))))</f>
        <v>53.08</v>
      </c>
      <c r="F1041" s="5" t="str">
        <f>INDEX(Ingredients!J$1:J$265,(MATCH(InterventionCosts!B1041,Ingredients!A$1:A$265,0)))</f>
        <v>per pack 100, 50 pairs</v>
      </c>
      <c r="G1041">
        <f>IF(B1041="","",INDEX(Ingredients!$E$1:$E$238,(MATCH(InterventionCosts!B1041,Ingredients!A$1:A$238,0))))</f>
        <v>2024</v>
      </c>
      <c r="H1041" t="str">
        <f>INDEX(Ingredients!$F$1:$F$318,(MATCH(InterventionCosts!B1041,Ingredients!A$1:A$318,0)))</f>
        <v>https://www.treasury.gov.za/divisions/ocpo/ostb/contracts/RT76-2023%20CPA%20Amendment%204-%20Effective%2001%20May%202024.pdf</v>
      </c>
      <c r="I1041" s="154">
        <f>2/100*I1033</f>
        <v>1.72E-3</v>
      </c>
      <c r="J1041" s="133" t="s">
        <v>1478</v>
      </c>
      <c r="K1041" s="85">
        <f>I1041*E1041</f>
        <v>9.1297599999999993E-2</v>
      </c>
      <c r="L1041"/>
    </row>
    <row r="1042" spans="1:12">
      <c r="A1042" t="s">
        <v>448</v>
      </c>
      <c r="B1042" s="137" t="s">
        <v>31</v>
      </c>
      <c r="C1042" t="s">
        <v>389</v>
      </c>
      <c r="D1042" s="5" t="s">
        <v>21</v>
      </c>
      <c r="E1042" s="70">
        <f>IF(B1042="","",INDEX(Ingredients!$I$1:$I$5013,(MATCH(InterventionCosts!B1042,Ingredients!$A$1:$A$5013,0))))</f>
        <v>31.4</v>
      </c>
      <c r="F1042" s="5" t="str">
        <f>INDEX(Ingredients!J$1:J$265,(MATCH(InterventionCosts!B1042,Ingredients!A$1:A$265,0)))</f>
        <v>per 100 swabs</v>
      </c>
      <c r="G1042">
        <f>IF(B1042="","",INDEX(Ingredients!$E$1:$E$238,(MATCH(InterventionCosts!B1042,Ingredients!A$1:A$238,0))))</f>
        <v>2024</v>
      </c>
      <c r="H1042" t="str">
        <f>INDEX(Ingredients!$F$1:$F$318,(MATCH(InterventionCosts!B1042,Ingredients!A$1:A$318,0)))</f>
        <v xml:space="preserve">http://www.treasury.gov.za/divisions/ocpo/ostb/contracts/RT42-2022zip </v>
      </c>
      <c r="I1042" s="154">
        <f>1/100*I1033</f>
        <v>8.5999999999999998E-4</v>
      </c>
      <c r="J1042" s="133" t="s">
        <v>1477</v>
      </c>
      <c r="K1042" s="85">
        <f>I1042*E1042</f>
        <v>2.7003999999999997E-2</v>
      </c>
      <c r="L1042"/>
    </row>
    <row r="1043" spans="1:12">
      <c r="A1043" t="s">
        <v>448</v>
      </c>
      <c r="B1043" s="136" t="s">
        <v>393</v>
      </c>
      <c r="F1043" s="5"/>
    </row>
    <row r="1044" spans="1:12">
      <c r="A1044" t="s">
        <v>448</v>
      </c>
      <c r="B1044" s="137" t="s">
        <v>77</v>
      </c>
      <c r="C1044" t="s">
        <v>389</v>
      </c>
      <c r="D1044" t="s">
        <v>75</v>
      </c>
      <c r="E1044" s="70">
        <f>IF(B1044="","",INDEX(Ingredients!$I$1:$I$5013,(MATCH(InterventionCosts!B1044,Ingredients!$A$1:$A$5013,0))))</f>
        <v>71.889951748999991</v>
      </c>
      <c r="F1044" s="5" t="str">
        <f>INDEX(Ingredients!J$1:J$265,(MATCH(InterventionCosts!B1044,Ingredients!A$1:A$265,0)))</f>
        <v>per test</v>
      </c>
      <c r="G1044">
        <f>IF(B1044="","",INDEX(Ingredients!$E$1:$E$238,(MATCH(InterventionCosts!B1044,Ingredients!A$1:A$238,0))))</f>
        <v>2021</v>
      </c>
      <c r="H1044" t="str">
        <f>INDEX(Ingredients!$F$1:$F$318,(MATCH(InterventionCosts!B1044,Ingredients!A$1:A$318,0)))</f>
        <v>NHLS 2021 price-list</v>
      </c>
      <c r="I1044">
        <v>0.02</v>
      </c>
      <c r="J1044" s="85" t="s">
        <v>397</v>
      </c>
      <c r="K1044" s="85">
        <f>I1044*E1044</f>
        <v>1.4377990349799998</v>
      </c>
      <c r="L1044" s="85" t="s">
        <v>397</v>
      </c>
    </row>
    <row r="1045" spans="1:12">
      <c r="A1045" t="s">
        <v>448</v>
      </c>
      <c r="B1045" s="137" t="s">
        <v>54</v>
      </c>
      <c r="C1045" t="s">
        <v>389</v>
      </c>
      <c r="D1045" t="s">
        <v>48</v>
      </c>
      <c r="E1045" s="70">
        <f>IF(B1045="","",INDEX(Ingredients!$I$1:$I$5013,(MATCH(InterventionCosts!B1045,Ingredients!$A$1:$A$5013,0))))</f>
        <v>1.2444366591928251</v>
      </c>
      <c r="F1045" s="5" t="str">
        <f>INDEX(Ingredients!J$1:J$265,(MATCH(InterventionCosts!B1045,Ingredients!A$1:A$265,0)))</f>
        <v>per minute</v>
      </c>
      <c r="G1045">
        <f>IF(B1045="","",INDEX(Ingredients!$E$1:$E$238,(MATCH(InterventionCosts!B1045,Ingredients!A$1:A$238,0))))</f>
        <v>2024</v>
      </c>
      <c r="H1045" t="str">
        <f>INDEX(Ingredients!$F$1:$F$318,(MATCH(InterventionCosts!B1045,Ingredients!A$1:A$318,0)))</f>
        <v xml:space="preserve">April 2024 Salary scale </v>
      </c>
      <c r="I1045">
        <f>15*0.02</f>
        <v>0.3</v>
      </c>
      <c r="J1045" s="133" t="s">
        <v>395</v>
      </c>
      <c r="K1045" s="85">
        <f>I1045*E1045</f>
        <v>0.3733309977578475</v>
      </c>
    </row>
    <row r="1046" spans="1:12">
      <c r="A1046" t="s">
        <v>448</v>
      </c>
      <c r="B1046" s="137" t="s">
        <v>1489</v>
      </c>
      <c r="C1046" t="s">
        <v>389</v>
      </c>
      <c r="D1046" s="5" t="s">
        <v>21</v>
      </c>
      <c r="E1046" s="70">
        <f>IF(B1046="","",INDEX(Ingredients!$I$1:$I$5013,(MATCH(InterventionCosts!B1046,Ingredients!$A$1:$A$5013,0))))</f>
        <v>53.08</v>
      </c>
      <c r="F1046" s="5" t="str">
        <f>INDEX(Ingredients!J$1:J$265,(MATCH(InterventionCosts!B1046,Ingredients!A$1:A$265,0)))</f>
        <v>per pack 100, 50 pairs</v>
      </c>
      <c r="G1046">
        <f>IF(B1046="","",INDEX(Ingredients!$E$1:$E$238,(MATCH(InterventionCosts!B1046,Ingredients!A$1:A$238,0))))</f>
        <v>2024</v>
      </c>
      <c r="H1046" t="str">
        <f>INDEX(Ingredients!$F$1:$F$318,(MATCH(InterventionCosts!B1046,Ingredients!A$1:A$318,0)))</f>
        <v>https://www.treasury.gov.za/divisions/ocpo/ostb/contracts/RT76-2023%20CPA%20Amendment%204-%20Effective%2001%20May%202024.pdf</v>
      </c>
      <c r="I1046">
        <f>2/100*0.02</f>
        <v>4.0000000000000002E-4</v>
      </c>
      <c r="J1046" s="85" t="s">
        <v>397</v>
      </c>
      <c r="K1046" s="85">
        <f>I1046*E1046</f>
        <v>2.1232000000000001E-2</v>
      </c>
    </row>
    <row r="1047" spans="1:12">
      <c r="A1047" t="s">
        <v>448</v>
      </c>
      <c r="B1047" s="137" t="s">
        <v>45</v>
      </c>
      <c r="C1047" t="s">
        <v>389</v>
      </c>
      <c r="D1047" s="5" t="s">
        <v>21</v>
      </c>
      <c r="E1047" s="70">
        <f>IF(B1047="","",INDEX(Ingredients!$I$1:$I$5013,(MATCH(InterventionCosts!B1047,Ingredients!$A$1:$A$5013,0))))</f>
        <v>46</v>
      </c>
      <c r="F1047" s="5" t="str">
        <f>INDEX(Ingredients!J$1:J$265,(MATCH(InterventionCosts!B1047,Ingredients!A$1:A$265,0)))</f>
        <v>per pack 100</v>
      </c>
      <c r="G1047">
        <f>IF(B1047="","",INDEX(Ingredients!$E$1:$E$238,(MATCH(InterventionCosts!B1047,Ingredients!A$1:A$238,0))))</f>
        <v>2024</v>
      </c>
      <c r="H1047" t="str">
        <f>INDEX(Ingredients!$F$1:$F$318,(MATCH(InterventionCosts!B1047,Ingredients!A$1:A$318,0)))</f>
        <v>https://www.treasury.gov.za/divisions/ocpo/ostb/contracts/RT284-2023.zip</v>
      </c>
      <c r="I1047">
        <f>1/100*0.02</f>
        <v>2.0000000000000001E-4</v>
      </c>
      <c r="J1047" s="85" t="s">
        <v>397</v>
      </c>
      <c r="K1047" s="135">
        <f>I1047*E1047</f>
        <v>9.1999999999999998E-3</v>
      </c>
    </row>
    <row r="1048" spans="1:12">
      <c r="A1048" t="s">
        <v>448</v>
      </c>
      <c r="B1048" s="137" t="s">
        <v>31</v>
      </c>
      <c r="C1048" t="s">
        <v>389</v>
      </c>
      <c r="D1048" s="5" t="s">
        <v>21</v>
      </c>
      <c r="E1048" s="70">
        <f>IF(B1048="","",INDEX(Ingredients!$I$1:$I$5013,(MATCH(InterventionCosts!B1048,Ingredients!$A$1:$A$5013,0))))</f>
        <v>31.4</v>
      </c>
      <c r="F1048" s="5" t="str">
        <f>INDEX(Ingredients!J$1:J$265,(MATCH(InterventionCosts!B1048,Ingredients!A$1:A$265,0)))</f>
        <v>per 100 swabs</v>
      </c>
      <c r="G1048">
        <f>IF(B1048="","",INDEX(Ingredients!$E$1:$E$238,(MATCH(InterventionCosts!B1048,Ingredients!A$1:A$238,0))))</f>
        <v>2024</v>
      </c>
      <c r="H1048" t="str">
        <f>INDEX(Ingredients!$F$1:$F$318,(MATCH(InterventionCosts!B1048,Ingredients!A$1:A$318,0)))</f>
        <v xml:space="preserve">http://www.treasury.gov.za/divisions/ocpo/ostb/contracts/RT42-2022zip </v>
      </c>
      <c r="I1048">
        <f>1/100*0.02</f>
        <v>2.0000000000000001E-4</v>
      </c>
      <c r="J1048" s="85" t="s">
        <v>397</v>
      </c>
      <c r="K1048" s="135">
        <f>I1048*E1048</f>
        <v>6.28E-3</v>
      </c>
    </row>
    <row r="1049" spans="1:12">
      <c r="A1049" t="s">
        <v>448</v>
      </c>
      <c r="B1049" s="136" t="s">
        <v>398</v>
      </c>
    </row>
    <row r="1050" spans="1:12">
      <c r="A1050" t="s">
        <v>448</v>
      </c>
      <c r="B1050" s="137" t="s">
        <v>354</v>
      </c>
      <c r="C1050" t="s">
        <v>389</v>
      </c>
      <c r="D1050" t="s">
        <v>48</v>
      </c>
      <c r="E1050" s="70">
        <f>IF(B1050="","",INDEX(Ingredients!$I$1:$I$5013,(MATCH(InterventionCosts!B1050,Ingredients!$A$1:$A$5013,0))))</f>
        <v>4.8996605630293981</v>
      </c>
      <c r="F1050" s="5" t="str">
        <f>INDEX(Ingredients!J$1:J$265,(MATCH(InterventionCosts!B1050,Ingredients!A$1:A$265,0)))</f>
        <v>per minute</v>
      </c>
      <c r="G1050">
        <f>IF(B1050="","",INDEX(Ingredients!$E$1:$E$238,(MATCH(InterventionCosts!B1050,Ingredients!A$1:A$238,0))))</f>
        <v>2024</v>
      </c>
      <c r="H1050" t="str">
        <f>INDEX(Ingredients!$F$1:$F$318,(MATCH(InterventionCosts!B1050,Ingredients!A$1:A$318,0)))</f>
        <v xml:space="preserve">April 2024 Salary scale </v>
      </c>
      <c r="I1050">
        <v>15</v>
      </c>
      <c r="J1050" s="133" t="s">
        <v>395</v>
      </c>
      <c r="K1050" s="85">
        <f>I1050*E1050</f>
        <v>73.49490844544097</v>
      </c>
    </row>
    <row r="1051" spans="1:12">
      <c r="A1051" t="s">
        <v>448</v>
      </c>
      <c r="B1051" s="137" t="s">
        <v>399</v>
      </c>
      <c r="C1051" t="s">
        <v>389</v>
      </c>
      <c r="D1051" t="s">
        <v>75</v>
      </c>
      <c r="E1051" s="70">
        <f>IF(B1051="","",INDEX(Ingredients!$I$1:$I$5013,(MATCH(InterventionCosts!B1051,Ingredients!$A$1:$A$5013,0))))</f>
        <v>164.00940154829999</v>
      </c>
      <c r="F1051" s="5" t="str">
        <f>INDEX(Ingredients!J$1:J$265,(MATCH(InterventionCosts!B1051,Ingredients!A$1:A$265,0)))</f>
        <v>per test</v>
      </c>
      <c r="G1051">
        <f>IF(B1051="","",INDEX(Ingredients!$E$1:$E$238,(MATCH(InterventionCosts!B1051,Ingredients!A$1:A$238,0))))</f>
        <v>2021</v>
      </c>
      <c r="H1051" t="str">
        <f>INDEX(Ingredients!$F$1:$F$318,(MATCH(InterventionCosts!B1051,Ingredients!A$1:A$318,0)))</f>
        <v>NHLS 2021 price-list</v>
      </c>
      <c r="I1051">
        <v>1</v>
      </c>
      <c r="J1051" s="133" t="s">
        <v>1476</v>
      </c>
      <c r="K1051" s="85">
        <f>I1051*E1051</f>
        <v>164.00940154829999</v>
      </c>
    </row>
    <row r="1052" spans="1:12" ht="16">
      <c r="A1052" t="s">
        <v>448</v>
      </c>
      <c r="B1052" s="137" t="s">
        <v>400</v>
      </c>
      <c r="C1052" t="s">
        <v>389</v>
      </c>
      <c r="D1052" t="s">
        <v>75</v>
      </c>
      <c r="E1052" s="70">
        <f>IF(B1052="","",INDEX(Ingredients!$I$1:$I$5013,(MATCH(InterventionCosts!B1052,Ingredients!$A$1:$A$5013,0))))</f>
        <v>59.183820742199998</v>
      </c>
      <c r="F1052" s="5" t="str">
        <f>INDEX(Ingredients!J$1:J$265,(MATCH(InterventionCosts!B1052,Ingredients!A$1:A$265,0)))</f>
        <v>per test</v>
      </c>
      <c r="G1052">
        <f>IF(B1052="","",INDEX(Ingredients!$E$1:$E$238,(MATCH(InterventionCosts!B1052,Ingredients!A$1:A$238,0))))</f>
        <v>2021</v>
      </c>
      <c r="H1052" t="str">
        <f>INDEX(Ingredients!$F$1:$F$318,(MATCH(InterventionCosts!B1052,Ingredients!A$1:A$318,0)))</f>
        <v>NHLS 2021 price-list</v>
      </c>
      <c r="I1052">
        <v>3.5999999999999997E-2</v>
      </c>
      <c r="J1052" t="s">
        <v>403</v>
      </c>
      <c r="K1052" s="85">
        <f>I1052*E1052</f>
        <v>2.1306175467191997</v>
      </c>
      <c r="L1052" s="151" t="s">
        <v>404</v>
      </c>
    </row>
    <row r="1053" spans="1:12">
      <c r="A1053" t="s">
        <v>448</v>
      </c>
      <c r="B1053" s="136" t="s">
        <v>405</v>
      </c>
    </row>
    <row r="1054" spans="1:12">
      <c r="A1054" t="s">
        <v>448</v>
      </c>
      <c r="B1054" s="137" t="s">
        <v>54</v>
      </c>
      <c r="C1054" t="s">
        <v>389</v>
      </c>
      <c r="D1054" t="s">
        <v>48</v>
      </c>
      <c r="E1054" s="70">
        <f>IF(B1054="","",INDEX(Ingredients!$I$1:$I$5013,(MATCH(InterventionCosts!B1054,Ingredients!$A$1:$A$5013,0))))</f>
        <v>1.2444366591928251</v>
      </c>
      <c r="F1054" s="5" t="str">
        <f>INDEX(Ingredients!J$1:J$265,(MATCH(InterventionCosts!B1054,Ingredients!A$1:A$265,0)))</f>
        <v>per minute</v>
      </c>
      <c r="G1054">
        <f>IF(B1054="","",INDEX(Ingredients!$E$1:$E$238,(MATCH(InterventionCosts!B1054,Ingredients!A$1:A$238,0))))</f>
        <v>2024</v>
      </c>
      <c r="H1054" t="str">
        <f>INDEX(Ingredients!$F$1:$F$318,(MATCH(InterventionCosts!B1054,Ingredients!A$1:A$318,0)))</f>
        <v xml:space="preserve">April 2024 Salary scale </v>
      </c>
      <c r="I1054">
        <v>5</v>
      </c>
      <c r="J1054" s="133" t="s">
        <v>406</v>
      </c>
      <c r="K1054" s="85">
        <f>I1054*E1054</f>
        <v>6.2221832959641254</v>
      </c>
    </row>
    <row r="1055" spans="1:12">
      <c r="A1055" t="s">
        <v>448</v>
      </c>
      <c r="B1055" s="139" t="s">
        <v>407</v>
      </c>
      <c r="C1055" t="s">
        <v>389</v>
      </c>
      <c r="D1055" t="s">
        <v>75</v>
      </c>
      <c r="E1055" s="70">
        <f>IF(B1055="","",INDEX(Ingredients!$I$1:$I$5013,(MATCH(InterventionCosts!B1055,Ingredients!$A$1:$A$5013,0))))</f>
        <v>11.96</v>
      </c>
      <c r="F1055" s="5" t="str">
        <f>INDEX(Ingredients!J$1:J$265,(MATCH(InterventionCosts!B1055,Ingredients!A$1:A$265,0)))</f>
        <v>per test</v>
      </c>
      <c r="G1055">
        <f>IF(B1055="","",INDEX(Ingredients!$E$1:$E$238,(MATCH(InterventionCosts!B1055,Ingredients!A$1:A$238,0))))</f>
        <v>2024</v>
      </c>
      <c r="H1055" t="str">
        <f>INDEX(Ingredients!$F$1:$F$318,(MATCH(InterventionCosts!B1055,Ingredients!A$1:A$318,0)))</f>
        <v>https://www.treasury.gov.za/divisions/ocpo/ostb/contracts/RT41-1-2020%20CPA%20Addendum%205.pdf</v>
      </c>
      <c r="I1055">
        <v>1</v>
      </c>
      <c r="J1055" s="133" t="s">
        <v>1476</v>
      </c>
      <c r="K1055" s="85">
        <f>I1055*E1055</f>
        <v>11.96</v>
      </c>
    </row>
    <row r="1056" spans="1:12">
      <c r="A1056" t="s">
        <v>448</v>
      </c>
      <c r="B1056" s="136" t="s">
        <v>411</v>
      </c>
      <c r="E1056" s="70"/>
      <c r="F1056" s="5"/>
    </row>
    <row r="1057" spans="1:12">
      <c r="A1057" t="s">
        <v>448</v>
      </c>
      <c r="B1057" s="137" t="s">
        <v>410</v>
      </c>
      <c r="C1057" t="s">
        <v>389</v>
      </c>
      <c r="D1057" t="s">
        <v>70</v>
      </c>
      <c r="E1057" s="70">
        <f>IF(B1057="","",INDEX(Ingredients!$I$1:$I$5013,(MATCH(InterventionCosts!B1057,Ingredients!$A$1:$A$5013,0))))</f>
        <v>64.888000253702032</v>
      </c>
      <c r="F1057" s="5" t="str">
        <f>INDEX(Ingredients!J$1:J$265,(MATCH(InterventionCosts!B1057,Ingredients!A$1:A$265,0)))</f>
        <v>per drug per month</v>
      </c>
      <c r="G1057">
        <f>IF(B1057="","",INDEX(Ingredients!$E$1:$E$238,(MATCH(InterventionCosts!B1057,Ingredients!A$1:A$238,0))))</f>
        <v>2024</v>
      </c>
      <c r="H1057" t="str">
        <f>INDEX(Ingredients!$F$1:$F$318,(MATCH(InterventionCosts!B1057,Ingredients!A$1:A$318,0)))</f>
        <v>Master Procurement Circular May 2024</v>
      </c>
      <c r="I1057">
        <v>1</v>
      </c>
      <c r="J1057" t="s">
        <v>1484</v>
      </c>
      <c r="K1057" s="85">
        <f>I1057*E1057</f>
        <v>64.888000253702032</v>
      </c>
    </row>
    <row r="1058" spans="1:12">
      <c r="A1058" t="s">
        <v>448</v>
      </c>
      <c r="B1058" s="137" t="s">
        <v>354</v>
      </c>
      <c r="C1058" t="s">
        <v>389</v>
      </c>
      <c r="D1058" t="s">
        <v>48</v>
      </c>
      <c r="E1058" s="70">
        <f>IF(B1058="","",INDEX(Ingredients!$I$1:$I$5013,(MATCH(InterventionCosts!B1058,Ingredients!$A$1:$A$5013,0))))</f>
        <v>4.8996605630293981</v>
      </c>
      <c r="F1058" s="5" t="str">
        <f>INDEX(Ingredients!J$1:J$265,(MATCH(InterventionCosts!B1058,Ingredients!A$1:A$265,0)))</f>
        <v>per minute</v>
      </c>
      <c r="G1058">
        <f>IF(B1058="","",INDEX(Ingredients!$E$1:$E$238,(MATCH(InterventionCosts!B1058,Ingredients!A$1:A$238,0))))</f>
        <v>2024</v>
      </c>
      <c r="H1058" t="str">
        <f>INDEX(Ingredients!$F$1:$F$318,(MATCH(InterventionCosts!B1058,Ingredients!A$1:A$318,0)))</f>
        <v xml:space="preserve">April 2024 Salary scale </v>
      </c>
      <c r="I1058">
        <v>2</v>
      </c>
      <c r="J1058" s="133" t="s">
        <v>395</v>
      </c>
      <c r="K1058" s="85">
        <f>I1058*E1058</f>
        <v>9.7993211260587962</v>
      </c>
    </row>
    <row r="1059" spans="1:12">
      <c r="A1059" t="s">
        <v>448</v>
      </c>
      <c r="B1059" s="137" t="s">
        <v>54</v>
      </c>
      <c r="C1059" t="s">
        <v>389</v>
      </c>
      <c r="D1059" t="s">
        <v>48</v>
      </c>
      <c r="E1059" s="70">
        <f>IF(B1059="","",INDEX(Ingredients!$I$1:$I$5013,(MATCH(InterventionCosts!B1059,Ingredients!$A$1:$A$5013,0))))</f>
        <v>1.2444366591928251</v>
      </c>
      <c r="F1059" s="5" t="str">
        <f>INDEX(Ingredients!J$1:J$265,(MATCH(InterventionCosts!B1059,Ingredients!A$1:A$265,0)))</f>
        <v>per minute</v>
      </c>
      <c r="G1059">
        <f>IF(B1059="","",INDEX(Ingredients!$E$1:$E$238,(MATCH(InterventionCosts!B1059,Ingredients!A$1:A$238,0))))</f>
        <v>2024</v>
      </c>
      <c r="H1059" t="str">
        <f>INDEX(Ingredients!$F$1:$F$318,(MATCH(InterventionCosts!B1059,Ingredients!A$1:A$318,0)))</f>
        <v xml:space="preserve">April 2024 Salary scale </v>
      </c>
      <c r="I1059">
        <v>15</v>
      </c>
      <c r="J1059" s="133" t="s">
        <v>395</v>
      </c>
      <c r="K1059" s="85">
        <f>I1059*E1059</f>
        <v>18.666549887892376</v>
      </c>
    </row>
    <row r="1060" spans="1:12">
      <c r="A1060" t="s">
        <v>448</v>
      </c>
      <c r="B1060" s="137" t="s">
        <v>43</v>
      </c>
      <c r="C1060" t="s">
        <v>389</v>
      </c>
      <c r="D1060" s="5" t="s">
        <v>21</v>
      </c>
      <c r="E1060" s="70">
        <f>IF(B1060="","",INDEX(Ingredients!$I$1:$I$5013,(MATCH(InterventionCosts!B1060,Ingredients!$A$1:$A$5013,0))))</f>
        <v>0.61939459752201187</v>
      </c>
      <c r="F1060" s="5" t="str">
        <f>INDEX(Ingredients!J$1:J$265,(MATCH(InterventionCosts!B1060,Ingredients!A$1:A$265,0)))</f>
        <v>per condom</v>
      </c>
      <c r="G1060">
        <f>IF(B1060="","",INDEX(Ingredients!$E$1:$E$238,(MATCH(InterventionCosts!B1060,Ingredients!A$1:A$238,0))))</f>
        <v>2024</v>
      </c>
      <c r="H1060" t="str">
        <f>INDEX(Ingredients!$F$1:$F$318,(MATCH(InterventionCosts!B1060,Ingredients!A$1:A$318,0)))</f>
        <v>https://www.treasury.gov.za/divisions/ocpo/ostb/contracts/RT75-2021.zip</v>
      </c>
      <c r="I1060">
        <v>6</v>
      </c>
      <c r="J1060" s="133" t="s">
        <v>1476</v>
      </c>
      <c r="K1060" s="85">
        <f>I1060*E1060</f>
        <v>3.7163675851320712</v>
      </c>
    </row>
    <row r="1061" spans="1:12">
      <c r="A1061" t="s">
        <v>448</v>
      </c>
      <c r="B1061" s="136" t="s">
        <v>408</v>
      </c>
      <c r="C1061" t="s">
        <v>389</v>
      </c>
      <c r="D1061" t="s">
        <v>75</v>
      </c>
      <c r="E1061" s="70">
        <f>IF(B1061="","",INDEX(Ingredients!$I$1:$I$5013,(MATCH(InterventionCosts!B1061,Ingredients!$A$1:$A$5013,0))))</f>
        <v>39.539473461949996</v>
      </c>
      <c r="F1061" s="5" t="str">
        <f>INDEX(Ingredients!J$1:J$265,(MATCH(InterventionCosts!B1061,Ingredients!A$1:A$265,0)))</f>
        <v>per test</v>
      </c>
      <c r="G1061">
        <f>IF(B1061="","",INDEX(Ingredients!$E$1:$E$238,(MATCH(InterventionCosts!B1061,Ingredients!A$1:A$238,0))))</f>
        <v>2021</v>
      </c>
      <c r="H1061" t="str">
        <f>INDEX(Ingredients!$F$1:$F$318,(MATCH(InterventionCosts!B1061,Ingredients!A$1:A$318,0)))</f>
        <v>NHLS 2021 price-list</v>
      </c>
      <c r="I1061">
        <v>1</v>
      </c>
      <c r="J1061" s="133" t="s">
        <v>1476</v>
      </c>
      <c r="K1061" s="85">
        <f>I1061*E1061</f>
        <v>39.539473461949996</v>
      </c>
    </row>
    <row r="1062" spans="1:12">
      <c r="A1062" t="s">
        <v>448</v>
      </c>
      <c r="B1062" s="144" t="s">
        <v>1465</v>
      </c>
      <c r="C1062" s="141"/>
      <c r="D1062" s="141"/>
      <c r="E1062" s="142"/>
      <c r="F1062" s="141"/>
      <c r="G1062" s="141"/>
      <c r="H1062" s="141"/>
      <c r="I1062" s="141"/>
      <c r="J1062" s="141"/>
      <c r="K1062" s="143"/>
    </row>
    <row r="1063" spans="1:12">
      <c r="A1063" t="s">
        <v>448</v>
      </c>
      <c r="B1063" s="136" t="s">
        <v>391</v>
      </c>
      <c r="F1063" s="3"/>
      <c r="I1063" s="3"/>
      <c r="J1063" s="3"/>
    </row>
    <row r="1064" spans="1:12">
      <c r="A1064" t="s">
        <v>448</v>
      </c>
      <c r="B1064" s="137" t="s">
        <v>79</v>
      </c>
      <c r="C1064" t="s">
        <v>389</v>
      </c>
      <c r="D1064" s="5" t="s">
        <v>21</v>
      </c>
      <c r="E1064" s="70">
        <f>IF(B1064="","",INDEX(Ingredients!$I$1:$I$5013,(MATCH(InterventionCosts!B1064,Ingredients!$A$1:$A$5013,0))))</f>
        <v>9.3000000000000007</v>
      </c>
      <c r="F1064" s="5" t="str">
        <f>INDEX(Ingredients!J$1:J$265,(MATCH(InterventionCosts!B1064,Ingredients!A$1:A$265,0)))</f>
        <v>per test</v>
      </c>
      <c r="G1064">
        <f>IF(B1064="","",INDEX(Ingredients!$E$1:$E$238,(MATCH(InterventionCosts!B1064,Ingredients!A$1:A$238,0))))</f>
        <v>2024</v>
      </c>
      <c r="H1064" t="str">
        <f>INDEX(Ingredients!$F$1:$F$318,(MATCH(InterventionCosts!B1064,Ingredients!A$1:A$318,0)))</f>
        <v>https://www.treasury.gov.za/divisions/ocpo/ostb/contracts/RT41-2020.zip</v>
      </c>
      <c r="I1064">
        <f>1*$I$782</f>
        <v>1</v>
      </c>
      <c r="J1064" s="133" t="s">
        <v>394</v>
      </c>
      <c r="K1064" s="85">
        <f>I1064*E1064</f>
        <v>9.3000000000000007</v>
      </c>
      <c r="L1064"/>
    </row>
    <row r="1065" spans="1:12">
      <c r="A1065" t="s">
        <v>448</v>
      </c>
      <c r="B1065" s="137" t="s">
        <v>54</v>
      </c>
      <c r="C1065" t="s">
        <v>389</v>
      </c>
      <c r="D1065" t="s">
        <v>48</v>
      </c>
      <c r="E1065" s="70">
        <f>IF(B1065="","",INDEX(Ingredients!$I$1:$I$5013,(MATCH(InterventionCosts!B1065,Ingredients!$A$1:$A$5013,0))))</f>
        <v>1.2444366591928251</v>
      </c>
      <c r="F1065" s="5" t="str">
        <f>INDEX(Ingredients!J$1:J$265,(MATCH(InterventionCosts!B1065,Ingredients!A$1:A$265,0)))</f>
        <v>per minute</v>
      </c>
      <c r="G1065">
        <f>IF(B1065="","",INDEX(Ingredients!$E$1:$E$238,(MATCH(InterventionCosts!B1065,Ingredients!A$1:A$238,0))))</f>
        <v>2024</v>
      </c>
      <c r="H1065" t="str">
        <f>INDEX(Ingredients!$F$1:$F$318,(MATCH(InterventionCosts!B1065,Ingredients!A$1:A$318,0)))</f>
        <v xml:space="preserve">April 2024 Salary scale </v>
      </c>
      <c r="I1065">
        <f>15*$I$782</f>
        <v>15</v>
      </c>
      <c r="J1065" s="133" t="s">
        <v>395</v>
      </c>
      <c r="K1065" s="85">
        <f>I1065*E1065</f>
        <v>18.666549887892376</v>
      </c>
      <c r="L1065"/>
    </row>
    <row r="1066" spans="1:12">
      <c r="A1066" t="s">
        <v>448</v>
      </c>
      <c r="B1066" s="137" t="s">
        <v>1489</v>
      </c>
      <c r="C1066" t="s">
        <v>389</v>
      </c>
      <c r="D1066" s="5" t="s">
        <v>21</v>
      </c>
      <c r="E1066" s="70">
        <f>IF(B1066="","",INDEX(Ingredients!$I$1:$I$5013,(MATCH(InterventionCosts!B1066,Ingredients!$A$1:$A$5013,0))))</f>
        <v>53.08</v>
      </c>
      <c r="F1066" s="5" t="str">
        <f>INDEX(Ingredients!J$1:J$265,(MATCH(InterventionCosts!B1066,Ingredients!A$1:A$265,0)))</f>
        <v>per pack 100, 50 pairs</v>
      </c>
      <c r="G1066">
        <f>IF(B1066="","",INDEX(Ingredients!$E$1:$E$238,(MATCH(InterventionCosts!B1066,Ingredients!A$1:A$238,0))))</f>
        <v>2024</v>
      </c>
      <c r="H1066" t="str">
        <f>INDEX(Ingredients!$F$1:$F$318,(MATCH(InterventionCosts!B1066,Ingredients!A$1:A$318,0)))</f>
        <v>https://www.treasury.gov.za/divisions/ocpo/ostb/contracts/RT76-2023%20CPA%20Amendment%204-%20Effective%2001%20May%202024.pdf</v>
      </c>
      <c r="I1066">
        <f>2/100*$I$782</f>
        <v>0.02</v>
      </c>
      <c r="J1066" s="133" t="s">
        <v>394</v>
      </c>
      <c r="K1066" s="85">
        <f>I1066*E1066</f>
        <v>1.0615999999999999</v>
      </c>
      <c r="L1066"/>
    </row>
    <row r="1067" spans="1:12">
      <c r="A1067" t="s">
        <v>448</v>
      </c>
      <c r="B1067" s="137" t="s">
        <v>31</v>
      </c>
      <c r="C1067" t="s">
        <v>389</v>
      </c>
      <c r="D1067" s="5" t="s">
        <v>21</v>
      </c>
      <c r="E1067" s="70">
        <f>IF(B1067="","",INDEX(Ingredients!$I$1:$I$5013,(MATCH(InterventionCosts!B1067,Ingredients!$A$1:$A$5013,0))))</f>
        <v>31.4</v>
      </c>
      <c r="F1067" s="5" t="str">
        <f>INDEX(Ingredients!J$1:J$265,(MATCH(InterventionCosts!B1067,Ingredients!A$1:A$265,0)))</f>
        <v>per 100 swabs</v>
      </c>
      <c r="G1067">
        <f>IF(B1067="","",INDEX(Ingredients!$E$1:$E$238,(MATCH(InterventionCosts!B1067,Ingredients!A$1:A$238,0))))</f>
        <v>2024</v>
      </c>
      <c r="H1067" t="str">
        <f>INDEX(Ingredients!$F$1:$F$318,(MATCH(InterventionCosts!B1067,Ingredients!A$1:A$318,0)))</f>
        <v xml:space="preserve">http://www.treasury.gov.za/divisions/ocpo/ostb/contracts/RT42-2022zip </v>
      </c>
      <c r="I1067">
        <f>1/100*$I$782</f>
        <v>0.01</v>
      </c>
      <c r="J1067" s="133" t="s">
        <v>394</v>
      </c>
      <c r="K1067" s="85">
        <f>I1067*E1067</f>
        <v>0.314</v>
      </c>
      <c r="L1067"/>
    </row>
    <row r="1068" spans="1:12">
      <c r="A1068" t="s">
        <v>448</v>
      </c>
      <c r="B1068" s="136" t="s">
        <v>392</v>
      </c>
      <c r="E1068" s="70"/>
      <c r="F1068" s="5"/>
      <c r="H1068" s="3" t="s">
        <v>413</v>
      </c>
      <c r="I1068" s="3">
        <v>1.0332194970506053E-2</v>
      </c>
      <c r="J1068" s="3" t="s">
        <v>443</v>
      </c>
    </row>
    <row r="1069" spans="1:12">
      <c r="A1069" t="s">
        <v>448</v>
      </c>
      <c r="B1069" s="137" t="s">
        <v>79</v>
      </c>
      <c r="C1069" t="s">
        <v>389</v>
      </c>
      <c r="D1069" s="5" t="s">
        <v>21</v>
      </c>
      <c r="E1069" s="70">
        <f>IF(B1069="","",INDEX(Ingredients!$I$1:$I$5013,(MATCH(InterventionCosts!B1069,Ingredients!$A$1:$A$5013,0))))</f>
        <v>9.3000000000000007</v>
      </c>
      <c r="F1069" s="5" t="str">
        <f>INDEX(Ingredients!J$1:J$265,(MATCH(InterventionCosts!B1069,Ingredients!A$1:A$265,0)))</f>
        <v>per test</v>
      </c>
      <c r="G1069">
        <f>IF(B1069="","",INDEX(Ingredients!$E$1:$E$238,(MATCH(InterventionCosts!B1069,Ingredients!A$1:A$238,0))))</f>
        <v>2024</v>
      </c>
      <c r="H1069" t="str">
        <f>INDEX(Ingredients!$F$1:$F$318,(MATCH(InterventionCosts!B1069,Ingredients!A$1:A$318,0)))</f>
        <v>https://www.treasury.gov.za/divisions/ocpo/ostb/contracts/RT41-2020.zip</v>
      </c>
      <c r="I1069" s="134">
        <f>I1068</f>
        <v>1.0332194970506053E-2</v>
      </c>
      <c r="J1069" t="s">
        <v>413</v>
      </c>
      <c r="K1069" s="85">
        <f>I1069*E1069</f>
        <v>9.6089413225706299E-2</v>
      </c>
      <c r="L1069"/>
    </row>
    <row r="1070" spans="1:12">
      <c r="A1070" t="s">
        <v>448</v>
      </c>
      <c r="B1070" s="137" t="s">
        <v>54</v>
      </c>
      <c r="C1070" t="s">
        <v>389</v>
      </c>
      <c r="D1070" t="s">
        <v>48</v>
      </c>
      <c r="E1070" s="70">
        <f>IF(B1070="","",INDEX(Ingredients!$I$1:$I$5013,(MATCH(InterventionCosts!B1070,Ingredients!$A$1:$A$5013,0))))</f>
        <v>1.2444366591928251</v>
      </c>
      <c r="F1070" s="5" t="str">
        <f>INDEX(Ingredients!J$1:J$265,(MATCH(InterventionCosts!B1070,Ingredients!A$1:A$265,0)))</f>
        <v>per minute</v>
      </c>
      <c r="G1070">
        <f>IF(B1070="","",INDEX(Ingredients!$E$1:$E$238,(MATCH(InterventionCosts!B1070,Ingredients!A$1:A$238,0))))</f>
        <v>2024</v>
      </c>
      <c r="H1070" t="str">
        <f>INDEX(Ingredients!$F$1:$F$318,(MATCH(InterventionCosts!B1070,Ingredients!A$1:A$318,0)))</f>
        <v xml:space="preserve">April 2024 Salary scale </v>
      </c>
      <c r="I1070" s="134">
        <f>(15+1/(1-I1068))*I1068</f>
        <v>0.1654229883022108</v>
      </c>
      <c r="J1070" s="133" t="s">
        <v>395</v>
      </c>
      <c r="K1070" s="85">
        <f>I1070*E1070</f>
        <v>0.205858430916497</v>
      </c>
      <c r="L1070"/>
    </row>
    <row r="1071" spans="1:12">
      <c r="A1071" t="s">
        <v>448</v>
      </c>
      <c r="B1071" s="137" t="s">
        <v>1489</v>
      </c>
      <c r="C1071" t="s">
        <v>389</v>
      </c>
      <c r="D1071" s="5" t="s">
        <v>21</v>
      </c>
      <c r="E1071" s="70">
        <f>IF(B1071="","",INDEX(Ingredients!$I$1:$I$5013,(MATCH(InterventionCosts!B1071,Ingredients!$A$1:$A$5013,0))))</f>
        <v>53.08</v>
      </c>
      <c r="F1071" s="5" t="str">
        <f>INDEX(Ingredients!J$1:J$265,(MATCH(InterventionCosts!B1071,Ingredients!A$1:A$265,0)))</f>
        <v>per pack 100, 50 pairs</v>
      </c>
      <c r="G1071">
        <f>IF(B1071="","",INDEX(Ingredients!$E$1:$E$238,(MATCH(InterventionCosts!B1071,Ingredients!A$1:A$238,0))))</f>
        <v>2024</v>
      </c>
      <c r="H1071" t="str">
        <f>INDEX(Ingredients!$F$1:$F$318,(MATCH(InterventionCosts!B1071,Ingredients!A$1:A$318,0)))</f>
        <v>https://www.treasury.gov.za/divisions/ocpo/ostb/contracts/RT76-2023%20CPA%20Amendment%204-%20Effective%2001%20May%202024.pdf</v>
      </c>
      <c r="I1071">
        <f>2/100*I1068</f>
        <v>2.0664389941012107E-4</v>
      </c>
      <c r="J1071" s="133" t="s">
        <v>1480</v>
      </c>
      <c r="K1071" s="85">
        <f>I1071*E1071</f>
        <v>1.0968658180689227E-2</v>
      </c>
      <c r="L1071"/>
    </row>
    <row r="1072" spans="1:12">
      <c r="A1072" t="s">
        <v>448</v>
      </c>
      <c r="B1072" s="137" t="s">
        <v>31</v>
      </c>
      <c r="C1072" t="s">
        <v>389</v>
      </c>
      <c r="D1072" s="5" t="s">
        <v>21</v>
      </c>
      <c r="E1072" s="70">
        <f>IF(B1072="","",INDEX(Ingredients!$I$1:$I$5013,(MATCH(InterventionCosts!B1072,Ingredients!$A$1:$A$5013,0))))</f>
        <v>31.4</v>
      </c>
      <c r="F1072" s="5" t="str">
        <f>INDEX(Ingredients!J$1:J$265,(MATCH(InterventionCosts!B1072,Ingredients!A$1:A$265,0)))</f>
        <v>per 100 swabs</v>
      </c>
      <c r="G1072">
        <f>IF(B1072="","",INDEX(Ingredients!$E$1:$E$238,(MATCH(InterventionCosts!B1072,Ingredients!A$1:A$238,0))))</f>
        <v>2024</v>
      </c>
      <c r="H1072" t="str">
        <f>INDEX(Ingredients!$F$1:$F$318,(MATCH(InterventionCosts!B1072,Ingredients!A$1:A$318,0)))</f>
        <v xml:space="preserve">http://www.treasury.gov.za/divisions/ocpo/ostb/contracts/RT42-2022zip </v>
      </c>
      <c r="I1072">
        <f>1/100*I1068</f>
        <v>1.0332194970506053E-4</v>
      </c>
      <c r="J1072" s="133" t="s">
        <v>1479</v>
      </c>
      <c r="K1072" s="85">
        <f>I1072*E1072</f>
        <v>3.2443092207389006E-3</v>
      </c>
      <c r="L1072"/>
    </row>
    <row r="1073" spans="1:13">
      <c r="A1073" t="s">
        <v>448</v>
      </c>
      <c r="B1073" s="136" t="s">
        <v>393</v>
      </c>
      <c r="F1073" s="5"/>
    </row>
    <row r="1074" spans="1:13">
      <c r="A1074" t="s">
        <v>448</v>
      </c>
      <c r="B1074" s="137" t="s">
        <v>77</v>
      </c>
      <c r="C1074" t="s">
        <v>389</v>
      </c>
      <c r="D1074" t="s">
        <v>75</v>
      </c>
      <c r="E1074" s="70">
        <f>IF(B1074="","",INDEX(Ingredients!$I$1:$I$5013,(MATCH(InterventionCosts!B1074,Ingredients!$A$1:$A$5013,0))))</f>
        <v>71.889951748999991</v>
      </c>
      <c r="F1074" s="5" t="str">
        <f>INDEX(Ingredients!J$1:J$265,(MATCH(InterventionCosts!B1074,Ingredients!A$1:A$265,0)))</f>
        <v>per test</v>
      </c>
      <c r="G1074">
        <f>IF(B1074="","",INDEX(Ingredients!$E$1:$E$238,(MATCH(InterventionCosts!B1074,Ingredients!A$1:A$238,0))))</f>
        <v>2021</v>
      </c>
      <c r="H1074" t="str">
        <f>INDEX(Ingredients!$F$1:$F$318,(MATCH(InterventionCosts!B1074,Ingredients!A$1:A$318,0)))</f>
        <v>NHLS 2021 price-list</v>
      </c>
      <c r="I1074">
        <v>0.02</v>
      </c>
      <c r="J1074" s="85" t="s">
        <v>397</v>
      </c>
      <c r="K1074" s="85">
        <f>I1074*E1074</f>
        <v>1.4377990349799998</v>
      </c>
    </row>
    <row r="1075" spans="1:13">
      <c r="A1075" t="s">
        <v>448</v>
      </c>
      <c r="B1075" s="137" t="s">
        <v>54</v>
      </c>
      <c r="C1075" t="s">
        <v>389</v>
      </c>
      <c r="D1075" t="s">
        <v>48</v>
      </c>
      <c r="E1075" s="70">
        <f>IF(B1075="","",INDEX(Ingredients!$I$1:$I$5013,(MATCH(InterventionCosts!B1075,Ingredients!$A$1:$A$5013,0))))</f>
        <v>1.2444366591928251</v>
      </c>
      <c r="F1075" s="5" t="str">
        <f>INDEX(Ingredients!J$1:J$265,(MATCH(InterventionCosts!B1075,Ingredients!A$1:A$265,0)))</f>
        <v>per minute</v>
      </c>
      <c r="G1075">
        <f>IF(B1075="","",INDEX(Ingredients!$E$1:$E$238,(MATCH(InterventionCosts!B1075,Ingredients!A$1:A$238,0))))</f>
        <v>2024</v>
      </c>
      <c r="H1075" t="str">
        <f>INDEX(Ingredients!$F$1:$F$318,(MATCH(InterventionCosts!B1075,Ingredients!A$1:A$318,0)))</f>
        <v xml:space="preserve">April 2024 Salary scale </v>
      </c>
      <c r="I1075">
        <f>15*0.02</f>
        <v>0.3</v>
      </c>
      <c r="J1075" s="133" t="s">
        <v>395</v>
      </c>
      <c r="K1075" s="85">
        <f>I1075*E1075</f>
        <v>0.3733309977578475</v>
      </c>
    </row>
    <row r="1076" spans="1:13">
      <c r="A1076" t="s">
        <v>448</v>
      </c>
      <c r="B1076" s="137" t="s">
        <v>1489</v>
      </c>
      <c r="C1076" t="s">
        <v>389</v>
      </c>
      <c r="D1076" s="5" t="s">
        <v>21</v>
      </c>
      <c r="E1076" s="70">
        <f>IF(B1076="","",INDEX(Ingredients!$I$1:$I$5013,(MATCH(InterventionCosts!B1076,Ingredients!$A$1:$A$5013,0))))</f>
        <v>53.08</v>
      </c>
      <c r="F1076" s="5" t="str">
        <f>INDEX(Ingredients!J$1:J$265,(MATCH(InterventionCosts!B1076,Ingredients!A$1:A$265,0)))</f>
        <v>per pack 100, 50 pairs</v>
      </c>
      <c r="G1076">
        <f>IF(B1076="","",INDEX(Ingredients!$E$1:$E$238,(MATCH(InterventionCosts!B1076,Ingredients!A$1:A$238,0))))</f>
        <v>2024</v>
      </c>
      <c r="H1076" t="str">
        <f>INDEX(Ingredients!$F$1:$F$318,(MATCH(InterventionCosts!B1076,Ingredients!A$1:A$318,0)))</f>
        <v>https://www.treasury.gov.za/divisions/ocpo/ostb/contracts/RT76-2023%20CPA%20Amendment%204-%20Effective%2001%20May%202024.pdf</v>
      </c>
      <c r="I1076">
        <f>2/100*0.02</f>
        <v>4.0000000000000002E-4</v>
      </c>
      <c r="J1076" s="85" t="s">
        <v>397</v>
      </c>
      <c r="K1076" s="85">
        <f>I1076*E1076</f>
        <v>2.1232000000000001E-2</v>
      </c>
    </row>
    <row r="1077" spans="1:13">
      <c r="A1077" t="s">
        <v>448</v>
      </c>
      <c r="B1077" s="137" t="s">
        <v>45</v>
      </c>
      <c r="C1077" t="s">
        <v>389</v>
      </c>
      <c r="D1077" s="5" t="s">
        <v>21</v>
      </c>
      <c r="E1077" s="70">
        <f>IF(B1077="","",INDEX(Ingredients!$I$1:$I$5013,(MATCH(InterventionCosts!B1077,Ingredients!$A$1:$A$5013,0))))</f>
        <v>46</v>
      </c>
      <c r="F1077" s="5" t="str">
        <f>INDEX(Ingredients!J$1:J$265,(MATCH(InterventionCosts!B1077,Ingredients!A$1:A$265,0)))</f>
        <v>per pack 100</v>
      </c>
      <c r="G1077">
        <f>IF(B1077="","",INDEX(Ingredients!$E$1:$E$238,(MATCH(InterventionCosts!B1077,Ingredients!A$1:A$238,0))))</f>
        <v>2024</v>
      </c>
      <c r="H1077" t="str">
        <f>INDEX(Ingredients!$F$1:$F$318,(MATCH(InterventionCosts!B1077,Ingredients!A$1:A$318,0)))</f>
        <v>https://www.treasury.gov.za/divisions/ocpo/ostb/contracts/RT284-2023.zip</v>
      </c>
      <c r="I1077">
        <f>1/100*0.02</f>
        <v>2.0000000000000001E-4</v>
      </c>
      <c r="J1077" s="85" t="s">
        <v>397</v>
      </c>
      <c r="K1077" s="135">
        <f>I1077*E1077</f>
        <v>9.1999999999999998E-3</v>
      </c>
    </row>
    <row r="1078" spans="1:13">
      <c r="A1078" t="s">
        <v>448</v>
      </c>
      <c r="B1078" s="137" t="s">
        <v>31</v>
      </c>
      <c r="C1078" t="s">
        <v>389</v>
      </c>
      <c r="D1078" s="5" t="s">
        <v>21</v>
      </c>
      <c r="E1078" s="70">
        <f>IF(B1078="","",INDEX(Ingredients!$I$1:$I$5013,(MATCH(InterventionCosts!B1078,Ingredients!$A$1:$A$5013,0))))</f>
        <v>31.4</v>
      </c>
      <c r="F1078" s="5" t="str">
        <f>INDEX(Ingredients!J$1:J$265,(MATCH(InterventionCosts!B1078,Ingredients!A$1:A$265,0)))</f>
        <v>per 100 swabs</v>
      </c>
      <c r="G1078">
        <f>IF(B1078="","",INDEX(Ingredients!$E$1:$E$238,(MATCH(InterventionCosts!B1078,Ingredients!A$1:A$238,0))))</f>
        <v>2024</v>
      </c>
      <c r="H1078" t="str">
        <f>INDEX(Ingredients!$F$1:$F$318,(MATCH(InterventionCosts!B1078,Ingredients!A$1:A$318,0)))</f>
        <v xml:space="preserve">http://www.treasury.gov.za/divisions/ocpo/ostb/contracts/RT42-2022zip </v>
      </c>
      <c r="I1078">
        <f>1/100*0.02</f>
        <v>2.0000000000000001E-4</v>
      </c>
      <c r="J1078" s="85" t="s">
        <v>397</v>
      </c>
      <c r="K1078" s="135">
        <f>I1078*E1078</f>
        <v>6.28E-3</v>
      </c>
    </row>
    <row r="1079" spans="1:13">
      <c r="A1079" t="s">
        <v>448</v>
      </c>
      <c r="B1079" s="136" t="s">
        <v>411</v>
      </c>
      <c r="E1079" s="70"/>
      <c r="F1079" s="5"/>
    </row>
    <row r="1080" spans="1:13">
      <c r="A1080" t="s">
        <v>448</v>
      </c>
      <c r="B1080" s="137" t="s">
        <v>410</v>
      </c>
      <c r="C1080" t="s">
        <v>389</v>
      </c>
      <c r="D1080" t="s">
        <v>70</v>
      </c>
      <c r="E1080" s="70">
        <f>IF(B1080="","",INDEX(Ingredients!$I$1:$I$5013,(MATCH(InterventionCosts!B1080,Ingredients!$A$1:$A$5013,0))))</f>
        <v>64.888000253702032</v>
      </c>
      <c r="F1080" s="5" t="str">
        <f>INDEX(Ingredients!J$1:J$265,(MATCH(InterventionCosts!B1080,Ingredients!A$1:A$265,0)))</f>
        <v>per drug per month</v>
      </c>
      <c r="G1080">
        <f>IF(B1080="","",INDEX(Ingredients!$E$1:$E$238,(MATCH(InterventionCosts!B1080,Ingredients!A$1:A$238,0))))</f>
        <v>2024</v>
      </c>
      <c r="H1080" t="str">
        <f>INDEX(Ingredients!$F$1:$F$318,(MATCH(InterventionCosts!B1080,Ingredients!A$1:A$318,0)))</f>
        <v>Master Procurement Circular May 2024</v>
      </c>
      <c r="I1080">
        <v>3</v>
      </c>
      <c r="J1080" s="85" t="s">
        <v>1481</v>
      </c>
      <c r="K1080" s="85">
        <f>I1080*E1080</f>
        <v>194.66400076110608</v>
      </c>
      <c r="M1080" s="229"/>
    </row>
    <row r="1081" spans="1:13">
      <c r="A1081" t="s">
        <v>448</v>
      </c>
      <c r="B1081" s="137" t="s">
        <v>354</v>
      </c>
      <c r="C1081" t="s">
        <v>389</v>
      </c>
      <c r="D1081" t="s">
        <v>48</v>
      </c>
      <c r="E1081" s="70">
        <f>IF(B1081="","",INDEX(Ingredients!$I$1:$I$5013,(MATCH(InterventionCosts!B1081,Ingredients!$A$1:$A$5013,0))))</f>
        <v>4.8996605630293981</v>
      </c>
      <c r="F1081" s="5" t="str">
        <f>INDEX(Ingredients!J$1:J$265,(MATCH(InterventionCosts!B1081,Ingredients!A$1:A$265,0)))</f>
        <v>per minute</v>
      </c>
      <c r="G1081">
        <f>IF(B1081="","",INDEX(Ingredients!$E$1:$E$238,(MATCH(InterventionCosts!B1081,Ingredients!A$1:A$238,0))))</f>
        <v>2024</v>
      </c>
      <c r="H1081" t="str">
        <f>INDEX(Ingredients!$F$1:$F$318,(MATCH(InterventionCosts!B1081,Ingredients!A$1:A$318,0)))</f>
        <v xml:space="preserve">April 2024 Salary scale </v>
      </c>
      <c r="I1081">
        <v>2</v>
      </c>
      <c r="J1081" s="133" t="s">
        <v>395</v>
      </c>
      <c r="K1081" s="85">
        <f>I1081*E1081</f>
        <v>9.7993211260587962</v>
      </c>
    </row>
    <row r="1082" spans="1:13">
      <c r="A1082" t="s">
        <v>448</v>
      </c>
      <c r="B1082" s="140" t="s">
        <v>1464</v>
      </c>
      <c r="C1082" s="141"/>
      <c r="D1082" s="141"/>
      <c r="E1082" s="339" t="s">
        <v>1466</v>
      </c>
      <c r="F1082" s="439">
        <f>'Summary of unit costs'!$B$37</f>
        <v>6</v>
      </c>
      <c r="G1082" s="141"/>
      <c r="H1082" s="141"/>
      <c r="I1082" s="157">
        <f>FLOOR((F1082-1)/3,1)</f>
        <v>1</v>
      </c>
      <c r="J1082" s="157" t="s">
        <v>1123</v>
      </c>
      <c r="K1082" s="143"/>
    </row>
    <row r="1083" spans="1:13">
      <c r="A1083" t="s">
        <v>448</v>
      </c>
      <c r="B1083" s="136" t="s">
        <v>411</v>
      </c>
      <c r="L1083" s="145"/>
    </row>
    <row r="1084" spans="1:13">
      <c r="A1084" t="s">
        <v>448</v>
      </c>
      <c r="B1084" s="137" t="s">
        <v>410</v>
      </c>
      <c r="C1084" t="s">
        <v>389</v>
      </c>
      <c r="D1084" t="s">
        <v>70</v>
      </c>
      <c r="E1084" s="70">
        <f>IF(B1084="","",INDEX(Ingredients!$I$1:$I$5013,(MATCH(InterventionCosts!B1084,Ingredients!$A$1:$A$5013,0))))</f>
        <v>64.888000253702032</v>
      </c>
      <c r="F1084" s="5" t="str">
        <f>INDEX(Ingredients!J$1:J$265,(MATCH(InterventionCosts!B1084,Ingredients!A$1:A$265,0)))</f>
        <v>per drug per month</v>
      </c>
      <c r="G1084">
        <f>IF(B1084="","",INDEX(Ingredients!$E$1:$E$238,(MATCH(InterventionCosts!B1084,Ingredients!A$1:A$238,0))))</f>
        <v>2024</v>
      </c>
      <c r="H1084" t="str">
        <f>INDEX(Ingredients!$F$1:$F$318,(MATCH(InterventionCosts!B1084,Ingredients!A$1:A$318,0)))</f>
        <v>Master Procurement Circular May 2024</v>
      </c>
      <c r="I1084">
        <f>3*I1082</f>
        <v>3</v>
      </c>
      <c r="J1084" s="85" t="s">
        <v>1481</v>
      </c>
      <c r="K1084" s="85">
        <f>I1084*E1084</f>
        <v>194.66400076110608</v>
      </c>
    </row>
    <row r="1085" spans="1:13">
      <c r="A1085" t="s">
        <v>448</v>
      </c>
      <c r="B1085" s="137" t="s">
        <v>354</v>
      </c>
      <c r="C1085" t="s">
        <v>389</v>
      </c>
      <c r="D1085" t="s">
        <v>48</v>
      </c>
      <c r="E1085" s="70">
        <f>IF(B1085="","",INDEX(Ingredients!$I$1:$I$5013,(MATCH(InterventionCosts!B1085,Ingredients!$A$1:$A$5013,0))))</f>
        <v>4.8996605630293981</v>
      </c>
      <c r="F1085" s="5" t="str">
        <f>INDEX(Ingredients!J$1:J$265,(MATCH(InterventionCosts!B1085,Ingredients!A$1:A$265,0)))</f>
        <v>per minute</v>
      </c>
      <c r="G1085">
        <f>IF(B1085="","",INDEX(Ingredients!$E$1:$E$238,(MATCH(InterventionCosts!B1085,Ingredients!A$1:A$238,0))))</f>
        <v>2024</v>
      </c>
      <c r="H1085" t="str">
        <f>INDEX(Ingredients!$F$1:$F$318,(MATCH(InterventionCosts!B1085,Ingredients!A$1:A$318,0)))</f>
        <v xml:space="preserve">April 2024 Salary scale </v>
      </c>
      <c r="I1085">
        <f>2*$I$1082</f>
        <v>2</v>
      </c>
      <c r="J1085" t="s">
        <v>1476</v>
      </c>
      <c r="K1085" s="85">
        <f>I1085*E1085</f>
        <v>9.7993211260587962</v>
      </c>
    </row>
    <row r="1086" spans="1:13">
      <c r="A1086" t="s">
        <v>448</v>
      </c>
      <c r="B1086" s="137" t="s">
        <v>54</v>
      </c>
      <c r="C1086" t="s">
        <v>389</v>
      </c>
      <c r="D1086" t="s">
        <v>48</v>
      </c>
      <c r="E1086" s="70">
        <f>IF(B1086="","",INDEX(Ingredients!$I$1:$I$5013,(MATCH(InterventionCosts!B1086,Ingredients!$A$1:$A$5013,0))))</f>
        <v>1.2444366591928251</v>
      </c>
      <c r="F1086" s="5" t="str">
        <f>INDEX(Ingredients!J$1:J$265,(MATCH(InterventionCosts!B1086,Ingredients!A$1:A$265,0)))</f>
        <v>per minute</v>
      </c>
      <c r="G1086">
        <f>IF(B1086="","",INDEX(Ingredients!$E$1:$E$238,(MATCH(InterventionCosts!B1086,Ingredients!A$1:A$238,0))))</f>
        <v>2024</v>
      </c>
      <c r="H1086" t="str">
        <f>INDEX(Ingredients!$F$1:$F$318,(MATCH(InterventionCosts!B1086,Ingredients!A$1:A$318,0)))</f>
        <v xml:space="preserve">April 2024 Salary scale </v>
      </c>
      <c r="I1086">
        <f>10*$I$1082</f>
        <v>10</v>
      </c>
      <c r="J1086" t="s">
        <v>1476</v>
      </c>
      <c r="K1086" s="85">
        <f>I1086*E1086</f>
        <v>12.444366591928251</v>
      </c>
    </row>
    <row r="1087" spans="1:13">
      <c r="A1087" t="s">
        <v>448</v>
      </c>
      <c r="B1087" s="136" t="s">
        <v>391</v>
      </c>
    </row>
    <row r="1088" spans="1:13">
      <c r="A1088" t="s">
        <v>448</v>
      </c>
      <c r="B1088" s="137" t="s">
        <v>79</v>
      </c>
      <c r="C1088" t="s">
        <v>389</v>
      </c>
      <c r="D1088" s="5" t="s">
        <v>21</v>
      </c>
      <c r="E1088" s="70">
        <f>IF(B1088="","",INDEX(Ingredients!$I$1:$I$5013,(MATCH(InterventionCosts!B1088,Ingredients!$A$1:$A$5013,0))))</f>
        <v>9.3000000000000007</v>
      </c>
      <c r="F1088" s="5" t="str">
        <f>INDEX(Ingredients!J$1:J$265,(MATCH(InterventionCosts!B1088,Ingredients!A$1:A$265,0)))</f>
        <v>per test</v>
      </c>
      <c r="G1088">
        <f>IF(B1088="","",INDEX(Ingredients!$E$1:$E$238,(MATCH(InterventionCosts!B1088,Ingredients!A$1:A$238,0))))</f>
        <v>2024</v>
      </c>
      <c r="H1088" t="str">
        <f>INDEX(Ingredients!$F$1:$F$318,(MATCH(InterventionCosts!B1088,Ingredients!A$1:A$318,0)))</f>
        <v>https://www.treasury.gov.za/divisions/ocpo/ostb/contracts/RT41-2020.zip</v>
      </c>
      <c r="I1088">
        <f>1*$I$1082</f>
        <v>1</v>
      </c>
      <c r="J1088" t="s">
        <v>1472</v>
      </c>
      <c r="K1088" s="85">
        <f>I1088*E1088</f>
        <v>9.3000000000000007</v>
      </c>
    </row>
    <row r="1089" spans="1:11">
      <c r="A1089" t="s">
        <v>448</v>
      </c>
      <c r="B1089" s="137" t="s">
        <v>54</v>
      </c>
      <c r="C1089" t="s">
        <v>389</v>
      </c>
      <c r="D1089" t="s">
        <v>48</v>
      </c>
      <c r="E1089" s="70">
        <f>IF(B1089="","",INDEX(Ingredients!$I$1:$I$5013,(MATCH(InterventionCosts!B1089,Ingredients!$A$1:$A$5013,0))))</f>
        <v>1.2444366591928251</v>
      </c>
      <c r="F1089" s="5" t="str">
        <f>INDEX(Ingredients!J$1:J$265,(MATCH(InterventionCosts!B1089,Ingredients!A$1:A$265,0)))</f>
        <v>per minute</v>
      </c>
      <c r="G1089">
        <f>IF(B1089="","",INDEX(Ingredients!$E$1:$E$238,(MATCH(InterventionCosts!B1089,Ingredients!A$1:A$238,0))))</f>
        <v>2024</v>
      </c>
      <c r="H1089" t="str">
        <f>INDEX(Ingredients!$F$1:$F$318,(MATCH(InterventionCosts!B1089,Ingredients!A$1:A$318,0)))</f>
        <v xml:space="preserve">April 2024 Salary scale </v>
      </c>
      <c r="I1089">
        <f>15*$I$1082</f>
        <v>15</v>
      </c>
      <c r="J1089" s="133" t="s">
        <v>395</v>
      </c>
      <c r="K1089" s="85">
        <f>I1089*E1089</f>
        <v>18.666549887892376</v>
      </c>
    </row>
    <row r="1090" spans="1:11">
      <c r="A1090" t="s">
        <v>448</v>
      </c>
      <c r="B1090" s="137" t="s">
        <v>1489</v>
      </c>
      <c r="C1090" t="s">
        <v>389</v>
      </c>
      <c r="D1090" s="5" t="s">
        <v>21</v>
      </c>
      <c r="E1090" s="70">
        <f>IF(B1090="","",INDEX(Ingredients!$I$1:$I$5013,(MATCH(InterventionCosts!B1090,Ingredients!$A$1:$A$5013,0))))</f>
        <v>53.08</v>
      </c>
      <c r="F1090" s="5" t="str">
        <f>INDEX(Ingredients!J$1:J$265,(MATCH(InterventionCosts!B1090,Ingredients!A$1:A$265,0)))</f>
        <v>per pack 100, 50 pairs</v>
      </c>
      <c r="G1090">
        <f>IF(B1090="","",INDEX(Ingredients!$E$1:$E$238,(MATCH(InterventionCosts!B1090,Ingredients!A$1:A$238,0))))</f>
        <v>2024</v>
      </c>
      <c r="H1090" t="str">
        <f>INDEX(Ingredients!$F$1:$F$318,(MATCH(InterventionCosts!B1090,Ingredients!A$1:A$318,0)))</f>
        <v>https://www.treasury.gov.za/divisions/ocpo/ostb/contracts/RT76-2023%20CPA%20Amendment%204-%20Effective%2001%20May%202024.pdf</v>
      </c>
      <c r="I1090">
        <f>2/100*$I$1082</f>
        <v>0.02</v>
      </c>
      <c r="J1090" t="s">
        <v>1483</v>
      </c>
      <c r="K1090" s="85">
        <f>I1090*E1090</f>
        <v>1.0615999999999999</v>
      </c>
    </row>
    <row r="1091" spans="1:11">
      <c r="A1091" t="s">
        <v>448</v>
      </c>
      <c r="B1091" s="137" t="s">
        <v>31</v>
      </c>
      <c r="C1091" t="s">
        <v>389</v>
      </c>
      <c r="D1091" s="5" t="s">
        <v>21</v>
      </c>
      <c r="E1091" s="70">
        <f>IF(B1091="","",INDEX(Ingredients!$I$1:$I$5013,(MATCH(InterventionCosts!B1091,Ingredients!$A$1:$A$5013,0))))</f>
        <v>31.4</v>
      </c>
      <c r="F1091" s="5" t="str">
        <f>INDEX(Ingredients!J$1:J$265,(MATCH(InterventionCosts!B1091,Ingredients!A$1:A$265,0)))</f>
        <v>per 100 swabs</v>
      </c>
      <c r="G1091">
        <f>IF(B1091="","",INDEX(Ingredients!$E$1:$E$238,(MATCH(InterventionCosts!B1091,Ingredients!A$1:A$238,0))))</f>
        <v>2024</v>
      </c>
      <c r="H1091" t="str">
        <f>INDEX(Ingredients!$F$1:$F$318,(MATCH(InterventionCosts!B1091,Ingredients!A$1:A$318,0)))</f>
        <v xml:space="preserve">http://www.treasury.gov.za/divisions/ocpo/ostb/contracts/RT42-2022zip </v>
      </c>
      <c r="I1091">
        <f>1/100*$I$1082</f>
        <v>0.01</v>
      </c>
      <c r="J1091" t="s">
        <v>1472</v>
      </c>
      <c r="K1091" s="85">
        <f>I1091*E1091</f>
        <v>0.314</v>
      </c>
    </row>
    <row r="1092" spans="1:11">
      <c r="A1092" t="s">
        <v>448</v>
      </c>
      <c r="B1092" s="136" t="s">
        <v>392</v>
      </c>
      <c r="E1092" s="70"/>
      <c r="F1092" s="3" t="s">
        <v>413</v>
      </c>
      <c r="I1092" s="3">
        <v>1.0332194970506053E-2</v>
      </c>
      <c r="J1092" s="3" t="s">
        <v>443</v>
      </c>
    </row>
    <row r="1093" spans="1:11">
      <c r="A1093" t="s">
        <v>448</v>
      </c>
      <c r="B1093" s="137" t="s">
        <v>79</v>
      </c>
      <c r="C1093" t="s">
        <v>389</v>
      </c>
      <c r="D1093" s="5" t="s">
        <v>21</v>
      </c>
      <c r="E1093" s="70">
        <f>IF(B1093="","",INDEX(Ingredients!$I$1:$I$5013,(MATCH(InterventionCosts!B1093,Ingredients!$A$1:$A$5013,0))))</f>
        <v>9.3000000000000007</v>
      </c>
      <c r="F1093" s="5" t="str">
        <f>INDEX(Ingredients!J$1:J$265,(MATCH(InterventionCosts!B1093,Ingredients!A$1:A$265,0)))</f>
        <v>per test</v>
      </c>
      <c r="G1093">
        <f>IF(B1093="","",INDEX(Ingredients!$E$1:$E$238,(MATCH(InterventionCosts!B1093,Ingredients!A$1:A$238,0))))</f>
        <v>2024</v>
      </c>
      <c r="H1093" t="str">
        <f>INDEX(Ingredients!$F$1:$F$318,(MATCH(InterventionCosts!B1093,Ingredients!A$1:A$318,0)))</f>
        <v>https://www.treasury.gov.za/divisions/ocpo/ostb/contracts/RT41-2020.zip</v>
      </c>
      <c r="I1093">
        <f>I1092*$I$1082</f>
        <v>1.0332194970506053E-2</v>
      </c>
      <c r="J1093" t="s">
        <v>413</v>
      </c>
      <c r="K1093" s="85">
        <f>I1093*E1093</f>
        <v>9.6089413225706299E-2</v>
      </c>
    </row>
    <row r="1094" spans="1:11">
      <c r="A1094" t="s">
        <v>448</v>
      </c>
      <c r="B1094" s="137" t="s">
        <v>54</v>
      </c>
      <c r="C1094" t="s">
        <v>389</v>
      </c>
      <c r="D1094" t="s">
        <v>48</v>
      </c>
      <c r="E1094" s="70">
        <f>IF(B1094="","",INDEX(Ingredients!$I$1:$I$5013,(MATCH(InterventionCosts!B1094,Ingredients!$A$1:$A$5013,0))))</f>
        <v>1.2444366591928251</v>
      </c>
      <c r="F1094" s="5" t="str">
        <f>INDEX(Ingredients!J$1:J$265,(MATCH(InterventionCosts!B1094,Ingredients!A$1:A$265,0)))</f>
        <v>per minute</v>
      </c>
      <c r="G1094">
        <f>IF(B1094="","",INDEX(Ingredients!$E$1:$E$238,(MATCH(InterventionCosts!B1094,Ingredients!A$1:A$238,0))))</f>
        <v>2024</v>
      </c>
      <c r="H1094" t="str">
        <f>INDEX(Ingredients!$F$1:$F$318,(MATCH(InterventionCosts!B1094,Ingredients!A$1:A$318,0)))</f>
        <v xml:space="preserve">April 2024 Salary scale </v>
      </c>
      <c r="I1094">
        <f>(15+1/(1-I1092))*I1092*$I$1082</f>
        <v>0.1654229883022108</v>
      </c>
      <c r="J1094" s="133" t="s">
        <v>414</v>
      </c>
      <c r="K1094" s="85">
        <f>I1094*E1094</f>
        <v>0.205858430916497</v>
      </c>
    </row>
    <row r="1095" spans="1:11">
      <c r="A1095" t="s">
        <v>448</v>
      </c>
      <c r="B1095" s="137" t="s">
        <v>1489</v>
      </c>
      <c r="C1095" t="s">
        <v>389</v>
      </c>
      <c r="D1095" s="5" t="s">
        <v>21</v>
      </c>
      <c r="E1095" s="70">
        <f>IF(B1095="","",INDEX(Ingredients!$I$1:$I$5013,(MATCH(InterventionCosts!B1095,Ingredients!$A$1:$A$5013,0))))</f>
        <v>53.08</v>
      </c>
      <c r="F1095" s="5" t="str">
        <f>INDEX(Ingredients!J$1:J$265,(MATCH(InterventionCosts!B1095,Ingredients!A$1:A$265,0)))</f>
        <v>per pack 100, 50 pairs</v>
      </c>
      <c r="G1095">
        <f>IF(B1095="","",INDEX(Ingredients!$E$1:$E$238,(MATCH(InterventionCosts!B1095,Ingredients!A$1:A$238,0))))</f>
        <v>2024</v>
      </c>
      <c r="H1095" t="str">
        <f>INDEX(Ingredients!$F$1:$F$318,(MATCH(InterventionCosts!B1095,Ingredients!A$1:A$318,0)))</f>
        <v>https://www.treasury.gov.za/divisions/ocpo/ostb/contracts/RT76-2023%20CPA%20Amendment%204-%20Effective%2001%20May%202024.pdf</v>
      </c>
      <c r="I1095">
        <f>2/100*I1092*$I$1082</f>
        <v>2.0664389941012107E-4</v>
      </c>
      <c r="J1095" s="133" t="s">
        <v>1480</v>
      </c>
      <c r="K1095" s="85">
        <f>I1095*E1095</f>
        <v>1.0968658180689227E-2</v>
      </c>
    </row>
    <row r="1096" spans="1:11">
      <c r="A1096" t="s">
        <v>448</v>
      </c>
      <c r="B1096" s="137" t="s">
        <v>31</v>
      </c>
      <c r="C1096" t="s">
        <v>389</v>
      </c>
      <c r="D1096" s="5" t="s">
        <v>21</v>
      </c>
      <c r="E1096" s="70">
        <f>IF(B1096="","",INDEX(Ingredients!$I$1:$I$5013,(MATCH(InterventionCosts!B1096,Ingredients!$A$1:$A$5013,0))))</f>
        <v>31.4</v>
      </c>
      <c r="F1096" s="5" t="str">
        <f>INDEX(Ingredients!J$1:J$265,(MATCH(InterventionCosts!B1096,Ingredients!A$1:A$265,0)))</f>
        <v>per 100 swabs</v>
      </c>
      <c r="G1096">
        <f>IF(B1096="","",INDEX(Ingredients!$E$1:$E$238,(MATCH(InterventionCosts!B1096,Ingredients!A$1:A$238,0))))</f>
        <v>2024</v>
      </c>
      <c r="H1096" t="str">
        <f>INDEX(Ingredients!$F$1:$F$318,(MATCH(InterventionCosts!B1096,Ingredients!A$1:A$318,0)))</f>
        <v xml:space="preserve">http://www.treasury.gov.za/divisions/ocpo/ostb/contracts/RT42-2022zip </v>
      </c>
      <c r="I1096">
        <f>1/100*I1092*$I$1082</f>
        <v>1.0332194970506053E-4</v>
      </c>
      <c r="J1096" s="133" t="s">
        <v>1479</v>
      </c>
      <c r="K1096" s="135">
        <f>I1096*E1096</f>
        <v>3.2443092207389006E-3</v>
      </c>
    </row>
    <row r="1097" spans="1:11">
      <c r="A1097" t="s">
        <v>448</v>
      </c>
      <c r="B1097" s="136" t="s">
        <v>393</v>
      </c>
      <c r="F1097" s="5"/>
    </row>
    <row r="1098" spans="1:11">
      <c r="A1098" t="s">
        <v>448</v>
      </c>
      <c r="B1098" s="137" t="s">
        <v>77</v>
      </c>
      <c r="C1098" t="s">
        <v>389</v>
      </c>
      <c r="D1098" t="s">
        <v>75</v>
      </c>
      <c r="E1098" s="70">
        <f>IF(B1098="","",INDEX(Ingredients!$I$1:$I$5013,(MATCH(InterventionCosts!B1098,Ingredients!$A$1:$A$5013,0))))</f>
        <v>71.889951748999991</v>
      </c>
      <c r="F1098" s="5" t="str">
        <f>INDEX(Ingredients!J$1:J$265,(MATCH(InterventionCosts!B1098,Ingredients!A$1:A$265,0)))</f>
        <v>per test</v>
      </c>
      <c r="G1098">
        <f>IF(B1098="","",INDEX(Ingredients!$E$1:$E$238,(MATCH(InterventionCosts!B1098,Ingredients!A$1:A$238,0))))</f>
        <v>2021</v>
      </c>
      <c r="H1098" t="str">
        <f>INDEX(Ingredients!$F$1:$F$318,(MATCH(InterventionCosts!B1098,Ingredients!A$1:A$318,0)))</f>
        <v>NHLS 2021 price-list</v>
      </c>
      <c r="I1098">
        <f>0.02*$I$1082</f>
        <v>0.02</v>
      </c>
      <c r="J1098" s="85" t="s">
        <v>397</v>
      </c>
      <c r="K1098" s="85">
        <f t="shared" ref="K1098:K1103" si="34">I1098*E1098</f>
        <v>1.4377990349799998</v>
      </c>
    </row>
    <row r="1099" spans="1:11">
      <c r="A1099" t="s">
        <v>448</v>
      </c>
      <c r="B1099" s="137" t="s">
        <v>54</v>
      </c>
      <c r="C1099" t="s">
        <v>389</v>
      </c>
      <c r="D1099" t="s">
        <v>48</v>
      </c>
      <c r="E1099" s="70">
        <f>IF(B1099="","",INDEX(Ingredients!$I$1:$I$5013,(MATCH(InterventionCosts!B1099,Ingredients!$A$1:$A$5013,0))))</f>
        <v>1.2444366591928251</v>
      </c>
      <c r="F1099" s="5" t="str">
        <f>INDEX(Ingredients!J$1:J$265,(MATCH(InterventionCosts!B1099,Ingredients!A$1:A$265,0)))</f>
        <v>per minute</v>
      </c>
      <c r="G1099">
        <f>IF(B1099="","",INDEX(Ingredients!$E$1:$E$238,(MATCH(InterventionCosts!B1099,Ingredients!A$1:A$238,0))))</f>
        <v>2024</v>
      </c>
      <c r="H1099" t="str">
        <f>INDEX(Ingredients!$F$1:$F$318,(MATCH(InterventionCosts!B1099,Ingredients!A$1:A$318,0)))</f>
        <v xml:space="preserve">April 2024 Salary scale </v>
      </c>
      <c r="I1099">
        <f>15*I1098*$I$1082</f>
        <v>0.3</v>
      </c>
      <c r="J1099" s="133" t="s">
        <v>414</v>
      </c>
      <c r="K1099" s="85">
        <f t="shared" si="34"/>
        <v>0.3733309977578475</v>
      </c>
    </row>
    <row r="1100" spans="1:11">
      <c r="A1100" t="s">
        <v>448</v>
      </c>
      <c r="B1100" s="137" t="s">
        <v>1489</v>
      </c>
      <c r="C1100" t="s">
        <v>389</v>
      </c>
      <c r="D1100" s="5" t="s">
        <v>21</v>
      </c>
      <c r="E1100" s="70">
        <f>IF(B1100="","",INDEX(Ingredients!$I$1:$I$5013,(MATCH(InterventionCosts!B1100,Ingredients!$A$1:$A$5013,0))))</f>
        <v>53.08</v>
      </c>
      <c r="F1100" s="5" t="str">
        <f>INDEX(Ingredients!J$1:J$265,(MATCH(InterventionCosts!B1100,Ingredients!A$1:A$265,0)))</f>
        <v>per pack 100, 50 pairs</v>
      </c>
      <c r="G1100">
        <f>IF(B1100="","",INDEX(Ingredients!$E$1:$E$238,(MATCH(InterventionCosts!B1100,Ingredients!A$1:A$238,0))))</f>
        <v>2024</v>
      </c>
      <c r="H1100" t="str">
        <f>INDEX(Ingredients!$F$1:$F$318,(MATCH(InterventionCosts!B1100,Ingredients!A$1:A$318,0)))</f>
        <v>https://www.treasury.gov.za/divisions/ocpo/ostb/contracts/RT76-2023%20CPA%20Amendment%204-%20Effective%2001%20May%202024.pdf</v>
      </c>
      <c r="I1100">
        <f>2/100*I1098*$I$1082</f>
        <v>4.0000000000000002E-4</v>
      </c>
      <c r="J1100" s="85" t="s">
        <v>397</v>
      </c>
      <c r="K1100" s="85">
        <f t="shared" si="34"/>
        <v>2.1232000000000001E-2</v>
      </c>
    </row>
    <row r="1101" spans="1:11">
      <c r="A1101" t="s">
        <v>448</v>
      </c>
      <c r="B1101" s="137" t="s">
        <v>45</v>
      </c>
      <c r="C1101" t="s">
        <v>389</v>
      </c>
      <c r="D1101" s="5" t="s">
        <v>21</v>
      </c>
      <c r="E1101" s="70">
        <f>IF(B1101="","",INDEX(Ingredients!$I$1:$I$5013,(MATCH(InterventionCosts!B1101,Ingredients!$A$1:$A$5013,0))))</f>
        <v>46</v>
      </c>
      <c r="F1101" s="5" t="str">
        <f>INDEX(Ingredients!J$1:J$265,(MATCH(InterventionCosts!B1101,Ingredients!A$1:A$265,0)))</f>
        <v>per pack 100</v>
      </c>
      <c r="G1101">
        <f>IF(B1101="","",INDEX(Ingredients!$E$1:$E$238,(MATCH(InterventionCosts!B1101,Ingredients!A$1:A$238,0))))</f>
        <v>2024</v>
      </c>
      <c r="H1101" t="str">
        <f>INDEX(Ingredients!$F$1:$F$318,(MATCH(InterventionCosts!B1101,Ingredients!A$1:A$318,0)))</f>
        <v>https://www.treasury.gov.za/divisions/ocpo/ostb/contracts/RT284-2023.zip</v>
      </c>
      <c r="I1101">
        <f>1/100*I1098*$I$1082</f>
        <v>2.0000000000000001E-4</v>
      </c>
      <c r="J1101" s="85" t="s">
        <v>397</v>
      </c>
      <c r="K1101" s="135">
        <f t="shared" si="34"/>
        <v>9.1999999999999998E-3</v>
      </c>
    </row>
    <row r="1102" spans="1:11">
      <c r="A1102" t="s">
        <v>448</v>
      </c>
      <c r="B1102" s="137" t="s">
        <v>31</v>
      </c>
      <c r="C1102" t="s">
        <v>389</v>
      </c>
      <c r="D1102" s="5" t="s">
        <v>21</v>
      </c>
      <c r="E1102" s="70">
        <f>IF(B1102="","",INDEX(Ingredients!$I$1:$I$5013,(MATCH(InterventionCosts!B1102,Ingredients!$A$1:$A$5013,0))))</f>
        <v>31.4</v>
      </c>
      <c r="F1102" s="5" t="str">
        <f>INDEX(Ingredients!J$1:J$265,(MATCH(InterventionCosts!B1102,Ingredients!A$1:A$265,0)))</f>
        <v>per 100 swabs</v>
      </c>
      <c r="G1102">
        <f>IF(B1102="","",INDEX(Ingredients!$E$1:$E$238,(MATCH(InterventionCosts!B1102,Ingredients!A$1:A$238,0))))</f>
        <v>2024</v>
      </c>
      <c r="H1102" t="str">
        <f>INDEX(Ingredients!$F$1:$F$318,(MATCH(InterventionCosts!B1102,Ingredients!A$1:A$318,0)))</f>
        <v xml:space="preserve">http://www.treasury.gov.za/divisions/ocpo/ostb/contracts/RT42-2022zip </v>
      </c>
      <c r="I1102">
        <f>1/100*I1098*$I$1082</f>
        <v>2.0000000000000001E-4</v>
      </c>
      <c r="J1102" s="85" t="s">
        <v>397</v>
      </c>
      <c r="K1102" s="135">
        <f t="shared" si="34"/>
        <v>6.28E-3</v>
      </c>
    </row>
    <row r="1103" spans="1:11">
      <c r="A1103" t="s">
        <v>448</v>
      </c>
      <c r="B1103" s="139" t="s">
        <v>43</v>
      </c>
      <c r="C1103" t="s">
        <v>389</v>
      </c>
      <c r="D1103" s="5" t="s">
        <v>21</v>
      </c>
      <c r="E1103" s="70">
        <f>IF(B1103="","",INDEX(Ingredients!$I$1:$I$5013,(MATCH(InterventionCosts!B1103,Ingredients!$A$1:$A$5013,0))))</f>
        <v>0.61939459752201187</v>
      </c>
      <c r="F1103" s="5" t="str">
        <f>INDEX(Ingredients!J$1:J$265,(MATCH(InterventionCosts!B1103,Ingredients!A$1:A$265,0)))</f>
        <v>per condom</v>
      </c>
      <c r="G1103">
        <f>IF(B1103="","",INDEX(Ingredients!$E$1:$E$238,(MATCH(InterventionCosts!B1103,Ingredients!A$1:A$238,0))))</f>
        <v>2024</v>
      </c>
      <c r="H1103" t="str">
        <f>INDEX(Ingredients!$F$1:$F$318,(MATCH(InterventionCosts!B1103,Ingredients!A$1:A$318,0)))</f>
        <v>https://www.treasury.gov.za/divisions/ocpo/ostb/contracts/RT75-2021.zip</v>
      </c>
      <c r="I1103">
        <f>6*$I$1082</f>
        <v>6</v>
      </c>
      <c r="J1103" t="s">
        <v>1476</v>
      </c>
      <c r="K1103" s="85">
        <f t="shared" si="34"/>
        <v>3.7163675851320712</v>
      </c>
    </row>
    <row r="1104" spans="1:11">
      <c r="A1104" t="s">
        <v>448</v>
      </c>
      <c r="B1104" s="140" t="s">
        <v>415</v>
      </c>
      <c r="C1104" s="141"/>
      <c r="D1104" s="141"/>
      <c r="E1104" s="142"/>
      <c r="F1104" s="141"/>
      <c r="G1104" s="141"/>
      <c r="H1104" s="141"/>
      <c r="I1104" s="141"/>
      <c r="J1104" s="141"/>
      <c r="K1104" s="143"/>
    </row>
    <row r="1105" spans="1:11">
      <c r="A1105" t="s">
        <v>448</v>
      </c>
      <c r="B1105" s="146" t="s">
        <v>416</v>
      </c>
    </row>
    <row r="1106" spans="1:11">
      <c r="A1106" t="s">
        <v>448</v>
      </c>
      <c r="B1106" s="147" t="s">
        <v>423</v>
      </c>
      <c r="C1106" t="s">
        <v>389</v>
      </c>
      <c r="D1106" t="s">
        <v>81</v>
      </c>
      <c r="E1106" s="70">
        <f>IF(B1106="","",INDEX(Ingredients!$I$1:$I$5013,(MATCH(InterventionCosts!B1106,Ingredients!$A$1:$A$5013,0))))</f>
        <v>4096.797192613778</v>
      </c>
      <c r="F1106" s="5" t="str">
        <f>INDEX(Ingredients!J$1:J$265,(MATCH(InterventionCosts!B1106,Ingredients!A$1:A$265,0)))</f>
        <v>per person trained</v>
      </c>
      <c r="G1106">
        <f>IF(B1106="","",INDEX(Ingredients!$E$1:$E$238,(MATCH(InterventionCosts!B1106,Ingredients!A$1:A$238,0))))</f>
        <v>2015</v>
      </c>
      <c r="H1106" t="str">
        <f>INDEX(Ingredients!$F$1:$F$318,(MATCH(InterventionCosts!B1106,Ingredients!A$1:A$318,0)))</f>
        <v>Clinton Health Access Initiative (2015)</v>
      </c>
      <c r="I1106">
        <f>2/160</f>
        <v>1.2500000000000001E-2</v>
      </c>
      <c r="J1106" t="s">
        <v>431</v>
      </c>
      <c r="K1106" s="85">
        <f>I1106*E1106</f>
        <v>51.20996490767223</v>
      </c>
    </row>
    <row r="1107" spans="1:11">
      <c r="A1107" t="s">
        <v>448</v>
      </c>
      <c r="B1107" s="147" t="s">
        <v>39</v>
      </c>
      <c r="C1107" t="s">
        <v>389</v>
      </c>
      <c r="D1107" t="s">
        <v>21</v>
      </c>
      <c r="E1107" s="70">
        <f>IF(B1107="","",INDEX(Ingredients!$I$1:$I$5013,(MATCH(InterventionCosts!B1107,Ingredients!$A$1:$A$5013,0))))</f>
        <v>0.90383818045604736</v>
      </c>
      <c r="F1107" s="5" t="str">
        <f>INDEX(Ingredients!J$1:J$265,(MATCH(InterventionCosts!B1107,Ingredients!A$1:A$265,0)))</f>
        <v>per material</v>
      </c>
      <c r="G1107">
        <f>IF(B1107="","",INDEX(Ingredients!$E$1:$E$238,(MATCH(InterventionCosts!B1107,Ingredients!A$1:A$238,0))))</f>
        <v>2016</v>
      </c>
      <c r="H1107" t="str">
        <f>INDEX(Ingredients!$F$1:$F$318,(MATCH(InterventionCosts!B1107,Ingredients!A$1:A$318,0)))</f>
        <v>RSA Global Fund Grant portfolio budgets 2016</v>
      </c>
      <c r="I1107">
        <v>1</v>
      </c>
      <c r="J1107" t="s">
        <v>406</v>
      </c>
      <c r="K1107" s="85">
        <f>I1107*E1107</f>
        <v>0.90383818045604736</v>
      </c>
    </row>
    <row r="1108" spans="1:11">
      <c r="A1108" t="s">
        <v>448</v>
      </c>
      <c r="B1108" s="146" t="s">
        <v>417</v>
      </c>
    </row>
    <row r="1109" spans="1:11">
      <c r="A1109" t="s">
        <v>448</v>
      </c>
      <c r="B1109" s="147" t="s">
        <v>423</v>
      </c>
      <c r="C1109" t="s">
        <v>389</v>
      </c>
      <c r="D1109" t="s">
        <v>81</v>
      </c>
      <c r="E1109" s="70">
        <f>IF(B1109="","",INDEX(Ingredients!$I$1:$I$5013,(MATCH(InterventionCosts!B1109,Ingredients!$A$1:$A$5013,0))))</f>
        <v>4096.797192613778</v>
      </c>
      <c r="F1109" s="5" t="str">
        <f>INDEX(Ingredients!J$1:J$265,(MATCH(InterventionCosts!B1109,Ingredients!A$1:A$265,0)))</f>
        <v>per person trained</v>
      </c>
      <c r="G1109">
        <f>IF(B1109="","",INDEX(Ingredients!$E$1:$E$238,(MATCH(InterventionCosts!B1109,Ingredients!A$1:A$238,0))))</f>
        <v>2015</v>
      </c>
      <c r="H1109" t="str">
        <f>INDEX(Ingredients!$F$1:$F$318,(MATCH(InterventionCosts!B1109,Ingredients!A$1:A$318,0)))</f>
        <v>Clinton Health Access Initiative (2015)</v>
      </c>
      <c r="I1109">
        <f>1/160</f>
        <v>6.2500000000000003E-3</v>
      </c>
      <c r="J1109" t="s">
        <v>432</v>
      </c>
      <c r="K1109" s="85">
        <f>I1109*E1109</f>
        <v>25.604982453836115</v>
      </c>
    </row>
    <row r="1110" spans="1:11">
      <c r="A1110" t="s">
        <v>448</v>
      </c>
      <c r="B1110" s="147" t="s">
        <v>39</v>
      </c>
      <c r="C1110" t="s">
        <v>389</v>
      </c>
      <c r="D1110" t="s">
        <v>21</v>
      </c>
      <c r="E1110" s="70">
        <f>IF(B1110="","",INDEX(Ingredients!$I$1:$I$5013,(MATCH(InterventionCosts!B1110,Ingredients!$A$1:$A$5013,0))))</f>
        <v>0.90383818045604736</v>
      </c>
      <c r="F1110" s="5" t="str">
        <f>INDEX(Ingredients!J$1:J$265,(MATCH(InterventionCosts!B1110,Ingredients!A$1:A$265,0)))</f>
        <v>per material</v>
      </c>
      <c r="G1110">
        <f>IF(B1110="","",INDEX(Ingredients!$E$1:$E$238,(MATCH(InterventionCosts!B1110,Ingredients!A$1:A$238,0))))</f>
        <v>2016</v>
      </c>
      <c r="H1110" t="str">
        <f>INDEX(Ingredients!$F$1:$F$318,(MATCH(InterventionCosts!B1110,Ingredients!A$1:A$318,0)))</f>
        <v>RSA Global Fund Grant portfolio budgets 2016</v>
      </c>
      <c r="I1110">
        <v>1</v>
      </c>
      <c r="J1110" t="s">
        <v>406</v>
      </c>
      <c r="K1110" s="85">
        <f>I1110*E1110</f>
        <v>0.90383818045604736</v>
      </c>
    </row>
    <row r="1111" spans="1:11">
      <c r="A1111" t="s">
        <v>448</v>
      </c>
      <c r="B1111" s="146" t="s">
        <v>418</v>
      </c>
    </row>
    <row r="1112" spans="1:11">
      <c r="A1112" t="s">
        <v>448</v>
      </c>
      <c r="B1112" s="147" t="s">
        <v>424</v>
      </c>
      <c r="C1112" t="s">
        <v>389</v>
      </c>
      <c r="D1112" t="s">
        <v>81</v>
      </c>
      <c r="E1112" s="70">
        <f>IF(B1112="","",INDEX(Ingredients!$I$1:$I$5013,(MATCH(InterventionCosts!B1112,Ingredients!$A$1:$A$5013,0))))</f>
        <v>628.51855</v>
      </c>
      <c r="F1112" s="5" t="str">
        <f>INDEX(Ingredients!J$1:J$265,(MATCH(InterventionCosts!B1112,Ingredients!A$1:A$265,0)))</f>
        <v>per person trained</v>
      </c>
      <c r="G1112">
        <f>IF(B1112="","",INDEX(Ingredients!$E$1:$E$238,(MATCH(InterventionCosts!B1112,Ingredients!A$1:A$238,0))))</f>
        <v>2022</v>
      </c>
      <c r="H1112" t="str">
        <f>INDEX(Ingredients!$F$1:$F$318,(MATCH(InterventionCosts!B1112,Ingredients!A$1:A$318,0)))</f>
        <v>GF Grant Portfolio Budget 2022 (Steve's Cohen personal communication)</v>
      </c>
      <c r="I1112">
        <f>1/160</f>
        <v>6.2500000000000003E-3</v>
      </c>
      <c r="J1112" t="s">
        <v>432</v>
      </c>
      <c r="K1112" s="85">
        <f>I1112*E1112</f>
        <v>3.9282409375</v>
      </c>
    </row>
    <row r="1113" spans="1:11">
      <c r="A1113" t="s">
        <v>448</v>
      </c>
      <c r="B1113" s="147" t="s">
        <v>39</v>
      </c>
      <c r="C1113" t="s">
        <v>389</v>
      </c>
      <c r="D1113" t="s">
        <v>21</v>
      </c>
      <c r="E1113" s="70">
        <f>IF(B1113="","",INDEX(Ingredients!$I$1:$I$5013,(MATCH(InterventionCosts!B1113,Ingredients!$A$1:$A$5013,0))))</f>
        <v>0.90383818045604736</v>
      </c>
      <c r="F1113" s="5" t="str">
        <f>INDEX(Ingredients!J$1:J$265,(MATCH(InterventionCosts!B1113,Ingredients!A$1:A$265,0)))</f>
        <v>per material</v>
      </c>
      <c r="G1113">
        <f>IF(B1113="","",INDEX(Ingredients!$E$1:$E$238,(MATCH(InterventionCosts!B1113,Ingredients!A$1:A$238,0))))</f>
        <v>2016</v>
      </c>
      <c r="H1113" t="str">
        <f>INDEX(Ingredients!$F$1:$F$318,(MATCH(InterventionCosts!B1113,Ingredients!A$1:A$318,0)))</f>
        <v>RSA Global Fund Grant portfolio budgets 2016</v>
      </c>
      <c r="I1113">
        <v>1</v>
      </c>
      <c r="J1113" t="s">
        <v>406</v>
      </c>
      <c r="K1113" s="85">
        <f>I1113*E1113</f>
        <v>0.90383818045604736</v>
      </c>
    </row>
    <row r="1114" spans="1:11">
      <c r="A1114" t="s">
        <v>448</v>
      </c>
      <c r="B1114" s="146" t="s">
        <v>419</v>
      </c>
    </row>
    <row r="1115" spans="1:11">
      <c r="A1115" t="s">
        <v>448</v>
      </c>
      <c r="B1115" s="147" t="s">
        <v>111</v>
      </c>
      <c r="C1115" t="s">
        <v>389</v>
      </c>
      <c r="D1115" t="s">
        <v>81</v>
      </c>
      <c r="E1115" s="70">
        <f>IF(B1115="","",INDEX(Ingredients!$I$1:$I$5013,(MATCH(InterventionCosts!B1115,Ingredients!$A$1:$A$5013,0))))</f>
        <v>239.77392959288917</v>
      </c>
      <c r="F1115" s="5" t="str">
        <f>INDEX(Ingredients!J$1:J$265,(MATCH(InterventionCosts!B1115,Ingredients!A$1:A$265,0)))</f>
        <v>pp per workshop</v>
      </c>
      <c r="G1115">
        <f>IF(B1115="","",INDEX(Ingredients!$E$1:$E$238,(MATCH(InterventionCosts!B1115,Ingredients!A$1:A$238,0))))</f>
        <v>2018</v>
      </c>
      <c r="H1115" t="str">
        <f>INDEX(Ingredients!$F$1:$F$318,(MATCH(InterventionCosts!B1115,Ingredients!A$1:A$318,0)))</f>
        <v>RSA Global Fund Grant portfolio budgets 2018, Subject to revision during grant negotiations (Steve's email)</v>
      </c>
      <c r="I1115" s="148">
        <f>1/100</f>
        <v>0.01</v>
      </c>
      <c r="J1115" s="149" t="s">
        <v>433</v>
      </c>
      <c r="K1115" s="85">
        <f>I1115*E1115</f>
        <v>2.3977392959288917</v>
      </c>
    </row>
    <row r="1116" spans="1:11">
      <c r="A1116" t="s">
        <v>448</v>
      </c>
      <c r="B1116" s="147" t="s">
        <v>39</v>
      </c>
      <c r="C1116" t="s">
        <v>389</v>
      </c>
      <c r="D1116" t="s">
        <v>21</v>
      </c>
      <c r="E1116" s="70">
        <f>IF(B1116="","",INDEX(Ingredients!$I$1:$I$5013,(MATCH(InterventionCosts!B1116,Ingredients!$A$1:$A$5013,0))))</f>
        <v>0.90383818045604736</v>
      </c>
      <c r="F1116" s="5" t="str">
        <f>INDEX(Ingredients!J$1:J$265,(MATCH(InterventionCosts!B1116,Ingredients!A$1:A$265,0)))</f>
        <v>per material</v>
      </c>
      <c r="G1116">
        <f>IF(B1116="","",INDEX(Ingredients!$E$1:$E$238,(MATCH(InterventionCosts!B1116,Ingredients!A$1:A$238,0))))</f>
        <v>2016</v>
      </c>
      <c r="H1116" t="str">
        <f>INDEX(Ingredients!$F$1:$F$318,(MATCH(InterventionCosts!B1116,Ingredients!A$1:A$318,0)))</f>
        <v>RSA Global Fund Grant portfolio budgets 2016</v>
      </c>
      <c r="I1116" s="148">
        <v>1</v>
      </c>
      <c r="J1116" s="149" t="s">
        <v>434</v>
      </c>
      <c r="K1116" s="85">
        <f>I1116*E1116</f>
        <v>0.90383818045604736</v>
      </c>
    </row>
    <row r="1117" spans="1:11">
      <c r="A1117" t="s">
        <v>448</v>
      </c>
      <c r="B1117" s="147" t="s">
        <v>425</v>
      </c>
      <c r="C1117" t="s">
        <v>389</v>
      </c>
      <c r="D1117" t="s">
        <v>48</v>
      </c>
      <c r="E1117" s="70">
        <f>IF(B1117="","",INDEX(Ingredients!$I$1:$I$5013,(MATCH(InterventionCosts!B1117,Ingredients!$A$1:$A$5013,0))))</f>
        <v>4100.2266666666665</v>
      </c>
      <c r="F1117" s="5" t="str">
        <f>INDEX(Ingredients!J$1:J$265,(MATCH(InterventionCosts!B1117,Ingredients!A$1:A$265,0)))</f>
        <v>per month</v>
      </c>
      <c r="G1117">
        <f>IF(B1117="","",INDEX(Ingredients!$E$1:$E$238,(MATCH(InterventionCosts!B1117,Ingredients!A$1:A$238,0))))</f>
        <v>2024</v>
      </c>
      <c r="H1117" t="str">
        <f>INDEX(Ingredients!$F$1:$F$318,(MATCH(InterventionCosts!B1117,Ingredients!A$1:A$318,0)))</f>
        <v>https://www.health.gov.za/wp-content/uploads/2022/07/Health-Department-welcomes-Bargaining-Council-resolution-to-improve-work-conditions-of-CHWs-27-July-2022.pdf</v>
      </c>
      <c r="I1117" s="150">
        <f>((15/(8*60))*workdayspermonth)/160*12</f>
        <v>4.3554687499999994E-2</v>
      </c>
      <c r="J1117" s="149" t="s">
        <v>435</v>
      </c>
      <c r="K1117" s="85">
        <f>I1117*E1117</f>
        <v>178.5840911458333</v>
      </c>
    </row>
    <row r="1118" spans="1:11">
      <c r="A1118" t="s">
        <v>448</v>
      </c>
      <c r="B1118" s="146" t="s">
        <v>420</v>
      </c>
    </row>
    <row r="1119" spans="1:11">
      <c r="A1119" t="s">
        <v>448</v>
      </c>
      <c r="B1119" s="147" t="s">
        <v>246</v>
      </c>
      <c r="C1119" t="s">
        <v>389</v>
      </c>
      <c r="D1119" t="s">
        <v>21</v>
      </c>
      <c r="E1119" s="70">
        <f>IF(B1119="","",INDEX(Ingredients!$I$1:$I$5013,(MATCH(InterventionCosts!B1119,Ingredients!$A$1:$A$5013,0))))</f>
        <v>0.16400000000000001</v>
      </c>
      <c r="F1119" s="5" t="str">
        <f>INDEX(Ingredients!J$1:J$265,(MATCH(InterventionCosts!B1119,Ingredients!A$1:A$265,0)))</f>
        <v>per page</v>
      </c>
      <c r="G1119">
        <f>IF(B1119="","",INDEX(Ingredients!$E$1:$E$238,(MATCH(InterventionCosts!B1119,Ingredients!A$1:A$238,0))))</f>
        <v>2024</v>
      </c>
      <c r="H1119" t="str">
        <f>INDEX(Ingredients!$F$1:$F$318,(MATCH(InterventionCosts!B1119,Ingredients!A$1:A$318,0)))</f>
        <v>https://www.makro.co.za/stationery-office-furniture/paper-filing/paper/white-paper/copy-paper/typek-a4-office-paper-80-gsm/p/000000000000012434_BOX</v>
      </c>
      <c r="I1119" s="148">
        <f>2*1</f>
        <v>2</v>
      </c>
      <c r="J1119" s="149" t="s">
        <v>436</v>
      </c>
      <c r="K1119" s="85">
        <f>I1119*E1119</f>
        <v>0.32800000000000001</v>
      </c>
    </row>
    <row r="1120" spans="1:11">
      <c r="A1120" t="s">
        <v>448</v>
      </c>
      <c r="B1120" s="147" t="s">
        <v>426</v>
      </c>
      <c r="C1120" t="s">
        <v>389</v>
      </c>
      <c r="D1120" t="s">
        <v>21</v>
      </c>
      <c r="E1120" s="70">
        <f>IF(B1120="","",INDEX(Ingredients!$I$1:$I$5013,(MATCH(InterventionCosts!B1120,Ingredients!$A$1:$A$5013,0))))</f>
        <v>0.45800000000000002</v>
      </c>
      <c r="F1120" s="5" t="str">
        <f>INDEX(Ingredients!J$1:J$265,(MATCH(InterventionCosts!B1120,Ingredients!A$1:A$265,0)))</f>
        <v>per page</v>
      </c>
      <c r="G1120">
        <f>IF(B1120="","",INDEX(Ingredients!$E$1:$E$238,(MATCH(InterventionCosts!B1120,Ingredients!A$1:A$238,0))))</f>
        <v>2024</v>
      </c>
      <c r="H1120" t="str">
        <f>INDEX(Ingredients!$F$1:$F$318,(MATCH(InterventionCosts!B1120,Ingredients!A$1:A$318,0)))</f>
        <v>https://www.makro.co.za/stationery-office-furniture/paper-filing/paper/white-paper/a3-paper/typek-a3-office-paper-80-gsm/p/000000000000877929_EA</v>
      </c>
      <c r="I1120" s="148">
        <f>1/160*12</f>
        <v>7.5000000000000011E-2</v>
      </c>
      <c r="J1120" s="149" t="s">
        <v>437</v>
      </c>
      <c r="K1120" s="85">
        <f>I1120*E1120</f>
        <v>3.4350000000000006E-2</v>
      </c>
    </row>
    <row r="1121" spans="1:14">
      <c r="A1121" t="s">
        <v>448</v>
      </c>
      <c r="B1121" s="147" t="s">
        <v>55</v>
      </c>
      <c r="C1121" t="s">
        <v>389</v>
      </c>
      <c r="D1121" t="s">
        <v>48</v>
      </c>
      <c r="E1121" s="70">
        <f>IF(B1121="","",INDEX(Ingredients!$I$1:$I$5013,(MATCH(InterventionCosts!B1121,Ingredients!$A$1:$A$5013,0))))</f>
        <v>1.8549350710014947</v>
      </c>
      <c r="F1121" s="5" t="str">
        <f>INDEX(Ingredients!J$1:J$265,(MATCH(InterventionCosts!B1121,Ingredients!A$1:A$265,0)))</f>
        <v>per minute</v>
      </c>
      <c r="G1121">
        <f>IF(B1121="","",INDEX(Ingredients!$E$1:$E$238,(MATCH(InterventionCosts!B1121,Ingredients!A$1:A$238,0))))</f>
        <v>2024</v>
      </c>
      <c r="H1121" t="str">
        <f>INDEX(Ingredients!$F$1:$F$318,(MATCH(InterventionCosts!B1121,Ingredients!A$1:A$318,0)))</f>
        <v xml:space="preserve">April 2024 Salary scale </v>
      </c>
      <c r="I1121" s="148">
        <f>(60*12)/160</f>
        <v>4.5</v>
      </c>
      <c r="J1121" s="149" t="s">
        <v>438</v>
      </c>
      <c r="K1121" s="85">
        <f>I1121*E1121</f>
        <v>8.3472078195067265</v>
      </c>
    </row>
    <row r="1122" spans="1:14">
      <c r="A1122" t="s">
        <v>448</v>
      </c>
      <c r="B1122" s="146" t="s">
        <v>421</v>
      </c>
    </row>
    <row r="1123" spans="1:14">
      <c r="A1123" t="s">
        <v>448</v>
      </c>
      <c r="B1123" s="147" t="s">
        <v>422</v>
      </c>
      <c r="C1123" t="s">
        <v>389</v>
      </c>
      <c r="D1123" t="s">
        <v>81</v>
      </c>
      <c r="E1123" s="70"/>
      <c r="F1123" s="5"/>
      <c r="J1123" t="s">
        <v>441</v>
      </c>
      <c r="K1123" s="85">
        <f>0.07*SUM(K1031:K1121,K1124)</f>
        <v>84.34951600573774</v>
      </c>
      <c r="L1123" s="85" t="s">
        <v>427</v>
      </c>
    </row>
    <row r="1124" spans="1:14">
      <c r="A1124" t="s">
        <v>448</v>
      </c>
      <c r="B1124" s="147" t="s">
        <v>52</v>
      </c>
      <c r="C1124" t="s">
        <v>389</v>
      </c>
      <c r="D1124" t="s">
        <v>48</v>
      </c>
      <c r="E1124" s="70">
        <f>IF(B1124="","",INDEX(Ingredients!$I$1:$I$5013,(MATCH(InterventionCosts!B1124,Ingredients!$A$1:$A$5013,0))))</f>
        <v>1.8019482436472347</v>
      </c>
      <c r="F1124" s="5" t="str">
        <f>INDEX(Ingredients!J$1:J$265,(MATCH(InterventionCosts!B1124,Ingredients!A$1:A$265,0)))</f>
        <v>per minute</v>
      </c>
      <c r="G1124">
        <f>IF(B1124="","",INDEX(Ingredients!$E$1:$E$238,(MATCH(InterventionCosts!B1124,Ingredients!A$1:A$238,0))))</f>
        <v>2024</v>
      </c>
      <c r="H1124" t="str">
        <f>INDEX(Ingredients!$F$1:$F$318,(MATCH(InterventionCosts!B1124,Ingredients!A$1:A$318,0)))</f>
        <v xml:space="preserve">April 2024 Salary scale </v>
      </c>
      <c r="I1124">
        <v>6</v>
      </c>
      <c r="J1124" s="149" t="s">
        <v>439</v>
      </c>
      <c r="K1124" s="85">
        <f>I1124*E1124</f>
        <v>10.811689461883407</v>
      </c>
    </row>
    <row r="1125" spans="1:14" s="89" customFormat="1">
      <c r="A1125" s="4" t="s">
        <v>448</v>
      </c>
      <c r="F1125" s="89" t="s">
        <v>1164</v>
      </c>
      <c r="G1125" s="89" t="str">
        <f>IF(B1125="","",INDEX(Ingredients!$E$1:$E$238,(MATCH(InterventionCosts!B1125,Ingredients!A$1:A$238,0))))</f>
        <v/>
      </c>
      <c r="K1125" s="90"/>
      <c r="L1125" s="90">
        <f>SUM(K1031:K1124)</f>
        <v>1289.3426018019911</v>
      </c>
      <c r="M1125" s="92"/>
      <c r="N1125" s="4"/>
    </row>
    <row r="1126" spans="1:14" s="89" customFormat="1">
      <c r="A1126" s="4" t="s">
        <v>448</v>
      </c>
      <c r="F1126" s="89" t="s">
        <v>117</v>
      </c>
      <c r="G1126" s="89" t="str">
        <f>IF(B1126="","",INDEX(Ingredients!$E$1:$E$238,(MATCH(InterventionCosts!B1126,Ingredients!A$1:A$238,0))))</f>
        <v/>
      </c>
      <c r="K1126" s="90"/>
      <c r="L1126" s="90" t="s">
        <v>440</v>
      </c>
    </row>
    <row r="1128" spans="1:14">
      <c r="A1128" t="s">
        <v>1370</v>
      </c>
      <c r="B1128" s="144" t="s">
        <v>388</v>
      </c>
      <c r="C1128" s="141"/>
      <c r="D1128" s="141"/>
      <c r="E1128" s="142"/>
      <c r="F1128" s="141"/>
      <c r="G1128" s="141"/>
      <c r="H1128" s="141"/>
      <c r="I1128" s="141"/>
      <c r="J1128" s="141"/>
      <c r="K1128" s="143"/>
    </row>
    <row r="1129" spans="1:14">
      <c r="A1129" t="s">
        <v>1370</v>
      </c>
      <c r="B1129" s="136" t="s">
        <v>390</v>
      </c>
    </row>
    <row r="1130" spans="1:14">
      <c r="A1130" t="s">
        <v>1370</v>
      </c>
      <c r="B1130" s="137" t="s">
        <v>54</v>
      </c>
      <c r="C1130" t="s">
        <v>389</v>
      </c>
      <c r="D1130" t="s">
        <v>48</v>
      </c>
      <c r="E1130" s="70">
        <f>IF(B1130="","",INDEX(Ingredients!$I$1:$I$5013,(MATCH(InterventionCosts!B1130,Ingredients!$A$1:$A$5013,0))))</f>
        <v>1.2444366591928251</v>
      </c>
      <c r="F1130" s="5" t="str">
        <f>INDEX(Ingredients!J$1:J$265,(MATCH(InterventionCosts!B1130,Ingredients!A$1:A$265,0)))</f>
        <v>per minute</v>
      </c>
      <c r="G1130">
        <f>IF(B1130="","",INDEX(Ingredients!$E$1:$E$238,(MATCH(InterventionCosts!B1130,Ingredients!A$1:A$238,0))))</f>
        <v>2024</v>
      </c>
      <c r="H1130" t="str">
        <f>INDEX(Ingredients!$F$1:$F$318,(MATCH(InterventionCosts!B1130,Ingredients!A$1:A$318,0)))</f>
        <v xml:space="preserve">April 2024 Salary scale </v>
      </c>
      <c r="I1130">
        <v>1</v>
      </c>
      <c r="J1130" t="s">
        <v>1476</v>
      </c>
      <c r="K1130" s="85">
        <f>I1130*E1130</f>
        <v>1.2444366591928251</v>
      </c>
    </row>
    <row r="1131" spans="1:14">
      <c r="A1131" t="s">
        <v>1370</v>
      </c>
      <c r="B1131" s="137" t="s">
        <v>246</v>
      </c>
      <c r="C1131" t="s">
        <v>389</v>
      </c>
      <c r="D1131" s="5" t="s">
        <v>21</v>
      </c>
      <c r="E1131" s="70">
        <f>IF(B1131="","",INDEX(Ingredients!$I$1:$I$5013,(MATCH(InterventionCosts!B1131,Ingredients!$A$1:$A$5013,0))))</f>
        <v>0.16400000000000001</v>
      </c>
      <c r="F1131" s="5" t="str">
        <f>INDEX(Ingredients!J$1:J$265,(MATCH(InterventionCosts!B1131,Ingredients!A$1:A$265,0)))</f>
        <v>per page</v>
      </c>
      <c r="G1131">
        <f>IF(B1131="","",INDEX(Ingredients!$E$1:$E$238,(MATCH(InterventionCosts!B1131,Ingredients!A$1:A$238,0))))</f>
        <v>2024</v>
      </c>
      <c r="H1131" t="str">
        <f>INDEX(Ingredients!$F$1:$F$318,(MATCH(InterventionCosts!B1131,Ingredients!A$1:A$318,0)))</f>
        <v>https://www.makro.co.za/stationery-office-furniture/paper-filing/paper/white-paper/copy-paper/typek-a4-office-paper-80-gsm/p/000000000000012434_BOX</v>
      </c>
      <c r="I1131">
        <f>1</f>
        <v>1</v>
      </c>
      <c r="J1131" t="s">
        <v>1476</v>
      </c>
      <c r="K1131" s="85">
        <f>I1131*E1131</f>
        <v>0.16400000000000001</v>
      </c>
      <c r="L1131" s="85" t="s">
        <v>1510</v>
      </c>
    </row>
    <row r="1132" spans="1:14">
      <c r="A1132" t="s">
        <v>1370</v>
      </c>
      <c r="B1132" s="136" t="s">
        <v>391</v>
      </c>
      <c r="F1132" s="3" t="s">
        <v>442</v>
      </c>
      <c r="I1132" s="3">
        <v>0.113675</v>
      </c>
      <c r="J1132" s="3" t="s">
        <v>443</v>
      </c>
    </row>
    <row r="1133" spans="1:14">
      <c r="A1133" t="s">
        <v>1370</v>
      </c>
      <c r="B1133" s="137" t="s">
        <v>79</v>
      </c>
      <c r="C1133" t="s">
        <v>389</v>
      </c>
      <c r="D1133" s="5" t="s">
        <v>21</v>
      </c>
      <c r="E1133" s="70">
        <f>IF(B1133="","",INDEX(Ingredients!$I$1:$I$5013,(MATCH(InterventionCosts!B1133,Ingredients!$A$1:$A$5013,0))))</f>
        <v>9.3000000000000007</v>
      </c>
      <c r="F1133" s="5" t="str">
        <f>INDEX(Ingredients!J$1:J$265,(MATCH(InterventionCosts!B1133,Ingredients!A$1:A$265,0)))</f>
        <v>per test</v>
      </c>
      <c r="G1133">
        <f>IF(B1133="","",INDEX(Ingredients!$E$1:$E$238,(MATCH(InterventionCosts!B1133,Ingredients!A$1:A$238,0))))</f>
        <v>2024</v>
      </c>
      <c r="H1133" t="str">
        <f>INDEX(Ingredients!$F$1:$F$318,(MATCH(InterventionCosts!B1133,Ingredients!A$1:A$318,0)))</f>
        <v>https://www.treasury.gov.za/divisions/ocpo/ostb/contracts/RT41-2020.zip</v>
      </c>
      <c r="I1133" s="134">
        <f>1/(1-I1132)</f>
        <v>1.1282543085211407</v>
      </c>
      <c r="J1133" s="133" t="s">
        <v>394</v>
      </c>
      <c r="K1133" s="85">
        <f>I1133*E1133</f>
        <v>10.492765069246609</v>
      </c>
      <c r="L1133"/>
    </row>
    <row r="1134" spans="1:14">
      <c r="A1134" t="s">
        <v>1370</v>
      </c>
      <c r="B1134" s="137" t="s">
        <v>54</v>
      </c>
      <c r="C1134" t="s">
        <v>389</v>
      </c>
      <c r="D1134" t="s">
        <v>48</v>
      </c>
      <c r="E1134" s="70">
        <f>IF(B1134="","",INDEX(Ingredients!$I$1:$I$5013,(MATCH(InterventionCosts!B1134,Ingredients!$A$1:$A$5013,0))))</f>
        <v>1.2444366591928251</v>
      </c>
      <c r="F1134" s="5" t="str">
        <f>INDEX(Ingredients!J$1:J$265,(MATCH(InterventionCosts!B1134,Ingredients!A$1:A$265,0)))</f>
        <v>per minute</v>
      </c>
      <c r="G1134">
        <f>IF(B1134="","",INDEX(Ingredients!$E$1:$E$238,(MATCH(InterventionCosts!B1134,Ingredients!A$1:A$238,0))))</f>
        <v>2024</v>
      </c>
      <c r="H1134" t="str">
        <f>INDEX(Ingredients!$F$1:$F$318,(MATCH(InterventionCosts!B1134,Ingredients!A$1:A$318,0)))</f>
        <v xml:space="preserve">April 2024 Salary scale </v>
      </c>
      <c r="I1134" s="134">
        <f>15+1/(1-I1132)</f>
        <v>16.128254308521139</v>
      </c>
      <c r="J1134" s="133" t="s">
        <v>395</v>
      </c>
      <c r="K1134" s="85">
        <f>I1134*E1134</f>
        <v>20.070590910308333</v>
      </c>
      <c r="L1134"/>
    </row>
    <row r="1135" spans="1:14">
      <c r="A1135" t="s">
        <v>1370</v>
      </c>
      <c r="B1135" s="137" t="s">
        <v>1489</v>
      </c>
      <c r="C1135" t="s">
        <v>389</v>
      </c>
      <c r="D1135" s="5" t="s">
        <v>21</v>
      </c>
      <c r="E1135" s="70">
        <f>IF(B1135="","",INDEX(Ingredients!$I$1:$I$5013,(MATCH(InterventionCosts!B1135,Ingredients!$A$1:$A$5013,0))))</f>
        <v>53.08</v>
      </c>
      <c r="F1135" s="5" t="str">
        <f>INDEX(Ingredients!J$1:J$265,(MATCH(InterventionCosts!B1135,Ingredients!A$1:A$265,0)))</f>
        <v>per pack 100, 50 pairs</v>
      </c>
      <c r="G1135">
        <f>IF(B1135="","",INDEX(Ingredients!$E$1:$E$238,(MATCH(InterventionCosts!B1135,Ingredients!A$1:A$238,0))))</f>
        <v>2024</v>
      </c>
      <c r="H1135" t="str">
        <f>INDEX(Ingredients!$F$1:$F$318,(MATCH(InterventionCosts!B1135,Ingredients!A$1:A$318,0)))</f>
        <v>https://www.treasury.gov.za/divisions/ocpo/ostb/contracts/RT76-2023%20CPA%20Amendment%204-%20Effective%2001%20May%202024.pdf</v>
      </c>
      <c r="I1135" s="134">
        <f>2/100*(1/(1-I1132))</f>
        <v>2.2565086170422816E-2</v>
      </c>
      <c r="J1135" s="133" t="s">
        <v>394</v>
      </c>
      <c r="K1135" s="85">
        <f>I1135*E1135</f>
        <v>1.197754773926043</v>
      </c>
      <c r="L1135"/>
    </row>
    <row r="1136" spans="1:14">
      <c r="A1136" t="s">
        <v>1370</v>
      </c>
      <c r="B1136" s="137" t="s">
        <v>31</v>
      </c>
      <c r="C1136" t="s">
        <v>389</v>
      </c>
      <c r="D1136" s="5" t="s">
        <v>21</v>
      </c>
      <c r="E1136" s="70">
        <f>IF(B1136="","",INDEX(Ingredients!$I$1:$I$5013,(MATCH(InterventionCosts!B1136,Ingredients!$A$1:$A$5013,0))))</f>
        <v>31.4</v>
      </c>
      <c r="F1136" s="5" t="str">
        <f>INDEX(Ingredients!J$1:J$265,(MATCH(InterventionCosts!B1136,Ingredients!A$1:A$265,0)))</f>
        <v>per 100 swabs</v>
      </c>
      <c r="G1136">
        <f>IF(B1136="","",INDEX(Ingredients!$E$1:$E$238,(MATCH(InterventionCosts!B1136,Ingredients!A$1:A$238,0))))</f>
        <v>2024</v>
      </c>
      <c r="H1136" t="str">
        <f>INDEX(Ingredients!$F$1:$F$318,(MATCH(InterventionCosts!B1136,Ingredients!A$1:A$318,0)))</f>
        <v xml:space="preserve">http://www.treasury.gov.za/divisions/ocpo/ostb/contracts/RT42-2022zip </v>
      </c>
      <c r="I1136" s="134">
        <f>1/100*(1/(1-I1132))</f>
        <v>1.1282543085211408E-2</v>
      </c>
      <c r="J1136" s="133" t="s">
        <v>394</v>
      </c>
      <c r="K1136" s="85">
        <f>I1136*E1136</f>
        <v>0.35427185287563823</v>
      </c>
      <c r="L1136"/>
    </row>
    <row r="1137" spans="1:12">
      <c r="A1137" t="s">
        <v>1370</v>
      </c>
      <c r="B1137" s="136" t="s">
        <v>392</v>
      </c>
      <c r="E1137" s="70"/>
      <c r="F1137" s="5"/>
    </row>
    <row r="1138" spans="1:12">
      <c r="A1138" t="s">
        <v>1370</v>
      </c>
      <c r="B1138" s="137" t="s">
        <v>79</v>
      </c>
      <c r="C1138" t="s">
        <v>389</v>
      </c>
      <c r="D1138" s="5" t="s">
        <v>21</v>
      </c>
      <c r="E1138" s="70">
        <f>IF(B1138="","",INDEX(Ingredients!$I$1:$I$5013,(MATCH(InterventionCosts!B1138,Ingredients!$A$1:$A$5013,0))))</f>
        <v>9.3000000000000007</v>
      </c>
      <c r="F1138" s="5" t="str">
        <f>INDEX(Ingredients!J$1:J$265,(MATCH(InterventionCosts!B1138,Ingredients!A$1:A$265,0)))</f>
        <v>per test</v>
      </c>
      <c r="G1138">
        <f>IF(B1138="","",INDEX(Ingredients!$E$1:$E$238,(MATCH(InterventionCosts!B1138,Ingredients!A$1:A$238,0))))</f>
        <v>2024</v>
      </c>
      <c r="H1138" t="str">
        <f>INDEX(Ingredients!$F$1:$F$318,(MATCH(InterventionCosts!B1138,Ingredients!A$1:A$318,0)))</f>
        <v>https://www.treasury.gov.za/divisions/ocpo/ostb/contracts/RT41-2020.zip</v>
      </c>
      <c r="I1138" s="134">
        <f>I1132</f>
        <v>0.113675</v>
      </c>
      <c r="J1138" s="85" t="s">
        <v>396</v>
      </c>
      <c r="K1138" s="85">
        <f>I1138*E1138</f>
        <v>1.0571775000000001</v>
      </c>
      <c r="L1138"/>
    </row>
    <row r="1139" spans="1:12">
      <c r="A1139" t="s">
        <v>1370</v>
      </c>
      <c r="B1139" s="137" t="s">
        <v>54</v>
      </c>
      <c r="C1139" t="s">
        <v>389</v>
      </c>
      <c r="D1139" t="s">
        <v>48</v>
      </c>
      <c r="E1139" s="70">
        <f>IF(B1139="","",INDEX(Ingredients!$I$1:$I$5013,(MATCH(InterventionCosts!B1139,Ingredients!$A$1:$A$5013,0))))</f>
        <v>1.2444366591928251</v>
      </c>
      <c r="F1139" s="5" t="str">
        <f>INDEX(Ingredients!J$1:J$265,(MATCH(InterventionCosts!B1139,Ingredients!A$1:A$265,0)))</f>
        <v>per minute</v>
      </c>
      <c r="G1139">
        <f>IF(B1139="","",INDEX(Ingredients!$E$1:$E$238,(MATCH(InterventionCosts!B1139,Ingredients!A$1:A$238,0))))</f>
        <v>2024</v>
      </c>
      <c r="H1139" t="str">
        <f>INDEX(Ingredients!$F$1:$F$318,(MATCH(InterventionCosts!B1139,Ingredients!A$1:A$318,0)))</f>
        <v xml:space="preserve">April 2024 Salary scale </v>
      </c>
      <c r="I1139" s="134">
        <f>(15+1/(1-I1132))*I1132</f>
        <v>1.8333793085211405</v>
      </c>
      <c r="J1139" s="133" t="s">
        <v>395</v>
      </c>
      <c r="K1139" s="85">
        <f>I1139*E1139</f>
        <v>2.2815244217293</v>
      </c>
      <c r="L1139"/>
    </row>
    <row r="1140" spans="1:12">
      <c r="A1140" t="s">
        <v>1370</v>
      </c>
      <c r="B1140" s="137" t="s">
        <v>1489</v>
      </c>
      <c r="C1140" t="s">
        <v>389</v>
      </c>
      <c r="D1140" s="5" t="s">
        <v>21</v>
      </c>
      <c r="E1140" s="70">
        <f>IF(B1140="","",INDEX(Ingredients!$I$1:$I$5013,(MATCH(InterventionCosts!B1140,Ingredients!$A$1:$A$5013,0))))</f>
        <v>53.08</v>
      </c>
      <c r="F1140" s="5" t="str">
        <f>INDEX(Ingredients!J$1:J$265,(MATCH(InterventionCosts!B1140,Ingredients!A$1:A$265,0)))</f>
        <v>per pack 100, 50 pairs</v>
      </c>
      <c r="G1140">
        <f>IF(B1140="","",INDEX(Ingredients!$E$1:$E$238,(MATCH(InterventionCosts!B1140,Ingredients!A$1:A$238,0))))</f>
        <v>2024</v>
      </c>
      <c r="H1140" t="str">
        <f>INDEX(Ingredients!$F$1:$F$318,(MATCH(InterventionCosts!B1140,Ingredients!A$1:A$318,0)))</f>
        <v>https://www.treasury.gov.za/divisions/ocpo/ostb/contracts/RT76-2023%20CPA%20Amendment%204-%20Effective%2001%20May%202024.pdf</v>
      </c>
      <c r="I1140">
        <f>2/100*I1132</f>
        <v>2.2734999999999999E-3</v>
      </c>
      <c r="J1140" s="133" t="s">
        <v>1478</v>
      </c>
      <c r="K1140" s="85">
        <f>I1140*E1140</f>
        <v>0.12067737999999999</v>
      </c>
      <c r="L1140"/>
    </row>
    <row r="1141" spans="1:12">
      <c r="A1141" t="s">
        <v>1370</v>
      </c>
      <c r="B1141" s="137" t="s">
        <v>31</v>
      </c>
      <c r="C1141" t="s">
        <v>389</v>
      </c>
      <c r="D1141" s="5" t="s">
        <v>21</v>
      </c>
      <c r="E1141" s="70">
        <f>IF(B1141="","",INDEX(Ingredients!$I$1:$I$5013,(MATCH(InterventionCosts!B1141,Ingredients!$A$1:$A$5013,0))))</f>
        <v>31.4</v>
      </c>
      <c r="F1141" s="5" t="str">
        <f>INDEX(Ingredients!J$1:J$265,(MATCH(InterventionCosts!B1141,Ingredients!A$1:A$265,0)))</f>
        <v>per 100 swabs</v>
      </c>
      <c r="G1141">
        <f>IF(B1141="","",INDEX(Ingredients!$E$1:$E$238,(MATCH(InterventionCosts!B1141,Ingredients!A$1:A$238,0))))</f>
        <v>2024</v>
      </c>
      <c r="H1141" t="str">
        <f>INDEX(Ingredients!$F$1:$F$318,(MATCH(InterventionCosts!B1141,Ingredients!A$1:A$318,0)))</f>
        <v xml:space="preserve">http://www.treasury.gov.za/divisions/ocpo/ostb/contracts/RT42-2022zip </v>
      </c>
      <c r="I1141">
        <f>1/100*I1132</f>
        <v>1.13675E-3</v>
      </c>
      <c r="J1141" s="133" t="s">
        <v>1477</v>
      </c>
      <c r="K1141" s="85">
        <f>I1141*E1141</f>
        <v>3.5693949999999995E-2</v>
      </c>
      <c r="L1141"/>
    </row>
    <row r="1142" spans="1:12">
      <c r="A1142" t="s">
        <v>1370</v>
      </c>
      <c r="B1142" s="136" t="s">
        <v>393</v>
      </c>
      <c r="F1142" s="5"/>
    </row>
    <row r="1143" spans="1:12">
      <c r="A1143" t="s">
        <v>1370</v>
      </c>
      <c r="B1143" s="137" t="s">
        <v>77</v>
      </c>
      <c r="C1143" t="s">
        <v>389</v>
      </c>
      <c r="D1143" t="s">
        <v>75</v>
      </c>
      <c r="E1143" s="70">
        <f>IF(B1143="","",INDEX(Ingredients!$I$1:$I$5013,(MATCH(InterventionCosts!B1143,Ingredients!$A$1:$A$5013,0))))</f>
        <v>71.889951748999991</v>
      </c>
      <c r="F1143" s="5" t="str">
        <f>INDEX(Ingredients!J$1:J$265,(MATCH(InterventionCosts!B1143,Ingredients!A$1:A$265,0)))</f>
        <v>per test</v>
      </c>
      <c r="G1143">
        <f>IF(B1143="","",INDEX(Ingredients!$E$1:$E$238,(MATCH(InterventionCosts!B1143,Ingredients!A$1:A$238,0))))</f>
        <v>2021</v>
      </c>
      <c r="H1143" t="str">
        <f>INDEX(Ingredients!$F$1:$F$318,(MATCH(InterventionCosts!B1143,Ingredients!A$1:A$318,0)))</f>
        <v>NHLS 2021 price-list</v>
      </c>
      <c r="I1143">
        <v>0.02</v>
      </c>
      <c r="J1143" s="85" t="s">
        <v>397</v>
      </c>
      <c r="K1143" s="85">
        <f>I1143*E1143</f>
        <v>1.4377990349799998</v>
      </c>
      <c r="L1143" s="85" t="s">
        <v>397</v>
      </c>
    </row>
    <row r="1144" spans="1:12">
      <c r="A1144" t="s">
        <v>1370</v>
      </c>
      <c r="B1144" s="137" t="s">
        <v>54</v>
      </c>
      <c r="C1144" t="s">
        <v>389</v>
      </c>
      <c r="D1144" t="s">
        <v>48</v>
      </c>
      <c r="E1144" s="70">
        <f>IF(B1144="","",INDEX(Ingredients!$I$1:$I$5013,(MATCH(InterventionCosts!B1144,Ingredients!$A$1:$A$5013,0))))</f>
        <v>1.2444366591928251</v>
      </c>
      <c r="F1144" s="5" t="str">
        <f>INDEX(Ingredients!J$1:J$265,(MATCH(InterventionCosts!B1144,Ingredients!A$1:A$265,0)))</f>
        <v>per minute</v>
      </c>
      <c r="G1144">
        <f>IF(B1144="","",INDEX(Ingredients!$E$1:$E$238,(MATCH(InterventionCosts!B1144,Ingredients!A$1:A$238,0))))</f>
        <v>2024</v>
      </c>
      <c r="H1144" t="str">
        <f>INDEX(Ingredients!$F$1:$F$318,(MATCH(InterventionCosts!B1144,Ingredients!A$1:A$318,0)))</f>
        <v xml:space="preserve">April 2024 Salary scale </v>
      </c>
      <c r="I1144">
        <f>15*0.02</f>
        <v>0.3</v>
      </c>
      <c r="J1144" s="133" t="s">
        <v>395</v>
      </c>
      <c r="K1144" s="85">
        <f>I1144*E1144</f>
        <v>0.3733309977578475</v>
      </c>
    </row>
    <row r="1145" spans="1:12">
      <c r="A1145" t="s">
        <v>1370</v>
      </c>
      <c r="B1145" s="137" t="s">
        <v>1489</v>
      </c>
      <c r="C1145" t="s">
        <v>389</v>
      </c>
      <c r="D1145" s="5" t="s">
        <v>21</v>
      </c>
      <c r="E1145" s="70">
        <f>IF(B1145="","",INDEX(Ingredients!$I$1:$I$5013,(MATCH(InterventionCosts!B1145,Ingredients!$A$1:$A$5013,0))))</f>
        <v>53.08</v>
      </c>
      <c r="F1145" s="5" t="str">
        <f>INDEX(Ingredients!J$1:J$265,(MATCH(InterventionCosts!B1145,Ingredients!A$1:A$265,0)))</f>
        <v>per pack 100, 50 pairs</v>
      </c>
      <c r="G1145">
        <f>IF(B1145="","",INDEX(Ingredients!$E$1:$E$238,(MATCH(InterventionCosts!B1145,Ingredients!A$1:A$238,0))))</f>
        <v>2024</v>
      </c>
      <c r="H1145" t="str">
        <f>INDEX(Ingredients!$F$1:$F$318,(MATCH(InterventionCosts!B1145,Ingredients!A$1:A$318,0)))</f>
        <v>https://www.treasury.gov.za/divisions/ocpo/ostb/contracts/RT76-2023%20CPA%20Amendment%204-%20Effective%2001%20May%202024.pdf</v>
      </c>
      <c r="I1145">
        <f>2/100*0.02</f>
        <v>4.0000000000000002E-4</v>
      </c>
      <c r="J1145" s="85" t="s">
        <v>397</v>
      </c>
      <c r="K1145" s="85">
        <f>I1145*E1145</f>
        <v>2.1232000000000001E-2</v>
      </c>
    </row>
    <row r="1146" spans="1:12">
      <c r="A1146" t="s">
        <v>1370</v>
      </c>
      <c r="B1146" s="137" t="s">
        <v>45</v>
      </c>
      <c r="C1146" t="s">
        <v>389</v>
      </c>
      <c r="D1146" s="5" t="s">
        <v>21</v>
      </c>
      <c r="E1146" s="70">
        <f>IF(B1146="","",INDEX(Ingredients!$I$1:$I$5013,(MATCH(InterventionCosts!B1146,Ingredients!$A$1:$A$5013,0))))</f>
        <v>46</v>
      </c>
      <c r="F1146" s="5" t="str">
        <f>INDEX(Ingredients!J$1:J$265,(MATCH(InterventionCosts!B1146,Ingredients!A$1:A$265,0)))</f>
        <v>per pack 100</v>
      </c>
      <c r="G1146">
        <f>IF(B1146="","",INDEX(Ingredients!$E$1:$E$238,(MATCH(InterventionCosts!B1146,Ingredients!A$1:A$238,0))))</f>
        <v>2024</v>
      </c>
      <c r="H1146" t="str">
        <f>INDEX(Ingredients!$F$1:$F$318,(MATCH(InterventionCosts!B1146,Ingredients!A$1:A$318,0)))</f>
        <v>https://www.treasury.gov.za/divisions/ocpo/ostb/contracts/RT284-2023.zip</v>
      </c>
      <c r="I1146">
        <f>1/100*0.02</f>
        <v>2.0000000000000001E-4</v>
      </c>
      <c r="J1146" s="85" t="s">
        <v>397</v>
      </c>
      <c r="K1146" s="135">
        <f>I1146*E1146</f>
        <v>9.1999999999999998E-3</v>
      </c>
    </row>
    <row r="1147" spans="1:12">
      <c r="A1147" t="s">
        <v>1370</v>
      </c>
      <c r="B1147" s="137" t="s">
        <v>31</v>
      </c>
      <c r="C1147" t="s">
        <v>389</v>
      </c>
      <c r="D1147" s="5" t="s">
        <v>21</v>
      </c>
      <c r="E1147" s="70">
        <f>IF(B1147="","",INDEX(Ingredients!$I$1:$I$5013,(MATCH(InterventionCosts!B1147,Ingredients!$A$1:$A$5013,0))))</f>
        <v>31.4</v>
      </c>
      <c r="F1147" s="5" t="str">
        <f>INDEX(Ingredients!J$1:J$265,(MATCH(InterventionCosts!B1147,Ingredients!A$1:A$265,0)))</f>
        <v>per 100 swabs</v>
      </c>
      <c r="G1147">
        <f>IF(B1147="","",INDEX(Ingredients!$E$1:$E$238,(MATCH(InterventionCosts!B1147,Ingredients!A$1:A$238,0))))</f>
        <v>2024</v>
      </c>
      <c r="H1147" t="str">
        <f>INDEX(Ingredients!$F$1:$F$318,(MATCH(InterventionCosts!B1147,Ingredients!A$1:A$318,0)))</f>
        <v xml:space="preserve">http://www.treasury.gov.za/divisions/ocpo/ostb/contracts/RT42-2022zip </v>
      </c>
      <c r="I1147">
        <f>1/100*0.02</f>
        <v>2.0000000000000001E-4</v>
      </c>
      <c r="J1147" s="85" t="s">
        <v>397</v>
      </c>
      <c r="K1147" s="135">
        <f>I1147*E1147</f>
        <v>6.28E-3</v>
      </c>
    </row>
    <row r="1148" spans="1:12">
      <c r="A1148" t="s">
        <v>1370</v>
      </c>
      <c r="B1148" s="136" t="s">
        <v>398</v>
      </c>
    </row>
    <row r="1149" spans="1:12">
      <c r="A1149" t="s">
        <v>1370</v>
      </c>
      <c r="B1149" s="137" t="s">
        <v>354</v>
      </c>
      <c r="C1149" t="s">
        <v>389</v>
      </c>
      <c r="D1149" t="s">
        <v>48</v>
      </c>
      <c r="E1149" s="70">
        <f>IF(B1149="","",INDEX(Ingredients!$I$1:$I$5013,(MATCH(InterventionCosts!B1149,Ingredients!$A$1:$A$5013,0))))</f>
        <v>4.8996605630293981</v>
      </c>
      <c r="F1149" s="5" t="str">
        <f>INDEX(Ingredients!J$1:J$265,(MATCH(InterventionCosts!B1149,Ingredients!A$1:A$265,0)))</f>
        <v>per minute</v>
      </c>
      <c r="G1149">
        <f>IF(B1149="","",INDEX(Ingredients!$E$1:$E$238,(MATCH(InterventionCosts!B1149,Ingredients!A$1:A$238,0))))</f>
        <v>2024</v>
      </c>
      <c r="H1149" t="str">
        <f>INDEX(Ingredients!$F$1:$F$318,(MATCH(InterventionCosts!B1149,Ingredients!A$1:A$318,0)))</f>
        <v xml:space="preserve">April 2024 Salary scale </v>
      </c>
      <c r="I1149">
        <v>15</v>
      </c>
      <c r="J1149" s="133" t="s">
        <v>395</v>
      </c>
      <c r="K1149" s="85">
        <f>I1149*E1149</f>
        <v>73.49490844544097</v>
      </c>
    </row>
    <row r="1150" spans="1:12">
      <c r="A1150" t="s">
        <v>1370</v>
      </c>
      <c r="B1150" s="137" t="s">
        <v>400</v>
      </c>
      <c r="C1150" t="s">
        <v>389</v>
      </c>
      <c r="D1150" t="s">
        <v>75</v>
      </c>
      <c r="E1150" s="70">
        <f>IF(B1150="","",INDEX(Ingredients!$I$1:$I$5013,(MATCH(InterventionCosts!B1150,Ingredients!$A$1:$A$5013,0))))</f>
        <v>59.183820742199998</v>
      </c>
      <c r="F1150" s="5" t="str">
        <f>INDEX(Ingredients!J$1:J$265,(MATCH(InterventionCosts!B1150,Ingredients!A$1:A$265,0)))</f>
        <v>per test</v>
      </c>
      <c r="G1150">
        <f>IF(B1150="","",INDEX(Ingredients!$E$1:$E$238,(MATCH(InterventionCosts!B1150,Ingredients!A$1:A$238,0))))</f>
        <v>2021</v>
      </c>
      <c r="H1150" t="str">
        <f>INDEX(Ingredients!$F$1:$F$318,(MATCH(InterventionCosts!B1150,Ingredients!A$1:A$318,0)))</f>
        <v>NHLS 2021 price-list</v>
      </c>
      <c r="I1150">
        <v>1</v>
      </c>
      <c r="J1150" t="s">
        <v>403</v>
      </c>
      <c r="K1150" s="85">
        <f>I1150*E1150</f>
        <v>59.183820742199998</v>
      </c>
      <c r="L1150" s="151"/>
    </row>
    <row r="1151" spans="1:12">
      <c r="A1151" t="s">
        <v>1370</v>
      </c>
      <c r="B1151" s="137" t="s">
        <v>401</v>
      </c>
      <c r="C1151" t="s">
        <v>389</v>
      </c>
      <c r="D1151" s="5" t="s">
        <v>21</v>
      </c>
      <c r="E1151" s="70">
        <f>IF(B1151="","",INDEX(Ingredients!$I$1:$I$5013,(MATCH(InterventionCosts!B1151,Ingredients!$A$1:$A$5013,0))))</f>
        <v>4.8734277524838099</v>
      </c>
      <c r="F1151" s="5" t="str">
        <f>INDEX(Ingredients!J$1:J$265,(MATCH(InterventionCosts!B1151,Ingredients!A$1:A$265,0)))</f>
        <v>per test</v>
      </c>
      <c r="G1151">
        <f>IF(B1151="","",INDEX(Ingredients!$E$1:$E$238,(MATCH(InterventionCosts!B1151,Ingredients!A$1:A$238,0))))</f>
        <v>2019</v>
      </c>
      <c r="H1151" t="str">
        <f>INDEX(Ingredients!$F$1:$F$318,(MATCH(InterventionCosts!B1151,Ingredients!A$1:A$318,0)))</f>
        <v>Kendon Medical Supplies Pty Ltd, quote (19 Aug 2019)</v>
      </c>
      <c r="I1151">
        <v>1</v>
      </c>
      <c r="J1151" t="s">
        <v>1476</v>
      </c>
      <c r="K1151" s="85">
        <f>I1151*E1151</f>
        <v>4.8734277524838099</v>
      </c>
    </row>
    <row r="1152" spans="1:12">
      <c r="A1152" t="s">
        <v>1370</v>
      </c>
      <c r="B1152" s="136" t="s">
        <v>405</v>
      </c>
    </row>
    <row r="1153" spans="1:11">
      <c r="A1153" t="s">
        <v>1370</v>
      </c>
      <c r="B1153" s="137" t="s">
        <v>54</v>
      </c>
      <c r="C1153" t="s">
        <v>389</v>
      </c>
      <c r="D1153" t="s">
        <v>48</v>
      </c>
      <c r="E1153" s="70">
        <f>IF(B1153="","",INDEX(Ingredients!$I$1:$I$5013,(MATCH(InterventionCosts!B1153,Ingredients!$A$1:$A$5013,0))))</f>
        <v>1.2444366591928251</v>
      </c>
      <c r="F1153" s="5" t="str">
        <f>INDEX(Ingredients!J$1:J$265,(MATCH(InterventionCosts!B1153,Ingredients!A$1:A$265,0)))</f>
        <v>per minute</v>
      </c>
      <c r="G1153">
        <f>IF(B1153="","",INDEX(Ingredients!$E$1:$E$238,(MATCH(InterventionCosts!B1153,Ingredients!A$1:A$238,0))))</f>
        <v>2024</v>
      </c>
      <c r="H1153" t="str">
        <f>INDEX(Ingredients!$F$1:$F$318,(MATCH(InterventionCosts!B1153,Ingredients!A$1:A$318,0)))</f>
        <v xml:space="preserve">April 2024 Salary scale </v>
      </c>
      <c r="I1153">
        <v>5</v>
      </c>
      <c r="J1153" s="133" t="s">
        <v>406</v>
      </c>
      <c r="K1153" s="85">
        <f>I1153*E1153</f>
        <v>6.2221832959641254</v>
      </c>
    </row>
    <row r="1154" spans="1:11">
      <c r="A1154" t="s">
        <v>1370</v>
      </c>
      <c r="B1154" s="139" t="s">
        <v>409</v>
      </c>
      <c r="C1154" t="s">
        <v>389</v>
      </c>
      <c r="D1154" t="s">
        <v>75</v>
      </c>
      <c r="E1154" s="70">
        <f>IF(B1154="","",INDEX(Ingredients!$I$1:$I$5013,(MATCH(InterventionCosts!B1154,Ingredients!$A$1:$A$5013,0))))</f>
        <v>40.924728346149998</v>
      </c>
      <c r="F1154" s="5" t="str">
        <f>INDEX(Ingredients!J$1:J$265,(MATCH(InterventionCosts!B1154,Ingredients!A$1:A$265,0)))</f>
        <v>per test</v>
      </c>
      <c r="G1154">
        <f>IF(B1154="","",INDEX(Ingredients!$E$1:$E$238,(MATCH(InterventionCosts!B1154,Ingredients!A$1:A$238,0))))</f>
        <v>2021</v>
      </c>
      <c r="H1154" t="str">
        <f>INDEX(Ingredients!$F$1:$F$318,(MATCH(InterventionCosts!B1154,Ingredients!A$1:A$318,0)))</f>
        <v>NHLS 2021 price-list</v>
      </c>
      <c r="I1154">
        <v>1</v>
      </c>
      <c r="J1154" t="s">
        <v>1476</v>
      </c>
      <c r="K1154" s="85">
        <f>I1154*E1154</f>
        <v>40.924728346149998</v>
      </c>
    </row>
    <row r="1155" spans="1:11">
      <c r="A1155" t="s">
        <v>1370</v>
      </c>
      <c r="B1155" s="136" t="s">
        <v>411</v>
      </c>
      <c r="E1155" s="70"/>
      <c r="F1155" s="5"/>
    </row>
    <row r="1156" spans="1:11">
      <c r="A1156" t="s">
        <v>1370</v>
      </c>
      <c r="B1156" s="137" t="s">
        <v>449</v>
      </c>
      <c r="C1156" t="s">
        <v>389</v>
      </c>
      <c r="D1156" t="s">
        <v>70</v>
      </c>
      <c r="E1156" s="70">
        <f>IF(B1156="","",INDEX(Ingredients!$I$1:$I$5013,(MATCH(InterventionCosts!B1156,Ingredients!$A$1:$A$5013,0))))</f>
        <v>535.00106288275867</v>
      </c>
      <c r="F1156" s="5" t="str">
        <f>INDEX(Ingredients!J$1:J$265,(MATCH(InterventionCosts!B1156,Ingredients!A$1:A$265,0)))</f>
        <v>per injection</v>
      </c>
      <c r="G1156">
        <f>IF(B1156="","",INDEX(Ingredients!$E$1:$E$238,(MATCH(InterventionCosts!B1156,Ingredients!A$1:A$238,0))))</f>
        <v>2024</v>
      </c>
      <c r="H1156" t="str">
        <f>INDEX(Ingredients!$F$1:$F$318,(MATCH(InterventionCosts!B1156,Ingredients!A$1:A$318,0)))</f>
        <v>24.50 GBP (email from Hasina, official letter from GSK), 1 GBP = 1.22 USD (on 02 Nov 2023)</v>
      </c>
      <c r="I1156">
        <v>1</v>
      </c>
      <c r="J1156" t="s">
        <v>1472</v>
      </c>
      <c r="K1156" s="85">
        <f>I1156*E1156</f>
        <v>535.00106288275867</v>
      </c>
    </row>
    <row r="1157" spans="1:11">
      <c r="A1157" t="s">
        <v>1370</v>
      </c>
      <c r="B1157" s="137" t="s">
        <v>354</v>
      </c>
      <c r="C1157" t="s">
        <v>389</v>
      </c>
      <c r="D1157" t="s">
        <v>48</v>
      </c>
      <c r="E1157" s="70">
        <f>IF(B1157="","",INDEX(Ingredients!$I$1:$I$5013,(MATCH(InterventionCosts!B1157,Ingredients!$A$1:$A$5013,0))))</f>
        <v>4.8996605630293981</v>
      </c>
      <c r="F1157" s="5" t="str">
        <f>INDEX(Ingredients!J$1:J$265,(MATCH(InterventionCosts!B1157,Ingredients!A$1:A$265,0)))</f>
        <v>per minute</v>
      </c>
      <c r="G1157">
        <f>IF(B1157="","",INDEX(Ingredients!$E$1:$E$238,(MATCH(InterventionCosts!B1157,Ingredients!A$1:A$238,0))))</f>
        <v>2024</v>
      </c>
      <c r="H1157" t="str">
        <f>INDEX(Ingredients!$F$1:$F$318,(MATCH(InterventionCosts!B1157,Ingredients!A$1:A$318,0)))</f>
        <v xml:space="preserve">April 2024 Salary scale </v>
      </c>
      <c r="I1157">
        <v>5</v>
      </c>
      <c r="J1157" s="133" t="s">
        <v>395</v>
      </c>
      <c r="K1157" s="85">
        <f>I1157*E1157</f>
        <v>24.498302815146992</v>
      </c>
    </row>
    <row r="1158" spans="1:11">
      <c r="A1158" t="s">
        <v>1370</v>
      </c>
      <c r="B1158" s="137" t="s">
        <v>45</v>
      </c>
      <c r="C1158" t="s">
        <v>389</v>
      </c>
      <c r="D1158" s="5" t="s">
        <v>21</v>
      </c>
      <c r="E1158" s="70">
        <f>IF(B1158="","",INDEX(Ingredients!$I$1:$I$5013,(MATCH(InterventionCosts!B1158,Ingredients!$A$1:$A$5013,0))))</f>
        <v>46</v>
      </c>
      <c r="F1158" s="5" t="str">
        <f>INDEX(Ingredients!J$1:J$265,(MATCH(InterventionCosts!B1158,Ingredients!A$1:A$265,0)))</f>
        <v>per pack 100</v>
      </c>
      <c r="G1158">
        <f>IF(B1158="","",INDEX(Ingredients!$E$1:$E$238,(MATCH(InterventionCosts!B1158,Ingredients!A$1:A$238,0))))</f>
        <v>2024</v>
      </c>
      <c r="H1158" t="str">
        <f>INDEX(Ingredients!$F$1:$F$318,(MATCH(InterventionCosts!B1158,Ingredients!A$1:A$318,0)))</f>
        <v>https://www.treasury.gov.za/divisions/ocpo/ostb/contracts/RT284-2023.zip</v>
      </c>
      <c r="I1158">
        <f>1/100</f>
        <v>0.01</v>
      </c>
      <c r="J1158" s="133" t="s">
        <v>395</v>
      </c>
      <c r="K1158" s="85">
        <f>I1158*E1158</f>
        <v>0.46</v>
      </c>
    </row>
    <row r="1159" spans="1:11">
      <c r="A1159" t="s">
        <v>1370</v>
      </c>
      <c r="B1159" s="137" t="s">
        <v>31</v>
      </c>
      <c r="C1159" t="s">
        <v>389</v>
      </c>
      <c r="D1159" s="5" t="s">
        <v>21</v>
      </c>
      <c r="E1159" s="70">
        <f>IF(B1159="","",INDEX(Ingredients!$I$1:$I$5013,(MATCH(InterventionCosts!B1159,Ingredients!$A$1:$A$5013,0))))</f>
        <v>31.4</v>
      </c>
      <c r="F1159" s="5" t="str">
        <f>INDEX(Ingredients!J$1:J$265,(MATCH(InterventionCosts!B1159,Ingredients!A$1:A$265,0)))</f>
        <v>per 100 swabs</v>
      </c>
      <c r="G1159">
        <f>IF(B1159="","",INDEX(Ingredients!$E$1:$E$238,(MATCH(InterventionCosts!B1159,Ingredients!A$1:A$238,0))))</f>
        <v>2024</v>
      </c>
      <c r="H1159" t="str">
        <f>INDEX(Ingredients!$F$1:$F$318,(MATCH(InterventionCosts!B1159,Ingredients!A$1:A$318,0)))</f>
        <v xml:space="preserve">http://www.treasury.gov.za/divisions/ocpo/ostb/contracts/RT42-2022zip </v>
      </c>
      <c r="I1159">
        <f>1/100</f>
        <v>0.01</v>
      </c>
      <c r="J1159" t="s">
        <v>1485</v>
      </c>
      <c r="K1159" s="85">
        <f>I1159*E1159</f>
        <v>0.314</v>
      </c>
    </row>
    <row r="1160" spans="1:11">
      <c r="A1160" t="s">
        <v>1370</v>
      </c>
      <c r="B1160" s="144" t="s">
        <v>451</v>
      </c>
      <c r="C1160" s="141"/>
      <c r="D1160" s="141"/>
      <c r="E1160" s="142"/>
      <c r="F1160" s="141"/>
      <c r="G1160" s="141"/>
      <c r="H1160" s="141"/>
      <c r="I1160" s="141"/>
      <c r="J1160" s="141"/>
      <c r="K1160" s="143"/>
    </row>
    <row r="1161" spans="1:11">
      <c r="A1161" t="s">
        <v>1370</v>
      </c>
      <c r="B1161" s="136" t="s">
        <v>411</v>
      </c>
    </row>
    <row r="1162" spans="1:11">
      <c r="A1162" t="s">
        <v>1370</v>
      </c>
      <c r="B1162" s="137" t="s">
        <v>449</v>
      </c>
      <c r="C1162" t="s">
        <v>389</v>
      </c>
      <c r="D1162" t="s">
        <v>70</v>
      </c>
      <c r="E1162" s="70">
        <f>IF(B1162="","",INDEX(Ingredients!$I$1:$I$5013,(MATCH(InterventionCosts!B1162,Ingredients!$A$1:$A$5013,0))))</f>
        <v>535.00106288275867</v>
      </c>
      <c r="F1162" s="5" t="str">
        <f>INDEX(Ingredients!J$1:J$265,(MATCH(InterventionCosts!B1162,Ingredients!A$1:A$265,0)))</f>
        <v>per injection</v>
      </c>
      <c r="G1162">
        <f>IF(B1162="","",INDEX(Ingredients!$E$1:$E$238,(MATCH(InterventionCosts!B1162,Ingredients!A$1:A$238,0))))</f>
        <v>2024</v>
      </c>
      <c r="H1162" t="str">
        <f>INDEX(Ingredients!$F$1:$F$318,(MATCH(InterventionCosts!B1162,Ingredients!A$1:A$318,0)))</f>
        <v>24.50 GBP (email from Hasina, official letter from GSK), 1 GBP = 1.22 USD (on 02 Nov 2023)</v>
      </c>
      <c r="I1162">
        <v>1</v>
      </c>
      <c r="J1162" t="s">
        <v>1486</v>
      </c>
      <c r="K1162" s="85">
        <f>I1162*E1162</f>
        <v>535.00106288275867</v>
      </c>
    </row>
    <row r="1163" spans="1:11">
      <c r="A1163" t="s">
        <v>1370</v>
      </c>
      <c r="B1163" s="137" t="s">
        <v>354</v>
      </c>
      <c r="C1163" t="s">
        <v>389</v>
      </c>
      <c r="D1163" t="s">
        <v>48</v>
      </c>
      <c r="E1163" s="70">
        <f>IF(B1163="","",INDEX(Ingredients!$I$1:$I$5013,(MATCH(InterventionCosts!B1163,Ingredients!$A$1:$A$5013,0))))</f>
        <v>4.8996605630293981</v>
      </c>
      <c r="F1163" s="5" t="str">
        <f>INDEX(Ingredients!J$1:J$265,(MATCH(InterventionCosts!B1163,Ingredients!A$1:A$265,0)))</f>
        <v>per minute</v>
      </c>
      <c r="G1163">
        <f>IF(B1163="","",INDEX(Ingredients!$E$1:$E$238,(MATCH(InterventionCosts!B1163,Ingredients!A$1:A$238,0))))</f>
        <v>2024</v>
      </c>
      <c r="H1163" t="str">
        <f>INDEX(Ingredients!$F$1:$F$318,(MATCH(InterventionCosts!B1163,Ingredients!A$1:A$318,0)))</f>
        <v xml:space="preserve">April 2024 Salary scale </v>
      </c>
      <c r="I1163">
        <v>5</v>
      </c>
      <c r="J1163" t="s">
        <v>1476</v>
      </c>
      <c r="K1163" s="85">
        <f>I1163*E1163</f>
        <v>24.498302815146992</v>
      </c>
    </row>
    <row r="1164" spans="1:11">
      <c r="A1164" t="s">
        <v>1370</v>
      </c>
      <c r="B1164" s="137" t="s">
        <v>54</v>
      </c>
      <c r="C1164" t="s">
        <v>389</v>
      </c>
      <c r="D1164" t="s">
        <v>48</v>
      </c>
      <c r="E1164" s="70">
        <f>IF(B1164="","",INDEX(Ingredients!$I$1:$I$5013,(MATCH(InterventionCosts!B1164,Ingredients!$A$1:$A$5013,0))))</f>
        <v>1.2444366591928251</v>
      </c>
      <c r="F1164" s="5" t="str">
        <f>INDEX(Ingredients!J$1:J$265,(MATCH(InterventionCosts!B1164,Ingredients!A$1:A$265,0)))</f>
        <v>per minute</v>
      </c>
      <c r="G1164">
        <f>IF(B1164="","",INDEX(Ingredients!$E$1:$E$238,(MATCH(InterventionCosts!B1164,Ingredients!A$1:A$238,0))))</f>
        <v>2024</v>
      </c>
      <c r="H1164" t="str">
        <f>INDEX(Ingredients!$F$1:$F$318,(MATCH(InterventionCosts!B1164,Ingredients!A$1:A$318,0)))</f>
        <v xml:space="preserve">April 2024 Salary scale </v>
      </c>
      <c r="I1164">
        <v>10</v>
      </c>
      <c r="J1164" t="s">
        <v>1476</v>
      </c>
      <c r="K1164" s="85">
        <f>I1164*E1164</f>
        <v>12.444366591928251</v>
      </c>
    </row>
    <row r="1165" spans="1:11">
      <c r="A1165" t="s">
        <v>1370</v>
      </c>
      <c r="B1165" s="137" t="s">
        <v>45</v>
      </c>
      <c r="C1165" t="s">
        <v>389</v>
      </c>
      <c r="D1165" s="5" t="s">
        <v>21</v>
      </c>
      <c r="E1165" s="70">
        <f>IF(B1165="","",INDEX(Ingredients!$I$1:$I$5013,(MATCH(InterventionCosts!B1165,Ingredients!$A$1:$A$5013,0))))</f>
        <v>46</v>
      </c>
      <c r="F1165" s="5" t="str">
        <f>INDEX(Ingredients!J$1:J$265,(MATCH(InterventionCosts!B1165,Ingredients!A$1:A$265,0)))</f>
        <v>per pack 100</v>
      </c>
      <c r="G1165">
        <f>IF(B1165="","",INDEX(Ingredients!$E$1:$E$238,(MATCH(InterventionCosts!B1165,Ingredients!A$1:A$238,0))))</f>
        <v>2024</v>
      </c>
      <c r="H1165" t="str">
        <f>INDEX(Ingredients!$F$1:$F$318,(MATCH(InterventionCosts!B1165,Ingredients!A$1:A$318,0)))</f>
        <v>https://www.treasury.gov.za/divisions/ocpo/ostb/contracts/RT284-2023.zip</v>
      </c>
      <c r="I1165">
        <f>1/100</f>
        <v>0.01</v>
      </c>
      <c r="J1165" t="s">
        <v>1476</v>
      </c>
      <c r="K1165" s="85">
        <f>I1165*E1165</f>
        <v>0.46</v>
      </c>
    </row>
    <row r="1166" spans="1:11">
      <c r="A1166" t="s">
        <v>1370</v>
      </c>
      <c r="B1166" s="137" t="s">
        <v>31</v>
      </c>
      <c r="C1166" t="s">
        <v>389</v>
      </c>
      <c r="D1166" s="5" t="s">
        <v>21</v>
      </c>
      <c r="E1166" s="70">
        <f>IF(B1166="","",INDEX(Ingredients!$I$1:$I$5013,(MATCH(InterventionCosts!B1166,Ingredients!$A$1:$A$5013,0))))</f>
        <v>31.4</v>
      </c>
      <c r="F1166" s="5" t="str">
        <f>INDEX(Ingredients!J$1:J$265,(MATCH(InterventionCosts!B1166,Ingredients!A$1:A$265,0)))</f>
        <v>per 100 swabs</v>
      </c>
      <c r="G1166">
        <f>IF(B1166="","",INDEX(Ingredients!$E$1:$E$238,(MATCH(InterventionCosts!B1166,Ingredients!A$1:A$238,0))))</f>
        <v>2024</v>
      </c>
      <c r="H1166" t="str">
        <f>INDEX(Ingredients!$F$1:$F$318,(MATCH(InterventionCosts!B1166,Ingredients!A$1:A$318,0)))</f>
        <v xml:space="preserve">http://www.treasury.gov.za/divisions/ocpo/ostb/contracts/RT42-2022zip </v>
      </c>
      <c r="I1166">
        <f>1/100</f>
        <v>0.01</v>
      </c>
      <c r="J1166" t="s">
        <v>1485</v>
      </c>
      <c r="K1166" s="85">
        <f>I1166*E1166</f>
        <v>0.314</v>
      </c>
    </row>
    <row r="1167" spans="1:11">
      <c r="A1167" t="s">
        <v>1370</v>
      </c>
      <c r="B1167" s="136" t="s">
        <v>391</v>
      </c>
    </row>
    <row r="1168" spans="1:11">
      <c r="A1168" t="s">
        <v>1370</v>
      </c>
      <c r="B1168" s="137" t="s">
        <v>79</v>
      </c>
      <c r="C1168" t="s">
        <v>389</v>
      </c>
      <c r="D1168" s="5" t="s">
        <v>21</v>
      </c>
      <c r="E1168" s="70">
        <f>IF(B1168="","",INDEX(Ingredients!$I$1:$I$5013,(MATCH(InterventionCosts!B1168,Ingredients!$A$1:$A$5013,0))))</f>
        <v>9.3000000000000007</v>
      </c>
      <c r="F1168" s="5" t="str">
        <f>INDEX(Ingredients!J$1:J$265,(MATCH(InterventionCosts!B1168,Ingredients!A$1:A$265,0)))</f>
        <v>per test</v>
      </c>
      <c r="G1168">
        <f>IF(B1168="","",INDEX(Ingredients!$E$1:$E$238,(MATCH(InterventionCosts!B1168,Ingredients!A$1:A$238,0))))</f>
        <v>2024</v>
      </c>
      <c r="H1168" t="str">
        <f>INDEX(Ingredients!$F$1:$F$318,(MATCH(InterventionCosts!B1168,Ingredients!A$1:A$318,0)))</f>
        <v>https://www.treasury.gov.za/divisions/ocpo/ostb/contracts/RT41-2020.zip</v>
      </c>
      <c r="I1168">
        <v>1</v>
      </c>
      <c r="J1168" t="s">
        <v>1472</v>
      </c>
      <c r="K1168" s="85">
        <f>I1168*E1168</f>
        <v>9.3000000000000007</v>
      </c>
    </row>
    <row r="1169" spans="1:11">
      <c r="A1169" t="s">
        <v>1370</v>
      </c>
      <c r="B1169" s="137" t="s">
        <v>54</v>
      </c>
      <c r="C1169" t="s">
        <v>389</v>
      </c>
      <c r="D1169" t="s">
        <v>48</v>
      </c>
      <c r="E1169" s="70">
        <f>IF(B1169="","",INDEX(Ingredients!$I$1:$I$5013,(MATCH(InterventionCosts!B1169,Ingredients!$A$1:$A$5013,0))))</f>
        <v>1.2444366591928251</v>
      </c>
      <c r="F1169" s="5" t="str">
        <f>INDEX(Ingredients!J$1:J$265,(MATCH(InterventionCosts!B1169,Ingredients!A$1:A$265,0)))</f>
        <v>per minute</v>
      </c>
      <c r="G1169">
        <f>IF(B1169="","",INDEX(Ingredients!$E$1:$E$238,(MATCH(InterventionCosts!B1169,Ingredients!A$1:A$238,0))))</f>
        <v>2024</v>
      </c>
      <c r="H1169" t="str">
        <f>INDEX(Ingredients!$F$1:$F$318,(MATCH(InterventionCosts!B1169,Ingredients!A$1:A$318,0)))</f>
        <v xml:space="preserve">April 2024 Salary scale </v>
      </c>
      <c r="I1169">
        <v>15</v>
      </c>
      <c r="J1169" s="133" t="s">
        <v>395</v>
      </c>
      <c r="K1169" s="85">
        <f>I1169*E1169</f>
        <v>18.666549887892376</v>
      </c>
    </row>
    <row r="1170" spans="1:11">
      <c r="A1170" t="s">
        <v>1370</v>
      </c>
      <c r="B1170" s="137" t="s">
        <v>1489</v>
      </c>
      <c r="C1170" t="s">
        <v>389</v>
      </c>
      <c r="D1170" s="5" t="s">
        <v>21</v>
      </c>
      <c r="E1170" s="70">
        <f>IF(B1170="","",INDEX(Ingredients!$I$1:$I$5013,(MATCH(InterventionCosts!B1170,Ingredients!$A$1:$A$5013,0))))</f>
        <v>53.08</v>
      </c>
      <c r="F1170" s="5" t="str">
        <f>INDEX(Ingredients!J$1:J$265,(MATCH(InterventionCosts!B1170,Ingredients!A$1:A$265,0)))</f>
        <v>per pack 100, 50 pairs</v>
      </c>
      <c r="G1170">
        <f>IF(B1170="","",INDEX(Ingredients!$E$1:$E$238,(MATCH(InterventionCosts!B1170,Ingredients!A$1:A$238,0))))</f>
        <v>2024</v>
      </c>
      <c r="H1170" t="str">
        <f>INDEX(Ingredients!$F$1:$F$318,(MATCH(InterventionCosts!B1170,Ingredients!A$1:A$318,0)))</f>
        <v>https://www.treasury.gov.za/divisions/ocpo/ostb/contracts/RT76-2023%20CPA%20Amendment%204-%20Effective%2001%20May%202024.pdf</v>
      </c>
      <c r="I1170">
        <f>2/100</f>
        <v>0.02</v>
      </c>
      <c r="J1170" t="s">
        <v>1483</v>
      </c>
      <c r="K1170" s="85">
        <f>I1170*E1170</f>
        <v>1.0615999999999999</v>
      </c>
    </row>
    <row r="1171" spans="1:11">
      <c r="A1171" t="s">
        <v>1370</v>
      </c>
      <c r="B1171" s="137" t="s">
        <v>31</v>
      </c>
      <c r="C1171" t="s">
        <v>389</v>
      </c>
      <c r="D1171" s="5" t="s">
        <v>21</v>
      </c>
      <c r="E1171" s="70">
        <f>IF(B1171="","",INDEX(Ingredients!$I$1:$I$5013,(MATCH(InterventionCosts!B1171,Ingredients!$A$1:$A$5013,0))))</f>
        <v>31.4</v>
      </c>
      <c r="F1171" s="5" t="str">
        <f>INDEX(Ingredients!J$1:J$265,(MATCH(InterventionCosts!B1171,Ingredients!A$1:A$265,0)))</f>
        <v>per 100 swabs</v>
      </c>
      <c r="G1171">
        <f>IF(B1171="","",INDEX(Ingredients!$E$1:$E$238,(MATCH(InterventionCosts!B1171,Ingredients!A$1:A$238,0))))</f>
        <v>2024</v>
      </c>
      <c r="H1171" t="str">
        <f>INDEX(Ingredients!$F$1:$F$318,(MATCH(InterventionCosts!B1171,Ingredients!A$1:A$318,0)))</f>
        <v xml:space="preserve">http://www.treasury.gov.za/divisions/ocpo/ostb/contracts/RT42-2022zip </v>
      </c>
      <c r="I1171">
        <f>1/100</f>
        <v>0.01</v>
      </c>
      <c r="J1171" t="s">
        <v>1485</v>
      </c>
      <c r="K1171" s="85">
        <f>I1171*E1171</f>
        <v>0.314</v>
      </c>
    </row>
    <row r="1172" spans="1:11">
      <c r="A1172" t="s">
        <v>1370</v>
      </c>
      <c r="B1172" s="136" t="s">
        <v>392</v>
      </c>
      <c r="E1172" s="70"/>
      <c r="F1172" s="3" t="s">
        <v>413</v>
      </c>
      <c r="I1172" s="3">
        <v>1.83260085192333E-2</v>
      </c>
      <c r="J1172" s="3" t="s">
        <v>443</v>
      </c>
    </row>
    <row r="1173" spans="1:11">
      <c r="A1173" t="s">
        <v>1370</v>
      </c>
      <c r="B1173" s="137" t="s">
        <v>79</v>
      </c>
      <c r="C1173" t="s">
        <v>389</v>
      </c>
      <c r="D1173" s="5" t="s">
        <v>21</v>
      </c>
      <c r="E1173" s="70">
        <f>IF(B1173="","",INDEX(Ingredients!$I$1:$I$5013,(MATCH(InterventionCosts!B1173,Ingredients!$A$1:$A$5013,0))))</f>
        <v>9.3000000000000007</v>
      </c>
      <c r="F1173" s="5" t="str">
        <f>INDEX(Ingredients!J$1:J$265,(MATCH(InterventionCosts!B1173,Ingredients!A$1:A$265,0)))</f>
        <v>per test</v>
      </c>
      <c r="G1173">
        <f>IF(B1173="","",INDEX(Ingredients!$E$1:$E$238,(MATCH(InterventionCosts!B1173,Ingredients!A$1:A$238,0))))</f>
        <v>2024</v>
      </c>
      <c r="H1173" t="str">
        <f>INDEX(Ingredients!$F$1:$F$318,(MATCH(InterventionCosts!B1173,Ingredients!A$1:A$318,0)))</f>
        <v>https://www.treasury.gov.za/divisions/ocpo/ostb/contracts/RT41-2020.zip</v>
      </c>
      <c r="I1173">
        <f>I1172</f>
        <v>1.83260085192333E-2</v>
      </c>
      <c r="J1173" t="s">
        <v>413</v>
      </c>
      <c r="K1173" s="85">
        <f>I1173*E1173</f>
        <v>0.17043187922886971</v>
      </c>
    </row>
    <row r="1174" spans="1:11">
      <c r="A1174" t="s">
        <v>1370</v>
      </c>
      <c r="B1174" s="137" t="s">
        <v>54</v>
      </c>
      <c r="C1174" t="s">
        <v>389</v>
      </c>
      <c r="D1174" t="s">
        <v>48</v>
      </c>
      <c r="E1174" s="70">
        <f>IF(B1174="","",INDEX(Ingredients!$I$1:$I$5013,(MATCH(InterventionCosts!B1174,Ingredients!$A$1:$A$5013,0))))</f>
        <v>1.2444366591928251</v>
      </c>
      <c r="F1174" s="5" t="str">
        <f>INDEX(Ingredients!J$1:J$265,(MATCH(InterventionCosts!B1174,Ingredients!A$1:A$265,0)))</f>
        <v>per minute</v>
      </c>
      <c r="G1174">
        <f>IF(B1174="","",INDEX(Ingredients!$E$1:$E$238,(MATCH(InterventionCosts!B1174,Ingredients!A$1:A$238,0))))</f>
        <v>2024</v>
      </c>
      <c r="H1174" t="str">
        <f>INDEX(Ingredients!$F$1:$F$318,(MATCH(InterventionCosts!B1174,Ingredients!A$1:A$318,0)))</f>
        <v xml:space="preserve">April 2024 Salary scale </v>
      </c>
      <c r="I1174">
        <f>(15+1/(1-I1172))*I1172</f>
        <v>0.29355824844593909</v>
      </c>
      <c r="J1174" s="133" t="s">
        <v>414</v>
      </c>
      <c r="K1174" s="85">
        <f>I1174*E1174</f>
        <v>0.36531464597456176</v>
      </c>
    </row>
    <row r="1175" spans="1:11">
      <c r="A1175" t="s">
        <v>1370</v>
      </c>
      <c r="B1175" s="137" t="s">
        <v>1489</v>
      </c>
      <c r="C1175" t="s">
        <v>389</v>
      </c>
      <c r="D1175" s="5" t="s">
        <v>21</v>
      </c>
      <c r="E1175" s="70">
        <f>IF(B1175="","",INDEX(Ingredients!$I$1:$I$5013,(MATCH(InterventionCosts!B1175,Ingredients!$A$1:$A$5013,0))))</f>
        <v>53.08</v>
      </c>
      <c r="F1175" s="5" t="str">
        <f>INDEX(Ingredients!J$1:J$265,(MATCH(InterventionCosts!B1175,Ingredients!A$1:A$265,0)))</f>
        <v>per pack 100, 50 pairs</v>
      </c>
      <c r="G1175">
        <f>IF(B1175="","",INDEX(Ingredients!$E$1:$E$238,(MATCH(InterventionCosts!B1175,Ingredients!A$1:A$238,0))))</f>
        <v>2024</v>
      </c>
      <c r="H1175" t="str">
        <f>INDEX(Ingredients!$F$1:$F$318,(MATCH(InterventionCosts!B1175,Ingredients!A$1:A$318,0)))</f>
        <v>https://www.treasury.gov.za/divisions/ocpo/ostb/contracts/RT76-2023%20CPA%20Amendment%204-%20Effective%2001%20May%202024.pdf</v>
      </c>
      <c r="I1175">
        <f>2/100*I1172</f>
        <v>3.6652017038466602E-4</v>
      </c>
      <c r="J1175" t="s">
        <v>1480</v>
      </c>
      <c r="K1175" s="85">
        <f>I1175*E1175</f>
        <v>1.9454890644018071E-2</v>
      </c>
    </row>
    <row r="1176" spans="1:11">
      <c r="A1176" t="s">
        <v>1370</v>
      </c>
      <c r="B1176" s="137" t="s">
        <v>31</v>
      </c>
      <c r="C1176" t="s">
        <v>389</v>
      </c>
      <c r="D1176" s="5" t="s">
        <v>21</v>
      </c>
      <c r="E1176" s="70">
        <f>IF(B1176="","",INDEX(Ingredients!$I$1:$I$5013,(MATCH(InterventionCosts!B1176,Ingredients!$A$1:$A$5013,0))))</f>
        <v>31.4</v>
      </c>
      <c r="F1176" s="5" t="str">
        <f>INDEX(Ingredients!J$1:J$265,(MATCH(InterventionCosts!B1176,Ingredients!A$1:A$265,0)))</f>
        <v>per 100 swabs</v>
      </c>
      <c r="G1176">
        <f>IF(B1176="","",INDEX(Ingredients!$E$1:$E$238,(MATCH(InterventionCosts!B1176,Ingredients!A$1:A$238,0))))</f>
        <v>2024</v>
      </c>
      <c r="H1176" t="str">
        <f>INDEX(Ingredients!$F$1:$F$318,(MATCH(InterventionCosts!B1176,Ingredients!A$1:A$318,0)))</f>
        <v xml:space="preserve">http://www.treasury.gov.za/divisions/ocpo/ostb/contracts/RT42-2022zip </v>
      </c>
      <c r="I1176">
        <f>1/100*I1172</f>
        <v>1.8326008519233301E-4</v>
      </c>
      <c r="J1176" t="s">
        <v>1479</v>
      </c>
      <c r="K1176" s="135">
        <f>I1176*E1176</f>
        <v>5.7543666750392566E-3</v>
      </c>
    </row>
    <row r="1177" spans="1:11">
      <c r="A1177" t="s">
        <v>1370</v>
      </c>
      <c r="B1177" s="136" t="s">
        <v>393</v>
      </c>
      <c r="F1177" s="5"/>
    </row>
    <row r="1178" spans="1:11">
      <c r="A1178" t="s">
        <v>1370</v>
      </c>
      <c r="B1178" s="137" t="s">
        <v>77</v>
      </c>
      <c r="C1178" t="s">
        <v>389</v>
      </c>
      <c r="D1178" t="s">
        <v>75</v>
      </c>
      <c r="E1178" s="70">
        <f>IF(B1178="","",INDEX(Ingredients!$I$1:$I$5013,(MATCH(InterventionCosts!B1178,Ingredients!$A$1:$A$5013,0))))</f>
        <v>71.889951748999991</v>
      </c>
      <c r="F1178" s="5" t="str">
        <f>INDEX(Ingredients!J$1:J$265,(MATCH(InterventionCosts!B1178,Ingredients!A$1:A$265,0)))</f>
        <v>per test</v>
      </c>
      <c r="G1178">
        <f>IF(B1178="","",INDEX(Ingredients!$E$1:$E$238,(MATCH(InterventionCosts!B1178,Ingredients!A$1:A$238,0))))</f>
        <v>2021</v>
      </c>
      <c r="H1178" t="str">
        <f>INDEX(Ingredients!$F$1:$F$318,(MATCH(InterventionCosts!B1178,Ingredients!A$1:A$318,0)))</f>
        <v>NHLS 2021 price-list</v>
      </c>
      <c r="I1178">
        <v>0.02</v>
      </c>
      <c r="J1178" s="85" t="s">
        <v>397</v>
      </c>
      <c r="K1178" s="85">
        <f>I1178*E1178</f>
        <v>1.4377990349799998</v>
      </c>
    </row>
    <row r="1179" spans="1:11">
      <c r="A1179" t="s">
        <v>1370</v>
      </c>
      <c r="B1179" s="137" t="s">
        <v>54</v>
      </c>
      <c r="C1179" t="s">
        <v>389</v>
      </c>
      <c r="D1179" t="s">
        <v>48</v>
      </c>
      <c r="E1179" s="70">
        <f>IF(B1179="","",INDEX(Ingredients!$I$1:$I$5013,(MATCH(InterventionCosts!B1179,Ingredients!$A$1:$A$5013,0))))</f>
        <v>1.2444366591928251</v>
      </c>
      <c r="F1179" s="5" t="str">
        <f>INDEX(Ingredients!J$1:J$265,(MATCH(InterventionCosts!B1179,Ingredients!A$1:A$265,0)))</f>
        <v>per minute</v>
      </c>
      <c r="G1179">
        <f>IF(B1179="","",INDEX(Ingredients!$E$1:$E$238,(MATCH(InterventionCosts!B1179,Ingredients!A$1:A$238,0))))</f>
        <v>2024</v>
      </c>
      <c r="H1179" t="str">
        <f>INDEX(Ingredients!$F$1:$F$318,(MATCH(InterventionCosts!B1179,Ingredients!A$1:A$318,0)))</f>
        <v xml:space="preserve">April 2024 Salary scale </v>
      </c>
      <c r="I1179">
        <f>15*I1178</f>
        <v>0.3</v>
      </c>
      <c r="J1179" s="133" t="s">
        <v>414</v>
      </c>
      <c r="K1179" s="85">
        <f>I1179*E1179</f>
        <v>0.3733309977578475</v>
      </c>
    </row>
    <row r="1180" spans="1:11">
      <c r="A1180" t="s">
        <v>1370</v>
      </c>
      <c r="B1180" s="137" t="s">
        <v>1489</v>
      </c>
      <c r="C1180" t="s">
        <v>389</v>
      </c>
      <c r="D1180" s="5" t="s">
        <v>21</v>
      </c>
      <c r="E1180" s="70">
        <f>IF(B1180="","",INDEX(Ingredients!$I$1:$I$5013,(MATCH(InterventionCosts!B1180,Ingredients!$A$1:$A$5013,0))))</f>
        <v>53.08</v>
      </c>
      <c r="F1180" s="5" t="str">
        <f>INDEX(Ingredients!J$1:J$265,(MATCH(InterventionCosts!B1180,Ingredients!A$1:A$265,0)))</f>
        <v>per pack 100, 50 pairs</v>
      </c>
      <c r="G1180">
        <f>IF(B1180="","",INDEX(Ingredients!$E$1:$E$238,(MATCH(InterventionCosts!B1180,Ingredients!A$1:A$238,0))))</f>
        <v>2024</v>
      </c>
      <c r="H1180" t="str">
        <f>INDEX(Ingredients!$F$1:$F$318,(MATCH(InterventionCosts!B1180,Ingredients!A$1:A$318,0)))</f>
        <v>https://www.treasury.gov.za/divisions/ocpo/ostb/contracts/RT76-2023%20CPA%20Amendment%204-%20Effective%2001%20May%202024.pdf</v>
      </c>
      <c r="I1180">
        <f>2/100*I1178</f>
        <v>4.0000000000000002E-4</v>
      </c>
      <c r="J1180" s="85" t="s">
        <v>397</v>
      </c>
      <c r="K1180" s="85">
        <f>I1180*E1180</f>
        <v>2.1232000000000001E-2</v>
      </c>
    </row>
    <row r="1181" spans="1:11">
      <c r="A1181" t="s">
        <v>1370</v>
      </c>
      <c r="B1181" s="137" t="s">
        <v>45</v>
      </c>
      <c r="C1181" t="s">
        <v>389</v>
      </c>
      <c r="D1181" s="5" t="s">
        <v>21</v>
      </c>
      <c r="E1181" s="70">
        <f>IF(B1181="","",INDEX(Ingredients!$I$1:$I$5013,(MATCH(InterventionCosts!B1181,Ingredients!$A$1:$A$5013,0))))</f>
        <v>46</v>
      </c>
      <c r="F1181" s="5" t="str">
        <f>INDEX(Ingredients!J$1:J$265,(MATCH(InterventionCosts!B1181,Ingredients!A$1:A$265,0)))</f>
        <v>per pack 100</v>
      </c>
      <c r="G1181">
        <f>IF(B1181="","",INDEX(Ingredients!$E$1:$E$238,(MATCH(InterventionCosts!B1181,Ingredients!A$1:A$238,0))))</f>
        <v>2024</v>
      </c>
      <c r="H1181" t="str">
        <f>INDEX(Ingredients!$F$1:$F$318,(MATCH(InterventionCosts!B1181,Ingredients!A$1:A$318,0)))</f>
        <v>https://www.treasury.gov.za/divisions/ocpo/ostb/contracts/RT284-2023.zip</v>
      </c>
      <c r="I1181">
        <f>1/100*I1178</f>
        <v>2.0000000000000001E-4</v>
      </c>
      <c r="J1181" s="85" t="s">
        <v>397</v>
      </c>
      <c r="K1181" s="135">
        <f>I1181*E1181</f>
        <v>9.1999999999999998E-3</v>
      </c>
    </row>
    <row r="1182" spans="1:11">
      <c r="A1182" t="s">
        <v>1370</v>
      </c>
      <c r="B1182" s="137" t="s">
        <v>31</v>
      </c>
      <c r="C1182" t="s">
        <v>389</v>
      </c>
      <c r="D1182" s="5" t="s">
        <v>21</v>
      </c>
      <c r="E1182" s="70">
        <f>IF(B1182="","",INDEX(Ingredients!$I$1:$I$5013,(MATCH(InterventionCosts!B1182,Ingredients!$A$1:$A$5013,0))))</f>
        <v>31.4</v>
      </c>
      <c r="F1182" s="5" t="str">
        <f>INDEX(Ingredients!J$1:J$265,(MATCH(InterventionCosts!B1182,Ingredients!A$1:A$265,0)))</f>
        <v>per 100 swabs</v>
      </c>
      <c r="G1182">
        <f>IF(B1182="","",INDEX(Ingredients!$E$1:$E$238,(MATCH(InterventionCosts!B1182,Ingredients!A$1:A$238,0))))</f>
        <v>2024</v>
      </c>
      <c r="H1182" t="str">
        <f>INDEX(Ingredients!$F$1:$F$318,(MATCH(InterventionCosts!B1182,Ingredients!A$1:A$318,0)))</f>
        <v xml:space="preserve">http://www.treasury.gov.za/divisions/ocpo/ostb/contracts/RT42-2022zip </v>
      </c>
      <c r="I1182">
        <f>1/100*I1178</f>
        <v>2.0000000000000001E-4</v>
      </c>
      <c r="J1182" s="85" t="s">
        <v>397</v>
      </c>
      <c r="K1182" s="135">
        <f>I1182*E1182</f>
        <v>6.28E-3</v>
      </c>
    </row>
    <row r="1183" spans="1:11">
      <c r="A1183" t="s">
        <v>1370</v>
      </c>
      <c r="B1183" s="136" t="s">
        <v>405</v>
      </c>
    </row>
    <row r="1184" spans="1:11">
      <c r="A1184" t="s">
        <v>1370</v>
      </c>
      <c r="B1184" s="137" t="s">
        <v>54</v>
      </c>
      <c r="C1184" t="s">
        <v>389</v>
      </c>
      <c r="D1184" t="s">
        <v>48</v>
      </c>
      <c r="E1184" s="70">
        <f>IF(B1184="","",INDEX(Ingredients!$I$1:$I$5013,(MATCH(InterventionCosts!B1184,Ingredients!$A$1:$A$5013,0))))</f>
        <v>1.2444366591928251</v>
      </c>
      <c r="F1184" s="5" t="str">
        <f>INDEX(Ingredients!J$1:J$265,(MATCH(InterventionCosts!B1184,Ingredients!A$1:A$265,0)))</f>
        <v>per minute</v>
      </c>
      <c r="G1184">
        <f>IF(B1184="","",INDEX(Ingredients!$E$1:$E$238,(MATCH(InterventionCosts!B1184,Ingredients!A$1:A$238,0))))</f>
        <v>2024</v>
      </c>
      <c r="H1184" t="str">
        <f>INDEX(Ingredients!$F$1:$F$318,(MATCH(InterventionCosts!B1184,Ingredients!A$1:A$318,0)))</f>
        <v xml:space="preserve">April 2024 Salary scale </v>
      </c>
      <c r="I1184">
        <v>5</v>
      </c>
      <c r="J1184" s="133" t="s">
        <v>406</v>
      </c>
      <c r="K1184" s="85">
        <f>I1184*E1184</f>
        <v>6.2221832959641254</v>
      </c>
    </row>
    <row r="1185" spans="1:12">
      <c r="A1185" t="s">
        <v>1370</v>
      </c>
      <c r="B1185" s="139" t="s">
        <v>401</v>
      </c>
      <c r="C1185" t="s">
        <v>389</v>
      </c>
      <c r="D1185" s="5" t="s">
        <v>21</v>
      </c>
      <c r="E1185" s="70">
        <f>IF(B1185="","",INDEX(Ingredients!$I$1:$I$5013,(MATCH(InterventionCosts!B1185,Ingredients!$A$1:$A$5013,0))))</f>
        <v>4.8734277524838099</v>
      </c>
      <c r="F1185" s="5" t="str">
        <f>INDEX(Ingredients!J$1:J$265,(MATCH(InterventionCosts!B1185,Ingredients!A$1:A$265,0)))</f>
        <v>per test</v>
      </c>
      <c r="G1185">
        <f>IF(B1185="","",INDEX(Ingredients!$E$1:$E$238,(MATCH(InterventionCosts!B1185,Ingredients!A$1:A$238,0))))</f>
        <v>2019</v>
      </c>
      <c r="H1185" t="str">
        <f>INDEX(Ingredients!$F$1:$F$318,(MATCH(InterventionCosts!B1185,Ingredients!A$1:A$318,0)))</f>
        <v>Kendon Medical Supplies Pty Ltd, quote (19 Aug 2019)</v>
      </c>
      <c r="I1185">
        <v>1</v>
      </c>
      <c r="J1185" t="s">
        <v>1476</v>
      </c>
      <c r="K1185" s="85">
        <f>I1185*E1185</f>
        <v>4.8734277524838099</v>
      </c>
    </row>
    <row r="1186" spans="1:12">
      <c r="A1186" t="s">
        <v>1370</v>
      </c>
      <c r="B1186" s="140" t="s">
        <v>412</v>
      </c>
      <c r="C1186" s="141"/>
      <c r="D1186" s="141"/>
      <c r="E1186" s="157" t="s">
        <v>1129</v>
      </c>
      <c r="F1186" s="439">
        <f>'Summary of unit costs'!$B$38</f>
        <v>12</v>
      </c>
      <c r="G1186" s="141"/>
      <c r="H1186" s="141"/>
      <c r="I1186" s="157">
        <f>FLOOR((F1186-1)/2,1)</f>
        <v>5</v>
      </c>
      <c r="J1186" s="157" t="s">
        <v>1573</v>
      </c>
      <c r="K1186" s="143"/>
    </row>
    <row r="1187" spans="1:12">
      <c r="A1187" t="s">
        <v>1370</v>
      </c>
      <c r="B1187" s="136" t="s">
        <v>411</v>
      </c>
      <c r="L1187" s="145"/>
    </row>
    <row r="1188" spans="1:12">
      <c r="A1188" t="s">
        <v>1370</v>
      </c>
      <c r="B1188" s="137" t="s">
        <v>449</v>
      </c>
      <c r="C1188" t="s">
        <v>389</v>
      </c>
      <c r="D1188" t="s">
        <v>70</v>
      </c>
      <c r="E1188" s="70">
        <f>IF(B1188="","",INDEX(Ingredients!$I$1:$I$5013,(MATCH(InterventionCosts!B1188,Ingredients!$A$1:$A$5013,0))))</f>
        <v>535.00106288275867</v>
      </c>
      <c r="F1188" s="5" t="str">
        <f>INDEX(Ingredients!J$1:J$265,(MATCH(InterventionCosts!B1188,Ingredients!A$1:A$265,0)))</f>
        <v>per injection</v>
      </c>
      <c r="G1188">
        <f>IF(B1188="","",INDEX(Ingredients!$E$1:$E$238,(MATCH(InterventionCosts!B1188,Ingredients!A$1:A$238,0))))</f>
        <v>2024</v>
      </c>
      <c r="H1188" t="str">
        <f>INDEX(Ingredients!$F$1:$F$318,(MATCH(InterventionCosts!B1188,Ingredients!A$1:A$318,0)))</f>
        <v>24.50 GBP (email from Hasina, official letter from GSK), 1 GBP = 1.22 USD (on 02 Nov 2023)</v>
      </c>
      <c r="I1188">
        <f>I1186*1</f>
        <v>5</v>
      </c>
      <c r="J1188" t="s">
        <v>1486</v>
      </c>
      <c r="K1188" s="85">
        <f>I1188*E1188</f>
        <v>2675.0053144137933</v>
      </c>
    </row>
    <row r="1189" spans="1:12">
      <c r="A1189" t="s">
        <v>1370</v>
      </c>
      <c r="B1189" s="137" t="s">
        <v>354</v>
      </c>
      <c r="C1189" t="s">
        <v>389</v>
      </c>
      <c r="D1189" t="s">
        <v>48</v>
      </c>
      <c r="E1189" s="70">
        <f>IF(B1189="","",INDEX(Ingredients!$I$1:$I$5013,(MATCH(InterventionCosts!B1189,Ingredients!$A$1:$A$5013,0))))</f>
        <v>4.8996605630293981</v>
      </c>
      <c r="F1189" s="5" t="str">
        <f>INDEX(Ingredients!J$1:J$265,(MATCH(InterventionCosts!B1189,Ingredients!A$1:A$265,0)))</f>
        <v>per minute</v>
      </c>
      <c r="G1189">
        <f>IF(B1189="","",INDEX(Ingredients!$E$1:$E$238,(MATCH(InterventionCosts!B1189,Ingredients!A$1:A$238,0))))</f>
        <v>2024</v>
      </c>
      <c r="H1189" t="str">
        <f>INDEX(Ingredients!$F$1:$F$318,(MATCH(InterventionCosts!B1189,Ingredients!A$1:A$318,0)))</f>
        <v xml:space="preserve">April 2024 Salary scale </v>
      </c>
      <c r="I1189">
        <f>I1186*5</f>
        <v>25</v>
      </c>
      <c r="J1189" t="s">
        <v>1476</v>
      </c>
      <c r="K1189" s="85">
        <f>I1189*E1189</f>
        <v>122.49151407573495</v>
      </c>
    </row>
    <row r="1190" spans="1:12">
      <c r="A1190" t="s">
        <v>1370</v>
      </c>
      <c r="B1190" s="137" t="s">
        <v>54</v>
      </c>
      <c r="C1190" t="s">
        <v>389</v>
      </c>
      <c r="D1190" t="s">
        <v>48</v>
      </c>
      <c r="E1190" s="70">
        <f>IF(B1190="","",INDEX(Ingredients!$I$1:$I$5013,(MATCH(InterventionCosts!B1190,Ingredients!$A$1:$A$5013,0))))</f>
        <v>1.2444366591928251</v>
      </c>
      <c r="F1190" s="5" t="str">
        <f>INDEX(Ingredients!J$1:J$265,(MATCH(InterventionCosts!B1190,Ingredients!A$1:A$265,0)))</f>
        <v>per minute</v>
      </c>
      <c r="G1190">
        <f>IF(B1190="","",INDEX(Ingredients!$E$1:$E$238,(MATCH(InterventionCosts!B1190,Ingredients!A$1:A$238,0))))</f>
        <v>2024</v>
      </c>
      <c r="H1190" t="str">
        <f>INDEX(Ingredients!$F$1:$F$318,(MATCH(InterventionCosts!B1190,Ingredients!A$1:A$318,0)))</f>
        <v xml:space="preserve">April 2024 Salary scale </v>
      </c>
      <c r="I1190">
        <f>I1186*10</f>
        <v>50</v>
      </c>
      <c r="J1190" t="s">
        <v>1476</v>
      </c>
      <c r="K1190" s="85">
        <f>I1190*E1190</f>
        <v>62.221832959641254</v>
      </c>
    </row>
    <row r="1191" spans="1:12">
      <c r="A1191" t="s">
        <v>1370</v>
      </c>
      <c r="B1191" s="137" t="s">
        <v>45</v>
      </c>
      <c r="C1191" t="s">
        <v>389</v>
      </c>
      <c r="D1191" s="5" t="s">
        <v>21</v>
      </c>
      <c r="E1191" s="70">
        <f>IF(B1191="","",INDEX(Ingredients!$I$1:$I$5013,(MATCH(InterventionCosts!B1191,Ingredients!$A$1:$A$5013,0))))</f>
        <v>46</v>
      </c>
      <c r="F1191" s="5" t="str">
        <f>INDEX(Ingredients!J$1:J$265,(MATCH(InterventionCosts!B1191,Ingredients!A$1:A$265,0)))</f>
        <v>per pack 100</v>
      </c>
      <c r="G1191">
        <f>IF(B1191="","",INDEX(Ingredients!$E$1:$E$238,(MATCH(InterventionCosts!B1191,Ingredients!A$1:A$238,0))))</f>
        <v>2024</v>
      </c>
      <c r="H1191" t="str">
        <f>INDEX(Ingredients!$F$1:$F$318,(MATCH(InterventionCosts!B1191,Ingredients!A$1:A$318,0)))</f>
        <v>https://www.treasury.gov.za/divisions/ocpo/ostb/contracts/RT284-2023.zip</v>
      </c>
      <c r="I1191">
        <f>I1186*1/100</f>
        <v>0.05</v>
      </c>
      <c r="J1191" t="s">
        <v>1476</v>
      </c>
      <c r="K1191" s="85">
        <f>I1191*E1191</f>
        <v>2.3000000000000003</v>
      </c>
    </row>
    <row r="1192" spans="1:12">
      <c r="A1192" t="s">
        <v>1370</v>
      </c>
      <c r="B1192" s="137" t="s">
        <v>31</v>
      </c>
      <c r="C1192" t="s">
        <v>389</v>
      </c>
      <c r="D1192" s="5" t="s">
        <v>21</v>
      </c>
      <c r="E1192" s="70">
        <f>IF(B1192="","",INDEX(Ingredients!$I$1:$I$5013,(MATCH(InterventionCosts!B1192,Ingredients!$A$1:$A$5013,0))))</f>
        <v>31.4</v>
      </c>
      <c r="F1192" s="5" t="str">
        <f>INDEX(Ingredients!J$1:J$265,(MATCH(InterventionCosts!B1192,Ingredients!A$1:A$265,0)))</f>
        <v>per 100 swabs</v>
      </c>
      <c r="G1192">
        <f>IF(B1192="","",INDEX(Ingredients!$E$1:$E$238,(MATCH(InterventionCosts!B1192,Ingredients!A$1:A$238,0))))</f>
        <v>2024</v>
      </c>
      <c r="H1192" t="str">
        <f>INDEX(Ingredients!$F$1:$F$318,(MATCH(InterventionCosts!B1192,Ingredients!A$1:A$318,0)))</f>
        <v xml:space="preserve">http://www.treasury.gov.za/divisions/ocpo/ostb/contracts/RT42-2022zip </v>
      </c>
      <c r="I1192">
        <f>I1186*1/100</f>
        <v>0.05</v>
      </c>
      <c r="J1192" t="s">
        <v>1476</v>
      </c>
      <c r="K1192" s="85">
        <f>I1192*E1192</f>
        <v>1.57</v>
      </c>
    </row>
    <row r="1193" spans="1:12">
      <c r="A1193" t="s">
        <v>1370</v>
      </c>
      <c r="B1193" s="136" t="s">
        <v>405</v>
      </c>
    </row>
    <row r="1194" spans="1:12">
      <c r="A1194" t="s">
        <v>1370</v>
      </c>
      <c r="B1194" s="137" t="s">
        <v>54</v>
      </c>
      <c r="C1194" t="s">
        <v>389</v>
      </c>
      <c r="D1194" t="s">
        <v>48</v>
      </c>
      <c r="E1194" s="70">
        <f>IF(B1194="","",INDEX(Ingredients!$I$1:$I$5013,(MATCH(InterventionCosts!B1194,Ingredients!$A$1:$A$5013,0))))</f>
        <v>1.2444366591928251</v>
      </c>
      <c r="F1194" s="5" t="str">
        <f>INDEX(Ingredients!J$1:J$265,(MATCH(InterventionCosts!B1194,Ingredients!A$1:A$265,0)))</f>
        <v>per minute</v>
      </c>
      <c r="G1194">
        <f>IF(B1194="","",INDEX(Ingredients!$E$1:$E$238,(MATCH(InterventionCosts!B1194,Ingredients!A$1:A$238,0))))</f>
        <v>2024</v>
      </c>
      <c r="H1194" t="str">
        <f>INDEX(Ingredients!$F$1:$F$318,(MATCH(InterventionCosts!B1194,Ingredients!A$1:A$318,0)))</f>
        <v xml:space="preserve">April 2024 Salary scale </v>
      </c>
      <c r="I1194">
        <f>I1186*5</f>
        <v>25</v>
      </c>
      <c r="J1194" s="133" t="s">
        <v>406</v>
      </c>
      <c r="K1194" s="85">
        <f>I1194*E1194</f>
        <v>31.110916479820627</v>
      </c>
    </row>
    <row r="1195" spans="1:12">
      <c r="A1195" t="s">
        <v>1370</v>
      </c>
      <c r="B1195" s="136" t="s">
        <v>391</v>
      </c>
    </row>
    <row r="1196" spans="1:12">
      <c r="A1196" t="s">
        <v>1370</v>
      </c>
      <c r="B1196" s="137" t="s">
        <v>79</v>
      </c>
      <c r="C1196" t="s">
        <v>389</v>
      </c>
      <c r="D1196" s="5" t="s">
        <v>21</v>
      </c>
      <c r="E1196" s="70">
        <f>IF(B1196="","",INDEX(Ingredients!$I$1:$I$5013,(MATCH(InterventionCosts!B1196,Ingredients!$A$1:$A$5013,0))))</f>
        <v>9.3000000000000007</v>
      </c>
      <c r="F1196" s="5" t="str">
        <f>INDEX(Ingredients!J$1:J$265,(MATCH(InterventionCosts!B1196,Ingredients!A$1:A$265,0)))</f>
        <v>per test</v>
      </c>
      <c r="G1196">
        <f>IF(B1196="","",INDEX(Ingredients!$E$1:$E$238,(MATCH(InterventionCosts!B1196,Ingredients!A$1:A$238,0))))</f>
        <v>2024</v>
      </c>
      <c r="H1196" t="str">
        <f>INDEX(Ingredients!$F$1:$F$318,(MATCH(InterventionCosts!B1196,Ingredients!A$1:A$318,0)))</f>
        <v>https://www.treasury.gov.za/divisions/ocpo/ostb/contracts/RT41-2020.zip</v>
      </c>
      <c r="I1196">
        <f>I1186*1</f>
        <v>5</v>
      </c>
      <c r="J1196" t="s">
        <v>1486</v>
      </c>
      <c r="K1196" s="85">
        <f>I1196*E1196</f>
        <v>46.5</v>
      </c>
    </row>
    <row r="1197" spans="1:12">
      <c r="A1197" t="s">
        <v>1370</v>
      </c>
      <c r="B1197" s="137" t="s">
        <v>54</v>
      </c>
      <c r="C1197" t="s">
        <v>389</v>
      </c>
      <c r="D1197" t="s">
        <v>48</v>
      </c>
      <c r="E1197" s="70">
        <f>IF(B1197="","",INDEX(Ingredients!$I$1:$I$5013,(MATCH(InterventionCosts!B1197,Ingredients!$A$1:$A$5013,0))))</f>
        <v>1.2444366591928251</v>
      </c>
      <c r="F1197" s="5" t="str">
        <f>INDEX(Ingredients!J$1:J$265,(MATCH(InterventionCosts!B1197,Ingredients!A$1:A$265,0)))</f>
        <v>per minute</v>
      </c>
      <c r="G1197">
        <f>IF(B1197="","",INDEX(Ingredients!$E$1:$E$238,(MATCH(InterventionCosts!B1197,Ingredients!A$1:A$238,0))))</f>
        <v>2024</v>
      </c>
      <c r="H1197" t="str">
        <f>INDEX(Ingredients!$F$1:$F$318,(MATCH(InterventionCosts!B1197,Ingredients!A$1:A$318,0)))</f>
        <v xml:space="preserve">April 2024 Salary scale </v>
      </c>
      <c r="I1197">
        <f>I1186*15</f>
        <v>75</v>
      </c>
      <c r="J1197" s="133" t="s">
        <v>395</v>
      </c>
      <c r="K1197" s="85">
        <f>I1197*E1197</f>
        <v>93.332749439461878</v>
      </c>
    </row>
    <row r="1198" spans="1:12">
      <c r="A1198" t="s">
        <v>1370</v>
      </c>
      <c r="B1198" s="137" t="s">
        <v>1489</v>
      </c>
      <c r="C1198" t="s">
        <v>389</v>
      </c>
      <c r="D1198" s="5" t="s">
        <v>21</v>
      </c>
      <c r="E1198" s="70">
        <f>IF(B1198="","",INDEX(Ingredients!$I$1:$I$5013,(MATCH(InterventionCosts!B1198,Ingredients!$A$1:$A$5013,0))))</f>
        <v>53.08</v>
      </c>
      <c r="F1198" s="5" t="str">
        <f>INDEX(Ingredients!J$1:J$265,(MATCH(InterventionCosts!B1198,Ingredients!A$1:A$265,0)))</f>
        <v>per pack 100, 50 pairs</v>
      </c>
      <c r="G1198">
        <f>IF(B1198="","",INDEX(Ingredients!$E$1:$E$238,(MATCH(InterventionCosts!B1198,Ingredients!A$1:A$238,0))))</f>
        <v>2024</v>
      </c>
      <c r="H1198" t="str">
        <f>INDEX(Ingredients!$F$1:$F$318,(MATCH(InterventionCosts!B1198,Ingredients!A$1:A$318,0)))</f>
        <v>https://www.treasury.gov.za/divisions/ocpo/ostb/contracts/RT76-2023%20CPA%20Amendment%204-%20Effective%2001%20May%202024.pdf</v>
      </c>
      <c r="I1198">
        <f>I1186*2/100</f>
        <v>0.1</v>
      </c>
      <c r="J1198" t="s">
        <v>1487</v>
      </c>
      <c r="K1198" s="85">
        <f>I1198*E1198</f>
        <v>5.3079999999999998</v>
      </c>
    </row>
    <row r="1199" spans="1:12">
      <c r="A1199" t="s">
        <v>1370</v>
      </c>
      <c r="B1199" s="137" t="s">
        <v>31</v>
      </c>
      <c r="C1199" t="s">
        <v>389</v>
      </c>
      <c r="D1199" s="5" t="s">
        <v>21</v>
      </c>
      <c r="E1199" s="70">
        <f>IF(B1199="","",INDEX(Ingredients!$I$1:$I$5013,(MATCH(InterventionCosts!B1199,Ingredients!$A$1:$A$5013,0))))</f>
        <v>31.4</v>
      </c>
      <c r="F1199" s="5" t="str">
        <f>INDEX(Ingredients!J$1:J$265,(MATCH(InterventionCosts!B1199,Ingredients!A$1:A$265,0)))</f>
        <v>per 100 swabs</v>
      </c>
      <c r="G1199">
        <f>IF(B1199="","",INDEX(Ingredients!$E$1:$E$238,(MATCH(InterventionCosts!B1199,Ingredients!A$1:A$238,0))))</f>
        <v>2024</v>
      </c>
      <c r="H1199" t="str">
        <f>INDEX(Ingredients!$F$1:$F$318,(MATCH(InterventionCosts!B1199,Ingredients!A$1:A$318,0)))</f>
        <v xml:space="preserve">http://www.treasury.gov.za/divisions/ocpo/ostb/contracts/RT42-2022zip </v>
      </c>
      <c r="I1199">
        <f>I1186*1/100</f>
        <v>0.05</v>
      </c>
      <c r="J1199" t="s">
        <v>1486</v>
      </c>
      <c r="K1199" s="85">
        <f>I1199*E1199</f>
        <v>1.57</v>
      </c>
    </row>
    <row r="1200" spans="1:12">
      <c r="A1200" t="s">
        <v>1370</v>
      </c>
      <c r="B1200" s="136" t="s">
        <v>392</v>
      </c>
      <c r="E1200" s="70"/>
      <c r="F1200" s="3" t="s">
        <v>413</v>
      </c>
      <c r="I1200" s="3">
        <v>1.83260085192333E-2</v>
      </c>
      <c r="J1200" s="3" t="s">
        <v>443</v>
      </c>
    </row>
    <row r="1201" spans="1:11">
      <c r="A1201" t="s">
        <v>1370</v>
      </c>
      <c r="B1201" s="137" t="s">
        <v>79</v>
      </c>
      <c r="C1201" t="s">
        <v>389</v>
      </c>
      <c r="D1201" s="5" t="s">
        <v>21</v>
      </c>
      <c r="E1201" s="70">
        <f>IF(B1201="","",INDEX(Ingredients!$I$1:$I$5013,(MATCH(InterventionCosts!B1201,Ingredients!$A$1:$A$5013,0))))</f>
        <v>9.3000000000000007</v>
      </c>
      <c r="F1201" s="5" t="str">
        <f>INDEX(Ingredients!J$1:J$265,(MATCH(InterventionCosts!B1201,Ingredients!A$1:A$265,0)))</f>
        <v>per test</v>
      </c>
      <c r="G1201">
        <f>IF(B1201="","",INDEX(Ingredients!$E$1:$E$238,(MATCH(InterventionCosts!B1201,Ingredients!A$1:A$238,0))))</f>
        <v>2024</v>
      </c>
      <c r="H1201" t="str">
        <f>INDEX(Ingredients!$F$1:$F$318,(MATCH(InterventionCosts!B1201,Ingredients!A$1:A$318,0)))</f>
        <v>https://www.treasury.gov.za/divisions/ocpo/ostb/contracts/RT41-2020.zip</v>
      </c>
      <c r="I1201">
        <f>I1186*I1200</f>
        <v>9.16300425961665E-2</v>
      </c>
      <c r="J1201" t="s">
        <v>413</v>
      </c>
      <c r="K1201" s="85">
        <f>I1201*E1201</f>
        <v>0.85215939614434855</v>
      </c>
    </row>
    <row r="1202" spans="1:11">
      <c r="A1202" t="s">
        <v>1370</v>
      </c>
      <c r="B1202" s="137" t="s">
        <v>54</v>
      </c>
      <c r="C1202" t="s">
        <v>389</v>
      </c>
      <c r="D1202" t="s">
        <v>48</v>
      </c>
      <c r="E1202" s="70">
        <f>IF(B1202="","",INDEX(Ingredients!$I$1:$I$5013,(MATCH(InterventionCosts!B1202,Ingredients!$A$1:$A$5013,0))))</f>
        <v>1.2444366591928251</v>
      </c>
      <c r="F1202" s="5" t="str">
        <f>INDEX(Ingredients!J$1:J$265,(MATCH(InterventionCosts!B1202,Ingredients!A$1:A$265,0)))</f>
        <v>per minute</v>
      </c>
      <c r="G1202">
        <f>IF(B1202="","",INDEX(Ingredients!$E$1:$E$238,(MATCH(InterventionCosts!B1202,Ingredients!A$1:A$238,0))))</f>
        <v>2024</v>
      </c>
      <c r="H1202" t="str">
        <f>INDEX(Ingredients!$F$1:$F$318,(MATCH(InterventionCosts!B1202,Ingredients!A$1:A$318,0)))</f>
        <v xml:space="preserve">April 2024 Salary scale </v>
      </c>
      <c r="I1202">
        <f>I1186*((15+1/(1-I1200))*I1200)</f>
        <v>1.4677912422296955</v>
      </c>
      <c r="J1202" s="133" t="s">
        <v>414</v>
      </c>
      <c r="K1202" s="85">
        <f>I1202*E1202</f>
        <v>1.826573229872809</v>
      </c>
    </row>
    <row r="1203" spans="1:11">
      <c r="A1203" t="s">
        <v>1370</v>
      </c>
      <c r="B1203" s="137" t="s">
        <v>1489</v>
      </c>
      <c r="C1203" t="s">
        <v>389</v>
      </c>
      <c r="D1203" s="5" t="s">
        <v>21</v>
      </c>
      <c r="E1203" s="70">
        <f>IF(B1203="","",INDEX(Ingredients!$I$1:$I$5013,(MATCH(InterventionCosts!B1203,Ingredients!$A$1:$A$5013,0))))</f>
        <v>53.08</v>
      </c>
      <c r="F1203" s="5" t="str">
        <f>INDEX(Ingredients!J$1:J$265,(MATCH(InterventionCosts!B1203,Ingredients!A$1:A$265,0)))</f>
        <v>per pack 100, 50 pairs</v>
      </c>
      <c r="G1203">
        <f>IF(B1203="","",INDEX(Ingredients!$E$1:$E$238,(MATCH(InterventionCosts!B1203,Ingredients!A$1:A$238,0))))</f>
        <v>2024</v>
      </c>
      <c r="H1203" t="str">
        <f>INDEX(Ingredients!$F$1:$F$318,(MATCH(InterventionCosts!B1203,Ingredients!A$1:A$318,0)))</f>
        <v>https://www.treasury.gov.za/divisions/ocpo/ostb/contracts/RT76-2023%20CPA%20Amendment%204-%20Effective%2001%20May%202024.pdf</v>
      </c>
      <c r="I1203">
        <f>I1186*(2/100*I1200)</f>
        <v>1.83260085192333E-3</v>
      </c>
      <c r="J1203" t="s">
        <v>1487</v>
      </c>
      <c r="K1203" s="85">
        <f>I1203*E1203</f>
        <v>9.7274453220090359E-2</v>
      </c>
    </row>
    <row r="1204" spans="1:11">
      <c r="A1204" t="s">
        <v>1370</v>
      </c>
      <c r="B1204" s="137" t="s">
        <v>31</v>
      </c>
      <c r="C1204" t="s">
        <v>389</v>
      </c>
      <c r="D1204" s="5" t="s">
        <v>21</v>
      </c>
      <c r="E1204" s="70">
        <f>IF(B1204="","",INDEX(Ingredients!$I$1:$I$5013,(MATCH(InterventionCosts!B1204,Ingredients!$A$1:$A$5013,0))))</f>
        <v>31.4</v>
      </c>
      <c r="F1204" s="5" t="str">
        <f>INDEX(Ingredients!J$1:J$265,(MATCH(InterventionCosts!B1204,Ingredients!A$1:A$265,0)))</f>
        <v>per 100 swabs</v>
      </c>
      <c r="G1204">
        <f>IF(B1204="","",INDEX(Ingredients!$E$1:$E$238,(MATCH(InterventionCosts!B1204,Ingredients!A$1:A$238,0))))</f>
        <v>2024</v>
      </c>
      <c r="H1204" t="str">
        <f>INDEX(Ingredients!$F$1:$F$318,(MATCH(InterventionCosts!B1204,Ingredients!A$1:A$318,0)))</f>
        <v xml:space="preserve">http://www.treasury.gov.za/divisions/ocpo/ostb/contracts/RT42-2022zip </v>
      </c>
      <c r="I1204">
        <f>I1186*(1/100*I1200)</f>
        <v>9.1630042596166502E-4</v>
      </c>
      <c r="J1204" t="s">
        <v>1486</v>
      </c>
      <c r="K1204" s="135">
        <f>I1204*E1204</f>
        <v>2.877183337519628E-2</v>
      </c>
    </row>
    <row r="1205" spans="1:11">
      <c r="A1205" t="s">
        <v>1370</v>
      </c>
      <c r="B1205" s="136" t="s">
        <v>393</v>
      </c>
      <c r="F1205" s="155" t="s">
        <v>452</v>
      </c>
      <c r="I1205" s="3">
        <v>0.02</v>
      </c>
      <c r="J1205" s="85" t="s">
        <v>397</v>
      </c>
    </row>
    <row r="1206" spans="1:11">
      <c r="A1206" t="s">
        <v>1370</v>
      </c>
      <c r="B1206" s="137" t="s">
        <v>77</v>
      </c>
      <c r="C1206" t="s">
        <v>389</v>
      </c>
      <c r="D1206" t="s">
        <v>75</v>
      </c>
      <c r="E1206" s="70">
        <f>IF(B1206="","",INDEX(Ingredients!$I$1:$I$5013,(MATCH(InterventionCosts!B1206,Ingredients!$A$1:$A$5013,0))))</f>
        <v>71.889951748999991</v>
      </c>
      <c r="F1206" s="5" t="str">
        <f>INDEX(Ingredients!J$1:J$265,(MATCH(InterventionCosts!B1206,Ingredients!A$1:A$265,0)))</f>
        <v>per test</v>
      </c>
      <c r="G1206">
        <f>IF(B1206="","",INDEX(Ingredients!$E$1:$E$238,(MATCH(InterventionCosts!B1206,Ingredients!A$1:A$238,0))))</f>
        <v>2021</v>
      </c>
      <c r="H1206" t="str">
        <f>INDEX(Ingredients!$F$1:$F$318,(MATCH(InterventionCosts!B1206,Ingredients!A$1:A$318,0)))</f>
        <v>NHLS 2021 price-list</v>
      </c>
      <c r="I1206">
        <f>I1186*I1205</f>
        <v>0.1</v>
      </c>
      <c r="J1206" s="85" t="s">
        <v>397</v>
      </c>
      <c r="K1206" s="85">
        <f t="shared" ref="K1206:K1211" si="35">I1206*E1206</f>
        <v>7.1889951748999996</v>
      </c>
    </row>
    <row r="1207" spans="1:11">
      <c r="A1207" t="s">
        <v>1370</v>
      </c>
      <c r="B1207" s="137" t="s">
        <v>54</v>
      </c>
      <c r="C1207" t="s">
        <v>389</v>
      </c>
      <c r="D1207" t="s">
        <v>48</v>
      </c>
      <c r="E1207" s="70">
        <f>IF(B1207="","",INDEX(Ingredients!$I$1:$I$5013,(MATCH(InterventionCosts!B1207,Ingredients!$A$1:$A$5013,0))))</f>
        <v>1.2444366591928251</v>
      </c>
      <c r="F1207" s="5" t="str">
        <f>INDEX(Ingredients!J$1:J$265,(MATCH(InterventionCosts!B1207,Ingredients!A$1:A$265,0)))</f>
        <v>per minute</v>
      </c>
      <c r="G1207">
        <f>IF(B1207="","",INDEX(Ingredients!$E$1:$E$238,(MATCH(InterventionCosts!B1207,Ingredients!A$1:A$238,0))))</f>
        <v>2024</v>
      </c>
      <c r="H1207" t="str">
        <f>INDEX(Ingredients!$F$1:$F$318,(MATCH(InterventionCosts!B1207,Ingredients!A$1:A$318,0)))</f>
        <v xml:space="preserve">April 2024 Salary scale </v>
      </c>
      <c r="I1207">
        <f>I1186*15*I1205</f>
        <v>1.5</v>
      </c>
      <c r="J1207" s="133" t="s">
        <v>414</v>
      </c>
      <c r="K1207" s="85">
        <f t="shared" si="35"/>
        <v>1.8666549887892376</v>
      </c>
    </row>
    <row r="1208" spans="1:11">
      <c r="A1208" t="s">
        <v>1370</v>
      </c>
      <c r="B1208" s="137" t="s">
        <v>1489</v>
      </c>
      <c r="C1208" t="s">
        <v>389</v>
      </c>
      <c r="D1208" s="5" t="s">
        <v>21</v>
      </c>
      <c r="E1208" s="70">
        <f>IF(B1208="","",INDEX(Ingredients!$I$1:$I$5013,(MATCH(InterventionCosts!B1208,Ingredients!$A$1:$A$5013,0))))</f>
        <v>53.08</v>
      </c>
      <c r="F1208" s="5" t="str">
        <f>INDEX(Ingredients!J$1:J$265,(MATCH(InterventionCosts!B1208,Ingredients!A$1:A$265,0)))</f>
        <v>per pack 100, 50 pairs</v>
      </c>
      <c r="G1208">
        <f>IF(B1208="","",INDEX(Ingredients!$E$1:$E$238,(MATCH(InterventionCosts!B1208,Ingredients!A$1:A$238,0))))</f>
        <v>2024</v>
      </c>
      <c r="H1208" t="str">
        <f>INDEX(Ingredients!$F$1:$F$318,(MATCH(InterventionCosts!B1208,Ingredients!A$1:A$318,0)))</f>
        <v>https://www.treasury.gov.za/divisions/ocpo/ostb/contracts/RT76-2023%20CPA%20Amendment%204-%20Effective%2001%20May%202024.pdf</v>
      </c>
      <c r="I1208">
        <f>I1186*2/100*I1205</f>
        <v>2E-3</v>
      </c>
      <c r="J1208" s="85" t="s">
        <v>397</v>
      </c>
      <c r="K1208" s="85">
        <f t="shared" si="35"/>
        <v>0.10616</v>
      </c>
    </row>
    <row r="1209" spans="1:11">
      <c r="A1209" t="s">
        <v>1370</v>
      </c>
      <c r="B1209" s="137" t="s">
        <v>45</v>
      </c>
      <c r="C1209" t="s">
        <v>389</v>
      </c>
      <c r="D1209" s="5" t="s">
        <v>21</v>
      </c>
      <c r="E1209" s="70">
        <f>IF(B1209="","",INDEX(Ingredients!$I$1:$I$5013,(MATCH(InterventionCosts!B1209,Ingredients!$A$1:$A$5013,0))))</f>
        <v>46</v>
      </c>
      <c r="F1209" s="5" t="str">
        <f>INDEX(Ingredients!J$1:J$265,(MATCH(InterventionCosts!B1209,Ingredients!A$1:A$265,0)))</f>
        <v>per pack 100</v>
      </c>
      <c r="G1209">
        <f>IF(B1209="","",INDEX(Ingredients!$E$1:$E$238,(MATCH(InterventionCosts!B1209,Ingredients!A$1:A$238,0))))</f>
        <v>2024</v>
      </c>
      <c r="H1209" t="str">
        <f>INDEX(Ingredients!$F$1:$F$318,(MATCH(InterventionCosts!B1209,Ingredients!A$1:A$318,0)))</f>
        <v>https://www.treasury.gov.za/divisions/ocpo/ostb/contracts/RT284-2023.zip</v>
      </c>
      <c r="I1209">
        <f>I1186*1/100*I1205</f>
        <v>1E-3</v>
      </c>
      <c r="J1209" t="s">
        <v>1487</v>
      </c>
      <c r="K1209" s="135">
        <f t="shared" si="35"/>
        <v>4.5999999999999999E-2</v>
      </c>
    </row>
    <row r="1210" spans="1:11">
      <c r="A1210" t="s">
        <v>1370</v>
      </c>
      <c r="B1210" s="137" t="s">
        <v>31</v>
      </c>
      <c r="C1210" t="s">
        <v>389</v>
      </c>
      <c r="D1210" s="5" t="s">
        <v>21</v>
      </c>
      <c r="E1210" s="70">
        <f>IF(B1210="","",INDEX(Ingredients!$I$1:$I$5013,(MATCH(InterventionCosts!B1210,Ingredients!$A$1:$A$5013,0))))</f>
        <v>31.4</v>
      </c>
      <c r="F1210" s="5" t="str">
        <f>INDEX(Ingredients!J$1:J$265,(MATCH(InterventionCosts!B1210,Ingredients!A$1:A$265,0)))</f>
        <v>per 100 swabs</v>
      </c>
      <c r="G1210">
        <f>IF(B1210="","",INDEX(Ingredients!$E$1:$E$238,(MATCH(InterventionCosts!B1210,Ingredients!A$1:A$238,0))))</f>
        <v>2024</v>
      </c>
      <c r="H1210" t="str">
        <f>INDEX(Ingredients!$F$1:$F$318,(MATCH(InterventionCosts!B1210,Ingredients!A$1:A$318,0)))</f>
        <v xml:space="preserve">http://www.treasury.gov.za/divisions/ocpo/ostb/contracts/RT42-2022zip </v>
      </c>
      <c r="I1210">
        <f>I1186*1/100*I1205</f>
        <v>1E-3</v>
      </c>
      <c r="J1210" t="s">
        <v>1486</v>
      </c>
      <c r="K1210" s="135">
        <f t="shared" si="35"/>
        <v>3.1399999999999997E-2</v>
      </c>
    </row>
    <row r="1211" spans="1:11">
      <c r="A1211" t="s">
        <v>1370</v>
      </c>
      <c r="B1211" s="139" t="s">
        <v>401</v>
      </c>
      <c r="C1211" t="s">
        <v>389</v>
      </c>
      <c r="D1211" s="5" t="s">
        <v>21</v>
      </c>
      <c r="E1211" s="70">
        <f>IF(B1211="","",INDEX(Ingredients!$I$1:$I$5013,(MATCH(InterventionCosts!B1211,Ingredients!$A$1:$A$5013,0))))</f>
        <v>4.8734277524838099</v>
      </c>
      <c r="F1211" s="5" t="str">
        <f>INDEX(Ingredients!J$1:J$265,(MATCH(InterventionCosts!B1211,Ingredients!A$1:A$265,0)))</f>
        <v>per test</v>
      </c>
      <c r="G1211">
        <f>IF(B1211="","",INDEX(Ingredients!$E$1:$E$238,(MATCH(InterventionCosts!B1211,Ingredients!A$1:A$238,0))))</f>
        <v>2019</v>
      </c>
      <c r="H1211" t="str">
        <f>INDEX(Ingredients!$F$1:$F$318,(MATCH(InterventionCosts!B1211,Ingredients!A$1:A$318,0)))</f>
        <v>Kendon Medical Supplies Pty Ltd, quote (19 Aug 2019)</v>
      </c>
      <c r="I1211">
        <f>I1186*1</f>
        <v>5</v>
      </c>
      <c r="J1211" t="s">
        <v>1476</v>
      </c>
      <c r="K1211" s="85">
        <f t="shared" si="35"/>
        <v>24.367138762419049</v>
      </c>
    </row>
    <row r="1212" spans="1:11">
      <c r="A1212" t="s">
        <v>1370</v>
      </c>
      <c r="B1212" s="140" t="s">
        <v>415</v>
      </c>
      <c r="C1212" s="141"/>
      <c r="D1212" s="141"/>
      <c r="E1212" s="142"/>
      <c r="F1212" s="141"/>
      <c r="G1212" s="141"/>
      <c r="H1212" s="141"/>
      <c r="I1212" s="141"/>
      <c r="J1212" s="141"/>
      <c r="K1212" s="143"/>
    </row>
    <row r="1213" spans="1:11">
      <c r="A1213" t="s">
        <v>1370</v>
      </c>
      <c r="B1213" s="146" t="s">
        <v>416</v>
      </c>
    </row>
    <row r="1214" spans="1:11">
      <c r="A1214" t="s">
        <v>1370</v>
      </c>
      <c r="B1214" s="156" t="s">
        <v>354</v>
      </c>
      <c r="C1214" t="s">
        <v>389</v>
      </c>
      <c r="D1214" t="s">
        <v>81</v>
      </c>
      <c r="E1214" s="70">
        <f>IF(B1214="","",INDEX(Ingredients!$I$1:$I$5013,(MATCH(InterventionCosts!B1214,Ingredients!$A$1:$A$5013,0))))</f>
        <v>4.8996605630293981</v>
      </c>
      <c r="F1214" s="5" t="str">
        <f>INDEX(Ingredients!J$1:J$265,(MATCH(InterventionCosts!B1214,Ingredients!A$1:A$265,0)))</f>
        <v>per minute</v>
      </c>
      <c r="G1214">
        <f>IF(B1214="","",INDEX(Ingredients!$E$1:$E$238,(MATCH(InterventionCosts!B1214,Ingredients!A$1:A$238,0))))</f>
        <v>2024</v>
      </c>
      <c r="H1214" t="str">
        <f>INDEX(Ingredients!$F$1:$F$318,(MATCH(InterventionCosts!B1214,Ingredients!A$1:A$318,0)))</f>
        <v xml:space="preserve">April 2024 Salary scale </v>
      </c>
      <c r="I1214" s="149">
        <f>75/160</f>
        <v>0.46875</v>
      </c>
      <c r="J1214" t="s">
        <v>454</v>
      </c>
      <c r="K1214" s="85">
        <f>I1214*E1214</f>
        <v>2.2967158889200303</v>
      </c>
    </row>
    <row r="1215" spans="1:11">
      <c r="A1215" t="s">
        <v>1370</v>
      </c>
      <c r="B1215" s="146" t="s">
        <v>417</v>
      </c>
      <c r="I1215" s="149"/>
    </row>
    <row r="1216" spans="1:11">
      <c r="A1216" t="s">
        <v>1370</v>
      </c>
      <c r="B1216" s="147" t="s">
        <v>54</v>
      </c>
      <c r="C1216" t="s">
        <v>389</v>
      </c>
      <c r="D1216" t="s">
        <v>81</v>
      </c>
      <c r="E1216" s="70">
        <f>IF(B1216="","",INDEX(Ingredients!$I$1:$I$5013,(MATCH(InterventionCosts!B1216,Ingredients!$A$1:$A$5013,0))))</f>
        <v>1.2444366591928251</v>
      </c>
      <c r="F1216" s="5" t="str">
        <f>INDEX(Ingredients!J$1:J$265,(MATCH(InterventionCosts!B1216,Ingredients!A$1:A$265,0)))</f>
        <v>per minute</v>
      </c>
      <c r="G1216">
        <f>IF(B1216="","",INDEX(Ingredients!$E$1:$E$238,(MATCH(InterventionCosts!B1216,Ingredients!A$1:A$238,0))))</f>
        <v>2024</v>
      </c>
      <c r="H1216" t="str">
        <f>INDEX(Ingredients!$F$1:$F$318,(MATCH(InterventionCosts!B1216,Ingredients!A$1:A$318,0)))</f>
        <v xml:space="preserve">April 2024 Salary scale </v>
      </c>
      <c r="I1216" s="149">
        <f>75/160</f>
        <v>0.46875</v>
      </c>
      <c r="J1216" t="s">
        <v>454</v>
      </c>
      <c r="K1216" s="85">
        <f>I1216*E1216</f>
        <v>0.58332968399663676</v>
      </c>
    </row>
    <row r="1217" spans="1:14">
      <c r="A1217" t="s">
        <v>1370</v>
      </c>
      <c r="B1217" s="146" t="s">
        <v>418</v>
      </c>
    </row>
    <row r="1218" spans="1:14">
      <c r="A1218" t="s">
        <v>1370</v>
      </c>
      <c r="B1218" s="147" t="s">
        <v>425</v>
      </c>
      <c r="C1218" t="s">
        <v>389</v>
      </c>
      <c r="D1218" t="s">
        <v>81</v>
      </c>
      <c r="E1218" s="70">
        <f>IF(B1218="","",INDEX(Ingredients!$I$1:$I$5013,(MATCH(InterventionCosts!B1218,Ingredients!$A$1:$A$5013,0))))</f>
        <v>4100.2266666666665</v>
      </c>
      <c r="F1218" s="5" t="str">
        <f>INDEX(Ingredients!J$1:J$265,(MATCH(InterventionCosts!B1218,Ingredients!A$1:A$265,0)))</f>
        <v>per month</v>
      </c>
      <c r="G1218">
        <f>IF(B1218="","",INDEX(Ingredients!$E$1:$E$238,(MATCH(InterventionCosts!B1218,Ingredients!A$1:A$238,0))))</f>
        <v>2024</v>
      </c>
      <c r="H1218" t="str">
        <f>INDEX(Ingredients!$F$1:$F$318,(MATCH(InterventionCosts!B1218,Ingredients!A$1:A$318,0)))</f>
        <v>https://www.health.gov.za/wp-content/uploads/2022/07/Health-Department-welcomes-Bargaining-Council-resolution-to-improve-work-conditions-of-CHWs-27-July-2022.pdf</v>
      </c>
      <c r="I1218" s="149">
        <f>75/160*(12/workminutespa)</f>
        <v>5.2550448430493276E-5</v>
      </c>
      <c r="J1218" t="s">
        <v>454</v>
      </c>
      <c r="K1218" s="85">
        <f>I1218*E1218</f>
        <v>0.21546874999999999</v>
      </c>
    </row>
    <row r="1219" spans="1:14">
      <c r="A1219" t="s">
        <v>1370</v>
      </c>
      <c r="B1219" s="146" t="s">
        <v>453</v>
      </c>
      <c r="E1219" s="70"/>
      <c r="F1219" s="5"/>
    </row>
    <row r="1220" spans="1:14">
      <c r="A1220" t="s">
        <v>1370</v>
      </c>
      <c r="B1220" s="147" t="s">
        <v>55</v>
      </c>
      <c r="C1220" t="s">
        <v>389</v>
      </c>
      <c r="D1220" t="s">
        <v>81</v>
      </c>
      <c r="E1220" s="70">
        <f>IF(B1220="","",INDEX(Ingredients!$I$1:$I$5013,(MATCH(InterventionCosts!B1220,Ingredients!$A$1:$A$5013,0))))</f>
        <v>1.8549350710014947</v>
      </c>
      <c r="F1220" s="5" t="str">
        <f>INDEX(Ingredients!J$1:J$265,(MATCH(InterventionCosts!B1220,Ingredients!A$1:A$265,0)))</f>
        <v>per minute</v>
      </c>
      <c r="G1220">
        <f>IF(B1220="","",INDEX(Ingredients!$E$1:$E$238,(MATCH(InterventionCosts!B1220,Ingredients!A$1:A$238,0))))</f>
        <v>2024</v>
      </c>
      <c r="H1220" t="str">
        <f>INDEX(Ingredients!$F$1:$F$318,(MATCH(InterventionCosts!B1220,Ingredients!A$1:A$318,0)))</f>
        <v xml:space="preserve">April 2024 Salary scale </v>
      </c>
      <c r="I1220" s="149">
        <f>75/160</f>
        <v>0.46875</v>
      </c>
      <c r="J1220" t="s">
        <v>454</v>
      </c>
      <c r="K1220" s="85">
        <f>I1220*E1220</f>
        <v>0.86950081453195061</v>
      </c>
    </row>
    <row r="1221" spans="1:14">
      <c r="A1221" t="s">
        <v>1370</v>
      </c>
      <c r="B1221" s="146" t="s">
        <v>419</v>
      </c>
    </row>
    <row r="1222" spans="1:14">
      <c r="A1222" t="s">
        <v>1370</v>
      </c>
      <c r="B1222" s="147" t="s">
        <v>111</v>
      </c>
      <c r="C1222" t="s">
        <v>389</v>
      </c>
      <c r="D1222" t="s">
        <v>81</v>
      </c>
      <c r="E1222" s="70">
        <f>IF(B1222="","",INDEX(Ingredients!$I$1:$I$5013,(MATCH(InterventionCosts!B1222,Ingredients!$A$1:$A$5013,0))))</f>
        <v>239.77392959288917</v>
      </c>
      <c r="F1222" s="5" t="str">
        <f>INDEX(Ingredients!J$1:J$265,(MATCH(InterventionCosts!B1222,Ingredients!A$1:A$265,0)))</f>
        <v>pp per workshop</v>
      </c>
      <c r="G1222">
        <f>IF(B1222="","",INDEX(Ingredients!$E$1:$E$238,(MATCH(InterventionCosts!B1222,Ingredients!A$1:A$238,0))))</f>
        <v>2018</v>
      </c>
      <c r="H1222" t="str">
        <f>INDEX(Ingredients!$F$1:$F$318,(MATCH(InterventionCosts!B1222,Ingredients!A$1:A$318,0)))</f>
        <v>RSA Global Fund Grant portfolio budgets 2018, Subject to revision during grant negotiations (Steve's email)</v>
      </c>
      <c r="I1222" s="148">
        <f>1/100</f>
        <v>0.01</v>
      </c>
      <c r="J1222" s="149" t="s">
        <v>433</v>
      </c>
      <c r="K1222" s="85">
        <f>I1222*E1222</f>
        <v>2.3977392959288917</v>
      </c>
    </row>
    <row r="1223" spans="1:14">
      <c r="A1223" t="s">
        <v>1370</v>
      </c>
      <c r="B1223" s="147" t="s">
        <v>39</v>
      </c>
      <c r="C1223" t="s">
        <v>389</v>
      </c>
      <c r="D1223" t="s">
        <v>21</v>
      </c>
      <c r="E1223" s="70">
        <f>IF(B1223="","",INDEX(Ingredients!$I$1:$I$5013,(MATCH(InterventionCosts!B1223,Ingredients!$A$1:$A$5013,0))))</f>
        <v>0.90383818045604736</v>
      </c>
      <c r="F1223" s="5" t="str">
        <f>INDEX(Ingredients!J$1:J$265,(MATCH(InterventionCosts!B1223,Ingredients!A$1:A$265,0)))</f>
        <v>per material</v>
      </c>
      <c r="G1223">
        <f>IF(B1223="","",INDEX(Ingredients!$E$1:$E$238,(MATCH(InterventionCosts!B1223,Ingredients!A$1:A$238,0))))</f>
        <v>2016</v>
      </c>
      <c r="H1223" t="str">
        <f>INDEX(Ingredients!$F$1:$F$318,(MATCH(InterventionCosts!B1223,Ingredients!A$1:A$318,0)))</f>
        <v>RSA Global Fund Grant portfolio budgets 2016</v>
      </c>
      <c r="I1223" s="148">
        <v>1</v>
      </c>
      <c r="J1223" s="149" t="s">
        <v>434</v>
      </c>
      <c r="K1223" s="85">
        <f>I1223*E1223</f>
        <v>0.90383818045604736</v>
      </c>
    </row>
    <row r="1224" spans="1:14">
      <c r="A1224" t="s">
        <v>1370</v>
      </c>
      <c r="B1224" s="147" t="s">
        <v>425</v>
      </c>
      <c r="C1224" t="s">
        <v>389</v>
      </c>
      <c r="D1224" t="s">
        <v>48</v>
      </c>
      <c r="E1224" s="70">
        <f>IF(B1224="","",INDEX(Ingredients!$I$1:$I$5013,(MATCH(InterventionCosts!B1224,Ingredients!$A$1:$A$5013,0))))</f>
        <v>4100.2266666666665</v>
      </c>
      <c r="F1224" s="5" t="str">
        <f>INDEX(Ingredients!J$1:J$265,(MATCH(InterventionCosts!B1224,Ingredients!A$1:A$265,0)))</f>
        <v>per month</v>
      </c>
      <c r="G1224">
        <f>IF(B1224="","",INDEX(Ingredients!$E$1:$E$238,(MATCH(InterventionCosts!B1224,Ingredients!A$1:A$238,0))))</f>
        <v>2024</v>
      </c>
      <c r="H1224" t="str">
        <f>INDEX(Ingredients!$F$1:$F$318,(MATCH(InterventionCosts!B1224,Ingredients!A$1:A$318,0)))</f>
        <v>https://www.health.gov.za/wp-content/uploads/2022/07/Health-Department-welcomes-Bargaining-Council-resolution-to-improve-work-conditions-of-CHWs-27-July-2022.pdf</v>
      </c>
      <c r="I1224" s="150">
        <f>((15/(8*60))*workdayspermonth)/160*12</f>
        <v>4.3554687499999994E-2</v>
      </c>
      <c r="J1224" s="149" t="s">
        <v>435</v>
      </c>
      <c r="K1224" s="85">
        <f>I1224*E1224</f>
        <v>178.5840911458333</v>
      </c>
    </row>
    <row r="1225" spans="1:14">
      <c r="A1225" t="s">
        <v>1370</v>
      </c>
      <c r="B1225" s="146" t="s">
        <v>420</v>
      </c>
    </row>
    <row r="1226" spans="1:14">
      <c r="A1226" t="s">
        <v>1370</v>
      </c>
      <c r="B1226" s="147" t="s">
        <v>246</v>
      </c>
      <c r="C1226" t="s">
        <v>389</v>
      </c>
      <c r="D1226" t="s">
        <v>21</v>
      </c>
      <c r="E1226" s="70">
        <f>IF(B1226="","",INDEX(Ingredients!$I$1:$I$5013,(MATCH(InterventionCosts!B1226,Ingredients!$A$1:$A$5013,0))))</f>
        <v>0.16400000000000001</v>
      </c>
      <c r="F1226" s="5" t="str">
        <f>INDEX(Ingredients!J$1:J$265,(MATCH(InterventionCosts!B1226,Ingredients!A$1:A$265,0)))</f>
        <v>per page</v>
      </c>
      <c r="G1226">
        <f>IF(B1226="","",INDEX(Ingredients!$E$1:$E$238,(MATCH(InterventionCosts!B1226,Ingredients!A$1:A$238,0))))</f>
        <v>2024</v>
      </c>
      <c r="H1226" t="str">
        <f>INDEX(Ingredients!$F$1:$F$318,(MATCH(InterventionCosts!B1226,Ingredients!A$1:A$318,0)))</f>
        <v>https://www.makro.co.za/stationery-office-furniture/paper-filing/paper/white-paper/copy-paper/typek-a4-office-paper-80-gsm/p/000000000000012434_BOX</v>
      </c>
      <c r="I1226" s="148">
        <f>2*1</f>
        <v>2</v>
      </c>
      <c r="J1226" s="149" t="s">
        <v>436</v>
      </c>
      <c r="K1226" s="85">
        <f>I1226*E1226</f>
        <v>0.32800000000000001</v>
      </c>
    </row>
    <row r="1227" spans="1:14">
      <c r="A1227" t="s">
        <v>1370</v>
      </c>
      <c r="B1227" s="147" t="s">
        <v>426</v>
      </c>
      <c r="C1227" t="s">
        <v>389</v>
      </c>
      <c r="D1227" t="s">
        <v>21</v>
      </c>
      <c r="E1227" s="70">
        <f>IF(B1227="","",INDEX(Ingredients!$I$1:$I$5013,(MATCH(InterventionCosts!B1227,Ingredients!$A$1:$A$5013,0))))</f>
        <v>0.45800000000000002</v>
      </c>
      <c r="F1227" s="5" t="str">
        <f>INDEX(Ingredients!J$1:J$265,(MATCH(InterventionCosts!B1227,Ingredients!A$1:A$265,0)))</f>
        <v>per page</v>
      </c>
      <c r="G1227">
        <f>IF(B1227="","",INDEX(Ingredients!$E$1:$E$238,(MATCH(InterventionCosts!B1227,Ingredients!A$1:A$238,0))))</f>
        <v>2024</v>
      </c>
      <c r="H1227" t="str">
        <f>INDEX(Ingredients!$F$1:$F$318,(MATCH(InterventionCosts!B1227,Ingredients!A$1:A$318,0)))</f>
        <v>https://www.makro.co.za/stationery-office-furniture/paper-filing/paper/white-paper/a3-paper/typek-a3-office-paper-80-gsm/p/000000000000877929_EA</v>
      </c>
      <c r="I1227" s="148">
        <f>1/160*12</f>
        <v>7.5000000000000011E-2</v>
      </c>
      <c r="J1227" s="149" t="s">
        <v>437</v>
      </c>
      <c r="K1227" s="85">
        <f>I1227*E1227</f>
        <v>3.4350000000000006E-2</v>
      </c>
    </row>
    <row r="1228" spans="1:14">
      <c r="A1228" t="s">
        <v>1370</v>
      </c>
      <c r="B1228" s="147" t="s">
        <v>55</v>
      </c>
      <c r="C1228" t="s">
        <v>389</v>
      </c>
      <c r="D1228" t="s">
        <v>48</v>
      </c>
      <c r="E1228" s="70">
        <f>IF(B1228="","",INDEX(Ingredients!$I$1:$I$5013,(MATCH(InterventionCosts!B1228,Ingredients!$A$1:$A$5013,0))))</f>
        <v>1.8549350710014947</v>
      </c>
      <c r="F1228" s="5" t="str">
        <f>INDEX(Ingredients!J$1:J$265,(MATCH(InterventionCosts!B1228,Ingredients!A$1:A$265,0)))</f>
        <v>per minute</v>
      </c>
      <c r="G1228">
        <f>IF(B1228="","",INDEX(Ingredients!$E$1:$E$238,(MATCH(InterventionCosts!B1228,Ingredients!A$1:A$238,0))))</f>
        <v>2024</v>
      </c>
      <c r="H1228" t="str">
        <f>INDEX(Ingredients!$F$1:$F$318,(MATCH(InterventionCosts!B1228,Ingredients!A$1:A$318,0)))</f>
        <v xml:space="preserve">April 2024 Salary scale </v>
      </c>
      <c r="I1228" s="148">
        <f>(60*12)/160</f>
        <v>4.5</v>
      </c>
      <c r="J1228" s="149" t="s">
        <v>438</v>
      </c>
      <c r="K1228" s="85">
        <f>I1228*E1228</f>
        <v>8.3472078195067265</v>
      </c>
    </row>
    <row r="1229" spans="1:14">
      <c r="A1229" t="s">
        <v>1370</v>
      </c>
      <c r="B1229" s="146" t="s">
        <v>421</v>
      </c>
    </row>
    <row r="1230" spans="1:14">
      <c r="A1230" t="s">
        <v>1370</v>
      </c>
      <c r="B1230" s="147" t="s">
        <v>422</v>
      </c>
      <c r="C1230" t="s">
        <v>389</v>
      </c>
      <c r="D1230" t="s">
        <v>81</v>
      </c>
      <c r="E1230" s="70"/>
      <c r="F1230" s="5"/>
      <c r="J1230" t="s">
        <v>441</v>
      </c>
      <c r="K1230" s="85">
        <f>0.07*SUM(K1130:K1228,K1231)</f>
        <v>328.53859749071967</v>
      </c>
      <c r="L1230" s="85" t="s">
        <v>427</v>
      </c>
    </row>
    <row r="1231" spans="1:14">
      <c r="A1231" t="s">
        <v>1370</v>
      </c>
      <c r="B1231" s="147" t="s">
        <v>52</v>
      </c>
      <c r="C1231" t="s">
        <v>389</v>
      </c>
      <c r="D1231" t="s">
        <v>48</v>
      </c>
      <c r="E1231" s="70">
        <f>IF(B1231="","",INDEX(Ingredients!$I$1:$I$5013,(MATCH(InterventionCosts!B1231,Ingredients!$A$1:$A$5013,0))))</f>
        <v>1.8019482436472347</v>
      </c>
      <c r="F1231" s="5" t="str">
        <f>INDEX(Ingredients!J$1:J$265,(MATCH(InterventionCosts!B1231,Ingredients!A$1:A$265,0)))</f>
        <v>per minute</v>
      </c>
      <c r="G1231">
        <f>IF(B1231="","",INDEX(Ingredients!$E$1:$E$238,(MATCH(InterventionCosts!B1231,Ingredients!A$1:A$238,0))))</f>
        <v>2024</v>
      </c>
      <c r="H1231" t="str">
        <f>INDEX(Ingredients!$F$1:$F$318,(MATCH(InterventionCosts!B1231,Ingredients!A$1:A$318,0)))</f>
        <v xml:space="preserve">April 2024 Salary scale </v>
      </c>
      <c r="I1231">
        <f>3*4</f>
        <v>12</v>
      </c>
      <c r="J1231" s="149" t="s">
        <v>439</v>
      </c>
      <c r="K1231" s="85">
        <f>I1231*E1231</f>
        <v>21.623378923766815</v>
      </c>
    </row>
    <row r="1232" spans="1:14" s="89" customFormat="1">
      <c r="A1232" s="4" t="s">
        <v>1370</v>
      </c>
      <c r="F1232" s="89" t="s">
        <v>1164</v>
      </c>
      <c r="G1232" s="89" t="str">
        <f>IF(B1232="","",INDEX(Ingredients!$E$1:$E$238,(MATCH(InterventionCosts!B1232,Ingredients!A$1:A$238,0))))</f>
        <v/>
      </c>
      <c r="K1232" s="90"/>
      <c r="L1232" s="90">
        <f>SUM(K1130:K1231)</f>
        <v>5021.9471330724282</v>
      </c>
      <c r="M1232" s="92"/>
      <c r="N1232" s="4"/>
    </row>
    <row r="1233" spans="1:14" s="89" customFormat="1">
      <c r="A1233" s="4" t="s">
        <v>1370</v>
      </c>
      <c r="F1233" s="89" t="s">
        <v>117</v>
      </c>
      <c r="G1233" s="89" t="str">
        <f>IF(B1233="","",INDEX(Ingredients!$E$1:$E$238,(MATCH(InterventionCosts!B1233,Ingredients!A$1:A$238,0))))</f>
        <v/>
      </c>
      <c r="K1233" s="90"/>
      <c r="L1233" s="90" t="s">
        <v>440</v>
      </c>
    </row>
    <row r="1235" spans="1:14">
      <c r="A1235" t="s">
        <v>1371</v>
      </c>
      <c r="B1235" s="144" t="s">
        <v>388</v>
      </c>
      <c r="C1235" s="141"/>
      <c r="D1235" s="141"/>
      <c r="E1235" s="142"/>
      <c r="F1235" s="141"/>
      <c r="G1235" s="141"/>
      <c r="H1235" s="141"/>
      <c r="I1235" s="141"/>
      <c r="J1235" s="141"/>
      <c r="K1235" s="143"/>
    </row>
    <row r="1236" spans="1:14">
      <c r="A1236" t="s">
        <v>1371</v>
      </c>
      <c r="B1236" s="136" t="s">
        <v>390</v>
      </c>
    </row>
    <row r="1237" spans="1:14">
      <c r="A1237" t="s">
        <v>1371</v>
      </c>
      <c r="B1237" s="137" t="s">
        <v>54</v>
      </c>
      <c r="C1237" t="s">
        <v>389</v>
      </c>
      <c r="D1237" t="s">
        <v>48</v>
      </c>
      <c r="E1237" s="70">
        <f>IF(B1237="","",INDEX(Ingredients!$I$1:$I$5013,(MATCH(InterventionCosts!B1237,Ingredients!$A$1:$A$5013,0))))</f>
        <v>1.2444366591928251</v>
      </c>
      <c r="F1237" s="5" t="str">
        <f>INDEX(Ingredients!J$1:J$265,(MATCH(InterventionCosts!B1237,Ingredients!A$1:A$265,0)))</f>
        <v>per minute</v>
      </c>
      <c r="G1237">
        <f>IF(B1237="","",INDEX(Ingredients!$E$1:$E$238,(MATCH(InterventionCosts!B1237,Ingredients!A$1:A$238,0))))</f>
        <v>2024</v>
      </c>
      <c r="H1237" t="str">
        <f>INDEX(Ingredients!$F$1:$F$318,(MATCH(InterventionCosts!B1237,Ingredients!A$1:A$318,0)))</f>
        <v xml:space="preserve">April 2024 Salary scale </v>
      </c>
      <c r="I1237">
        <v>1</v>
      </c>
      <c r="J1237" t="s">
        <v>1476</v>
      </c>
      <c r="K1237" s="85">
        <f>I1237*E1237</f>
        <v>1.2444366591928251</v>
      </c>
    </row>
    <row r="1238" spans="1:14">
      <c r="A1238" t="s">
        <v>1371</v>
      </c>
      <c r="B1238" s="137" t="s">
        <v>246</v>
      </c>
      <c r="C1238" t="s">
        <v>389</v>
      </c>
      <c r="D1238" s="5" t="s">
        <v>21</v>
      </c>
      <c r="E1238" s="70">
        <f>IF(B1238="","",INDEX(Ingredients!$I$1:$I$5013,(MATCH(InterventionCosts!B1238,Ingredients!$A$1:$A$5013,0))))</f>
        <v>0.16400000000000001</v>
      </c>
      <c r="F1238" s="5" t="str">
        <f>INDEX(Ingredients!J$1:J$265,(MATCH(InterventionCosts!B1238,Ingredients!A$1:A$265,0)))</f>
        <v>per page</v>
      </c>
      <c r="G1238">
        <f>IF(B1238="","",INDEX(Ingredients!$E$1:$E$238,(MATCH(InterventionCosts!B1238,Ingredients!A$1:A$238,0))))</f>
        <v>2024</v>
      </c>
      <c r="H1238" t="str">
        <f>INDEX(Ingredients!$F$1:$F$318,(MATCH(InterventionCosts!B1238,Ingredients!A$1:A$318,0)))</f>
        <v>https://www.makro.co.za/stationery-office-furniture/paper-filing/paper/white-paper/copy-paper/typek-a4-office-paper-80-gsm/p/000000000000012434_BOX</v>
      </c>
      <c r="I1238">
        <f>1</f>
        <v>1</v>
      </c>
      <c r="J1238" t="s">
        <v>1476</v>
      </c>
      <c r="K1238" s="85">
        <f>I1238*E1238</f>
        <v>0.16400000000000001</v>
      </c>
      <c r="L1238" s="85" t="s">
        <v>1510</v>
      </c>
    </row>
    <row r="1239" spans="1:14">
      <c r="A1239" t="s">
        <v>1371</v>
      </c>
      <c r="B1239" s="136" t="s">
        <v>391</v>
      </c>
      <c r="F1239" s="3" t="s">
        <v>396</v>
      </c>
      <c r="I1239" s="153">
        <f>0.719002</f>
        <v>0.71900200000000003</v>
      </c>
      <c r="J1239" s="3" t="s">
        <v>443</v>
      </c>
      <c r="L1239" s="3"/>
      <c r="M1239" s="153"/>
      <c r="N1239" s="3"/>
    </row>
    <row r="1240" spans="1:14">
      <c r="A1240" t="s">
        <v>1371</v>
      </c>
      <c r="B1240" s="137" t="s">
        <v>79</v>
      </c>
      <c r="C1240" t="s">
        <v>389</v>
      </c>
      <c r="D1240" s="5" t="s">
        <v>21</v>
      </c>
      <c r="E1240" s="70">
        <f>IF(B1240="","",INDEX(Ingredients!$I$1:$I$5013,(MATCH(InterventionCosts!B1240,Ingredients!$A$1:$A$5013,0))))</f>
        <v>9.3000000000000007</v>
      </c>
      <c r="F1240" s="5" t="str">
        <f>INDEX(Ingredients!J$1:J$265,(MATCH(InterventionCosts!B1240,Ingredients!A$1:A$265,0)))</f>
        <v>per test</v>
      </c>
      <c r="G1240">
        <f>IF(B1240="","",INDEX(Ingredients!$E$1:$E$238,(MATCH(InterventionCosts!B1240,Ingredients!A$1:A$238,0))))</f>
        <v>2024</v>
      </c>
      <c r="H1240" t="str">
        <f>INDEX(Ingredients!$F$1:$F$318,(MATCH(InterventionCosts!B1240,Ingredients!A$1:A$318,0)))</f>
        <v>https://www.treasury.gov.za/divisions/ocpo/ostb/contracts/RT41-2020.zip</v>
      </c>
      <c r="I1240" s="134">
        <f>1/(1-I1239)</f>
        <v>3.5587441903501098</v>
      </c>
      <c r="J1240" s="133" t="s">
        <v>394</v>
      </c>
      <c r="K1240" s="85">
        <f>I1240*E1240</f>
        <v>33.096320970256023</v>
      </c>
      <c r="L1240" s="3"/>
      <c r="M1240" s="3"/>
      <c r="N1240" s="3"/>
    </row>
    <row r="1241" spans="1:14">
      <c r="A1241" t="s">
        <v>1371</v>
      </c>
      <c r="B1241" s="137" t="s">
        <v>54</v>
      </c>
      <c r="C1241" t="s">
        <v>389</v>
      </c>
      <c r="D1241" t="s">
        <v>48</v>
      </c>
      <c r="E1241" s="70">
        <f>IF(B1241="","",INDEX(Ingredients!$I$1:$I$5013,(MATCH(InterventionCosts!B1241,Ingredients!$A$1:$A$5013,0))))</f>
        <v>1.2444366591928251</v>
      </c>
      <c r="F1241" s="5" t="str">
        <f>INDEX(Ingredients!J$1:J$265,(MATCH(InterventionCosts!B1241,Ingredients!A$1:A$265,0)))</f>
        <v>per minute</v>
      </c>
      <c r="G1241">
        <f>IF(B1241="","",INDEX(Ingredients!$E$1:$E$238,(MATCH(InterventionCosts!B1241,Ingredients!A$1:A$238,0))))</f>
        <v>2024</v>
      </c>
      <c r="H1241" t="str">
        <f>INDEX(Ingredients!$F$1:$F$318,(MATCH(InterventionCosts!B1241,Ingredients!A$1:A$318,0)))</f>
        <v xml:space="preserve">April 2024 Salary scale </v>
      </c>
      <c r="I1241" s="134">
        <f>15+1/(1-I1239)</f>
        <v>18.558744190350112</v>
      </c>
      <c r="J1241" s="133" t="s">
        <v>395</v>
      </c>
      <c r="K1241" s="85">
        <f>I1241*E1241</f>
        <v>23.095181619053545</v>
      </c>
      <c r="L1241"/>
    </row>
    <row r="1242" spans="1:14">
      <c r="A1242" t="s">
        <v>1371</v>
      </c>
      <c r="B1242" s="137" t="s">
        <v>1489</v>
      </c>
      <c r="C1242" t="s">
        <v>389</v>
      </c>
      <c r="D1242" s="5" t="s">
        <v>21</v>
      </c>
      <c r="E1242" s="70">
        <f>IF(B1242="","",INDEX(Ingredients!$I$1:$I$5013,(MATCH(InterventionCosts!B1242,Ingredients!$A$1:$A$5013,0))))</f>
        <v>53.08</v>
      </c>
      <c r="F1242" s="5" t="str">
        <f>INDEX(Ingredients!J$1:J$265,(MATCH(InterventionCosts!B1242,Ingredients!A$1:A$265,0)))</f>
        <v>per pack 100, 50 pairs</v>
      </c>
      <c r="G1242">
        <f>IF(B1242="","",INDEX(Ingredients!$E$1:$E$238,(MATCH(InterventionCosts!B1242,Ingredients!A$1:A$238,0))))</f>
        <v>2024</v>
      </c>
      <c r="H1242" t="str">
        <f>INDEX(Ingredients!$F$1:$F$318,(MATCH(InterventionCosts!B1242,Ingredients!A$1:A$318,0)))</f>
        <v>https://www.treasury.gov.za/divisions/ocpo/ostb/contracts/RT76-2023%20CPA%20Amendment%204-%20Effective%2001%20May%202024.pdf</v>
      </c>
      <c r="I1242" s="134">
        <f>2/100*(1/(1-I1239))</f>
        <v>7.1174883807002196E-2</v>
      </c>
      <c r="J1242" s="133" t="s">
        <v>394</v>
      </c>
      <c r="K1242" s="85">
        <f>I1242*E1242</f>
        <v>3.7779628324756764</v>
      </c>
      <c r="L1242"/>
    </row>
    <row r="1243" spans="1:14">
      <c r="A1243" t="s">
        <v>1371</v>
      </c>
      <c r="B1243" s="137" t="s">
        <v>31</v>
      </c>
      <c r="C1243" t="s">
        <v>389</v>
      </c>
      <c r="D1243" s="5" t="s">
        <v>21</v>
      </c>
      <c r="E1243" s="70">
        <f>IF(B1243="","",INDEX(Ingredients!$I$1:$I$5013,(MATCH(InterventionCosts!B1243,Ingredients!$A$1:$A$5013,0))))</f>
        <v>31.4</v>
      </c>
      <c r="F1243" s="5" t="str">
        <f>INDEX(Ingredients!J$1:J$265,(MATCH(InterventionCosts!B1243,Ingredients!A$1:A$265,0)))</f>
        <v>per 100 swabs</v>
      </c>
      <c r="G1243">
        <f>IF(B1243="","",INDEX(Ingredients!$E$1:$E$238,(MATCH(InterventionCosts!B1243,Ingredients!A$1:A$238,0))))</f>
        <v>2024</v>
      </c>
      <c r="H1243" t="str">
        <f>INDEX(Ingredients!$F$1:$F$318,(MATCH(InterventionCosts!B1243,Ingredients!A$1:A$318,0)))</f>
        <v xml:space="preserve">http://www.treasury.gov.za/divisions/ocpo/ostb/contracts/RT42-2022zip </v>
      </c>
      <c r="I1243" s="134">
        <f>1/100*(1/(1-I1239))</f>
        <v>3.5587441903501098E-2</v>
      </c>
      <c r="J1243" s="133" t="s">
        <v>394</v>
      </c>
      <c r="K1243" s="85">
        <f>I1243*E1243</f>
        <v>1.1174456757699345</v>
      </c>
      <c r="L1243"/>
    </row>
    <row r="1244" spans="1:14">
      <c r="A1244" t="s">
        <v>1371</v>
      </c>
      <c r="B1244" s="136" t="s">
        <v>392</v>
      </c>
      <c r="E1244" s="70"/>
      <c r="F1244" s="5"/>
    </row>
    <row r="1245" spans="1:14">
      <c r="A1245" t="s">
        <v>1371</v>
      </c>
      <c r="B1245" s="137" t="s">
        <v>79</v>
      </c>
      <c r="C1245" t="s">
        <v>389</v>
      </c>
      <c r="D1245" s="5" t="s">
        <v>21</v>
      </c>
      <c r="E1245" s="70">
        <f>IF(B1245="","",INDEX(Ingredients!$I$1:$I$5013,(MATCH(InterventionCosts!B1245,Ingredients!$A$1:$A$5013,0))))</f>
        <v>9.3000000000000007</v>
      </c>
      <c r="F1245" s="5" t="str">
        <f>INDEX(Ingredients!J$1:J$265,(MATCH(InterventionCosts!B1245,Ingredients!A$1:A$265,0)))</f>
        <v>per test</v>
      </c>
      <c r="G1245">
        <f>IF(B1245="","",INDEX(Ingredients!$E$1:$E$238,(MATCH(InterventionCosts!B1245,Ingredients!A$1:A$238,0))))</f>
        <v>2024</v>
      </c>
      <c r="H1245" t="str">
        <f>INDEX(Ingredients!$F$1:$F$318,(MATCH(InterventionCosts!B1245,Ingredients!A$1:A$318,0)))</f>
        <v>https://www.treasury.gov.za/divisions/ocpo/ostb/contracts/RT41-2020.zip</v>
      </c>
      <c r="I1245" s="134">
        <f>I1239</f>
        <v>0.71900200000000003</v>
      </c>
      <c r="J1245" s="85" t="s">
        <v>396</v>
      </c>
      <c r="K1245" s="85">
        <f>I1245*E1245</f>
        <v>6.6867186000000007</v>
      </c>
      <c r="L1245"/>
    </row>
    <row r="1246" spans="1:14">
      <c r="A1246" t="s">
        <v>1371</v>
      </c>
      <c r="B1246" s="137" t="s">
        <v>54</v>
      </c>
      <c r="C1246" t="s">
        <v>389</v>
      </c>
      <c r="D1246" t="s">
        <v>48</v>
      </c>
      <c r="E1246" s="70">
        <f>IF(B1246="","",INDEX(Ingredients!$I$1:$I$5013,(MATCH(InterventionCosts!B1246,Ingredients!$A$1:$A$5013,0))))</f>
        <v>1.2444366591928251</v>
      </c>
      <c r="F1246" s="5" t="str">
        <f>INDEX(Ingredients!J$1:J$265,(MATCH(InterventionCosts!B1246,Ingredients!A$1:A$265,0)))</f>
        <v>per minute</v>
      </c>
      <c r="G1246">
        <f>IF(B1246="","",INDEX(Ingredients!$E$1:$E$238,(MATCH(InterventionCosts!B1246,Ingredients!A$1:A$238,0))))</f>
        <v>2024</v>
      </c>
      <c r="H1246" t="str">
        <f>INDEX(Ingredients!$F$1:$F$318,(MATCH(InterventionCosts!B1246,Ingredients!A$1:A$318,0)))</f>
        <v xml:space="preserve">April 2024 Salary scale </v>
      </c>
      <c r="I1246" s="134">
        <f>(15+1/(1-I1239))*I1239</f>
        <v>13.343774190350112</v>
      </c>
      <c r="J1246" s="133" t="s">
        <v>395</v>
      </c>
      <c r="K1246" s="85">
        <f>I1246*E1246</f>
        <v>16.605481774462739</v>
      </c>
      <c r="L1246"/>
    </row>
    <row r="1247" spans="1:14">
      <c r="A1247" t="s">
        <v>1371</v>
      </c>
      <c r="B1247" s="137" t="s">
        <v>1489</v>
      </c>
      <c r="C1247" t="s">
        <v>389</v>
      </c>
      <c r="D1247" s="5" t="s">
        <v>21</v>
      </c>
      <c r="E1247" s="70">
        <f>IF(B1247="","",INDEX(Ingredients!$I$1:$I$5013,(MATCH(InterventionCosts!B1247,Ingredients!$A$1:$A$5013,0))))</f>
        <v>53.08</v>
      </c>
      <c r="F1247" s="5" t="str">
        <f>INDEX(Ingredients!J$1:J$265,(MATCH(InterventionCosts!B1247,Ingredients!A$1:A$265,0)))</f>
        <v>per pack 100, 50 pairs</v>
      </c>
      <c r="G1247">
        <f>IF(B1247="","",INDEX(Ingredients!$E$1:$E$238,(MATCH(InterventionCosts!B1247,Ingredients!A$1:A$238,0))))</f>
        <v>2024</v>
      </c>
      <c r="H1247" t="str">
        <f>INDEX(Ingredients!$F$1:$F$318,(MATCH(InterventionCosts!B1247,Ingredients!A$1:A$318,0)))</f>
        <v>https://www.treasury.gov.za/divisions/ocpo/ostb/contracts/RT76-2023%20CPA%20Amendment%204-%20Effective%2001%20May%202024.pdf</v>
      </c>
      <c r="I1247">
        <f>2/100*I1239</f>
        <v>1.438004E-2</v>
      </c>
      <c r="J1247" s="133" t="s">
        <v>1478</v>
      </c>
      <c r="K1247" s="85">
        <f>I1247*E1247</f>
        <v>0.76329252319999996</v>
      </c>
      <c r="L1247"/>
    </row>
    <row r="1248" spans="1:14">
      <c r="A1248" t="s">
        <v>1371</v>
      </c>
      <c r="B1248" s="137" t="s">
        <v>31</v>
      </c>
      <c r="C1248" t="s">
        <v>389</v>
      </c>
      <c r="D1248" s="5" t="s">
        <v>21</v>
      </c>
      <c r="E1248" s="70">
        <f>IF(B1248="","",INDEX(Ingredients!$I$1:$I$5013,(MATCH(InterventionCosts!B1248,Ingredients!$A$1:$A$5013,0))))</f>
        <v>31.4</v>
      </c>
      <c r="F1248" s="5" t="str">
        <f>INDEX(Ingredients!J$1:J$265,(MATCH(InterventionCosts!B1248,Ingredients!A$1:A$265,0)))</f>
        <v>per 100 swabs</v>
      </c>
      <c r="G1248">
        <f>IF(B1248="","",INDEX(Ingredients!$E$1:$E$238,(MATCH(InterventionCosts!B1248,Ingredients!A$1:A$238,0))))</f>
        <v>2024</v>
      </c>
      <c r="H1248" t="str">
        <f>INDEX(Ingredients!$F$1:$F$318,(MATCH(InterventionCosts!B1248,Ingredients!A$1:A$318,0)))</f>
        <v xml:space="preserve">http://www.treasury.gov.za/divisions/ocpo/ostb/contracts/RT42-2022zip </v>
      </c>
      <c r="I1248" s="152">
        <f>1/100*I1239</f>
        <v>7.1900200000000001E-3</v>
      </c>
      <c r="J1248" s="133" t="s">
        <v>1477</v>
      </c>
      <c r="K1248" s="85">
        <f>I1248*E1248</f>
        <v>0.225766628</v>
      </c>
      <c r="L1248"/>
    </row>
    <row r="1249" spans="1:12">
      <c r="A1249" t="s">
        <v>1371</v>
      </c>
      <c r="B1249" s="136" t="s">
        <v>393</v>
      </c>
      <c r="F1249" s="5"/>
    </row>
    <row r="1250" spans="1:12">
      <c r="A1250" t="s">
        <v>1371</v>
      </c>
      <c r="B1250" s="137" t="s">
        <v>77</v>
      </c>
      <c r="C1250" t="s">
        <v>389</v>
      </c>
      <c r="D1250" t="s">
        <v>75</v>
      </c>
      <c r="E1250" s="70">
        <f>IF(B1250="","",INDEX(Ingredients!$I$1:$I$5013,(MATCH(InterventionCosts!B1250,Ingredients!$A$1:$A$5013,0))))</f>
        <v>71.889951748999991</v>
      </c>
      <c r="F1250" s="5" t="str">
        <f>INDEX(Ingredients!J$1:J$265,(MATCH(InterventionCosts!B1250,Ingredients!A$1:A$265,0)))</f>
        <v>per test</v>
      </c>
      <c r="G1250">
        <f>IF(B1250="","",INDEX(Ingredients!$E$1:$E$238,(MATCH(InterventionCosts!B1250,Ingredients!A$1:A$238,0))))</f>
        <v>2021</v>
      </c>
      <c r="H1250" t="str">
        <f>INDEX(Ingredients!$F$1:$F$318,(MATCH(InterventionCosts!B1250,Ingredients!A$1:A$318,0)))</f>
        <v>NHLS 2021 price-list</v>
      </c>
      <c r="I1250">
        <v>0.02</v>
      </c>
      <c r="J1250" s="85" t="s">
        <v>397</v>
      </c>
      <c r="K1250" s="85">
        <f>I1250*E1250</f>
        <v>1.4377990349799998</v>
      </c>
    </row>
    <row r="1251" spans="1:12">
      <c r="A1251" t="s">
        <v>1371</v>
      </c>
      <c r="B1251" s="137" t="s">
        <v>54</v>
      </c>
      <c r="C1251" t="s">
        <v>389</v>
      </c>
      <c r="D1251" t="s">
        <v>48</v>
      </c>
      <c r="E1251" s="70">
        <f>IF(B1251="","",INDEX(Ingredients!$I$1:$I$5013,(MATCH(InterventionCosts!B1251,Ingredients!$A$1:$A$5013,0))))</f>
        <v>1.2444366591928251</v>
      </c>
      <c r="F1251" s="5" t="str">
        <f>INDEX(Ingredients!J$1:J$265,(MATCH(InterventionCosts!B1251,Ingredients!A$1:A$265,0)))</f>
        <v>per minute</v>
      </c>
      <c r="G1251">
        <f>IF(B1251="","",INDEX(Ingredients!$E$1:$E$238,(MATCH(InterventionCosts!B1251,Ingredients!A$1:A$238,0))))</f>
        <v>2024</v>
      </c>
      <c r="H1251" t="str">
        <f>INDEX(Ingredients!$F$1:$F$318,(MATCH(InterventionCosts!B1251,Ingredients!A$1:A$318,0)))</f>
        <v xml:space="preserve">April 2024 Salary scale </v>
      </c>
      <c r="I1251">
        <f>15*0.02</f>
        <v>0.3</v>
      </c>
      <c r="J1251" s="133" t="s">
        <v>395</v>
      </c>
      <c r="K1251" s="85">
        <f>I1251*E1251</f>
        <v>0.3733309977578475</v>
      </c>
    </row>
    <row r="1252" spans="1:12">
      <c r="A1252" t="s">
        <v>1371</v>
      </c>
      <c r="B1252" s="137" t="s">
        <v>1489</v>
      </c>
      <c r="C1252" t="s">
        <v>389</v>
      </c>
      <c r="D1252" s="5" t="s">
        <v>21</v>
      </c>
      <c r="E1252" s="70">
        <f>IF(B1252="","",INDEX(Ingredients!$I$1:$I$5013,(MATCH(InterventionCosts!B1252,Ingredients!$A$1:$A$5013,0))))</f>
        <v>53.08</v>
      </c>
      <c r="F1252" s="5" t="str">
        <f>INDEX(Ingredients!J$1:J$265,(MATCH(InterventionCosts!B1252,Ingredients!A$1:A$265,0)))</f>
        <v>per pack 100, 50 pairs</v>
      </c>
      <c r="G1252">
        <f>IF(B1252="","",INDEX(Ingredients!$E$1:$E$238,(MATCH(InterventionCosts!B1252,Ingredients!A$1:A$238,0))))</f>
        <v>2024</v>
      </c>
      <c r="H1252" t="str">
        <f>INDEX(Ingredients!$F$1:$F$318,(MATCH(InterventionCosts!B1252,Ingredients!A$1:A$318,0)))</f>
        <v>https://www.treasury.gov.za/divisions/ocpo/ostb/contracts/RT76-2023%20CPA%20Amendment%204-%20Effective%2001%20May%202024.pdf</v>
      </c>
      <c r="I1252">
        <f>2/100*0.02</f>
        <v>4.0000000000000002E-4</v>
      </c>
      <c r="J1252" s="85" t="s">
        <v>397</v>
      </c>
      <c r="K1252" s="85">
        <f>I1252*E1252</f>
        <v>2.1232000000000001E-2</v>
      </c>
    </row>
    <row r="1253" spans="1:12">
      <c r="A1253" t="s">
        <v>1371</v>
      </c>
      <c r="B1253" s="137" t="s">
        <v>45</v>
      </c>
      <c r="C1253" t="s">
        <v>389</v>
      </c>
      <c r="D1253" s="5" t="s">
        <v>21</v>
      </c>
      <c r="E1253" s="70">
        <f>IF(B1253="","",INDEX(Ingredients!$I$1:$I$5013,(MATCH(InterventionCosts!B1253,Ingredients!$A$1:$A$5013,0))))</f>
        <v>46</v>
      </c>
      <c r="F1253" s="5" t="str">
        <f>INDEX(Ingredients!J$1:J$265,(MATCH(InterventionCosts!B1253,Ingredients!A$1:A$265,0)))</f>
        <v>per pack 100</v>
      </c>
      <c r="G1253">
        <f>IF(B1253="","",INDEX(Ingredients!$E$1:$E$238,(MATCH(InterventionCosts!B1253,Ingredients!A$1:A$238,0))))</f>
        <v>2024</v>
      </c>
      <c r="H1253" t="str">
        <f>INDEX(Ingredients!$F$1:$F$318,(MATCH(InterventionCosts!B1253,Ingredients!A$1:A$318,0)))</f>
        <v>https://www.treasury.gov.za/divisions/ocpo/ostb/contracts/RT284-2023.zip</v>
      </c>
      <c r="I1253">
        <f>1/100*0.02</f>
        <v>2.0000000000000001E-4</v>
      </c>
      <c r="J1253" s="85" t="s">
        <v>397</v>
      </c>
      <c r="K1253" s="135">
        <f>I1253*E1253</f>
        <v>9.1999999999999998E-3</v>
      </c>
    </row>
    <row r="1254" spans="1:12">
      <c r="A1254" t="s">
        <v>1371</v>
      </c>
      <c r="B1254" s="137" t="s">
        <v>31</v>
      </c>
      <c r="C1254" t="s">
        <v>389</v>
      </c>
      <c r="D1254" s="5" t="s">
        <v>21</v>
      </c>
      <c r="E1254" s="70">
        <f>IF(B1254="","",INDEX(Ingredients!$I$1:$I$5013,(MATCH(InterventionCosts!B1254,Ingredients!$A$1:$A$5013,0))))</f>
        <v>31.4</v>
      </c>
      <c r="F1254" s="5" t="str">
        <f>INDEX(Ingredients!J$1:J$265,(MATCH(InterventionCosts!B1254,Ingredients!A$1:A$265,0)))</f>
        <v>per 100 swabs</v>
      </c>
      <c r="G1254">
        <f>IF(B1254="","",INDEX(Ingredients!$E$1:$E$238,(MATCH(InterventionCosts!B1254,Ingredients!A$1:A$238,0))))</f>
        <v>2024</v>
      </c>
      <c r="H1254" t="str">
        <f>INDEX(Ingredients!$F$1:$F$318,(MATCH(InterventionCosts!B1254,Ingredients!A$1:A$318,0)))</f>
        <v xml:space="preserve">http://www.treasury.gov.za/divisions/ocpo/ostb/contracts/RT42-2022zip </v>
      </c>
      <c r="I1254">
        <f>1/100*0.02</f>
        <v>2.0000000000000001E-4</v>
      </c>
      <c r="J1254" s="85" t="s">
        <v>397</v>
      </c>
      <c r="K1254" s="135">
        <f>I1254*E1254</f>
        <v>6.28E-3</v>
      </c>
    </row>
    <row r="1255" spans="1:12">
      <c r="A1255" t="s">
        <v>1371</v>
      </c>
      <c r="B1255" s="136" t="s">
        <v>398</v>
      </c>
    </row>
    <row r="1256" spans="1:12">
      <c r="A1256" t="s">
        <v>1371</v>
      </c>
      <c r="B1256" s="137" t="s">
        <v>354</v>
      </c>
      <c r="C1256" t="s">
        <v>389</v>
      </c>
      <c r="D1256" t="s">
        <v>48</v>
      </c>
      <c r="E1256" s="70">
        <f>IF(B1256="","",INDEX(Ingredients!$I$1:$I$5013,(MATCH(InterventionCosts!B1256,Ingredients!$A$1:$A$5013,0))))</f>
        <v>4.8996605630293981</v>
      </c>
      <c r="F1256" s="5" t="str">
        <f>INDEX(Ingredients!J$1:J$265,(MATCH(InterventionCosts!B1256,Ingredients!A$1:A$265,0)))</f>
        <v>per minute</v>
      </c>
      <c r="G1256">
        <f>IF(B1256="","",INDEX(Ingredients!$E$1:$E$238,(MATCH(InterventionCosts!B1256,Ingredients!A$1:A$238,0))))</f>
        <v>2024</v>
      </c>
      <c r="H1256" t="str">
        <f>INDEX(Ingredients!$F$1:$F$318,(MATCH(InterventionCosts!B1256,Ingredients!A$1:A$318,0)))</f>
        <v xml:space="preserve">April 2024 Salary scale </v>
      </c>
      <c r="I1256">
        <v>15</v>
      </c>
      <c r="J1256" s="133" t="s">
        <v>395</v>
      </c>
      <c r="K1256" s="85">
        <f>I1256*E1256</f>
        <v>73.49490844544097</v>
      </c>
    </row>
    <row r="1257" spans="1:12">
      <c r="A1257" t="s">
        <v>1371</v>
      </c>
      <c r="B1257" s="137" t="s">
        <v>400</v>
      </c>
      <c r="C1257" t="s">
        <v>389</v>
      </c>
      <c r="D1257" t="s">
        <v>75</v>
      </c>
      <c r="E1257" s="70">
        <f>IF(B1257="","",INDEX(Ingredients!$I$1:$I$5013,(MATCH(InterventionCosts!B1257,Ingredients!$A$1:$A$5013,0))))</f>
        <v>59.183820742199998</v>
      </c>
      <c r="F1257" s="5" t="str">
        <f>INDEX(Ingredients!J$1:J$265,(MATCH(InterventionCosts!B1257,Ingredients!A$1:A$265,0)))</f>
        <v>per test</v>
      </c>
      <c r="G1257">
        <f>IF(B1257="","",INDEX(Ingredients!$E$1:$E$238,(MATCH(InterventionCosts!B1257,Ingredients!A$1:A$238,0))))</f>
        <v>2021</v>
      </c>
      <c r="H1257" t="str">
        <f>INDEX(Ingredients!$F$1:$F$318,(MATCH(InterventionCosts!B1257,Ingredients!A$1:A$318,0)))</f>
        <v>NHLS 2021 price-list</v>
      </c>
      <c r="I1257">
        <v>1</v>
      </c>
      <c r="J1257" t="s">
        <v>403</v>
      </c>
      <c r="K1257" s="85">
        <f>I1257*E1257</f>
        <v>59.183820742199998</v>
      </c>
      <c r="L1257" s="151"/>
    </row>
    <row r="1258" spans="1:12">
      <c r="A1258" t="s">
        <v>1371</v>
      </c>
      <c r="B1258" s="137" t="s">
        <v>401</v>
      </c>
      <c r="C1258" t="s">
        <v>389</v>
      </c>
      <c r="D1258" s="5" t="s">
        <v>21</v>
      </c>
      <c r="E1258" s="70">
        <f>IF(B1258="","",INDEX(Ingredients!$I$1:$I$5013,(MATCH(InterventionCosts!B1258,Ingredients!$A$1:$A$5013,0))))</f>
        <v>4.8734277524838099</v>
      </c>
      <c r="F1258" s="5" t="str">
        <f>INDEX(Ingredients!J$1:J$265,(MATCH(InterventionCosts!B1258,Ingredients!A$1:A$265,0)))</f>
        <v>per test</v>
      </c>
      <c r="G1258">
        <f>IF(B1258="","",INDEX(Ingredients!$E$1:$E$238,(MATCH(InterventionCosts!B1258,Ingredients!A$1:A$238,0))))</f>
        <v>2019</v>
      </c>
      <c r="H1258" t="str">
        <f>INDEX(Ingredients!$F$1:$F$318,(MATCH(InterventionCosts!B1258,Ingredients!A$1:A$318,0)))</f>
        <v>Kendon Medical Supplies Pty Ltd, quote (19 Aug 2019)</v>
      </c>
      <c r="I1258">
        <v>1</v>
      </c>
      <c r="J1258" t="s">
        <v>1476</v>
      </c>
      <c r="K1258" s="85">
        <f>I1258*E1258</f>
        <v>4.8734277524838099</v>
      </c>
    </row>
    <row r="1259" spans="1:12">
      <c r="A1259" t="s">
        <v>1371</v>
      </c>
      <c r="B1259" s="136" t="s">
        <v>405</v>
      </c>
    </row>
    <row r="1260" spans="1:12">
      <c r="A1260" t="s">
        <v>1371</v>
      </c>
      <c r="B1260" s="137" t="s">
        <v>54</v>
      </c>
      <c r="C1260" t="s">
        <v>389</v>
      </c>
      <c r="D1260" t="s">
        <v>48</v>
      </c>
      <c r="E1260" s="70">
        <f>IF(B1260="","",INDEX(Ingredients!$I$1:$I$5013,(MATCH(InterventionCosts!B1260,Ingredients!$A$1:$A$5013,0))))</f>
        <v>1.2444366591928251</v>
      </c>
      <c r="F1260" s="5" t="str">
        <f>INDEX(Ingredients!J$1:J$265,(MATCH(InterventionCosts!B1260,Ingredients!A$1:A$265,0)))</f>
        <v>per minute</v>
      </c>
      <c r="G1260">
        <f>IF(B1260="","",INDEX(Ingredients!$E$1:$E$238,(MATCH(InterventionCosts!B1260,Ingredients!A$1:A$238,0))))</f>
        <v>2024</v>
      </c>
      <c r="H1260" t="str">
        <f>INDEX(Ingredients!$F$1:$F$318,(MATCH(InterventionCosts!B1260,Ingredients!A$1:A$318,0)))</f>
        <v xml:space="preserve">April 2024 Salary scale </v>
      </c>
      <c r="I1260">
        <v>5</v>
      </c>
      <c r="J1260" s="133" t="s">
        <v>406</v>
      </c>
      <c r="K1260" s="85">
        <f>I1260*E1260</f>
        <v>6.2221832959641254</v>
      </c>
    </row>
    <row r="1261" spans="1:12">
      <c r="A1261" t="s">
        <v>1371</v>
      </c>
      <c r="B1261" s="139" t="s">
        <v>407</v>
      </c>
      <c r="C1261" t="s">
        <v>389</v>
      </c>
      <c r="D1261" t="s">
        <v>75</v>
      </c>
      <c r="E1261" s="70">
        <f>IF(B1261="","",INDEX(Ingredients!$I$1:$I$5013,(MATCH(InterventionCosts!B1261,Ingredients!$A$1:$A$5013,0))))</f>
        <v>11.96</v>
      </c>
      <c r="F1261" s="5" t="str">
        <f>INDEX(Ingredients!J$1:J$265,(MATCH(InterventionCosts!B1261,Ingredients!A$1:A$265,0)))</f>
        <v>per test</v>
      </c>
      <c r="G1261">
        <f>IF(B1261="","",INDEX(Ingredients!$E$1:$E$238,(MATCH(InterventionCosts!B1261,Ingredients!A$1:A$238,0))))</f>
        <v>2024</v>
      </c>
      <c r="H1261" t="str">
        <f>INDEX(Ingredients!$F$1:$F$318,(MATCH(InterventionCosts!B1261,Ingredients!A$1:A$318,0)))</f>
        <v>https://www.treasury.gov.za/divisions/ocpo/ostb/contracts/RT41-1-2020%20CPA%20Addendum%205.pdf</v>
      </c>
      <c r="I1261">
        <v>1</v>
      </c>
      <c r="J1261" t="s">
        <v>1476</v>
      </c>
      <c r="K1261" s="85">
        <f>I1261*E1261</f>
        <v>11.96</v>
      </c>
    </row>
    <row r="1262" spans="1:12">
      <c r="A1262" t="s">
        <v>1371</v>
      </c>
      <c r="B1262" s="136" t="s">
        <v>411</v>
      </c>
      <c r="E1262" s="70"/>
      <c r="F1262" s="5"/>
    </row>
    <row r="1263" spans="1:12">
      <c r="A1263" t="s">
        <v>1371</v>
      </c>
      <c r="B1263" s="137" t="s">
        <v>449</v>
      </c>
      <c r="C1263" t="s">
        <v>389</v>
      </c>
      <c r="D1263" t="s">
        <v>70</v>
      </c>
      <c r="E1263" s="70">
        <f>IF(B1263="","",INDEX(Ingredients!$I$1:$I$5013,(MATCH(InterventionCosts!B1263,Ingredients!$A$1:$A$5013,0))))</f>
        <v>535.00106288275867</v>
      </c>
      <c r="F1263" s="5" t="str">
        <f>INDEX(Ingredients!J$1:J$265,(MATCH(InterventionCosts!B1263,Ingredients!A$1:A$265,0)))</f>
        <v>per injection</v>
      </c>
      <c r="G1263">
        <f>IF(B1263="","",INDEX(Ingredients!$E$1:$E$238,(MATCH(InterventionCosts!B1263,Ingredients!A$1:A$238,0))))</f>
        <v>2024</v>
      </c>
      <c r="H1263" t="str">
        <f>INDEX(Ingredients!$F$1:$F$318,(MATCH(InterventionCosts!B1263,Ingredients!A$1:A$318,0)))</f>
        <v>24.50 GBP (email from Hasina, official letter from GSK), 1 GBP = 1.22 USD (on 02 Nov 2023)</v>
      </c>
      <c r="I1263">
        <v>1</v>
      </c>
      <c r="J1263" t="s">
        <v>1472</v>
      </c>
      <c r="K1263" s="85">
        <f>I1263*E1263</f>
        <v>535.00106288275867</v>
      </c>
    </row>
    <row r="1264" spans="1:12">
      <c r="A1264" t="s">
        <v>1371</v>
      </c>
      <c r="B1264" s="137" t="s">
        <v>354</v>
      </c>
      <c r="C1264" t="s">
        <v>389</v>
      </c>
      <c r="D1264" t="s">
        <v>48</v>
      </c>
      <c r="E1264" s="70">
        <f>IF(B1264="","",INDEX(Ingredients!$I$1:$I$5013,(MATCH(InterventionCosts!B1264,Ingredients!$A$1:$A$5013,0))))</f>
        <v>4.8996605630293981</v>
      </c>
      <c r="F1264" s="5" t="str">
        <f>INDEX(Ingredients!J$1:J$265,(MATCH(InterventionCosts!B1264,Ingredients!A$1:A$265,0)))</f>
        <v>per minute</v>
      </c>
      <c r="G1264">
        <f>IF(B1264="","",INDEX(Ingredients!$E$1:$E$238,(MATCH(InterventionCosts!B1264,Ingredients!A$1:A$238,0))))</f>
        <v>2024</v>
      </c>
      <c r="H1264" t="str">
        <f>INDEX(Ingredients!$F$1:$F$318,(MATCH(InterventionCosts!B1264,Ingredients!A$1:A$318,0)))</f>
        <v xml:space="preserve">April 2024 Salary scale </v>
      </c>
      <c r="I1264">
        <v>5</v>
      </c>
      <c r="J1264" s="133" t="s">
        <v>395</v>
      </c>
      <c r="K1264" s="85">
        <f>I1264*E1264</f>
        <v>24.498302815146992</v>
      </c>
    </row>
    <row r="1265" spans="1:12">
      <c r="A1265" t="s">
        <v>1371</v>
      </c>
      <c r="B1265" s="137" t="s">
        <v>45</v>
      </c>
      <c r="C1265" t="s">
        <v>389</v>
      </c>
      <c r="D1265" s="5" t="s">
        <v>21</v>
      </c>
      <c r="E1265" s="70">
        <f>IF(B1265="","",INDEX(Ingredients!$I$1:$I$5013,(MATCH(InterventionCosts!B1265,Ingredients!$A$1:$A$5013,0))))</f>
        <v>46</v>
      </c>
      <c r="F1265" s="5" t="str">
        <f>INDEX(Ingredients!J$1:J$265,(MATCH(InterventionCosts!B1265,Ingredients!A$1:A$265,0)))</f>
        <v>per pack 100</v>
      </c>
      <c r="G1265">
        <f>IF(B1265="","",INDEX(Ingredients!$E$1:$E$238,(MATCH(InterventionCosts!B1265,Ingredients!A$1:A$238,0))))</f>
        <v>2024</v>
      </c>
      <c r="H1265" t="str">
        <f>INDEX(Ingredients!$F$1:$F$318,(MATCH(InterventionCosts!B1265,Ingredients!A$1:A$318,0)))</f>
        <v>https://www.treasury.gov.za/divisions/ocpo/ostb/contracts/RT284-2023.zip</v>
      </c>
      <c r="I1265">
        <f>1/100</f>
        <v>0.01</v>
      </c>
      <c r="J1265" s="133" t="s">
        <v>395</v>
      </c>
      <c r="K1265" s="85">
        <f>I1265*E1265</f>
        <v>0.46</v>
      </c>
    </row>
    <row r="1266" spans="1:12">
      <c r="A1266" t="s">
        <v>1371</v>
      </c>
      <c r="B1266" s="137" t="s">
        <v>31</v>
      </c>
      <c r="C1266" t="s">
        <v>389</v>
      </c>
      <c r="D1266" s="5" t="s">
        <v>21</v>
      </c>
      <c r="E1266" s="70">
        <f>IF(B1266="","",INDEX(Ingredients!$I$1:$I$5013,(MATCH(InterventionCosts!B1266,Ingredients!$A$1:$A$5013,0))))</f>
        <v>31.4</v>
      </c>
      <c r="F1266" s="5" t="str">
        <f>INDEX(Ingredients!J$1:J$265,(MATCH(InterventionCosts!B1266,Ingredients!A$1:A$265,0)))</f>
        <v>per 100 swabs</v>
      </c>
      <c r="G1266">
        <f>IF(B1266="","",INDEX(Ingredients!$E$1:$E$238,(MATCH(InterventionCosts!B1266,Ingredients!A$1:A$238,0))))</f>
        <v>2024</v>
      </c>
      <c r="H1266" t="str">
        <f>INDEX(Ingredients!$F$1:$F$318,(MATCH(InterventionCosts!B1266,Ingredients!A$1:A$318,0)))</f>
        <v xml:space="preserve">http://www.treasury.gov.za/divisions/ocpo/ostb/contracts/RT42-2022zip </v>
      </c>
      <c r="I1266">
        <f>1/100</f>
        <v>0.01</v>
      </c>
      <c r="J1266" t="s">
        <v>1485</v>
      </c>
      <c r="K1266" s="85">
        <f>I1266*E1266</f>
        <v>0.314</v>
      </c>
    </row>
    <row r="1267" spans="1:12">
      <c r="A1267" t="s">
        <v>1371</v>
      </c>
      <c r="B1267" s="144" t="s">
        <v>451</v>
      </c>
      <c r="C1267" s="141"/>
      <c r="D1267" s="141"/>
      <c r="E1267" s="142"/>
      <c r="F1267" s="141"/>
      <c r="G1267" s="141"/>
      <c r="H1267" s="141"/>
      <c r="I1267" s="141"/>
      <c r="J1267" s="141"/>
      <c r="K1267" s="143"/>
    </row>
    <row r="1268" spans="1:12">
      <c r="A1268" t="s">
        <v>1371</v>
      </c>
      <c r="B1268" s="136" t="s">
        <v>411</v>
      </c>
    </row>
    <row r="1269" spans="1:12">
      <c r="A1269" t="s">
        <v>1371</v>
      </c>
      <c r="B1269" s="137" t="s">
        <v>449</v>
      </c>
      <c r="C1269" t="s">
        <v>389</v>
      </c>
      <c r="D1269" t="s">
        <v>70</v>
      </c>
      <c r="E1269" s="70">
        <f>IF(B1269="","",INDEX(Ingredients!$I$1:$I$5013,(MATCH(InterventionCosts!B1269,Ingredients!$A$1:$A$5013,0))))</f>
        <v>535.00106288275867</v>
      </c>
      <c r="F1269" s="5" t="str">
        <f>INDEX(Ingredients!J$1:J$265,(MATCH(InterventionCosts!B1269,Ingredients!A$1:A$265,0)))</f>
        <v>per injection</v>
      </c>
      <c r="G1269">
        <f>IF(B1269="","",INDEX(Ingredients!$E$1:$E$238,(MATCH(InterventionCosts!B1269,Ingredients!A$1:A$238,0))))</f>
        <v>2024</v>
      </c>
      <c r="H1269" t="str">
        <f>INDEX(Ingredients!$F$1:$F$318,(MATCH(InterventionCosts!B1269,Ingredients!A$1:A$318,0)))</f>
        <v>24.50 GBP (email from Hasina, official letter from GSK), 1 GBP = 1.22 USD (on 02 Nov 2023)</v>
      </c>
      <c r="I1269">
        <v>1</v>
      </c>
      <c r="J1269" t="s">
        <v>1486</v>
      </c>
      <c r="K1269" s="85">
        <f>I1269*E1269</f>
        <v>535.00106288275867</v>
      </c>
    </row>
    <row r="1270" spans="1:12">
      <c r="A1270" t="s">
        <v>1371</v>
      </c>
      <c r="B1270" s="137" t="s">
        <v>354</v>
      </c>
      <c r="C1270" t="s">
        <v>389</v>
      </c>
      <c r="D1270" t="s">
        <v>48</v>
      </c>
      <c r="E1270" s="70">
        <f>IF(B1270="","",INDEX(Ingredients!$I$1:$I$5013,(MATCH(InterventionCosts!B1270,Ingredients!$A$1:$A$5013,0))))</f>
        <v>4.8996605630293981</v>
      </c>
      <c r="F1270" s="5" t="str">
        <f>INDEX(Ingredients!J$1:J$265,(MATCH(InterventionCosts!B1270,Ingredients!A$1:A$265,0)))</f>
        <v>per minute</v>
      </c>
      <c r="G1270">
        <f>IF(B1270="","",INDEX(Ingredients!$E$1:$E$238,(MATCH(InterventionCosts!B1270,Ingredients!A$1:A$238,0))))</f>
        <v>2024</v>
      </c>
      <c r="H1270" t="str">
        <f>INDEX(Ingredients!$F$1:$F$318,(MATCH(InterventionCosts!B1270,Ingredients!A$1:A$318,0)))</f>
        <v xml:space="preserve">April 2024 Salary scale </v>
      </c>
      <c r="I1270">
        <v>5</v>
      </c>
      <c r="J1270" t="s">
        <v>1476</v>
      </c>
      <c r="K1270" s="85">
        <f>I1270*E1270</f>
        <v>24.498302815146992</v>
      </c>
    </row>
    <row r="1271" spans="1:12">
      <c r="A1271" t="s">
        <v>1371</v>
      </c>
      <c r="B1271" s="137" t="s">
        <v>54</v>
      </c>
      <c r="C1271" t="s">
        <v>389</v>
      </c>
      <c r="D1271" t="s">
        <v>48</v>
      </c>
      <c r="E1271" s="70">
        <f>IF(B1271="","",INDEX(Ingredients!$I$1:$I$5013,(MATCH(InterventionCosts!B1271,Ingredients!$A$1:$A$5013,0))))</f>
        <v>1.2444366591928251</v>
      </c>
      <c r="F1271" s="5" t="str">
        <f>INDEX(Ingredients!J$1:J$265,(MATCH(InterventionCosts!B1271,Ingredients!A$1:A$265,0)))</f>
        <v>per minute</v>
      </c>
      <c r="G1271">
        <f>IF(B1271="","",INDEX(Ingredients!$E$1:$E$238,(MATCH(InterventionCosts!B1271,Ingredients!A$1:A$238,0))))</f>
        <v>2024</v>
      </c>
      <c r="H1271" t="str">
        <f>INDEX(Ingredients!$F$1:$F$318,(MATCH(InterventionCosts!B1271,Ingredients!A$1:A$318,0)))</f>
        <v xml:space="preserve">April 2024 Salary scale </v>
      </c>
      <c r="I1271">
        <v>10</v>
      </c>
      <c r="J1271" t="s">
        <v>1476</v>
      </c>
      <c r="K1271" s="85">
        <f>I1271*E1271</f>
        <v>12.444366591928251</v>
      </c>
    </row>
    <row r="1272" spans="1:12">
      <c r="A1272" t="s">
        <v>1371</v>
      </c>
      <c r="B1272" s="137" t="s">
        <v>45</v>
      </c>
      <c r="C1272" t="s">
        <v>389</v>
      </c>
      <c r="D1272" s="5" t="s">
        <v>21</v>
      </c>
      <c r="E1272" s="70">
        <f>IF(B1272="","",INDEX(Ingredients!$I$1:$I$5013,(MATCH(InterventionCosts!B1272,Ingredients!$A$1:$A$5013,0))))</f>
        <v>46</v>
      </c>
      <c r="F1272" s="5" t="str">
        <f>INDEX(Ingredients!J$1:J$265,(MATCH(InterventionCosts!B1272,Ingredients!A$1:A$265,0)))</f>
        <v>per pack 100</v>
      </c>
      <c r="G1272">
        <f>IF(B1272="","",INDEX(Ingredients!$E$1:$E$238,(MATCH(InterventionCosts!B1272,Ingredients!A$1:A$238,0))))</f>
        <v>2024</v>
      </c>
      <c r="H1272" t="str">
        <f>INDEX(Ingredients!$F$1:$F$318,(MATCH(InterventionCosts!B1272,Ingredients!A$1:A$318,0)))</f>
        <v>https://www.treasury.gov.za/divisions/ocpo/ostb/contracts/RT284-2023.zip</v>
      </c>
      <c r="I1272">
        <f>1/100</f>
        <v>0.01</v>
      </c>
      <c r="J1272" t="s">
        <v>1476</v>
      </c>
      <c r="K1272" s="85">
        <f>I1272*E1272</f>
        <v>0.46</v>
      </c>
    </row>
    <row r="1273" spans="1:12">
      <c r="A1273" t="s">
        <v>1371</v>
      </c>
      <c r="B1273" s="137" t="s">
        <v>31</v>
      </c>
      <c r="C1273" t="s">
        <v>389</v>
      </c>
      <c r="D1273" s="5" t="s">
        <v>21</v>
      </c>
      <c r="E1273" s="70">
        <f>IF(B1273="","",INDEX(Ingredients!$I$1:$I$5013,(MATCH(InterventionCosts!B1273,Ingredients!$A$1:$A$5013,0))))</f>
        <v>31.4</v>
      </c>
      <c r="F1273" s="5" t="str">
        <f>INDEX(Ingredients!J$1:J$265,(MATCH(InterventionCosts!B1273,Ingredients!A$1:A$265,0)))</f>
        <v>per 100 swabs</v>
      </c>
      <c r="G1273">
        <f>IF(B1273="","",INDEX(Ingredients!$E$1:$E$238,(MATCH(InterventionCosts!B1273,Ingredients!A$1:A$238,0))))</f>
        <v>2024</v>
      </c>
      <c r="H1273" t="str">
        <f>INDEX(Ingredients!$F$1:$F$318,(MATCH(InterventionCosts!B1273,Ingredients!A$1:A$318,0)))</f>
        <v xml:space="preserve">http://www.treasury.gov.za/divisions/ocpo/ostb/contracts/RT42-2022zip </v>
      </c>
      <c r="I1273">
        <f>1/100</f>
        <v>0.01</v>
      </c>
      <c r="J1273" t="s">
        <v>1485</v>
      </c>
      <c r="K1273" s="85">
        <f>I1273*E1273</f>
        <v>0.314</v>
      </c>
    </row>
    <row r="1274" spans="1:12">
      <c r="A1274" t="s">
        <v>1371</v>
      </c>
      <c r="B1274" s="136" t="s">
        <v>391</v>
      </c>
      <c r="L1274"/>
    </row>
    <row r="1275" spans="1:12">
      <c r="A1275" t="s">
        <v>1371</v>
      </c>
      <c r="B1275" s="137" t="s">
        <v>79</v>
      </c>
      <c r="C1275" t="s">
        <v>389</v>
      </c>
      <c r="D1275" s="5" t="s">
        <v>21</v>
      </c>
      <c r="E1275" s="70">
        <f>IF(B1275="","",INDEX(Ingredients!$I$1:$I$5013,(MATCH(InterventionCosts!B1275,Ingredients!$A$1:$A$5013,0))))</f>
        <v>9.3000000000000007</v>
      </c>
      <c r="F1275" s="5" t="str">
        <f>INDEX(Ingredients!J$1:J$265,(MATCH(InterventionCosts!B1275,Ingredients!A$1:A$265,0)))</f>
        <v>per test</v>
      </c>
      <c r="G1275">
        <f>IF(B1275="","",INDEX(Ingredients!$E$1:$E$238,(MATCH(InterventionCosts!B1275,Ingredients!A$1:A$238,0))))</f>
        <v>2024</v>
      </c>
      <c r="H1275" t="str">
        <f>INDEX(Ingredients!$F$1:$F$318,(MATCH(InterventionCosts!B1275,Ingredients!A$1:A$318,0)))</f>
        <v>https://www.treasury.gov.za/divisions/ocpo/ostb/contracts/RT41-2020.zip</v>
      </c>
      <c r="I1275">
        <v>1</v>
      </c>
      <c r="J1275" t="s">
        <v>1486</v>
      </c>
      <c r="K1275" s="85">
        <f>I1275*E1275</f>
        <v>9.3000000000000007</v>
      </c>
      <c r="L1275" s="133"/>
    </row>
    <row r="1276" spans="1:12">
      <c r="A1276" t="s">
        <v>1371</v>
      </c>
      <c r="B1276" s="137" t="s">
        <v>54</v>
      </c>
      <c r="C1276" t="s">
        <v>389</v>
      </c>
      <c r="D1276" t="s">
        <v>48</v>
      </c>
      <c r="E1276" s="70">
        <f>IF(B1276="","",INDEX(Ingredients!$I$1:$I$5013,(MATCH(InterventionCosts!B1276,Ingredients!$A$1:$A$5013,0))))</f>
        <v>1.2444366591928251</v>
      </c>
      <c r="F1276" s="5" t="str">
        <f>INDEX(Ingredients!J$1:J$265,(MATCH(InterventionCosts!B1276,Ingredients!A$1:A$265,0)))</f>
        <v>per minute</v>
      </c>
      <c r="G1276">
        <f>IF(B1276="","",INDEX(Ingredients!$E$1:$E$238,(MATCH(InterventionCosts!B1276,Ingredients!A$1:A$238,0))))</f>
        <v>2024</v>
      </c>
      <c r="H1276" t="str">
        <f>INDEX(Ingredients!$F$1:$F$318,(MATCH(InterventionCosts!B1276,Ingredients!A$1:A$318,0)))</f>
        <v xml:space="preserve">April 2024 Salary scale </v>
      </c>
      <c r="I1276">
        <v>15</v>
      </c>
      <c r="J1276" s="133" t="s">
        <v>395</v>
      </c>
      <c r="K1276" s="85">
        <f>I1276*E1276</f>
        <v>18.666549887892376</v>
      </c>
      <c r="L1276"/>
    </row>
    <row r="1277" spans="1:12">
      <c r="A1277" t="s">
        <v>1371</v>
      </c>
      <c r="B1277" s="137" t="s">
        <v>1489</v>
      </c>
      <c r="C1277" t="s">
        <v>389</v>
      </c>
      <c r="D1277" s="5" t="s">
        <v>21</v>
      </c>
      <c r="E1277" s="70">
        <f>IF(B1277="","",INDEX(Ingredients!$I$1:$I$5013,(MATCH(InterventionCosts!B1277,Ingredients!$A$1:$A$5013,0))))</f>
        <v>53.08</v>
      </c>
      <c r="F1277" s="5" t="str">
        <f>INDEX(Ingredients!J$1:J$265,(MATCH(InterventionCosts!B1277,Ingredients!A$1:A$265,0)))</f>
        <v>per pack 100, 50 pairs</v>
      </c>
      <c r="G1277">
        <f>IF(B1277="","",INDEX(Ingredients!$E$1:$E$238,(MATCH(InterventionCosts!B1277,Ingredients!A$1:A$238,0))))</f>
        <v>2024</v>
      </c>
      <c r="H1277" t="str">
        <f>INDEX(Ingredients!$F$1:$F$318,(MATCH(InterventionCosts!B1277,Ingredients!A$1:A$318,0)))</f>
        <v>https://www.treasury.gov.za/divisions/ocpo/ostb/contracts/RT76-2023%20CPA%20Amendment%204-%20Effective%2001%20May%202024.pdf</v>
      </c>
      <c r="I1277">
        <f>2/100</f>
        <v>0.02</v>
      </c>
      <c r="J1277" t="s">
        <v>1487</v>
      </c>
      <c r="K1277" s="85">
        <f>I1277*E1277</f>
        <v>1.0615999999999999</v>
      </c>
      <c r="L1277"/>
    </row>
    <row r="1278" spans="1:12">
      <c r="A1278" t="s">
        <v>1371</v>
      </c>
      <c r="B1278" s="137" t="s">
        <v>31</v>
      </c>
      <c r="C1278" t="s">
        <v>389</v>
      </c>
      <c r="D1278" s="5" t="s">
        <v>21</v>
      </c>
      <c r="E1278" s="70">
        <f>IF(B1278="","",INDEX(Ingredients!$I$1:$I$5013,(MATCH(InterventionCosts!B1278,Ingredients!$A$1:$A$5013,0))))</f>
        <v>31.4</v>
      </c>
      <c r="F1278" s="5" t="str">
        <f>INDEX(Ingredients!J$1:J$265,(MATCH(InterventionCosts!B1278,Ingredients!A$1:A$265,0)))</f>
        <v>per 100 swabs</v>
      </c>
      <c r="G1278">
        <f>IF(B1278="","",INDEX(Ingredients!$E$1:$E$238,(MATCH(InterventionCosts!B1278,Ingredients!A$1:A$238,0))))</f>
        <v>2024</v>
      </c>
      <c r="H1278" t="str">
        <f>INDEX(Ingredients!$F$1:$F$318,(MATCH(InterventionCosts!B1278,Ingredients!A$1:A$318,0)))</f>
        <v xml:space="preserve">http://www.treasury.gov.za/divisions/ocpo/ostb/contracts/RT42-2022zip </v>
      </c>
      <c r="I1278">
        <f>1/100</f>
        <v>0.01</v>
      </c>
      <c r="J1278" t="s">
        <v>1485</v>
      </c>
      <c r="K1278" s="85">
        <f>I1278*E1278</f>
        <v>0.314</v>
      </c>
      <c r="L1278" s="133"/>
    </row>
    <row r="1279" spans="1:12">
      <c r="A1279" t="s">
        <v>1371</v>
      </c>
      <c r="B1279" s="136" t="s">
        <v>392</v>
      </c>
      <c r="E1279" s="70"/>
      <c r="F1279" s="3" t="s">
        <v>413</v>
      </c>
      <c r="I1279" s="3">
        <v>6.6746301100770303E-2</v>
      </c>
      <c r="J1279" s="3" t="s">
        <v>443</v>
      </c>
      <c r="L1279"/>
    </row>
    <row r="1280" spans="1:12">
      <c r="A1280" t="s">
        <v>1371</v>
      </c>
      <c r="B1280" s="137" t="s">
        <v>79</v>
      </c>
      <c r="C1280" t="s">
        <v>389</v>
      </c>
      <c r="D1280" s="5" t="s">
        <v>21</v>
      </c>
      <c r="E1280" s="70">
        <f>IF(B1280="","",INDEX(Ingredients!$I$1:$I$5013,(MATCH(InterventionCosts!B1280,Ingredients!$A$1:$A$5013,0))))</f>
        <v>9.3000000000000007</v>
      </c>
      <c r="F1280" s="5" t="str">
        <f>INDEX(Ingredients!J$1:J$265,(MATCH(InterventionCosts!B1280,Ingredients!A$1:A$265,0)))</f>
        <v>per test</v>
      </c>
      <c r="G1280">
        <f>IF(B1280="","",INDEX(Ingredients!$E$1:$E$238,(MATCH(InterventionCosts!B1280,Ingredients!A$1:A$238,0))))</f>
        <v>2024</v>
      </c>
      <c r="H1280" t="str">
        <f>INDEX(Ingredients!$F$1:$F$318,(MATCH(InterventionCosts!B1280,Ingredients!A$1:A$318,0)))</f>
        <v>https://www.treasury.gov.za/divisions/ocpo/ostb/contracts/RT41-2020.zip</v>
      </c>
      <c r="I1280">
        <f>I1279</f>
        <v>6.6746301100770303E-2</v>
      </c>
      <c r="J1280" t="s">
        <v>413</v>
      </c>
      <c r="K1280" s="85">
        <f>I1280*E1280</f>
        <v>0.62074060023716382</v>
      </c>
      <c r="L1280"/>
    </row>
    <row r="1281" spans="1:12">
      <c r="A1281" t="s">
        <v>1371</v>
      </c>
      <c r="B1281" s="137" t="s">
        <v>54</v>
      </c>
      <c r="C1281" t="s">
        <v>389</v>
      </c>
      <c r="D1281" t="s">
        <v>48</v>
      </c>
      <c r="E1281" s="70">
        <f>IF(B1281="","",INDEX(Ingredients!$I$1:$I$5013,(MATCH(InterventionCosts!B1281,Ingredients!$A$1:$A$5013,0))))</f>
        <v>1.2444366591928251</v>
      </c>
      <c r="F1281" s="5" t="str">
        <f>INDEX(Ingredients!J$1:J$265,(MATCH(InterventionCosts!B1281,Ingredients!A$1:A$265,0)))</f>
        <v>per minute</v>
      </c>
      <c r="G1281">
        <f>IF(B1281="","",INDEX(Ingredients!$E$1:$E$238,(MATCH(InterventionCosts!B1281,Ingredients!A$1:A$238,0))))</f>
        <v>2024</v>
      </c>
      <c r="H1281" t="str">
        <f>INDEX(Ingredients!$F$1:$F$318,(MATCH(InterventionCosts!B1281,Ingredients!A$1:A$318,0)))</f>
        <v xml:space="preserve">April 2024 Salary scale </v>
      </c>
      <c r="I1281">
        <f>(15+1/(1-I1279))*I1279</f>
        <v>1.072714512820701</v>
      </c>
      <c r="J1281" s="133" t="s">
        <v>414</v>
      </c>
      <c r="K1281" s="85">
        <f>I1281*E1281</f>
        <v>1.334925264602252</v>
      </c>
      <c r="L1281" s="3"/>
    </row>
    <row r="1282" spans="1:12">
      <c r="A1282" t="s">
        <v>1371</v>
      </c>
      <c r="B1282" s="137" t="s">
        <v>1489</v>
      </c>
      <c r="C1282" t="s">
        <v>389</v>
      </c>
      <c r="D1282" s="5" t="s">
        <v>21</v>
      </c>
      <c r="E1282" s="70">
        <f>IF(B1282="","",INDEX(Ingredients!$I$1:$I$5013,(MATCH(InterventionCosts!B1282,Ingredients!$A$1:$A$5013,0))))</f>
        <v>53.08</v>
      </c>
      <c r="F1282" s="5" t="str">
        <f>INDEX(Ingredients!J$1:J$265,(MATCH(InterventionCosts!B1282,Ingredients!A$1:A$265,0)))</f>
        <v>per pack 100, 50 pairs</v>
      </c>
      <c r="G1282">
        <f>IF(B1282="","",INDEX(Ingredients!$E$1:$E$238,(MATCH(InterventionCosts!B1282,Ingredients!A$1:A$238,0))))</f>
        <v>2024</v>
      </c>
      <c r="H1282" t="str">
        <f>INDEX(Ingredients!$F$1:$F$318,(MATCH(InterventionCosts!B1282,Ingredients!A$1:A$318,0)))</f>
        <v>https://www.treasury.gov.za/divisions/ocpo/ostb/contracts/RT76-2023%20CPA%20Amendment%204-%20Effective%2001%20May%202024.pdf</v>
      </c>
      <c r="I1282">
        <f>2/100*I1279</f>
        <v>1.3349260220154062E-3</v>
      </c>
      <c r="J1282" t="s">
        <v>1487</v>
      </c>
      <c r="K1282" s="85">
        <f>I1282*E1282</f>
        <v>7.0857873248577757E-2</v>
      </c>
      <c r="L1282"/>
    </row>
    <row r="1283" spans="1:12">
      <c r="A1283" t="s">
        <v>1371</v>
      </c>
      <c r="B1283" s="137" t="s">
        <v>31</v>
      </c>
      <c r="C1283" t="s">
        <v>389</v>
      </c>
      <c r="D1283" s="5" t="s">
        <v>21</v>
      </c>
      <c r="E1283" s="70">
        <f>IF(B1283="","",INDEX(Ingredients!$I$1:$I$5013,(MATCH(InterventionCosts!B1283,Ingredients!$A$1:$A$5013,0))))</f>
        <v>31.4</v>
      </c>
      <c r="F1283" s="5" t="str">
        <f>INDEX(Ingredients!J$1:J$265,(MATCH(InterventionCosts!B1283,Ingredients!A$1:A$265,0)))</f>
        <v>per 100 swabs</v>
      </c>
      <c r="G1283">
        <f>IF(B1283="","",INDEX(Ingredients!$E$1:$E$238,(MATCH(InterventionCosts!B1283,Ingredients!A$1:A$238,0))))</f>
        <v>2024</v>
      </c>
      <c r="H1283" t="str">
        <f>INDEX(Ingredients!$F$1:$F$318,(MATCH(InterventionCosts!B1283,Ingredients!A$1:A$318,0)))</f>
        <v xml:space="preserve">http://www.treasury.gov.za/divisions/ocpo/ostb/contracts/RT42-2022zip </v>
      </c>
      <c r="I1283">
        <f>1/100*I1279</f>
        <v>6.6746301100770308E-4</v>
      </c>
      <c r="J1283" t="s">
        <v>1486</v>
      </c>
      <c r="K1283" s="135">
        <f>I1283*E1283</f>
        <v>2.0958338545641875E-2</v>
      </c>
      <c r="L1283" s="133"/>
    </row>
    <row r="1284" spans="1:12">
      <c r="A1284" t="s">
        <v>1371</v>
      </c>
      <c r="B1284" s="136" t="s">
        <v>393</v>
      </c>
      <c r="F1284" s="5"/>
      <c r="L1284"/>
    </row>
    <row r="1285" spans="1:12">
      <c r="A1285" t="s">
        <v>1371</v>
      </c>
      <c r="B1285" s="137" t="s">
        <v>77</v>
      </c>
      <c r="C1285" t="s">
        <v>389</v>
      </c>
      <c r="D1285" t="s">
        <v>75</v>
      </c>
      <c r="E1285" s="70">
        <f>IF(B1285="","",INDEX(Ingredients!$I$1:$I$5013,(MATCH(InterventionCosts!B1285,Ingredients!$A$1:$A$5013,0))))</f>
        <v>71.889951748999991</v>
      </c>
      <c r="F1285" s="5" t="str">
        <f>INDEX(Ingredients!J$1:J$265,(MATCH(InterventionCosts!B1285,Ingredients!A$1:A$265,0)))</f>
        <v>per test</v>
      </c>
      <c r="G1285">
        <f>IF(B1285="","",INDEX(Ingredients!$E$1:$E$238,(MATCH(InterventionCosts!B1285,Ingredients!A$1:A$238,0))))</f>
        <v>2021</v>
      </c>
      <c r="H1285" t="str">
        <f>INDEX(Ingredients!$F$1:$F$318,(MATCH(InterventionCosts!B1285,Ingredients!A$1:A$318,0)))</f>
        <v>NHLS 2021 price-list</v>
      </c>
      <c r="I1285">
        <v>0.02</v>
      </c>
      <c r="J1285" s="85" t="s">
        <v>397</v>
      </c>
      <c r="K1285" s="85">
        <f>I1285*E1285</f>
        <v>1.4377990349799998</v>
      </c>
      <c r="L1285"/>
    </row>
    <row r="1286" spans="1:12">
      <c r="A1286" t="s">
        <v>1371</v>
      </c>
      <c r="B1286" s="137" t="s">
        <v>54</v>
      </c>
      <c r="C1286" t="s">
        <v>389</v>
      </c>
      <c r="D1286" t="s">
        <v>48</v>
      </c>
      <c r="E1286" s="70">
        <f>IF(B1286="","",INDEX(Ingredients!$I$1:$I$5013,(MATCH(InterventionCosts!B1286,Ingredients!$A$1:$A$5013,0))))</f>
        <v>1.2444366591928251</v>
      </c>
      <c r="F1286" s="5" t="str">
        <f>INDEX(Ingredients!J$1:J$265,(MATCH(InterventionCosts!B1286,Ingredients!A$1:A$265,0)))</f>
        <v>per minute</v>
      </c>
      <c r="G1286">
        <f>IF(B1286="","",INDEX(Ingredients!$E$1:$E$238,(MATCH(InterventionCosts!B1286,Ingredients!A$1:A$238,0))))</f>
        <v>2024</v>
      </c>
      <c r="H1286" t="str">
        <f>INDEX(Ingredients!$F$1:$F$318,(MATCH(InterventionCosts!B1286,Ingredients!A$1:A$318,0)))</f>
        <v xml:space="preserve">April 2024 Salary scale </v>
      </c>
      <c r="I1286">
        <f>15*I1285</f>
        <v>0.3</v>
      </c>
      <c r="J1286" s="133" t="s">
        <v>414</v>
      </c>
      <c r="K1286" s="85">
        <f>I1286*E1286</f>
        <v>0.3733309977578475</v>
      </c>
    </row>
    <row r="1287" spans="1:12">
      <c r="A1287" t="s">
        <v>1371</v>
      </c>
      <c r="B1287" s="137" t="s">
        <v>1489</v>
      </c>
      <c r="C1287" t="s">
        <v>389</v>
      </c>
      <c r="D1287" s="5" t="s">
        <v>21</v>
      </c>
      <c r="E1287" s="70">
        <f>IF(B1287="","",INDEX(Ingredients!$I$1:$I$5013,(MATCH(InterventionCosts!B1287,Ingredients!$A$1:$A$5013,0))))</f>
        <v>53.08</v>
      </c>
      <c r="F1287" s="5" t="str">
        <f>INDEX(Ingredients!J$1:J$265,(MATCH(InterventionCosts!B1287,Ingredients!A$1:A$265,0)))</f>
        <v>per pack 100, 50 pairs</v>
      </c>
      <c r="G1287">
        <f>IF(B1287="","",INDEX(Ingredients!$E$1:$E$238,(MATCH(InterventionCosts!B1287,Ingredients!A$1:A$238,0))))</f>
        <v>2024</v>
      </c>
      <c r="H1287" t="str">
        <f>INDEX(Ingredients!$F$1:$F$318,(MATCH(InterventionCosts!B1287,Ingredients!A$1:A$318,0)))</f>
        <v>https://www.treasury.gov.za/divisions/ocpo/ostb/contracts/RT76-2023%20CPA%20Amendment%204-%20Effective%2001%20May%202024.pdf</v>
      </c>
      <c r="I1287">
        <f>2/100*I1285</f>
        <v>4.0000000000000002E-4</v>
      </c>
      <c r="J1287" t="s">
        <v>1487</v>
      </c>
      <c r="K1287" s="85">
        <f>I1287*E1287</f>
        <v>2.1232000000000001E-2</v>
      </c>
    </row>
    <row r="1288" spans="1:12">
      <c r="A1288" t="s">
        <v>1371</v>
      </c>
      <c r="B1288" s="137" t="s">
        <v>45</v>
      </c>
      <c r="C1288" t="s">
        <v>389</v>
      </c>
      <c r="D1288" s="5" t="s">
        <v>21</v>
      </c>
      <c r="E1288" s="70">
        <f>IF(B1288="","",INDEX(Ingredients!$I$1:$I$5013,(MATCH(InterventionCosts!B1288,Ingredients!$A$1:$A$5013,0))))</f>
        <v>46</v>
      </c>
      <c r="F1288" s="5" t="str">
        <f>INDEX(Ingredients!J$1:J$265,(MATCH(InterventionCosts!B1288,Ingredients!A$1:A$265,0)))</f>
        <v>per pack 100</v>
      </c>
      <c r="G1288">
        <f>IF(B1288="","",INDEX(Ingredients!$E$1:$E$238,(MATCH(InterventionCosts!B1288,Ingredients!A$1:A$238,0))))</f>
        <v>2024</v>
      </c>
      <c r="H1288" t="str">
        <f>INDEX(Ingredients!$F$1:$F$318,(MATCH(InterventionCosts!B1288,Ingredients!A$1:A$318,0)))</f>
        <v>https://www.treasury.gov.za/divisions/ocpo/ostb/contracts/RT284-2023.zip</v>
      </c>
      <c r="I1288">
        <f>1/100*I1285</f>
        <v>2.0000000000000001E-4</v>
      </c>
      <c r="J1288" s="85" t="s">
        <v>397</v>
      </c>
      <c r="K1288" s="135">
        <f>I1288*E1288</f>
        <v>9.1999999999999998E-3</v>
      </c>
      <c r="L1288" s="133"/>
    </row>
    <row r="1289" spans="1:12">
      <c r="A1289" t="s">
        <v>1371</v>
      </c>
      <c r="B1289" s="137" t="s">
        <v>31</v>
      </c>
      <c r="C1289" t="s">
        <v>389</v>
      </c>
      <c r="D1289" s="5" t="s">
        <v>21</v>
      </c>
      <c r="E1289" s="70">
        <f>IF(B1289="","",INDEX(Ingredients!$I$1:$I$5013,(MATCH(InterventionCosts!B1289,Ingredients!$A$1:$A$5013,0))))</f>
        <v>31.4</v>
      </c>
      <c r="F1289" s="5" t="str">
        <f>INDEX(Ingredients!J$1:J$265,(MATCH(InterventionCosts!B1289,Ingredients!A$1:A$265,0)))</f>
        <v>per 100 swabs</v>
      </c>
      <c r="G1289">
        <f>IF(B1289="","",INDEX(Ingredients!$E$1:$E$238,(MATCH(InterventionCosts!B1289,Ingredients!A$1:A$238,0))))</f>
        <v>2024</v>
      </c>
      <c r="H1289" t="str">
        <f>INDEX(Ingredients!$F$1:$F$318,(MATCH(InterventionCosts!B1289,Ingredients!A$1:A$318,0)))</f>
        <v xml:space="preserve">http://www.treasury.gov.za/divisions/ocpo/ostb/contracts/RT42-2022zip </v>
      </c>
      <c r="I1289">
        <f>1/100*I1285</f>
        <v>2.0000000000000001E-4</v>
      </c>
      <c r="J1289" s="85" t="s">
        <v>397</v>
      </c>
      <c r="K1289" s="135">
        <f>I1289*E1289</f>
        <v>6.28E-3</v>
      </c>
    </row>
    <row r="1290" spans="1:12">
      <c r="A1290" t="s">
        <v>1371</v>
      </c>
      <c r="B1290" s="136" t="s">
        <v>405</v>
      </c>
      <c r="L1290"/>
    </row>
    <row r="1291" spans="1:12">
      <c r="A1291" t="s">
        <v>1371</v>
      </c>
      <c r="B1291" s="137" t="s">
        <v>54</v>
      </c>
      <c r="C1291" t="s">
        <v>389</v>
      </c>
      <c r="D1291" t="s">
        <v>48</v>
      </c>
      <c r="E1291" s="70">
        <f>IF(B1291="","",INDEX(Ingredients!$I$1:$I$5013,(MATCH(InterventionCosts!B1291,Ingredients!$A$1:$A$5013,0))))</f>
        <v>1.2444366591928251</v>
      </c>
      <c r="F1291" s="5" t="str">
        <f>INDEX(Ingredients!J$1:J$265,(MATCH(InterventionCosts!B1291,Ingredients!A$1:A$265,0)))</f>
        <v>per minute</v>
      </c>
      <c r="G1291">
        <f>IF(B1291="","",INDEX(Ingredients!$E$1:$E$238,(MATCH(InterventionCosts!B1291,Ingredients!A$1:A$238,0))))</f>
        <v>2024</v>
      </c>
      <c r="H1291" t="str">
        <f>INDEX(Ingredients!$F$1:$F$318,(MATCH(InterventionCosts!B1291,Ingredients!A$1:A$318,0)))</f>
        <v xml:space="preserve">April 2024 Salary scale </v>
      </c>
      <c r="I1291">
        <v>5</v>
      </c>
      <c r="J1291" s="133" t="s">
        <v>406</v>
      </c>
      <c r="K1291" s="85">
        <f>I1291*E1291</f>
        <v>6.2221832959641254</v>
      </c>
      <c r="L1291"/>
    </row>
    <row r="1292" spans="1:12">
      <c r="A1292" t="s">
        <v>1371</v>
      </c>
      <c r="B1292" s="139" t="s">
        <v>401</v>
      </c>
      <c r="C1292" t="s">
        <v>389</v>
      </c>
      <c r="D1292" s="5" t="s">
        <v>21</v>
      </c>
      <c r="E1292" s="70">
        <f>IF(B1292="","",INDEX(Ingredients!$I$1:$I$5013,(MATCH(InterventionCosts!B1292,Ingredients!$A$1:$A$5013,0))))</f>
        <v>4.8734277524838099</v>
      </c>
      <c r="F1292" s="5" t="str">
        <f>INDEX(Ingredients!J$1:J$265,(MATCH(InterventionCosts!B1292,Ingredients!A$1:A$265,0)))</f>
        <v>per test</v>
      </c>
      <c r="G1292">
        <f>IF(B1292="","",INDEX(Ingredients!$E$1:$E$238,(MATCH(InterventionCosts!B1292,Ingredients!A$1:A$238,0))))</f>
        <v>2019</v>
      </c>
      <c r="H1292" t="str">
        <f>INDEX(Ingredients!$F$1:$F$318,(MATCH(InterventionCosts!B1292,Ingredients!A$1:A$318,0)))</f>
        <v>Kendon Medical Supplies Pty Ltd, quote (19 Aug 2019)</v>
      </c>
      <c r="I1292">
        <v>1</v>
      </c>
      <c r="J1292" t="s">
        <v>1476</v>
      </c>
      <c r="K1292" s="85">
        <f>I1292*E1292</f>
        <v>4.8734277524838099</v>
      </c>
      <c r="L1292"/>
    </row>
    <row r="1293" spans="1:12">
      <c r="A1293" t="s">
        <v>1371</v>
      </c>
      <c r="B1293" s="140" t="s">
        <v>412</v>
      </c>
      <c r="C1293" s="141"/>
      <c r="D1293" s="141"/>
      <c r="E1293" s="157" t="s">
        <v>1129</v>
      </c>
      <c r="F1293" s="439">
        <f>'Summary of unit costs'!$B$39</f>
        <v>12</v>
      </c>
      <c r="G1293" s="141"/>
      <c r="H1293" s="141"/>
      <c r="I1293" s="157">
        <f>FLOOR((F1293-1)/2,1)</f>
        <v>5</v>
      </c>
      <c r="J1293" s="157" t="s">
        <v>1573</v>
      </c>
      <c r="K1293" s="143"/>
    </row>
    <row r="1294" spans="1:12">
      <c r="A1294" t="s">
        <v>1371</v>
      </c>
      <c r="B1294" s="136" t="s">
        <v>411</v>
      </c>
      <c r="L1294" s="145"/>
    </row>
    <row r="1295" spans="1:12">
      <c r="A1295" t="s">
        <v>1371</v>
      </c>
      <c r="B1295" s="137" t="s">
        <v>449</v>
      </c>
      <c r="C1295" t="s">
        <v>389</v>
      </c>
      <c r="D1295" t="s">
        <v>70</v>
      </c>
      <c r="E1295" s="70">
        <f>IF(B1295="","",INDEX(Ingredients!$I$1:$I$5013,(MATCH(InterventionCosts!B1295,Ingredients!$A$1:$A$5013,0))))</f>
        <v>535.00106288275867</v>
      </c>
      <c r="F1295" s="5" t="str">
        <f>INDEX(Ingredients!J$1:J$265,(MATCH(InterventionCosts!B1295,Ingredients!A$1:A$265,0)))</f>
        <v>per injection</v>
      </c>
      <c r="G1295">
        <f>IF(B1295="","",INDEX(Ingredients!$E$1:$E$238,(MATCH(InterventionCosts!B1295,Ingredients!A$1:A$238,0))))</f>
        <v>2024</v>
      </c>
      <c r="H1295" t="str">
        <f>INDEX(Ingredients!$F$1:$F$318,(MATCH(InterventionCosts!B1295,Ingredients!A$1:A$318,0)))</f>
        <v>24.50 GBP (email from Hasina, official letter from GSK), 1 GBP = 1.22 USD (on 02 Nov 2023)</v>
      </c>
      <c r="I1295">
        <f>I1293*1</f>
        <v>5</v>
      </c>
      <c r="J1295" t="s">
        <v>1486</v>
      </c>
      <c r="K1295" s="85">
        <f>I1295*E1295</f>
        <v>2675.0053144137933</v>
      </c>
    </row>
    <row r="1296" spans="1:12">
      <c r="A1296" t="s">
        <v>1371</v>
      </c>
      <c r="B1296" s="137" t="s">
        <v>354</v>
      </c>
      <c r="C1296" t="s">
        <v>389</v>
      </c>
      <c r="D1296" t="s">
        <v>48</v>
      </c>
      <c r="E1296" s="70">
        <f>IF(B1296="","",INDEX(Ingredients!$I$1:$I$5013,(MATCH(InterventionCosts!B1296,Ingredients!$A$1:$A$5013,0))))</f>
        <v>4.8996605630293981</v>
      </c>
      <c r="F1296" s="5" t="str">
        <f>INDEX(Ingredients!J$1:J$265,(MATCH(InterventionCosts!B1296,Ingredients!A$1:A$265,0)))</f>
        <v>per minute</v>
      </c>
      <c r="G1296">
        <f>IF(B1296="","",INDEX(Ingredients!$E$1:$E$238,(MATCH(InterventionCosts!B1296,Ingredients!A$1:A$238,0))))</f>
        <v>2024</v>
      </c>
      <c r="H1296" t="str">
        <f>INDEX(Ingredients!$F$1:$F$318,(MATCH(InterventionCosts!B1296,Ingredients!A$1:A$318,0)))</f>
        <v xml:space="preserve">April 2024 Salary scale </v>
      </c>
      <c r="I1296">
        <f>I1293*5</f>
        <v>25</v>
      </c>
      <c r="J1296" t="s">
        <v>1476</v>
      </c>
      <c r="K1296" s="85">
        <f>I1296*E1296</f>
        <v>122.49151407573495</v>
      </c>
    </row>
    <row r="1297" spans="1:11">
      <c r="A1297" t="s">
        <v>1371</v>
      </c>
      <c r="B1297" s="137" t="s">
        <v>54</v>
      </c>
      <c r="C1297" t="s">
        <v>389</v>
      </c>
      <c r="D1297" t="s">
        <v>48</v>
      </c>
      <c r="E1297" s="70">
        <f>IF(B1297="","",INDEX(Ingredients!$I$1:$I$5013,(MATCH(InterventionCosts!B1297,Ingredients!$A$1:$A$5013,0))))</f>
        <v>1.2444366591928251</v>
      </c>
      <c r="F1297" s="5" t="str">
        <f>INDEX(Ingredients!J$1:J$265,(MATCH(InterventionCosts!B1297,Ingredients!A$1:A$265,0)))</f>
        <v>per minute</v>
      </c>
      <c r="G1297">
        <f>IF(B1297="","",INDEX(Ingredients!$E$1:$E$238,(MATCH(InterventionCosts!B1297,Ingredients!A$1:A$238,0))))</f>
        <v>2024</v>
      </c>
      <c r="H1297" t="str">
        <f>INDEX(Ingredients!$F$1:$F$318,(MATCH(InterventionCosts!B1297,Ingredients!A$1:A$318,0)))</f>
        <v xml:space="preserve">April 2024 Salary scale </v>
      </c>
      <c r="I1297">
        <f>I1293*10</f>
        <v>50</v>
      </c>
      <c r="J1297" t="s">
        <v>1476</v>
      </c>
      <c r="K1297" s="85">
        <f>I1297*E1297</f>
        <v>62.221832959641254</v>
      </c>
    </row>
    <row r="1298" spans="1:11">
      <c r="A1298" t="s">
        <v>1371</v>
      </c>
      <c r="B1298" s="137" t="s">
        <v>45</v>
      </c>
      <c r="C1298" t="s">
        <v>389</v>
      </c>
      <c r="D1298" s="5" t="s">
        <v>21</v>
      </c>
      <c r="E1298" s="70">
        <f>IF(B1298="","",INDEX(Ingredients!$I$1:$I$5013,(MATCH(InterventionCosts!B1298,Ingredients!$A$1:$A$5013,0))))</f>
        <v>46</v>
      </c>
      <c r="F1298" s="5" t="str">
        <f>INDEX(Ingredients!J$1:J$265,(MATCH(InterventionCosts!B1298,Ingredients!A$1:A$265,0)))</f>
        <v>per pack 100</v>
      </c>
      <c r="G1298">
        <f>IF(B1298="","",INDEX(Ingredients!$E$1:$E$238,(MATCH(InterventionCosts!B1298,Ingredients!A$1:A$238,0))))</f>
        <v>2024</v>
      </c>
      <c r="H1298" t="str">
        <f>INDEX(Ingredients!$F$1:$F$318,(MATCH(InterventionCosts!B1298,Ingredients!A$1:A$318,0)))</f>
        <v>https://www.treasury.gov.za/divisions/ocpo/ostb/contracts/RT284-2023.zip</v>
      </c>
      <c r="I1298">
        <f>I1293*1/100</f>
        <v>0.05</v>
      </c>
      <c r="J1298" t="s">
        <v>1476</v>
      </c>
      <c r="K1298" s="85">
        <f>I1298*E1298</f>
        <v>2.3000000000000003</v>
      </c>
    </row>
    <row r="1299" spans="1:11">
      <c r="A1299" t="s">
        <v>1371</v>
      </c>
      <c r="B1299" s="137" t="s">
        <v>31</v>
      </c>
      <c r="C1299" t="s">
        <v>389</v>
      </c>
      <c r="D1299" s="5" t="s">
        <v>21</v>
      </c>
      <c r="E1299" s="70">
        <f>IF(B1299="","",INDEX(Ingredients!$I$1:$I$5013,(MATCH(InterventionCosts!B1299,Ingredients!$A$1:$A$5013,0))))</f>
        <v>31.4</v>
      </c>
      <c r="F1299" s="5" t="str">
        <f>INDEX(Ingredients!J$1:J$265,(MATCH(InterventionCosts!B1299,Ingredients!A$1:A$265,0)))</f>
        <v>per 100 swabs</v>
      </c>
      <c r="G1299">
        <f>IF(B1299="","",INDEX(Ingredients!$E$1:$E$238,(MATCH(InterventionCosts!B1299,Ingredients!A$1:A$238,0))))</f>
        <v>2024</v>
      </c>
      <c r="H1299" t="str">
        <f>INDEX(Ingredients!$F$1:$F$318,(MATCH(InterventionCosts!B1299,Ingredients!A$1:A$318,0)))</f>
        <v xml:space="preserve">http://www.treasury.gov.za/divisions/ocpo/ostb/contracts/RT42-2022zip </v>
      </c>
      <c r="I1299">
        <f>I1293*1/100</f>
        <v>0.05</v>
      </c>
      <c r="J1299" t="s">
        <v>1476</v>
      </c>
      <c r="K1299" s="85">
        <f>I1299*E1299</f>
        <v>1.57</v>
      </c>
    </row>
    <row r="1300" spans="1:11">
      <c r="A1300" t="s">
        <v>1371</v>
      </c>
      <c r="B1300" s="136" t="s">
        <v>405</v>
      </c>
    </row>
    <row r="1301" spans="1:11">
      <c r="A1301" t="s">
        <v>1371</v>
      </c>
      <c r="B1301" s="137" t="s">
        <v>54</v>
      </c>
      <c r="C1301" t="s">
        <v>389</v>
      </c>
      <c r="D1301" t="s">
        <v>48</v>
      </c>
      <c r="E1301" s="70">
        <f>IF(B1301="","",INDEX(Ingredients!$I$1:$I$5013,(MATCH(InterventionCosts!B1301,Ingredients!$A$1:$A$5013,0))))</f>
        <v>1.2444366591928251</v>
      </c>
      <c r="F1301" s="5" t="str">
        <f>INDEX(Ingredients!J$1:J$265,(MATCH(InterventionCosts!B1301,Ingredients!A$1:A$265,0)))</f>
        <v>per minute</v>
      </c>
      <c r="G1301">
        <f>IF(B1301="","",INDEX(Ingredients!$E$1:$E$238,(MATCH(InterventionCosts!B1301,Ingredients!A$1:A$238,0))))</f>
        <v>2024</v>
      </c>
      <c r="H1301" t="str">
        <f>INDEX(Ingredients!$F$1:$F$318,(MATCH(InterventionCosts!B1301,Ingredients!A$1:A$318,0)))</f>
        <v xml:space="preserve">April 2024 Salary scale </v>
      </c>
      <c r="I1301">
        <f>I1293*5</f>
        <v>25</v>
      </c>
      <c r="J1301" s="133" t="s">
        <v>406</v>
      </c>
      <c r="K1301" s="85">
        <f>I1301*E1301</f>
        <v>31.110916479820627</v>
      </c>
    </row>
    <row r="1302" spans="1:11">
      <c r="A1302" t="s">
        <v>1371</v>
      </c>
      <c r="B1302" s="136" t="s">
        <v>391</v>
      </c>
    </row>
    <row r="1303" spans="1:11">
      <c r="A1303" t="s">
        <v>1371</v>
      </c>
      <c r="B1303" s="137" t="s">
        <v>79</v>
      </c>
      <c r="C1303" t="s">
        <v>389</v>
      </c>
      <c r="D1303" s="5" t="s">
        <v>21</v>
      </c>
      <c r="E1303" s="70">
        <f>IF(B1303="","",INDEX(Ingredients!$I$1:$I$5013,(MATCH(InterventionCosts!B1303,Ingredients!$A$1:$A$5013,0))))</f>
        <v>9.3000000000000007</v>
      </c>
      <c r="F1303" s="5" t="str">
        <f>INDEX(Ingredients!J$1:J$265,(MATCH(InterventionCosts!B1303,Ingredients!A$1:A$265,0)))</f>
        <v>per test</v>
      </c>
      <c r="G1303">
        <f>IF(B1303="","",INDEX(Ingredients!$E$1:$E$238,(MATCH(InterventionCosts!B1303,Ingredients!A$1:A$238,0))))</f>
        <v>2024</v>
      </c>
      <c r="H1303" t="str">
        <f>INDEX(Ingredients!$F$1:$F$318,(MATCH(InterventionCosts!B1303,Ingredients!A$1:A$318,0)))</f>
        <v>https://www.treasury.gov.za/divisions/ocpo/ostb/contracts/RT41-2020.zip</v>
      </c>
      <c r="I1303">
        <f>I1293*1</f>
        <v>5</v>
      </c>
      <c r="J1303" t="s">
        <v>1486</v>
      </c>
      <c r="K1303" s="85">
        <f>I1303*E1303</f>
        <v>46.5</v>
      </c>
    </row>
    <row r="1304" spans="1:11">
      <c r="A1304" t="s">
        <v>1371</v>
      </c>
      <c r="B1304" s="137" t="s">
        <v>54</v>
      </c>
      <c r="C1304" t="s">
        <v>389</v>
      </c>
      <c r="D1304" t="s">
        <v>48</v>
      </c>
      <c r="E1304" s="70">
        <f>IF(B1304="","",INDEX(Ingredients!$I$1:$I$5013,(MATCH(InterventionCosts!B1304,Ingredients!$A$1:$A$5013,0))))</f>
        <v>1.2444366591928251</v>
      </c>
      <c r="F1304" s="5" t="str">
        <f>INDEX(Ingredients!J$1:J$265,(MATCH(InterventionCosts!B1304,Ingredients!A$1:A$265,0)))</f>
        <v>per minute</v>
      </c>
      <c r="G1304">
        <f>IF(B1304="","",INDEX(Ingredients!$E$1:$E$238,(MATCH(InterventionCosts!B1304,Ingredients!A$1:A$238,0))))</f>
        <v>2024</v>
      </c>
      <c r="H1304" t="str">
        <f>INDEX(Ingredients!$F$1:$F$318,(MATCH(InterventionCosts!B1304,Ingredients!A$1:A$318,0)))</f>
        <v xml:space="preserve">April 2024 Salary scale </v>
      </c>
      <c r="I1304">
        <f>I1293*15</f>
        <v>75</v>
      </c>
      <c r="J1304" s="133" t="s">
        <v>395</v>
      </c>
      <c r="K1304" s="85">
        <f>I1304*E1304</f>
        <v>93.332749439461878</v>
      </c>
    </row>
    <row r="1305" spans="1:11">
      <c r="A1305" t="s">
        <v>1371</v>
      </c>
      <c r="B1305" s="137" t="s">
        <v>1489</v>
      </c>
      <c r="C1305" t="s">
        <v>389</v>
      </c>
      <c r="D1305" s="5" t="s">
        <v>21</v>
      </c>
      <c r="E1305" s="70">
        <f>IF(B1305="","",INDEX(Ingredients!$I$1:$I$5013,(MATCH(InterventionCosts!B1305,Ingredients!$A$1:$A$5013,0))))</f>
        <v>53.08</v>
      </c>
      <c r="F1305" s="5" t="str">
        <f>INDEX(Ingredients!J$1:J$265,(MATCH(InterventionCosts!B1305,Ingredients!A$1:A$265,0)))</f>
        <v>per pack 100, 50 pairs</v>
      </c>
      <c r="G1305">
        <f>IF(B1305="","",INDEX(Ingredients!$E$1:$E$238,(MATCH(InterventionCosts!B1305,Ingredients!A$1:A$238,0))))</f>
        <v>2024</v>
      </c>
      <c r="H1305" t="str">
        <f>INDEX(Ingredients!$F$1:$F$318,(MATCH(InterventionCosts!B1305,Ingredients!A$1:A$318,0)))</f>
        <v>https://www.treasury.gov.za/divisions/ocpo/ostb/contracts/RT76-2023%20CPA%20Amendment%204-%20Effective%2001%20May%202024.pdf</v>
      </c>
      <c r="I1305">
        <f>I1293*2/100</f>
        <v>0.1</v>
      </c>
      <c r="J1305" t="s">
        <v>1487</v>
      </c>
      <c r="K1305" s="85">
        <f>I1305*E1305</f>
        <v>5.3079999999999998</v>
      </c>
    </row>
    <row r="1306" spans="1:11">
      <c r="A1306" t="s">
        <v>1371</v>
      </c>
      <c r="B1306" s="137" t="s">
        <v>31</v>
      </c>
      <c r="C1306" t="s">
        <v>389</v>
      </c>
      <c r="D1306" s="5" t="s">
        <v>21</v>
      </c>
      <c r="E1306" s="70">
        <f>IF(B1306="","",INDEX(Ingredients!$I$1:$I$5013,(MATCH(InterventionCosts!B1306,Ingredients!$A$1:$A$5013,0))))</f>
        <v>31.4</v>
      </c>
      <c r="F1306" s="5" t="str">
        <f>INDEX(Ingredients!J$1:J$265,(MATCH(InterventionCosts!B1306,Ingredients!A$1:A$265,0)))</f>
        <v>per 100 swabs</v>
      </c>
      <c r="G1306">
        <f>IF(B1306="","",INDEX(Ingredients!$E$1:$E$238,(MATCH(InterventionCosts!B1306,Ingredients!A$1:A$238,0))))</f>
        <v>2024</v>
      </c>
      <c r="H1306" t="str">
        <f>INDEX(Ingredients!$F$1:$F$318,(MATCH(InterventionCosts!B1306,Ingredients!A$1:A$318,0)))</f>
        <v xml:space="preserve">http://www.treasury.gov.za/divisions/ocpo/ostb/contracts/RT42-2022zip </v>
      </c>
      <c r="I1306">
        <f>I1293*1/100</f>
        <v>0.05</v>
      </c>
      <c r="J1306" t="s">
        <v>1486</v>
      </c>
      <c r="K1306" s="85">
        <f>I1306*E1306</f>
        <v>1.57</v>
      </c>
    </row>
    <row r="1307" spans="1:11">
      <c r="A1307" t="s">
        <v>1371</v>
      </c>
      <c r="B1307" s="136" t="s">
        <v>392</v>
      </c>
      <c r="E1307" s="70"/>
      <c r="F1307" s="3" t="s">
        <v>413</v>
      </c>
      <c r="I1307" s="3">
        <v>6.6746301100770303E-2</v>
      </c>
      <c r="J1307" s="3" t="s">
        <v>443</v>
      </c>
    </row>
    <row r="1308" spans="1:11">
      <c r="A1308" t="s">
        <v>1371</v>
      </c>
      <c r="B1308" s="137" t="s">
        <v>79</v>
      </c>
      <c r="C1308" t="s">
        <v>389</v>
      </c>
      <c r="D1308" s="5" t="s">
        <v>21</v>
      </c>
      <c r="E1308" s="70">
        <f>IF(B1308="","",INDEX(Ingredients!$I$1:$I$5013,(MATCH(InterventionCosts!B1308,Ingredients!$A$1:$A$5013,0))))</f>
        <v>9.3000000000000007</v>
      </c>
      <c r="F1308" s="5" t="str">
        <f>INDEX(Ingredients!J$1:J$265,(MATCH(InterventionCosts!B1308,Ingredients!A$1:A$265,0)))</f>
        <v>per test</v>
      </c>
      <c r="G1308">
        <f>IF(B1308="","",INDEX(Ingredients!$E$1:$E$238,(MATCH(InterventionCosts!B1308,Ingredients!A$1:A$238,0))))</f>
        <v>2024</v>
      </c>
      <c r="H1308" t="str">
        <f>INDEX(Ingredients!$F$1:$F$318,(MATCH(InterventionCosts!B1308,Ingredients!A$1:A$318,0)))</f>
        <v>https://www.treasury.gov.za/divisions/ocpo/ostb/contracts/RT41-2020.zip</v>
      </c>
      <c r="I1308">
        <f>I1293*I1307</f>
        <v>0.3337315055038515</v>
      </c>
      <c r="J1308" t="s">
        <v>413</v>
      </c>
      <c r="K1308" s="85">
        <f>I1308*E1308</f>
        <v>3.1037030011858193</v>
      </c>
    </row>
    <row r="1309" spans="1:11">
      <c r="A1309" t="s">
        <v>1371</v>
      </c>
      <c r="B1309" s="137" t="s">
        <v>54</v>
      </c>
      <c r="C1309" t="s">
        <v>389</v>
      </c>
      <c r="D1309" t="s">
        <v>48</v>
      </c>
      <c r="E1309" s="70">
        <f>IF(B1309="","",INDEX(Ingredients!$I$1:$I$5013,(MATCH(InterventionCosts!B1309,Ingredients!$A$1:$A$5013,0))))</f>
        <v>1.2444366591928251</v>
      </c>
      <c r="F1309" s="5" t="str">
        <f>INDEX(Ingredients!J$1:J$265,(MATCH(InterventionCosts!B1309,Ingredients!A$1:A$265,0)))</f>
        <v>per minute</v>
      </c>
      <c r="G1309">
        <f>IF(B1309="","",INDEX(Ingredients!$E$1:$E$238,(MATCH(InterventionCosts!B1309,Ingredients!A$1:A$238,0))))</f>
        <v>2024</v>
      </c>
      <c r="H1309" t="str">
        <f>INDEX(Ingredients!$F$1:$F$318,(MATCH(InterventionCosts!B1309,Ingredients!A$1:A$318,0)))</f>
        <v xml:space="preserve">April 2024 Salary scale </v>
      </c>
      <c r="I1309">
        <f>I1293*((15+1/(1-I1307))*I1307)</f>
        <v>5.3635725641035048</v>
      </c>
      <c r="J1309" s="133" t="s">
        <v>414</v>
      </c>
      <c r="K1309" s="85">
        <f>I1309*E1309</f>
        <v>6.6746263230112604</v>
      </c>
    </row>
    <row r="1310" spans="1:11">
      <c r="A1310" t="s">
        <v>1371</v>
      </c>
      <c r="B1310" s="137" t="s">
        <v>1489</v>
      </c>
      <c r="C1310" t="s">
        <v>389</v>
      </c>
      <c r="D1310" s="5" t="s">
        <v>21</v>
      </c>
      <c r="E1310" s="70">
        <f>IF(B1310="","",INDEX(Ingredients!$I$1:$I$5013,(MATCH(InterventionCosts!B1310,Ingredients!$A$1:$A$5013,0))))</f>
        <v>53.08</v>
      </c>
      <c r="F1310" s="5" t="str">
        <f>INDEX(Ingredients!J$1:J$265,(MATCH(InterventionCosts!B1310,Ingredients!A$1:A$265,0)))</f>
        <v>per pack 100, 50 pairs</v>
      </c>
      <c r="G1310">
        <f>IF(B1310="","",INDEX(Ingredients!$E$1:$E$238,(MATCH(InterventionCosts!B1310,Ingredients!A$1:A$238,0))))</f>
        <v>2024</v>
      </c>
      <c r="H1310" t="str">
        <f>INDEX(Ingredients!$F$1:$F$318,(MATCH(InterventionCosts!B1310,Ingredients!A$1:A$318,0)))</f>
        <v>https://www.treasury.gov.za/divisions/ocpo/ostb/contracts/RT76-2023%20CPA%20Amendment%204-%20Effective%2001%20May%202024.pdf</v>
      </c>
      <c r="I1310">
        <f>I1293*(2/100*I1307)</f>
        <v>6.6746301100770308E-3</v>
      </c>
      <c r="J1310" t="s">
        <v>1487</v>
      </c>
      <c r="K1310" s="85">
        <f>I1310*E1310</f>
        <v>0.35428936624288876</v>
      </c>
    </row>
    <row r="1311" spans="1:11">
      <c r="A1311" t="s">
        <v>1371</v>
      </c>
      <c r="B1311" s="137" t="s">
        <v>31</v>
      </c>
      <c r="C1311" t="s">
        <v>389</v>
      </c>
      <c r="D1311" s="5" t="s">
        <v>21</v>
      </c>
      <c r="E1311" s="70">
        <f>IF(B1311="","",INDEX(Ingredients!$I$1:$I$5013,(MATCH(InterventionCosts!B1311,Ingredients!$A$1:$A$5013,0))))</f>
        <v>31.4</v>
      </c>
      <c r="F1311" s="5" t="str">
        <f>INDEX(Ingredients!J$1:J$265,(MATCH(InterventionCosts!B1311,Ingredients!A$1:A$265,0)))</f>
        <v>per 100 swabs</v>
      </c>
      <c r="G1311">
        <f>IF(B1311="","",INDEX(Ingredients!$E$1:$E$238,(MATCH(InterventionCosts!B1311,Ingredients!A$1:A$238,0))))</f>
        <v>2024</v>
      </c>
      <c r="H1311" t="str">
        <f>INDEX(Ingredients!$F$1:$F$318,(MATCH(InterventionCosts!B1311,Ingredients!A$1:A$318,0)))</f>
        <v xml:space="preserve">http://www.treasury.gov.za/divisions/ocpo/ostb/contracts/RT42-2022zip </v>
      </c>
      <c r="I1311">
        <f>I1293*(1/100*I1307)</f>
        <v>3.3373150550385154E-3</v>
      </c>
      <c r="J1311" t="s">
        <v>1486</v>
      </c>
      <c r="K1311" s="135">
        <f>I1311*E1311</f>
        <v>0.10479169272820937</v>
      </c>
    </row>
    <row r="1312" spans="1:11">
      <c r="A1312" t="s">
        <v>1371</v>
      </c>
      <c r="B1312" s="136" t="s">
        <v>393</v>
      </c>
      <c r="F1312" s="155" t="s">
        <v>452</v>
      </c>
      <c r="I1312" s="3">
        <v>0.02</v>
      </c>
      <c r="J1312" s="85" t="s">
        <v>397</v>
      </c>
    </row>
    <row r="1313" spans="1:11">
      <c r="A1313" t="s">
        <v>1371</v>
      </c>
      <c r="B1313" s="137" t="s">
        <v>77</v>
      </c>
      <c r="C1313" t="s">
        <v>389</v>
      </c>
      <c r="D1313" t="s">
        <v>75</v>
      </c>
      <c r="E1313" s="70">
        <f>IF(B1313="","",INDEX(Ingredients!$I$1:$I$5013,(MATCH(InterventionCosts!B1313,Ingredients!$A$1:$A$5013,0))))</f>
        <v>71.889951748999991</v>
      </c>
      <c r="F1313" s="5" t="str">
        <f>INDEX(Ingredients!J$1:J$265,(MATCH(InterventionCosts!B1313,Ingredients!A$1:A$265,0)))</f>
        <v>per test</v>
      </c>
      <c r="G1313">
        <f>IF(B1313="","",INDEX(Ingredients!$E$1:$E$238,(MATCH(InterventionCosts!B1313,Ingredients!A$1:A$238,0))))</f>
        <v>2021</v>
      </c>
      <c r="H1313" t="str">
        <f>INDEX(Ingredients!$F$1:$F$318,(MATCH(InterventionCosts!B1313,Ingredients!A$1:A$318,0)))</f>
        <v>NHLS 2021 price-list</v>
      </c>
      <c r="I1313">
        <f>I1293*I1312</f>
        <v>0.1</v>
      </c>
      <c r="J1313" s="85" t="s">
        <v>397</v>
      </c>
      <c r="K1313" s="85">
        <f t="shared" ref="K1313:K1318" si="36">I1313*E1313</f>
        <v>7.1889951748999996</v>
      </c>
    </row>
    <row r="1314" spans="1:11">
      <c r="A1314" t="s">
        <v>1371</v>
      </c>
      <c r="B1314" s="137" t="s">
        <v>54</v>
      </c>
      <c r="C1314" t="s">
        <v>389</v>
      </c>
      <c r="D1314" t="s">
        <v>48</v>
      </c>
      <c r="E1314" s="70">
        <f>IF(B1314="","",INDEX(Ingredients!$I$1:$I$5013,(MATCH(InterventionCosts!B1314,Ingredients!$A$1:$A$5013,0))))</f>
        <v>1.2444366591928251</v>
      </c>
      <c r="F1314" s="5" t="str">
        <f>INDEX(Ingredients!J$1:J$265,(MATCH(InterventionCosts!B1314,Ingredients!A$1:A$265,0)))</f>
        <v>per minute</v>
      </c>
      <c r="G1314">
        <f>IF(B1314="","",INDEX(Ingredients!$E$1:$E$238,(MATCH(InterventionCosts!B1314,Ingredients!A$1:A$238,0))))</f>
        <v>2024</v>
      </c>
      <c r="H1314" t="str">
        <f>INDEX(Ingredients!$F$1:$F$318,(MATCH(InterventionCosts!B1314,Ingredients!A$1:A$318,0)))</f>
        <v xml:space="preserve">April 2024 Salary scale </v>
      </c>
      <c r="I1314">
        <f>I1293*15*I1312</f>
        <v>1.5</v>
      </c>
      <c r="J1314" s="133" t="s">
        <v>414</v>
      </c>
      <c r="K1314" s="85">
        <f t="shared" si="36"/>
        <v>1.8666549887892376</v>
      </c>
    </row>
    <row r="1315" spans="1:11">
      <c r="A1315" t="s">
        <v>1371</v>
      </c>
      <c r="B1315" s="137" t="s">
        <v>1489</v>
      </c>
      <c r="C1315" t="s">
        <v>389</v>
      </c>
      <c r="D1315" s="5" t="s">
        <v>21</v>
      </c>
      <c r="E1315" s="70">
        <f>IF(B1315="","",INDEX(Ingredients!$I$1:$I$5013,(MATCH(InterventionCosts!B1315,Ingredients!$A$1:$A$5013,0))))</f>
        <v>53.08</v>
      </c>
      <c r="F1315" s="5" t="str">
        <f>INDEX(Ingredients!J$1:J$265,(MATCH(InterventionCosts!B1315,Ingredients!A$1:A$265,0)))</f>
        <v>per pack 100, 50 pairs</v>
      </c>
      <c r="G1315">
        <f>IF(B1315="","",INDEX(Ingredients!$E$1:$E$238,(MATCH(InterventionCosts!B1315,Ingredients!A$1:A$238,0))))</f>
        <v>2024</v>
      </c>
      <c r="H1315" t="str">
        <f>INDEX(Ingredients!$F$1:$F$318,(MATCH(InterventionCosts!B1315,Ingredients!A$1:A$318,0)))</f>
        <v>https://www.treasury.gov.za/divisions/ocpo/ostb/contracts/RT76-2023%20CPA%20Amendment%204-%20Effective%2001%20May%202024.pdf</v>
      </c>
      <c r="I1315">
        <f>I1293*2/100*I1312</f>
        <v>2E-3</v>
      </c>
      <c r="J1315" t="s">
        <v>1487</v>
      </c>
      <c r="K1315" s="85">
        <f t="shared" si="36"/>
        <v>0.10616</v>
      </c>
    </row>
    <row r="1316" spans="1:11">
      <c r="A1316" t="s">
        <v>1371</v>
      </c>
      <c r="B1316" s="137" t="s">
        <v>45</v>
      </c>
      <c r="C1316" t="s">
        <v>389</v>
      </c>
      <c r="D1316" s="5" t="s">
        <v>21</v>
      </c>
      <c r="E1316" s="70">
        <f>IF(B1316="","",INDEX(Ingredients!$I$1:$I$5013,(MATCH(InterventionCosts!B1316,Ingredients!$A$1:$A$5013,0))))</f>
        <v>46</v>
      </c>
      <c r="F1316" s="5" t="str">
        <f>INDEX(Ingredients!J$1:J$265,(MATCH(InterventionCosts!B1316,Ingredients!A$1:A$265,0)))</f>
        <v>per pack 100</v>
      </c>
      <c r="G1316">
        <f>IF(B1316="","",INDEX(Ingredients!$E$1:$E$238,(MATCH(InterventionCosts!B1316,Ingredients!A$1:A$238,0))))</f>
        <v>2024</v>
      </c>
      <c r="H1316" t="str">
        <f>INDEX(Ingredients!$F$1:$F$318,(MATCH(InterventionCosts!B1316,Ingredients!A$1:A$318,0)))</f>
        <v>https://www.treasury.gov.za/divisions/ocpo/ostb/contracts/RT284-2023.zip</v>
      </c>
      <c r="I1316">
        <f>I1293*1/100*I1312</f>
        <v>1E-3</v>
      </c>
      <c r="J1316" t="s">
        <v>1487</v>
      </c>
      <c r="K1316" s="135">
        <f t="shared" si="36"/>
        <v>4.5999999999999999E-2</v>
      </c>
    </row>
    <row r="1317" spans="1:11">
      <c r="A1317" t="s">
        <v>1371</v>
      </c>
      <c r="B1317" s="137" t="s">
        <v>31</v>
      </c>
      <c r="C1317" t="s">
        <v>389</v>
      </c>
      <c r="D1317" s="5" t="s">
        <v>21</v>
      </c>
      <c r="E1317" s="70">
        <f>IF(B1317="","",INDEX(Ingredients!$I$1:$I$5013,(MATCH(InterventionCosts!B1317,Ingredients!$A$1:$A$5013,0))))</f>
        <v>31.4</v>
      </c>
      <c r="F1317" s="5" t="str">
        <f>INDEX(Ingredients!J$1:J$265,(MATCH(InterventionCosts!B1317,Ingredients!A$1:A$265,0)))</f>
        <v>per 100 swabs</v>
      </c>
      <c r="G1317">
        <f>IF(B1317="","",INDEX(Ingredients!$E$1:$E$238,(MATCH(InterventionCosts!B1317,Ingredients!A$1:A$238,0))))</f>
        <v>2024</v>
      </c>
      <c r="H1317" t="str">
        <f>INDEX(Ingredients!$F$1:$F$318,(MATCH(InterventionCosts!B1317,Ingredients!A$1:A$318,0)))</f>
        <v xml:space="preserve">http://www.treasury.gov.za/divisions/ocpo/ostb/contracts/RT42-2022zip </v>
      </c>
      <c r="I1317">
        <f>I1293*1/100*I1312</f>
        <v>1E-3</v>
      </c>
      <c r="J1317" t="s">
        <v>1486</v>
      </c>
      <c r="K1317" s="135">
        <f t="shared" si="36"/>
        <v>3.1399999999999997E-2</v>
      </c>
    </row>
    <row r="1318" spans="1:11">
      <c r="A1318" t="s">
        <v>1371</v>
      </c>
      <c r="B1318" s="139" t="s">
        <v>401</v>
      </c>
      <c r="C1318" t="s">
        <v>389</v>
      </c>
      <c r="D1318" s="5" t="s">
        <v>21</v>
      </c>
      <c r="E1318" s="70">
        <f>IF(B1318="","",INDEX(Ingredients!$I$1:$I$5013,(MATCH(InterventionCosts!B1318,Ingredients!$A$1:$A$5013,0))))</f>
        <v>4.8734277524838099</v>
      </c>
      <c r="F1318" s="5" t="str">
        <f>INDEX(Ingredients!J$1:J$265,(MATCH(InterventionCosts!B1318,Ingredients!A$1:A$265,0)))</f>
        <v>per test</v>
      </c>
      <c r="G1318">
        <f>IF(B1318="","",INDEX(Ingredients!$E$1:$E$238,(MATCH(InterventionCosts!B1318,Ingredients!A$1:A$238,0))))</f>
        <v>2019</v>
      </c>
      <c r="H1318" t="str">
        <f>INDEX(Ingredients!$F$1:$F$318,(MATCH(InterventionCosts!B1318,Ingredients!A$1:A$318,0)))</f>
        <v>Kendon Medical Supplies Pty Ltd, quote (19 Aug 2019)</v>
      </c>
      <c r="I1318">
        <f>I1293*1</f>
        <v>5</v>
      </c>
      <c r="J1318" t="s">
        <v>1476</v>
      </c>
      <c r="K1318" s="85">
        <f t="shared" si="36"/>
        <v>24.367138762419049</v>
      </c>
    </row>
    <row r="1319" spans="1:11">
      <c r="A1319" t="s">
        <v>1371</v>
      </c>
      <c r="B1319" s="140" t="s">
        <v>415</v>
      </c>
      <c r="C1319" s="141"/>
      <c r="D1319" s="141"/>
      <c r="E1319" s="142"/>
      <c r="F1319" s="141"/>
      <c r="G1319" s="141"/>
      <c r="H1319" s="141"/>
      <c r="I1319" s="141"/>
      <c r="J1319" s="141"/>
      <c r="K1319" s="143"/>
    </row>
    <row r="1320" spans="1:11">
      <c r="A1320" t="s">
        <v>1371</v>
      </c>
      <c r="B1320" s="146" t="s">
        <v>416</v>
      </c>
    </row>
    <row r="1321" spans="1:11">
      <c r="A1321" t="s">
        <v>1371</v>
      </c>
      <c r="B1321" s="156" t="s">
        <v>354</v>
      </c>
      <c r="C1321" t="s">
        <v>389</v>
      </c>
      <c r="D1321" t="s">
        <v>81</v>
      </c>
      <c r="E1321" s="70">
        <f>IF(B1321="","",INDEX(Ingredients!$I$1:$I$5013,(MATCH(InterventionCosts!B1321,Ingredients!$A$1:$A$5013,0))))</f>
        <v>4.8996605630293981</v>
      </c>
      <c r="F1321" s="5" t="str">
        <f>INDEX(Ingredients!J$1:J$265,(MATCH(InterventionCosts!B1321,Ingredients!A$1:A$265,0)))</f>
        <v>per minute</v>
      </c>
      <c r="G1321">
        <f>IF(B1321="","",INDEX(Ingredients!$E$1:$E$238,(MATCH(InterventionCosts!B1321,Ingredients!A$1:A$238,0))))</f>
        <v>2024</v>
      </c>
      <c r="H1321" t="str">
        <f>INDEX(Ingredients!$F$1:$F$318,(MATCH(InterventionCosts!B1321,Ingredients!A$1:A$318,0)))</f>
        <v xml:space="preserve">April 2024 Salary scale </v>
      </c>
      <c r="I1321" s="149">
        <f>75/160</f>
        <v>0.46875</v>
      </c>
      <c r="J1321" t="s">
        <v>454</v>
      </c>
      <c r="K1321" s="85">
        <f>I1321*E1321</f>
        <v>2.2967158889200303</v>
      </c>
    </row>
    <row r="1322" spans="1:11">
      <c r="A1322" t="s">
        <v>1371</v>
      </c>
      <c r="B1322" s="146" t="s">
        <v>417</v>
      </c>
      <c r="I1322" s="149"/>
    </row>
    <row r="1323" spans="1:11">
      <c r="A1323" t="s">
        <v>1371</v>
      </c>
      <c r="B1323" s="147" t="s">
        <v>54</v>
      </c>
      <c r="C1323" t="s">
        <v>389</v>
      </c>
      <c r="D1323" t="s">
        <v>81</v>
      </c>
      <c r="E1323" s="70">
        <f>IF(B1323="","",INDEX(Ingredients!$I$1:$I$5013,(MATCH(InterventionCosts!B1323,Ingredients!$A$1:$A$5013,0))))</f>
        <v>1.2444366591928251</v>
      </c>
      <c r="F1323" s="5" t="str">
        <f>INDEX(Ingredients!J$1:J$265,(MATCH(InterventionCosts!B1323,Ingredients!A$1:A$265,0)))</f>
        <v>per minute</v>
      </c>
      <c r="G1323">
        <f>IF(B1323="","",INDEX(Ingredients!$E$1:$E$238,(MATCH(InterventionCosts!B1323,Ingredients!A$1:A$238,0))))</f>
        <v>2024</v>
      </c>
      <c r="H1323" t="str">
        <f>INDEX(Ingredients!$F$1:$F$318,(MATCH(InterventionCosts!B1323,Ingredients!A$1:A$318,0)))</f>
        <v xml:space="preserve">April 2024 Salary scale </v>
      </c>
      <c r="I1323" s="149">
        <f>75/160</f>
        <v>0.46875</v>
      </c>
      <c r="J1323" t="s">
        <v>454</v>
      </c>
      <c r="K1323" s="85">
        <f>I1323*E1323</f>
        <v>0.58332968399663676</v>
      </c>
    </row>
    <row r="1324" spans="1:11">
      <c r="A1324" t="s">
        <v>1371</v>
      </c>
      <c r="B1324" s="146" t="s">
        <v>418</v>
      </c>
    </row>
    <row r="1325" spans="1:11">
      <c r="A1325" t="s">
        <v>1371</v>
      </c>
      <c r="B1325" s="147" t="s">
        <v>425</v>
      </c>
      <c r="C1325" t="s">
        <v>389</v>
      </c>
      <c r="D1325" t="s">
        <v>81</v>
      </c>
      <c r="E1325" s="70">
        <f>IF(B1325="","",INDEX(Ingredients!$I$1:$I$5013,(MATCH(InterventionCosts!B1325,Ingredients!$A$1:$A$5013,0))))</f>
        <v>4100.2266666666665</v>
      </c>
      <c r="F1325" s="5" t="str">
        <f>INDEX(Ingredients!J$1:J$265,(MATCH(InterventionCosts!B1325,Ingredients!A$1:A$265,0)))</f>
        <v>per month</v>
      </c>
      <c r="G1325">
        <f>IF(B1325="","",INDEX(Ingredients!$E$1:$E$238,(MATCH(InterventionCosts!B1325,Ingredients!A$1:A$238,0))))</f>
        <v>2024</v>
      </c>
      <c r="H1325" t="str">
        <f>INDEX(Ingredients!$F$1:$F$318,(MATCH(InterventionCosts!B1325,Ingredients!A$1:A$318,0)))</f>
        <v>https://www.health.gov.za/wp-content/uploads/2022/07/Health-Department-welcomes-Bargaining-Council-resolution-to-improve-work-conditions-of-CHWs-27-July-2022.pdf</v>
      </c>
      <c r="I1325" s="149">
        <f>75/160*(12/workminutespa)</f>
        <v>5.2550448430493276E-5</v>
      </c>
      <c r="J1325" t="s">
        <v>454</v>
      </c>
      <c r="K1325" s="85">
        <f>I1325*E1325</f>
        <v>0.21546874999999999</v>
      </c>
    </row>
    <row r="1326" spans="1:11">
      <c r="A1326" t="s">
        <v>1371</v>
      </c>
      <c r="B1326" s="146" t="s">
        <v>453</v>
      </c>
      <c r="E1326" s="70"/>
      <c r="F1326" s="5"/>
    </row>
    <row r="1327" spans="1:11">
      <c r="A1327" t="s">
        <v>1371</v>
      </c>
      <c r="B1327" s="147" t="s">
        <v>55</v>
      </c>
      <c r="C1327" t="s">
        <v>389</v>
      </c>
      <c r="D1327" t="s">
        <v>81</v>
      </c>
      <c r="E1327" s="70">
        <f>IF(B1327="","",INDEX(Ingredients!$I$1:$I$5013,(MATCH(InterventionCosts!B1327,Ingredients!$A$1:$A$5013,0))))</f>
        <v>1.8549350710014947</v>
      </c>
      <c r="F1327" s="5" t="str">
        <f>INDEX(Ingredients!J$1:J$265,(MATCH(InterventionCosts!B1327,Ingredients!A$1:A$265,0)))</f>
        <v>per minute</v>
      </c>
      <c r="G1327">
        <f>IF(B1327="","",INDEX(Ingredients!$E$1:$E$238,(MATCH(InterventionCosts!B1327,Ingredients!A$1:A$238,0))))</f>
        <v>2024</v>
      </c>
      <c r="H1327" t="str">
        <f>INDEX(Ingredients!$F$1:$F$318,(MATCH(InterventionCosts!B1327,Ingredients!A$1:A$318,0)))</f>
        <v xml:space="preserve">April 2024 Salary scale </v>
      </c>
      <c r="I1327" s="149">
        <f>75/160</f>
        <v>0.46875</v>
      </c>
      <c r="J1327" t="s">
        <v>454</v>
      </c>
      <c r="K1327" s="85">
        <f>I1327*E1327</f>
        <v>0.86950081453195061</v>
      </c>
    </row>
    <row r="1328" spans="1:11">
      <c r="A1328" t="s">
        <v>1371</v>
      </c>
      <c r="B1328" s="146" t="s">
        <v>419</v>
      </c>
    </row>
    <row r="1329" spans="1:14">
      <c r="A1329" t="s">
        <v>1371</v>
      </c>
      <c r="B1329" s="147" t="s">
        <v>111</v>
      </c>
      <c r="C1329" t="s">
        <v>389</v>
      </c>
      <c r="D1329" t="s">
        <v>81</v>
      </c>
      <c r="E1329" s="70">
        <f>IF(B1329="","",INDEX(Ingredients!$I$1:$I$5013,(MATCH(InterventionCosts!B1329,Ingredients!$A$1:$A$5013,0))))</f>
        <v>239.77392959288917</v>
      </c>
      <c r="F1329" s="5" t="str">
        <f>INDEX(Ingredients!J$1:J$265,(MATCH(InterventionCosts!B1329,Ingredients!A$1:A$265,0)))</f>
        <v>pp per workshop</v>
      </c>
      <c r="G1329">
        <f>IF(B1329="","",INDEX(Ingredients!$E$1:$E$238,(MATCH(InterventionCosts!B1329,Ingredients!A$1:A$238,0))))</f>
        <v>2018</v>
      </c>
      <c r="H1329" t="str">
        <f>INDEX(Ingredients!$F$1:$F$318,(MATCH(InterventionCosts!B1329,Ingredients!A$1:A$318,0)))</f>
        <v>RSA Global Fund Grant portfolio budgets 2018, Subject to revision during grant negotiations (Steve's email)</v>
      </c>
      <c r="I1329" s="148">
        <f>1/100</f>
        <v>0.01</v>
      </c>
      <c r="J1329" s="149" t="s">
        <v>433</v>
      </c>
      <c r="K1329" s="85">
        <f>I1329*E1329</f>
        <v>2.3977392959288917</v>
      </c>
    </row>
    <row r="1330" spans="1:14">
      <c r="A1330" t="s">
        <v>1371</v>
      </c>
      <c r="B1330" s="147" t="s">
        <v>39</v>
      </c>
      <c r="C1330" t="s">
        <v>389</v>
      </c>
      <c r="D1330" t="s">
        <v>21</v>
      </c>
      <c r="E1330" s="70">
        <f>IF(B1330="","",INDEX(Ingredients!$I$1:$I$5013,(MATCH(InterventionCosts!B1330,Ingredients!$A$1:$A$5013,0))))</f>
        <v>0.90383818045604736</v>
      </c>
      <c r="F1330" s="5" t="str">
        <f>INDEX(Ingredients!J$1:J$265,(MATCH(InterventionCosts!B1330,Ingredients!A$1:A$265,0)))</f>
        <v>per material</v>
      </c>
      <c r="G1330">
        <f>IF(B1330="","",INDEX(Ingredients!$E$1:$E$238,(MATCH(InterventionCosts!B1330,Ingredients!A$1:A$238,0))))</f>
        <v>2016</v>
      </c>
      <c r="H1330" t="str">
        <f>INDEX(Ingredients!$F$1:$F$318,(MATCH(InterventionCosts!B1330,Ingredients!A$1:A$318,0)))</f>
        <v>RSA Global Fund Grant portfolio budgets 2016</v>
      </c>
      <c r="I1330" s="148">
        <v>1</v>
      </c>
      <c r="J1330" s="149" t="s">
        <v>434</v>
      </c>
      <c r="K1330" s="85">
        <f>I1330*E1330</f>
        <v>0.90383818045604736</v>
      </c>
    </row>
    <row r="1331" spans="1:14">
      <c r="A1331" t="s">
        <v>1371</v>
      </c>
      <c r="B1331" s="147" t="s">
        <v>425</v>
      </c>
      <c r="C1331" t="s">
        <v>389</v>
      </c>
      <c r="D1331" t="s">
        <v>48</v>
      </c>
      <c r="E1331" s="70">
        <f>IF(B1331="","",INDEX(Ingredients!$I$1:$I$5013,(MATCH(InterventionCosts!B1331,Ingredients!$A$1:$A$5013,0))))</f>
        <v>4100.2266666666665</v>
      </c>
      <c r="F1331" s="5" t="str">
        <f>INDEX(Ingredients!J$1:J$265,(MATCH(InterventionCosts!B1331,Ingredients!A$1:A$265,0)))</f>
        <v>per month</v>
      </c>
      <c r="G1331">
        <f>IF(B1331="","",INDEX(Ingredients!$E$1:$E$238,(MATCH(InterventionCosts!B1331,Ingredients!A$1:A$238,0))))</f>
        <v>2024</v>
      </c>
      <c r="H1331" t="str">
        <f>INDEX(Ingredients!$F$1:$F$318,(MATCH(InterventionCosts!B1331,Ingredients!A$1:A$318,0)))</f>
        <v>https://www.health.gov.za/wp-content/uploads/2022/07/Health-Department-welcomes-Bargaining-Council-resolution-to-improve-work-conditions-of-CHWs-27-July-2022.pdf</v>
      </c>
      <c r="I1331" s="150">
        <f>((15/(8*60))*workdayspermonth)/160*12</f>
        <v>4.3554687499999994E-2</v>
      </c>
      <c r="J1331" s="149" t="s">
        <v>435</v>
      </c>
      <c r="K1331" s="85">
        <f>I1331*E1331</f>
        <v>178.5840911458333</v>
      </c>
    </row>
    <row r="1332" spans="1:14">
      <c r="A1332" t="s">
        <v>1371</v>
      </c>
      <c r="B1332" s="146" t="s">
        <v>420</v>
      </c>
    </row>
    <row r="1333" spans="1:14">
      <c r="A1333" t="s">
        <v>1371</v>
      </c>
      <c r="B1333" s="147" t="s">
        <v>246</v>
      </c>
      <c r="C1333" t="s">
        <v>389</v>
      </c>
      <c r="D1333" t="s">
        <v>21</v>
      </c>
      <c r="E1333" s="70">
        <f>IF(B1333="","",INDEX(Ingredients!$I$1:$I$5013,(MATCH(InterventionCosts!B1333,Ingredients!$A$1:$A$5013,0))))</f>
        <v>0.16400000000000001</v>
      </c>
      <c r="F1333" s="5" t="str">
        <f>INDEX(Ingredients!J$1:J$265,(MATCH(InterventionCosts!B1333,Ingredients!A$1:A$265,0)))</f>
        <v>per page</v>
      </c>
      <c r="G1333">
        <f>IF(B1333="","",INDEX(Ingredients!$E$1:$E$238,(MATCH(InterventionCosts!B1333,Ingredients!A$1:A$238,0))))</f>
        <v>2024</v>
      </c>
      <c r="H1333" t="str">
        <f>INDEX(Ingredients!$F$1:$F$318,(MATCH(InterventionCosts!B1333,Ingredients!A$1:A$318,0)))</f>
        <v>https://www.makro.co.za/stationery-office-furniture/paper-filing/paper/white-paper/copy-paper/typek-a4-office-paper-80-gsm/p/000000000000012434_BOX</v>
      </c>
      <c r="I1333" s="148">
        <f>2*1</f>
        <v>2</v>
      </c>
      <c r="J1333" s="149" t="s">
        <v>436</v>
      </c>
      <c r="K1333" s="85">
        <f>I1333*E1333</f>
        <v>0.32800000000000001</v>
      </c>
    </row>
    <row r="1334" spans="1:14">
      <c r="A1334" t="s">
        <v>1371</v>
      </c>
      <c r="B1334" s="147" t="s">
        <v>426</v>
      </c>
      <c r="C1334" t="s">
        <v>389</v>
      </c>
      <c r="D1334" t="s">
        <v>21</v>
      </c>
      <c r="E1334" s="70">
        <f>IF(B1334="","",INDEX(Ingredients!$I$1:$I$5013,(MATCH(InterventionCosts!B1334,Ingredients!$A$1:$A$5013,0))))</f>
        <v>0.45800000000000002</v>
      </c>
      <c r="F1334" s="5" t="str">
        <f>INDEX(Ingredients!J$1:J$265,(MATCH(InterventionCosts!B1334,Ingredients!A$1:A$265,0)))</f>
        <v>per page</v>
      </c>
      <c r="G1334">
        <f>IF(B1334="","",INDEX(Ingredients!$E$1:$E$238,(MATCH(InterventionCosts!B1334,Ingredients!A$1:A$238,0))))</f>
        <v>2024</v>
      </c>
      <c r="H1334" t="str">
        <f>INDEX(Ingredients!$F$1:$F$318,(MATCH(InterventionCosts!B1334,Ingredients!A$1:A$318,0)))</f>
        <v>https://www.makro.co.za/stationery-office-furniture/paper-filing/paper/white-paper/a3-paper/typek-a3-office-paper-80-gsm/p/000000000000877929_EA</v>
      </c>
      <c r="I1334" s="148">
        <f>1/160*12</f>
        <v>7.5000000000000011E-2</v>
      </c>
      <c r="J1334" s="149" t="s">
        <v>437</v>
      </c>
      <c r="K1334" s="85">
        <f>I1334*E1334</f>
        <v>3.4350000000000006E-2</v>
      </c>
    </row>
    <row r="1335" spans="1:14">
      <c r="A1335" t="s">
        <v>1371</v>
      </c>
      <c r="B1335" s="147" t="s">
        <v>55</v>
      </c>
      <c r="C1335" t="s">
        <v>389</v>
      </c>
      <c r="D1335" t="s">
        <v>48</v>
      </c>
      <c r="E1335" s="70">
        <f>IF(B1335="","",INDEX(Ingredients!$I$1:$I$5013,(MATCH(InterventionCosts!B1335,Ingredients!$A$1:$A$5013,0))))</f>
        <v>1.8549350710014947</v>
      </c>
      <c r="F1335" s="5" t="str">
        <f>INDEX(Ingredients!J$1:J$265,(MATCH(InterventionCosts!B1335,Ingredients!A$1:A$265,0)))</f>
        <v>per minute</v>
      </c>
      <c r="G1335">
        <f>IF(B1335="","",INDEX(Ingredients!$E$1:$E$238,(MATCH(InterventionCosts!B1335,Ingredients!A$1:A$238,0))))</f>
        <v>2024</v>
      </c>
      <c r="H1335" t="str">
        <f>INDEX(Ingredients!$F$1:$F$318,(MATCH(InterventionCosts!B1335,Ingredients!A$1:A$318,0)))</f>
        <v xml:space="preserve">April 2024 Salary scale </v>
      </c>
      <c r="I1335" s="148">
        <f>(60*12)/160</f>
        <v>4.5</v>
      </c>
      <c r="J1335" s="149" t="s">
        <v>438</v>
      </c>
      <c r="K1335" s="85">
        <f>I1335*E1335</f>
        <v>8.3472078195067265</v>
      </c>
    </row>
    <row r="1336" spans="1:14">
      <c r="A1336" t="s">
        <v>1371</v>
      </c>
      <c r="B1336" s="146" t="s">
        <v>421</v>
      </c>
    </row>
    <row r="1337" spans="1:14">
      <c r="A1337" t="s">
        <v>1371</v>
      </c>
      <c r="B1337" s="147" t="s">
        <v>422</v>
      </c>
      <c r="C1337" t="s">
        <v>389</v>
      </c>
      <c r="D1337" t="s">
        <v>81</v>
      </c>
      <c r="E1337" s="70"/>
      <c r="F1337" s="5"/>
      <c r="J1337" t="s">
        <v>441</v>
      </c>
      <c r="K1337" s="85">
        <f>0.07*SUM(K1237:K1335,K1338)</f>
        <v>330.618447583575</v>
      </c>
      <c r="L1337" s="85" t="s">
        <v>427</v>
      </c>
    </row>
    <row r="1338" spans="1:14">
      <c r="A1338" t="s">
        <v>1371</v>
      </c>
      <c r="B1338" s="147" t="s">
        <v>52</v>
      </c>
      <c r="C1338" t="s">
        <v>389</v>
      </c>
      <c r="D1338" t="s">
        <v>48</v>
      </c>
      <c r="E1338" s="70">
        <f>IF(B1338="","",INDEX(Ingredients!$I$1:$I$5013,(MATCH(InterventionCosts!B1338,Ingredients!$A$1:$A$5013,0))))</f>
        <v>1.8019482436472347</v>
      </c>
      <c r="F1338" s="5" t="str">
        <f>INDEX(Ingredients!J$1:J$265,(MATCH(InterventionCosts!B1338,Ingredients!A$1:A$265,0)))</f>
        <v>per minute</v>
      </c>
      <c r="G1338">
        <f>IF(B1338="","",INDEX(Ingredients!$E$1:$E$238,(MATCH(InterventionCosts!B1338,Ingredients!A$1:A$238,0))))</f>
        <v>2024</v>
      </c>
      <c r="H1338" t="str">
        <f>INDEX(Ingredients!$F$1:$F$318,(MATCH(InterventionCosts!B1338,Ingredients!A$1:A$318,0)))</f>
        <v xml:space="preserve">April 2024 Salary scale </v>
      </c>
      <c r="I1338">
        <f>3*4</f>
        <v>12</v>
      </c>
      <c r="J1338" s="149" t="s">
        <v>439</v>
      </c>
      <c r="K1338" s="85">
        <f>I1338*E1338</f>
        <v>21.623378923766815</v>
      </c>
    </row>
    <row r="1339" spans="1:14" s="89" customFormat="1">
      <c r="A1339" s="4" t="s">
        <v>1371</v>
      </c>
      <c r="F1339" s="89" t="s">
        <v>1164</v>
      </c>
      <c r="G1339" s="89" t="str">
        <f>IF(B1339="","",INDEX(Ingredients!$E$1:$E$238,(MATCH(InterventionCosts!B1339,Ingredients!A$1:A$238,0))))</f>
        <v/>
      </c>
      <c r="K1339" s="90"/>
      <c r="L1339" s="90">
        <f>SUM(K1237:K1338)</f>
        <v>5053.739127348932</v>
      </c>
      <c r="M1339" s="92"/>
      <c r="N1339" s="4"/>
    </row>
    <row r="1340" spans="1:14" s="89" customFormat="1">
      <c r="A1340" s="4" t="s">
        <v>1371</v>
      </c>
      <c r="F1340" s="89" t="s">
        <v>117</v>
      </c>
      <c r="G1340" s="89" t="str">
        <f>IF(B1340="","",INDEX(Ingredients!$E$1:$E$238,(MATCH(InterventionCosts!B1340,Ingredients!A$1:A$238,0))))</f>
        <v/>
      </c>
      <c r="K1340" s="90"/>
      <c r="L1340" s="90" t="s">
        <v>440</v>
      </c>
    </row>
    <row r="1342" spans="1:14">
      <c r="A1342" t="s">
        <v>1372</v>
      </c>
      <c r="B1342" s="144" t="s">
        <v>388</v>
      </c>
      <c r="C1342" s="141"/>
      <c r="D1342" s="141"/>
      <c r="E1342" s="142"/>
      <c r="F1342" s="141"/>
      <c r="G1342" s="141"/>
      <c r="H1342" s="141"/>
      <c r="I1342" s="141"/>
      <c r="J1342" s="141"/>
      <c r="K1342" s="143"/>
    </row>
    <row r="1343" spans="1:14">
      <c r="A1343" t="s">
        <v>1372</v>
      </c>
      <c r="B1343" s="136" t="s">
        <v>390</v>
      </c>
    </row>
    <row r="1344" spans="1:14">
      <c r="A1344" t="s">
        <v>1372</v>
      </c>
      <c r="B1344" s="137" t="s">
        <v>54</v>
      </c>
      <c r="C1344" t="s">
        <v>389</v>
      </c>
      <c r="D1344" t="s">
        <v>48</v>
      </c>
      <c r="E1344" s="70">
        <f>IF(B1344="","",INDEX(Ingredients!$I$1:$I$5013,(MATCH(InterventionCosts!B1344,Ingredients!$A$1:$A$5013,0))))</f>
        <v>1.2444366591928251</v>
      </c>
      <c r="F1344" s="5" t="str">
        <f>INDEX(Ingredients!J$1:J$265,(MATCH(InterventionCosts!B1344,Ingredients!A$1:A$265,0)))</f>
        <v>per minute</v>
      </c>
      <c r="G1344">
        <f>IF(B1344="","",INDEX(Ingredients!$E$1:$E$238,(MATCH(InterventionCosts!B1344,Ingredients!A$1:A$238,0))))</f>
        <v>2024</v>
      </c>
      <c r="H1344" t="str">
        <f>INDEX(Ingredients!$F$1:$F$318,(MATCH(InterventionCosts!B1344,Ingredients!A$1:A$318,0)))</f>
        <v xml:space="preserve">April 2024 Salary scale </v>
      </c>
      <c r="I1344">
        <v>1</v>
      </c>
      <c r="J1344" t="s">
        <v>1476</v>
      </c>
      <c r="K1344" s="85">
        <f>I1344*E1344</f>
        <v>1.2444366591928251</v>
      </c>
      <c r="L1344"/>
    </row>
    <row r="1345" spans="1:14">
      <c r="A1345" t="s">
        <v>1372</v>
      </c>
      <c r="B1345" s="137" t="s">
        <v>246</v>
      </c>
      <c r="C1345" t="s">
        <v>389</v>
      </c>
      <c r="D1345" s="5" t="s">
        <v>21</v>
      </c>
      <c r="E1345" s="70">
        <f>IF(B1345="","",INDEX(Ingredients!$I$1:$I$5013,(MATCH(InterventionCosts!B1345,Ingredients!$A$1:$A$5013,0))))</f>
        <v>0.16400000000000001</v>
      </c>
      <c r="F1345" s="5" t="str">
        <f>INDEX(Ingredients!J$1:J$265,(MATCH(InterventionCosts!B1345,Ingredients!A$1:A$265,0)))</f>
        <v>per page</v>
      </c>
      <c r="G1345">
        <f>IF(B1345="","",INDEX(Ingredients!$E$1:$E$238,(MATCH(InterventionCosts!B1345,Ingredients!A$1:A$238,0))))</f>
        <v>2024</v>
      </c>
      <c r="H1345" t="str">
        <f>INDEX(Ingredients!$F$1:$F$318,(MATCH(InterventionCosts!B1345,Ingredients!A$1:A$318,0)))</f>
        <v>https://www.makro.co.za/stationery-office-furniture/paper-filing/paper/white-paper/copy-paper/typek-a4-office-paper-80-gsm/p/000000000000012434_BOX</v>
      </c>
      <c r="I1345">
        <f>1</f>
        <v>1</v>
      </c>
      <c r="J1345" t="s">
        <v>1476</v>
      </c>
      <c r="K1345" s="85">
        <f>I1345*E1345</f>
        <v>0.16400000000000001</v>
      </c>
      <c r="L1345" t="s">
        <v>1510</v>
      </c>
    </row>
    <row r="1346" spans="1:14">
      <c r="A1346" t="s">
        <v>1372</v>
      </c>
      <c r="B1346" s="136" t="s">
        <v>391</v>
      </c>
      <c r="F1346" s="145" t="s">
        <v>396</v>
      </c>
      <c r="I1346" s="153">
        <f>0.0480833123941767</f>
        <v>4.8083312394176701E-2</v>
      </c>
      <c r="J1346" s="3" t="s">
        <v>443</v>
      </c>
      <c r="L1346" s="3"/>
    </row>
    <row r="1347" spans="1:14">
      <c r="A1347" t="s">
        <v>1372</v>
      </c>
      <c r="B1347" s="137" t="s">
        <v>79</v>
      </c>
      <c r="C1347" t="s">
        <v>389</v>
      </c>
      <c r="D1347" s="5" t="s">
        <v>21</v>
      </c>
      <c r="E1347" s="70">
        <f>IF(B1347="","",INDEX(Ingredients!$I$1:$I$5013,(MATCH(InterventionCosts!B1347,Ingredients!$A$1:$A$5013,0))))</f>
        <v>9.3000000000000007</v>
      </c>
      <c r="F1347" s="5" t="str">
        <f>INDEX(Ingredients!J$1:J$265,(MATCH(InterventionCosts!B1347,Ingredients!A$1:A$265,0)))</f>
        <v>per test</v>
      </c>
      <c r="G1347">
        <f>IF(B1347="","",INDEX(Ingredients!$E$1:$E$238,(MATCH(InterventionCosts!B1347,Ingredients!A$1:A$238,0))))</f>
        <v>2024</v>
      </c>
      <c r="H1347" t="str">
        <f>INDEX(Ingredients!$F$1:$F$318,(MATCH(InterventionCosts!B1347,Ingredients!A$1:A$318,0)))</f>
        <v>https://www.treasury.gov.za/divisions/ocpo/ostb/contracts/RT41-2020.zip</v>
      </c>
      <c r="I1347" s="134">
        <f>1/(1-I1346)</f>
        <v>1.0505121015528278</v>
      </c>
      <c r="J1347" s="133" t="s">
        <v>394</v>
      </c>
      <c r="K1347" s="85">
        <f>I1347*E1347</f>
        <v>9.7697625444412992</v>
      </c>
      <c r="L1347" s="133"/>
      <c r="M1347" s="153"/>
      <c r="N1347" s="3"/>
    </row>
    <row r="1348" spans="1:14">
      <c r="A1348" t="s">
        <v>1372</v>
      </c>
      <c r="B1348" s="137" t="s">
        <v>54</v>
      </c>
      <c r="C1348" t="s">
        <v>389</v>
      </c>
      <c r="D1348" t="s">
        <v>48</v>
      </c>
      <c r="E1348" s="70">
        <f>IF(B1348="","",INDEX(Ingredients!$I$1:$I$5013,(MATCH(InterventionCosts!B1348,Ingredients!$A$1:$A$5013,0))))</f>
        <v>1.2444366591928251</v>
      </c>
      <c r="F1348" s="5" t="str">
        <f>INDEX(Ingredients!J$1:J$265,(MATCH(InterventionCosts!B1348,Ingredients!A$1:A$265,0)))</f>
        <v>per minute</v>
      </c>
      <c r="G1348">
        <f>IF(B1348="","",INDEX(Ingredients!$E$1:$E$238,(MATCH(InterventionCosts!B1348,Ingredients!A$1:A$238,0))))</f>
        <v>2024</v>
      </c>
      <c r="H1348" t="str">
        <f>INDEX(Ingredients!$F$1:$F$318,(MATCH(InterventionCosts!B1348,Ingredients!A$1:A$318,0)))</f>
        <v xml:space="preserve">April 2024 Salary scale </v>
      </c>
      <c r="I1348" s="134">
        <f>15+1/(1-I1346)</f>
        <v>16.050512101552826</v>
      </c>
      <c r="J1348" s="133" t="s">
        <v>395</v>
      </c>
      <c r="K1348" s="85">
        <f>I1348*E1348</f>
        <v>19.97384565799041</v>
      </c>
      <c r="L1348" s="133"/>
      <c r="M1348" s="3"/>
      <c r="N1348" s="3"/>
    </row>
    <row r="1349" spans="1:14">
      <c r="A1349" t="s">
        <v>1372</v>
      </c>
      <c r="B1349" s="137" t="s">
        <v>1489</v>
      </c>
      <c r="C1349" t="s">
        <v>389</v>
      </c>
      <c r="D1349" s="5" t="s">
        <v>21</v>
      </c>
      <c r="E1349" s="70">
        <f>IF(B1349="","",INDEX(Ingredients!$I$1:$I$5013,(MATCH(InterventionCosts!B1349,Ingredients!$A$1:$A$5013,0))))</f>
        <v>53.08</v>
      </c>
      <c r="F1349" s="5" t="str">
        <f>INDEX(Ingredients!J$1:J$265,(MATCH(InterventionCosts!B1349,Ingredients!A$1:A$265,0)))</f>
        <v>per pack 100, 50 pairs</v>
      </c>
      <c r="G1349">
        <f>IF(B1349="","",INDEX(Ingredients!$E$1:$E$238,(MATCH(InterventionCosts!B1349,Ingredients!A$1:A$238,0))))</f>
        <v>2024</v>
      </c>
      <c r="H1349" t="str">
        <f>INDEX(Ingredients!$F$1:$F$318,(MATCH(InterventionCosts!B1349,Ingredients!A$1:A$318,0)))</f>
        <v>https://www.treasury.gov.za/divisions/ocpo/ostb/contracts/RT76-2023%20CPA%20Amendment%204-%20Effective%2001%20May%202024.pdf</v>
      </c>
      <c r="I1349" s="134">
        <f>2/100*(1/(1-I1346))</f>
        <v>2.1010242031056555E-2</v>
      </c>
      <c r="J1349" t="s">
        <v>1487</v>
      </c>
      <c r="K1349" s="85">
        <f>I1349*E1349</f>
        <v>1.115223647008482</v>
      </c>
      <c r="L1349" s="133"/>
    </row>
    <row r="1350" spans="1:14">
      <c r="A1350" t="s">
        <v>1372</v>
      </c>
      <c r="B1350" s="137" t="s">
        <v>31</v>
      </c>
      <c r="C1350" t="s">
        <v>389</v>
      </c>
      <c r="D1350" s="5" t="s">
        <v>21</v>
      </c>
      <c r="E1350" s="70">
        <f>IF(B1350="","",INDEX(Ingredients!$I$1:$I$5013,(MATCH(InterventionCosts!B1350,Ingredients!$A$1:$A$5013,0))))</f>
        <v>31.4</v>
      </c>
      <c r="F1350" s="5" t="str">
        <f>INDEX(Ingredients!J$1:J$265,(MATCH(InterventionCosts!B1350,Ingredients!A$1:A$265,0)))</f>
        <v>per 100 swabs</v>
      </c>
      <c r="G1350">
        <f>IF(B1350="","",INDEX(Ingredients!$E$1:$E$238,(MATCH(InterventionCosts!B1350,Ingredients!A$1:A$238,0))))</f>
        <v>2024</v>
      </c>
      <c r="H1350" t="str">
        <f>INDEX(Ingredients!$F$1:$F$318,(MATCH(InterventionCosts!B1350,Ingredients!A$1:A$318,0)))</f>
        <v xml:space="preserve">http://www.treasury.gov.za/divisions/ocpo/ostb/contracts/RT42-2022zip </v>
      </c>
      <c r="I1350" s="134">
        <f>1/100*(1/(1-I1346))</f>
        <v>1.0505121015528278E-2</v>
      </c>
      <c r="J1350" s="133" t="s">
        <v>394</v>
      </c>
      <c r="K1350" s="85">
        <f>I1350*E1350</f>
        <v>0.32986079988758787</v>
      </c>
      <c r="L1350" s="133"/>
    </row>
    <row r="1351" spans="1:14">
      <c r="A1351" t="s">
        <v>1372</v>
      </c>
      <c r="B1351" s="136" t="s">
        <v>392</v>
      </c>
      <c r="E1351" s="70"/>
      <c r="F1351" s="5"/>
      <c r="L1351"/>
    </row>
    <row r="1352" spans="1:14">
      <c r="A1352" t="s">
        <v>1372</v>
      </c>
      <c r="B1352" s="137" t="s">
        <v>79</v>
      </c>
      <c r="C1352" t="s">
        <v>389</v>
      </c>
      <c r="D1352" s="5" t="s">
        <v>21</v>
      </c>
      <c r="E1352" s="70">
        <f>IF(B1352="","",INDEX(Ingredients!$I$1:$I$5013,(MATCH(InterventionCosts!B1352,Ingredients!$A$1:$A$5013,0))))</f>
        <v>9.3000000000000007</v>
      </c>
      <c r="F1352" s="5" t="str">
        <f>INDEX(Ingredients!J$1:J$265,(MATCH(InterventionCosts!B1352,Ingredients!A$1:A$265,0)))</f>
        <v>per test</v>
      </c>
      <c r="G1352">
        <f>IF(B1352="","",INDEX(Ingredients!$E$1:$E$238,(MATCH(InterventionCosts!B1352,Ingredients!A$1:A$238,0))))</f>
        <v>2024</v>
      </c>
      <c r="H1352" t="str">
        <f>INDEX(Ingredients!$F$1:$F$318,(MATCH(InterventionCosts!B1352,Ingredients!A$1:A$318,0)))</f>
        <v>https://www.treasury.gov.za/divisions/ocpo/ostb/contracts/RT41-2020.zip</v>
      </c>
      <c r="I1352" s="134">
        <f>I1346</f>
        <v>4.8083312394176701E-2</v>
      </c>
      <c r="J1352" s="85" t="s">
        <v>396</v>
      </c>
      <c r="K1352" s="85">
        <f>I1352*E1352</f>
        <v>0.44717480526584336</v>
      </c>
    </row>
    <row r="1353" spans="1:14">
      <c r="A1353" t="s">
        <v>1372</v>
      </c>
      <c r="B1353" s="137" t="s">
        <v>54</v>
      </c>
      <c r="C1353" t="s">
        <v>389</v>
      </c>
      <c r="D1353" t="s">
        <v>48</v>
      </c>
      <c r="E1353" s="70">
        <f>IF(B1353="","",INDEX(Ingredients!$I$1:$I$5013,(MATCH(InterventionCosts!B1353,Ingredients!$A$1:$A$5013,0))))</f>
        <v>1.2444366591928251</v>
      </c>
      <c r="F1353" s="5" t="str">
        <f>INDEX(Ingredients!J$1:J$265,(MATCH(InterventionCosts!B1353,Ingredients!A$1:A$265,0)))</f>
        <v>per minute</v>
      </c>
      <c r="G1353">
        <f>IF(B1353="","",INDEX(Ingredients!$E$1:$E$238,(MATCH(InterventionCosts!B1353,Ingredients!A$1:A$238,0))))</f>
        <v>2024</v>
      </c>
      <c r="H1353" t="str">
        <f>INDEX(Ingredients!$F$1:$F$318,(MATCH(InterventionCosts!B1353,Ingredients!A$1:A$318,0)))</f>
        <v xml:space="preserve">April 2024 Salary scale </v>
      </c>
      <c r="I1353" s="134">
        <f>(15+1/(1-I1346))*I1346</f>
        <v>0.77176178746547808</v>
      </c>
      <c r="J1353" s="133" t="s">
        <v>395</v>
      </c>
      <c r="K1353" s="85">
        <f>I1353*E1353</f>
        <v>0.96040866048622264</v>
      </c>
      <c r="L1353" s="133"/>
    </row>
    <row r="1354" spans="1:14">
      <c r="A1354" t="s">
        <v>1372</v>
      </c>
      <c r="B1354" s="137" t="s">
        <v>1489</v>
      </c>
      <c r="C1354" t="s">
        <v>389</v>
      </c>
      <c r="D1354" s="5" t="s">
        <v>21</v>
      </c>
      <c r="E1354" s="70">
        <f>IF(B1354="","",INDEX(Ingredients!$I$1:$I$5013,(MATCH(InterventionCosts!B1354,Ingredients!$A$1:$A$5013,0))))</f>
        <v>53.08</v>
      </c>
      <c r="F1354" s="5" t="str">
        <f>INDEX(Ingredients!J$1:J$265,(MATCH(InterventionCosts!B1354,Ingredients!A$1:A$265,0)))</f>
        <v>per pack 100, 50 pairs</v>
      </c>
      <c r="G1354">
        <f>IF(B1354="","",INDEX(Ingredients!$E$1:$E$238,(MATCH(InterventionCosts!B1354,Ingredients!A$1:A$238,0))))</f>
        <v>2024</v>
      </c>
      <c r="H1354" t="str">
        <f>INDEX(Ingredients!$F$1:$F$318,(MATCH(InterventionCosts!B1354,Ingredients!A$1:A$318,0)))</f>
        <v>https://www.treasury.gov.za/divisions/ocpo/ostb/contracts/RT76-2023%20CPA%20Amendment%204-%20Effective%2001%20May%202024.pdf</v>
      </c>
      <c r="I1354">
        <f>2/100*I1346</f>
        <v>9.6166624788353403E-4</v>
      </c>
      <c r="J1354" t="s">
        <v>1487</v>
      </c>
      <c r="K1354" s="85">
        <f>I1354*E1354</f>
        <v>5.1045244437657983E-2</v>
      </c>
      <c r="L1354" s="133"/>
    </row>
    <row r="1355" spans="1:14">
      <c r="A1355" t="s">
        <v>1372</v>
      </c>
      <c r="B1355" s="137" t="s">
        <v>31</v>
      </c>
      <c r="C1355" t="s">
        <v>389</v>
      </c>
      <c r="D1355" s="5" t="s">
        <v>21</v>
      </c>
      <c r="E1355" s="70">
        <f>IF(B1355="","",INDEX(Ingredients!$I$1:$I$5013,(MATCH(InterventionCosts!B1355,Ingredients!$A$1:$A$5013,0))))</f>
        <v>31.4</v>
      </c>
      <c r="F1355" s="5" t="str">
        <f>INDEX(Ingredients!J$1:J$265,(MATCH(InterventionCosts!B1355,Ingredients!A$1:A$265,0)))</f>
        <v>per 100 swabs</v>
      </c>
      <c r="G1355">
        <f>IF(B1355="","",INDEX(Ingredients!$E$1:$E$238,(MATCH(InterventionCosts!B1355,Ingredients!A$1:A$238,0))))</f>
        <v>2024</v>
      </c>
      <c r="H1355" t="str">
        <f>INDEX(Ingredients!$F$1:$F$318,(MATCH(InterventionCosts!B1355,Ingredients!A$1:A$318,0)))</f>
        <v xml:space="preserve">http://www.treasury.gov.za/divisions/ocpo/ostb/contracts/RT42-2022zip </v>
      </c>
      <c r="I1355" s="152">
        <f>1/100*I1346</f>
        <v>4.8083312394176701E-4</v>
      </c>
      <c r="J1355" s="133" t="s">
        <v>1477</v>
      </c>
      <c r="K1355" s="85">
        <f>I1355*E1355</f>
        <v>1.5098160091771484E-2</v>
      </c>
      <c r="L1355" s="133"/>
    </row>
    <row r="1356" spans="1:14">
      <c r="A1356" t="s">
        <v>1372</v>
      </c>
      <c r="B1356" s="136" t="s">
        <v>393</v>
      </c>
      <c r="F1356" s="5"/>
      <c r="L1356"/>
    </row>
    <row r="1357" spans="1:14">
      <c r="A1357" t="s">
        <v>1372</v>
      </c>
      <c r="B1357" s="137" t="s">
        <v>77</v>
      </c>
      <c r="C1357" t="s">
        <v>389</v>
      </c>
      <c r="D1357" t="s">
        <v>75</v>
      </c>
      <c r="E1357" s="70">
        <f>IF(B1357="","",INDEX(Ingredients!$I$1:$I$5013,(MATCH(InterventionCosts!B1357,Ingredients!$A$1:$A$5013,0))))</f>
        <v>71.889951748999991</v>
      </c>
      <c r="F1357" s="5" t="str">
        <f>INDEX(Ingredients!J$1:J$265,(MATCH(InterventionCosts!B1357,Ingredients!A$1:A$265,0)))</f>
        <v>per test</v>
      </c>
      <c r="G1357">
        <f>IF(B1357="","",INDEX(Ingredients!$E$1:$E$238,(MATCH(InterventionCosts!B1357,Ingredients!A$1:A$238,0))))</f>
        <v>2021</v>
      </c>
      <c r="H1357" t="str">
        <f>INDEX(Ingredients!$F$1:$F$318,(MATCH(InterventionCosts!B1357,Ingredients!A$1:A$318,0)))</f>
        <v>NHLS 2021 price-list</v>
      </c>
      <c r="I1357">
        <v>0.02</v>
      </c>
      <c r="J1357" s="85" t="s">
        <v>397</v>
      </c>
      <c r="K1357" s="85">
        <f>I1357*E1357</f>
        <v>1.4377990349799998</v>
      </c>
    </row>
    <row r="1358" spans="1:14">
      <c r="A1358" t="s">
        <v>1372</v>
      </c>
      <c r="B1358" s="137" t="s">
        <v>54</v>
      </c>
      <c r="C1358" t="s">
        <v>389</v>
      </c>
      <c r="D1358" t="s">
        <v>48</v>
      </c>
      <c r="E1358" s="70">
        <f>IF(B1358="","",INDEX(Ingredients!$I$1:$I$5013,(MATCH(InterventionCosts!B1358,Ingredients!$A$1:$A$5013,0))))</f>
        <v>1.2444366591928251</v>
      </c>
      <c r="F1358" s="5" t="str">
        <f>INDEX(Ingredients!J$1:J$265,(MATCH(InterventionCosts!B1358,Ingredients!A$1:A$265,0)))</f>
        <v>per minute</v>
      </c>
      <c r="G1358">
        <f>IF(B1358="","",INDEX(Ingredients!$E$1:$E$238,(MATCH(InterventionCosts!B1358,Ingredients!A$1:A$238,0))))</f>
        <v>2024</v>
      </c>
      <c r="H1358" t="str">
        <f>INDEX(Ingredients!$F$1:$F$318,(MATCH(InterventionCosts!B1358,Ingredients!A$1:A$318,0)))</f>
        <v xml:space="preserve">April 2024 Salary scale </v>
      </c>
      <c r="I1358">
        <f>15*0.02</f>
        <v>0.3</v>
      </c>
      <c r="J1358" s="133" t="s">
        <v>395</v>
      </c>
      <c r="K1358" s="85">
        <f>I1358*E1358</f>
        <v>0.3733309977578475</v>
      </c>
      <c r="L1358" s="133"/>
    </row>
    <row r="1359" spans="1:14">
      <c r="A1359" t="s">
        <v>1372</v>
      </c>
      <c r="B1359" s="137" t="s">
        <v>1489</v>
      </c>
      <c r="C1359" t="s">
        <v>389</v>
      </c>
      <c r="D1359" s="5" t="s">
        <v>21</v>
      </c>
      <c r="E1359" s="70">
        <f>IF(B1359="","",INDEX(Ingredients!$I$1:$I$5013,(MATCH(InterventionCosts!B1359,Ingredients!$A$1:$A$5013,0))))</f>
        <v>53.08</v>
      </c>
      <c r="F1359" s="5" t="str">
        <f>INDEX(Ingredients!J$1:J$265,(MATCH(InterventionCosts!B1359,Ingredients!A$1:A$265,0)))</f>
        <v>per pack 100, 50 pairs</v>
      </c>
      <c r="G1359">
        <f>IF(B1359="","",INDEX(Ingredients!$E$1:$E$238,(MATCH(InterventionCosts!B1359,Ingredients!A$1:A$238,0))))</f>
        <v>2024</v>
      </c>
      <c r="H1359" t="str">
        <f>INDEX(Ingredients!$F$1:$F$318,(MATCH(InterventionCosts!B1359,Ingredients!A$1:A$318,0)))</f>
        <v>https://www.treasury.gov.za/divisions/ocpo/ostb/contracts/RT76-2023%20CPA%20Amendment%204-%20Effective%2001%20May%202024.pdf</v>
      </c>
      <c r="I1359">
        <f>2/100*0.02</f>
        <v>4.0000000000000002E-4</v>
      </c>
      <c r="J1359" t="s">
        <v>1487</v>
      </c>
      <c r="K1359" s="85">
        <f>I1359*E1359</f>
        <v>2.1232000000000001E-2</v>
      </c>
    </row>
    <row r="1360" spans="1:14">
      <c r="A1360" t="s">
        <v>1372</v>
      </c>
      <c r="B1360" s="137" t="s">
        <v>45</v>
      </c>
      <c r="C1360" t="s">
        <v>389</v>
      </c>
      <c r="D1360" s="5" t="s">
        <v>21</v>
      </c>
      <c r="E1360" s="70">
        <f>IF(B1360="","",INDEX(Ingredients!$I$1:$I$5013,(MATCH(InterventionCosts!B1360,Ingredients!$A$1:$A$5013,0))))</f>
        <v>46</v>
      </c>
      <c r="F1360" s="5" t="str">
        <f>INDEX(Ingredients!J$1:J$265,(MATCH(InterventionCosts!B1360,Ingredients!A$1:A$265,0)))</f>
        <v>per pack 100</v>
      </c>
      <c r="G1360">
        <f>IF(B1360="","",INDEX(Ingredients!$E$1:$E$238,(MATCH(InterventionCosts!B1360,Ingredients!A$1:A$238,0))))</f>
        <v>2024</v>
      </c>
      <c r="H1360" t="str">
        <f>INDEX(Ingredients!$F$1:$F$318,(MATCH(InterventionCosts!B1360,Ingredients!A$1:A$318,0)))</f>
        <v>https://www.treasury.gov.za/divisions/ocpo/ostb/contracts/RT284-2023.zip</v>
      </c>
      <c r="I1360">
        <f>1/100*0.02</f>
        <v>2.0000000000000001E-4</v>
      </c>
      <c r="J1360" s="85" t="s">
        <v>397</v>
      </c>
      <c r="K1360" s="135">
        <f>I1360*E1360</f>
        <v>9.1999999999999998E-3</v>
      </c>
    </row>
    <row r="1361" spans="1:12">
      <c r="A1361" t="s">
        <v>1372</v>
      </c>
      <c r="B1361" s="137" t="s">
        <v>31</v>
      </c>
      <c r="C1361" t="s">
        <v>389</v>
      </c>
      <c r="D1361" s="5" t="s">
        <v>21</v>
      </c>
      <c r="E1361" s="70">
        <f>IF(B1361="","",INDEX(Ingredients!$I$1:$I$5013,(MATCH(InterventionCosts!B1361,Ingredients!$A$1:$A$5013,0))))</f>
        <v>31.4</v>
      </c>
      <c r="F1361" s="5" t="str">
        <f>INDEX(Ingredients!J$1:J$265,(MATCH(InterventionCosts!B1361,Ingredients!A$1:A$265,0)))</f>
        <v>per 100 swabs</v>
      </c>
      <c r="G1361">
        <f>IF(B1361="","",INDEX(Ingredients!$E$1:$E$238,(MATCH(InterventionCosts!B1361,Ingredients!A$1:A$238,0))))</f>
        <v>2024</v>
      </c>
      <c r="H1361" t="str">
        <f>INDEX(Ingredients!$F$1:$F$318,(MATCH(InterventionCosts!B1361,Ingredients!A$1:A$318,0)))</f>
        <v xml:space="preserve">http://www.treasury.gov.za/divisions/ocpo/ostb/contracts/RT42-2022zip </v>
      </c>
      <c r="I1361">
        <f>1/100*0.02</f>
        <v>2.0000000000000001E-4</v>
      </c>
      <c r="J1361" s="85" t="s">
        <v>397</v>
      </c>
      <c r="K1361" s="135">
        <f>I1361*E1361</f>
        <v>6.28E-3</v>
      </c>
    </row>
    <row r="1362" spans="1:12">
      <c r="A1362" t="s">
        <v>1372</v>
      </c>
      <c r="B1362" s="136" t="s">
        <v>398</v>
      </c>
      <c r="L1362"/>
    </row>
    <row r="1363" spans="1:12">
      <c r="A1363" t="s">
        <v>1372</v>
      </c>
      <c r="B1363" s="137" t="s">
        <v>354</v>
      </c>
      <c r="C1363" t="s">
        <v>389</v>
      </c>
      <c r="D1363" t="s">
        <v>48</v>
      </c>
      <c r="E1363" s="70">
        <f>IF(B1363="","",INDEX(Ingredients!$I$1:$I$5013,(MATCH(InterventionCosts!B1363,Ingredients!$A$1:$A$5013,0))))</f>
        <v>4.8996605630293981</v>
      </c>
      <c r="F1363" s="5" t="str">
        <f>INDEX(Ingredients!J$1:J$265,(MATCH(InterventionCosts!B1363,Ingredients!A$1:A$265,0)))</f>
        <v>per minute</v>
      </c>
      <c r="G1363">
        <f>IF(B1363="","",INDEX(Ingredients!$E$1:$E$238,(MATCH(InterventionCosts!B1363,Ingredients!A$1:A$238,0))))</f>
        <v>2024</v>
      </c>
      <c r="H1363" t="str">
        <f>INDEX(Ingredients!$F$1:$F$318,(MATCH(InterventionCosts!B1363,Ingredients!A$1:A$318,0)))</f>
        <v xml:space="preserve">April 2024 Salary scale </v>
      </c>
      <c r="I1363">
        <v>15</v>
      </c>
      <c r="J1363" s="133" t="s">
        <v>395</v>
      </c>
      <c r="K1363" s="85">
        <f>I1363*E1363</f>
        <v>73.49490844544097</v>
      </c>
      <c r="L1363" s="133"/>
    </row>
    <row r="1364" spans="1:12">
      <c r="A1364" t="s">
        <v>1372</v>
      </c>
      <c r="B1364" s="137" t="s">
        <v>400</v>
      </c>
      <c r="C1364" t="s">
        <v>389</v>
      </c>
      <c r="D1364" t="s">
        <v>75</v>
      </c>
      <c r="E1364" s="70">
        <f>IF(B1364="","",INDEX(Ingredients!$I$1:$I$5013,(MATCH(InterventionCosts!B1364,Ingredients!$A$1:$A$5013,0))))</f>
        <v>59.183820742199998</v>
      </c>
      <c r="F1364" s="5" t="str">
        <f>INDEX(Ingredients!J$1:J$265,(MATCH(InterventionCosts!B1364,Ingredients!A$1:A$265,0)))</f>
        <v>per test</v>
      </c>
      <c r="G1364">
        <f>IF(B1364="","",INDEX(Ingredients!$E$1:$E$238,(MATCH(InterventionCosts!B1364,Ingredients!A$1:A$238,0))))</f>
        <v>2021</v>
      </c>
      <c r="H1364" t="str">
        <f>INDEX(Ingredients!$F$1:$F$318,(MATCH(InterventionCosts!B1364,Ingredients!A$1:A$318,0)))</f>
        <v>NHLS 2021 price-list</v>
      </c>
      <c r="I1364">
        <v>1</v>
      </c>
      <c r="J1364" t="s">
        <v>403</v>
      </c>
      <c r="K1364" s="85">
        <f>I1364*E1364</f>
        <v>59.183820742199998</v>
      </c>
      <c r="L1364"/>
    </row>
    <row r="1365" spans="1:12">
      <c r="A1365" t="s">
        <v>1372</v>
      </c>
      <c r="B1365" s="136" t="s">
        <v>405</v>
      </c>
      <c r="L1365"/>
    </row>
    <row r="1366" spans="1:12">
      <c r="A1366" t="s">
        <v>1372</v>
      </c>
      <c r="B1366" s="137" t="s">
        <v>54</v>
      </c>
      <c r="C1366" t="s">
        <v>389</v>
      </c>
      <c r="D1366" t="s">
        <v>48</v>
      </c>
      <c r="E1366" s="70">
        <f>IF(B1366="","",INDEX(Ingredients!$I$1:$I$5013,(MATCH(InterventionCosts!B1366,Ingredients!$A$1:$A$5013,0))))</f>
        <v>1.2444366591928251</v>
      </c>
      <c r="F1366" s="5" t="str">
        <f>INDEX(Ingredients!J$1:J$265,(MATCH(InterventionCosts!B1366,Ingredients!A$1:A$265,0)))</f>
        <v>per minute</v>
      </c>
      <c r="G1366">
        <f>IF(B1366="","",INDEX(Ingredients!$E$1:$E$238,(MATCH(InterventionCosts!B1366,Ingredients!A$1:A$238,0))))</f>
        <v>2024</v>
      </c>
      <c r="H1366" t="str">
        <f>INDEX(Ingredients!$F$1:$F$318,(MATCH(InterventionCosts!B1366,Ingredients!A$1:A$318,0)))</f>
        <v xml:space="preserve">April 2024 Salary scale </v>
      </c>
      <c r="I1366">
        <v>5</v>
      </c>
      <c r="J1366" t="s">
        <v>1476</v>
      </c>
      <c r="K1366" s="85">
        <f>I1366*E1366</f>
        <v>6.2221832959641254</v>
      </c>
      <c r="L1366"/>
    </row>
    <row r="1367" spans="1:12">
      <c r="A1367" t="s">
        <v>1372</v>
      </c>
      <c r="B1367" s="139" t="s">
        <v>409</v>
      </c>
      <c r="C1367" t="s">
        <v>389</v>
      </c>
      <c r="D1367" t="s">
        <v>75</v>
      </c>
      <c r="E1367" s="70">
        <f>IF(B1367="","",INDEX(Ingredients!$I$1:$I$5013,(MATCH(InterventionCosts!B1367,Ingredients!$A$1:$A$5013,0))))</f>
        <v>40.924728346149998</v>
      </c>
      <c r="F1367" s="5" t="str">
        <f>INDEX(Ingredients!J$1:J$265,(MATCH(InterventionCosts!B1367,Ingredients!A$1:A$265,0)))</f>
        <v>per test</v>
      </c>
      <c r="G1367">
        <f>IF(B1367="","",INDEX(Ingredients!$E$1:$E$238,(MATCH(InterventionCosts!B1367,Ingredients!A$1:A$238,0))))</f>
        <v>2021</v>
      </c>
      <c r="H1367" t="str">
        <f>INDEX(Ingredients!$F$1:$F$318,(MATCH(InterventionCosts!B1367,Ingredients!A$1:A$318,0)))</f>
        <v>NHLS 2021 price-list</v>
      </c>
      <c r="I1367">
        <v>1</v>
      </c>
      <c r="J1367" t="s">
        <v>1472</v>
      </c>
      <c r="K1367" s="85">
        <f>I1367*E1367</f>
        <v>40.924728346149998</v>
      </c>
      <c r="L1367" s="133"/>
    </row>
    <row r="1368" spans="1:12">
      <c r="A1368" t="s">
        <v>1372</v>
      </c>
      <c r="B1368" s="136" t="s">
        <v>411</v>
      </c>
      <c r="E1368" s="70"/>
      <c r="F1368" s="5"/>
      <c r="L1368"/>
    </row>
    <row r="1369" spans="1:12">
      <c r="A1369" t="s">
        <v>1372</v>
      </c>
      <c r="B1369" s="137" t="s">
        <v>449</v>
      </c>
      <c r="C1369" t="s">
        <v>389</v>
      </c>
      <c r="D1369" t="s">
        <v>70</v>
      </c>
      <c r="E1369" s="70">
        <f>IF(B1369="","",INDEX(Ingredients!$I$1:$I$5013,(MATCH(InterventionCosts!B1369,Ingredients!$A$1:$A$5013,0))))</f>
        <v>535.00106288275867</v>
      </c>
      <c r="F1369" s="5" t="str">
        <f>INDEX(Ingredients!J$1:J$265,(MATCH(InterventionCosts!B1369,Ingredients!A$1:A$265,0)))</f>
        <v>per injection</v>
      </c>
      <c r="G1369">
        <f>IF(B1369="","",INDEX(Ingredients!$E$1:$E$238,(MATCH(InterventionCosts!B1369,Ingredients!A$1:A$238,0))))</f>
        <v>2024</v>
      </c>
      <c r="H1369" t="str">
        <f>INDEX(Ingredients!$F$1:$F$318,(MATCH(InterventionCosts!B1369,Ingredients!A$1:A$318,0)))</f>
        <v>24.50 GBP (email from Hasina, official letter from GSK), 1 GBP = 1.22 USD (on 02 Nov 2023)</v>
      </c>
      <c r="I1369">
        <v>1</v>
      </c>
      <c r="J1369" t="s">
        <v>1472</v>
      </c>
      <c r="K1369" s="85">
        <f>I1369*E1369</f>
        <v>535.00106288275867</v>
      </c>
      <c r="L1369"/>
    </row>
    <row r="1370" spans="1:12">
      <c r="A1370" t="s">
        <v>1372</v>
      </c>
      <c r="B1370" s="137" t="s">
        <v>354</v>
      </c>
      <c r="C1370" t="s">
        <v>389</v>
      </c>
      <c r="D1370" t="s">
        <v>48</v>
      </c>
      <c r="E1370" s="70">
        <f>IF(B1370="","",INDEX(Ingredients!$I$1:$I$5013,(MATCH(InterventionCosts!B1370,Ingredients!$A$1:$A$5013,0))))</f>
        <v>4.8996605630293981</v>
      </c>
      <c r="F1370" s="5" t="str">
        <f>INDEX(Ingredients!J$1:J$265,(MATCH(InterventionCosts!B1370,Ingredients!A$1:A$265,0)))</f>
        <v>per minute</v>
      </c>
      <c r="G1370">
        <f>IF(B1370="","",INDEX(Ingredients!$E$1:$E$238,(MATCH(InterventionCosts!B1370,Ingredients!A$1:A$238,0))))</f>
        <v>2024</v>
      </c>
      <c r="H1370" t="str">
        <f>INDEX(Ingredients!$F$1:$F$318,(MATCH(InterventionCosts!B1370,Ingredients!A$1:A$318,0)))</f>
        <v xml:space="preserve">April 2024 Salary scale </v>
      </c>
      <c r="I1370">
        <v>5</v>
      </c>
      <c r="J1370" s="133" t="s">
        <v>395</v>
      </c>
      <c r="K1370" s="85">
        <f>I1370*E1370</f>
        <v>24.498302815146992</v>
      </c>
      <c r="L1370"/>
    </row>
    <row r="1371" spans="1:12">
      <c r="A1371" t="s">
        <v>1372</v>
      </c>
      <c r="B1371" s="137" t="s">
        <v>45</v>
      </c>
      <c r="C1371" t="s">
        <v>389</v>
      </c>
      <c r="D1371" s="5" t="s">
        <v>21</v>
      </c>
      <c r="E1371" s="70">
        <f>IF(B1371="","",INDEX(Ingredients!$I$1:$I$5013,(MATCH(InterventionCosts!B1371,Ingredients!$A$1:$A$5013,0))))</f>
        <v>46</v>
      </c>
      <c r="F1371" s="5" t="str">
        <f>INDEX(Ingredients!J$1:J$265,(MATCH(InterventionCosts!B1371,Ingredients!A$1:A$265,0)))</f>
        <v>per pack 100</v>
      </c>
      <c r="G1371">
        <f>IF(B1371="","",INDEX(Ingredients!$E$1:$E$238,(MATCH(InterventionCosts!B1371,Ingredients!A$1:A$238,0))))</f>
        <v>2024</v>
      </c>
      <c r="H1371" t="str">
        <f>INDEX(Ingredients!$F$1:$F$318,(MATCH(InterventionCosts!B1371,Ingredients!A$1:A$318,0)))</f>
        <v>https://www.treasury.gov.za/divisions/ocpo/ostb/contracts/RT284-2023.zip</v>
      </c>
      <c r="I1371">
        <f>1/100</f>
        <v>0.01</v>
      </c>
      <c r="J1371" s="133" t="s">
        <v>1486</v>
      </c>
      <c r="K1371" s="85">
        <f>I1371*E1371</f>
        <v>0.46</v>
      </c>
      <c r="L1371" s="133"/>
    </row>
    <row r="1372" spans="1:12">
      <c r="A1372" t="s">
        <v>1372</v>
      </c>
      <c r="B1372" s="137" t="s">
        <v>31</v>
      </c>
      <c r="C1372" t="s">
        <v>389</v>
      </c>
      <c r="D1372" s="5" t="s">
        <v>21</v>
      </c>
      <c r="E1372" s="70">
        <f>IF(B1372="","",INDEX(Ingredients!$I$1:$I$5013,(MATCH(InterventionCosts!B1372,Ingredients!$A$1:$A$5013,0))))</f>
        <v>31.4</v>
      </c>
      <c r="F1372" s="5" t="str">
        <f>INDEX(Ingredients!J$1:J$265,(MATCH(InterventionCosts!B1372,Ingredients!A$1:A$265,0)))</f>
        <v>per 100 swabs</v>
      </c>
      <c r="G1372">
        <f>IF(B1372="","",INDEX(Ingredients!$E$1:$E$238,(MATCH(InterventionCosts!B1372,Ingredients!A$1:A$238,0))))</f>
        <v>2024</v>
      </c>
      <c r="H1372" t="str">
        <f>INDEX(Ingredients!$F$1:$F$318,(MATCH(InterventionCosts!B1372,Ingredients!A$1:A$318,0)))</f>
        <v xml:space="preserve">http://www.treasury.gov.za/divisions/ocpo/ostb/contracts/RT42-2022zip </v>
      </c>
      <c r="I1372">
        <f>1/100</f>
        <v>0.01</v>
      </c>
      <c r="J1372" t="s">
        <v>1485</v>
      </c>
      <c r="K1372" s="85">
        <f>I1372*E1372</f>
        <v>0.314</v>
      </c>
      <c r="L1372" s="133"/>
    </row>
    <row r="1373" spans="1:12">
      <c r="A1373" t="s">
        <v>1372</v>
      </c>
      <c r="B1373" s="144" t="s">
        <v>451</v>
      </c>
      <c r="C1373" s="141"/>
      <c r="D1373" s="141"/>
      <c r="E1373" s="142"/>
      <c r="F1373" s="141"/>
      <c r="G1373" s="141"/>
      <c r="H1373" s="141"/>
      <c r="I1373" s="141"/>
      <c r="J1373" s="141"/>
      <c r="K1373" s="143"/>
      <c r="L1373"/>
    </row>
    <row r="1374" spans="1:12">
      <c r="A1374" t="s">
        <v>1372</v>
      </c>
      <c r="B1374" s="136" t="s">
        <v>411</v>
      </c>
    </row>
    <row r="1375" spans="1:12">
      <c r="A1375" t="s">
        <v>1372</v>
      </c>
      <c r="B1375" s="137" t="s">
        <v>449</v>
      </c>
      <c r="C1375" t="s">
        <v>389</v>
      </c>
      <c r="D1375" t="s">
        <v>70</v>
      </c>
      <c r="E1375" s="70">
        <f>IF(B1375="","",INDEX(Ingredients!$I$1:$I$5013,(MATCH(InterventionCosts!B1375,Ingredients!$A$1:$A$5013,0))))</f>
        <v>535.00106288275867</v>
      </c>
      <c r="F1375" s="5" t="str">
        <f>INDEX(Ingredients!J$1:J$265,(MATCH(InterventionCosts!B1375,Ingredients!A$1:A$265,0)))</f>
        <v>per injection</v>
      </c>
      <c r="G1375">
        <f>IF(B1375="","",INDEX(Ingredients!$E$1:$E$238,(MATCH(InterventionCosts!B1375,Ingredients!A$1:A$238,0))))</f>
        <v>2024</v>
      </c>
      <c r="H1375" t="str">
        <f>INDEX(Ingredients!$F$1:$F$318,(MATCH(InterventionCosts!B1375,Ingredients!A$1:A$318,0)))</f>
        <v>24.50 GBP (email from Hasina, official letter from GSK), 1 GBP = 1.22 USD (on 02 Nov 2023)</v>
      </c>
      <c r="I1375">
        <v>1</v>
      </c>
      <c r="J1375" t="s">
        <v>1476</v>
      </c>
      <c r="K1375" s="85">
        <f>I1375*E1375</f>
        <v>535.00106288275867</v>
      </c>
    </row>
    <row r="1376" spans="1:12">
      <c r="A1376" t="s">
        <v>1372</v>
      </c>
      <c r="B1376" s="137" t="s">
        <v>354</v>
      </c>
      <c r="C1376" t="s">
        <v>389</v>
      </c>
      <c r="D1376" t="s">
        <v>48</v>
      </c>
      <c r="E1376" s="70">
        <f>IF(B1376="","",INDEX(Ingredients!$I$1:$I$5013,(MATCH(InterventionCosts!B1376,Ingredients!$A$1:$A$5013,0))))</f>
        <v>4.8996605630293981</v>
      </c>
      <c r="F1376" s="5" t="str">
        <f>INDEX(Ingredients!J$1:J$265,(MATCH(InterventionCosts!B1376,Ingredients!A$1:A$265,0)))</f>
        <v>per minute</v>
      </c>
      <c r="G1376">
        <f>IF(B1376="","",INDEX(Ingredients!$E$1:$E$238,(MATCH(InterventionCosts!B1376,Ingredients!A$1:A$238,0))))</f>
        <v>2024</v>
      </c>
      <c r="H1376" t="str">
        <f>INDEX(Ingredients!$F$1:$F$318,(MATCH(InterventionCosts!B1376,Ingredients!A$1:A$318,0)))</f>
        <v xml:space="preserve">April 2024 Salary scale </v>
      </c>
      <c r="I1376">
        <v>5</v>
      </c>
      <c r="J1376" t="s">
        <v>1476</v>
      </c>
      <c r="K1376" s="85">
        <f>I1376*E1376</f>
        <v>24.498302815146992</v>
      </c>
    </row>
    <row r="1377" spans="1:12">
      <c r="A1377" t="s">
        <v>1372</v>
      </c>
      <c r="B1377" s="137" t="s">
        <v>54</v>
      </c>
      <c r="C1377" t="s">
        <v>389</v>
      </c>
      <c r="D1377" t="s">
        <v>48</v>
      </c>
      <c r="E1377" s="70">
        <f>IF(B1377="","",INDEX(Ingredients!$I$1:$I$5013,(MATCH(InterventionCosts!B1377,Ingredients!$A$1:$A$5013,0))))</f>
        <v>1.2444366591928251</v>
      </c>
      <c r="F1377" s="5" t="str">
        <f>INDEX(Ingredients!J$1:J$265,(MATCH(InterventionCosts!B1377,Ingredients!A$1:A$265,0)))</f>
        <v>per minute</v>
      </c>
      <c r="G1377">
        <f>IF(B1377="","",INDEX(Ingredients!$E$1:$E$238,(MATCH(InterventionCosts!B1377,Ingredients!A$1:A$238,0))))</f>
        <v>2024</v>
      </c>
      <c r="H1377" t="str">
        <f>INDEX(Ingredients!$F$1:$F$318,(MATCH(InterventionCosts!B1377,Ingredients!A$1:A$318,0)))</f>
        <v xml:space="preserve">April 2024 Salary scale </v>
      </c>
      <c r="I1377">
        <v>10</v>
      </c>
      <c r="J1377" t="s">
        <v>1476</v>
      </c>
      <c r="K1377" s="85">
        <f>I1377*E1377</f>
        <v>12.444366591928251</v>
      </c>
    </row>
    <row r="1378" spans="1:12">
      <c r="A1378" t="s">
        <v>1372</v>
      </c>
      <c r="B1378" s="137" t="s">
        <v>45</v>
      </c>
      <c r="C1378" t="s">
        <v>389</v>
      </c>
      <c r="D1378" s="5" t="s">
        <v>21</v>
      </c>
      <c r="E1378" s="70">
        <f>IF(B1378="","",INDEX(Ingredients!$I$1:$I$5013,(MATCH(InterventionCosts!B1378,Ingredients!$A$1:$A$5013,0))))</f>
        <v>46</v>
      </c>
      <c r="F1378" s="5" t="str">
        <f>INDEX(Ingredients!J$1:J$265,(MATCH(InterventionCosts!B1378,Ingredients!A$1:A$265,0)))</f>
        <v>per pack 100</v>
      </c>
      <c r="G1378">
        <f>IF(B1378="","",INDEX(Ingredients!$E$1:$E$238,(MATCH(InterventionCosts!B1378,Ingredients!A$1:A$238,0))))</f>
        <v>2024</v>
      </c>
      <c r="H1378" t="str">
        <f>INDEX(Ingredients!$F$1:$F$318,(MATCH(InterventionCosts!B1378,Ingredients!A$1:A$318,0)))</f>
        <v>https://www.treasury.gov.za/divisions/ocpo/ostb/contracts/RT284-2023.zip</v>
      </c>
      <c r="I1378">
        <f>1/100</f>
        <v>0.01</v>
      </c>
      <c r="J1378" t="s">
        <v>1476</v>
      </c>
      <c r="K1378" s="85">
        <f>I1378*E1378</f>
        <v>0.46</v>
      </c>
    </row>
    <row r="1379" spans="1:12">
      <c r="A1379" t="s">
        <v>1372</v>
      </c>
      <c r="B1379" s="137" t="s">
        <v>31</v>
      </c>
      <c r="C1379" t="s">
        <v>389</v>
      </c>
      <c r="D1379" s="5" t="s">
        <v>21</v>
      </c>
      <c r="E1379" s="70">
        <f>IF(B1379="","",INDEX(Ingredients!$I$1:$I$5013,(MATCH(InterventionCosts!B1379,Ingredients!$A$1:$A$5013,0))))</f>
        <v>31.4</v>
      </c>
      <c r="F1379" s="5" t="str">
        <f>INDEX(Ingredients!J$1:J$265,(MATCH(InterventionCosts!B1379,Ingredients!A$1:A$265,0)))</f>
        <v>per 100 swabs</v>
      </c>
      <c r="G1379">
        <f>IF(B1379="","",INDEX(Ingredients!$E$1:$E$238,(MATCH(InterventionCosts!B1379,Ingredients!A$1:A$238,0))))</f>
        <v>2024</v>
      </c>
      <c r="H1379" t="str">
        <f>INDEX(Ingredients!$F$1:$F$318,(MATCH(InterventionCosts!B1379,Ingredients!A$1:A$318,0)))</f>
        <v xml:space="preserve">http://www.treasury.gov.za/divisions/ocpo/ostb/contracts/RT42-2022zip </v>
      </c>
      <c r="I1379">
        <f>1/100</f>
        <v>0.01</v>
      </c>
      <c r="J1379" t="s">
        <v>1485</v>
      </c>
      <c r="K1379" s="85">
        <f>I1379*E1379</f>
        <v>0.314</v>
      </c>
    </row>
    <row r="1380" spans="1:12">
      <c r="A1380" t="s">
        <v>1372</v>
      </c>
      <c r="B1380" s="136" t="s">
        <v>391</v>
      </c>
      <c r="L1380"/>
    </row>
    <row r="1381" spans="1:12">
      <c r="A1381" t="s">
        <v>1372</v>
      </c>
      <c r="B1381" s="137" t="s">
        <v>79</v>
      </c>
      <c r="C1381" t="s">
        <v>389</v>
      </c>
      <c r="D1381" s="5" t="s">
        <v>21</v>
      </c>
      <c r="E1381" s="70">
        <f>IF(B1381="","",INDEX(Ingredients!$I$1:$I$5013,(MATCH(InterventionCosts!B1381,Ingredients!$A$1:$A$5013,0))))</f>
        <v>9.3000000000000007</v>
      </c>
      <c r="F1381" s="5" t="str">
        <f>INDEX(Ingredients!J$1:J$265,(MATCH(InterventionCosts!B1381,Ingredients!A$1:A$265,0)))</f>
        <v>per test</v>
      </c>
      <c r="G1381">
        <f>IF(B1381="","",INDEX(Ingredients!$E$1:$E$238,(MATCH(InterventionCosts!B1381,Ingredients!A$1:A$238,0))))</f>
        <v>2024</v>
      </c>
      <c r="H1381" t="str">
        <f>INDEX(Ingredients!$F$1:$F$318,(MATCH(InterventionCosts!B1381,Ingredients!A$1:A$318,0)))</f>
        <v>https://www.treasury.gov.za/divisions/ocpo/ostb/contracts/RT41-2020.zip</v>
      </c>
      <c r="I1381">
        <v>1</v>
      </c>
      <c r="J1381" t="s">
        <v>1486</v>
      </c>
      <c r="K1381" s="85">
        <f>I1381*E1381</f>
        <v>9.3000000000000007</v>
      </c>
      <c r="L1381"/>
    </row>
    <row r="1382" spans="1:12">
      <c r="A1382" t="s">
        <v>1372</v>
      </c>
      <c r="B1382" s="137" t="s">
        <v>54</v>
      </c>
      <c r="C1382" t="s">
        <v>389</v>
      </c>
      <c r="D1382" t="s">
        <v>48</v>
      </c>
      <c r="E1382" s="70">
        <f>IF(B1382="","",INDEX(Ingredients!$I$1:$I$5013,(MATCH(InterventionCosts!B1382,Ingredients!$A$1:$A$5013,0))))</f>
        <v>1.2444366591928251</v>
      </c>
      <c r="F1382" s="5" t="str">
        <f>INDEX(Ingredients!J$1:J$265,(MATCH(InterventionCosts!B1382,Ingredients!A$1:A$265,0)))</f>
        <v>per minute</v>
      </c>
      <c r="G1382">
        <f>IF(B1382="","",INDEX(Ingredients!$E$1:$E$238,(MATCH(InterventionCosts!B1382,Ingredients!A$1:A$238,0))))</f>
        <v>2024</v>
      </c>
      <c r="H1382" t="str">
        <f>INDEX(Ingredients!$F$1:$F$318,(MATCH(InterventionCosts!B1382,Ingredients!A$1:A$318,0)))</f>
        <v xml:space="preserve">April 2024 Salary scale </v>
      </c>
      <c r="I1382">
        <v>15</v>
      </c>
      <c r="J1382" s="133" t="s">
        <v>395</v>
      </c>
      <c r="K1382" s="85">
        <f>I1382*E1382</f>
        <v>18.666549887892376</v>
      </c>
      <c r="L1382" s="133"/>
    </row>
    <row r="1383" spans="1:12">
      <c r="A1383" t="s">
        <v>1372</v>
      </c>
      <c r="B1383" s="137" t="s">
        <v>1489</v>
      </c>
      <c r="C1383" t="s">
        <v>389</v>
      </c>
      <c r="D1383" s="5" t="s">
        <v>21</v>
      </c>
      <c r="E1383" s="70">
        <f>IF(B1383="","",INDEX(Ingredients!$I$1:$I$5013,(MATCH(InterventionCosts!B1383,Ingredients!$A$1:$A$5013,0))))</f>
        <v>53.08</v>
      </c>
      <c r="F1383" s="5" t="str">
        <f>INDEX(Ingredients!J$1:J$265,(MATCH(InterventionCosts!B1383,Ingredients!A$1:A$265,0)))</f>
        <v>per pack 100, 50 pairs</v>
      </c>
      <c r="G1383">
        <f>IF(B1383="","",INDEX(Ingredients!$E$1:$E$238,(MATCH(InterventionCosts!B1383,Ingredients!A$1:A$238,0))))</f>
        <v>2024</v>
      </c>
      <c r="H1383" t="str">
        <f>INDEX(Ingredients!$F$1:$F$318,(MATCH(InterventionCosts!B1383,Ingredients!A$1:A$318,0)))</f>
        <v>https://www.treasury.gov.za/divisions/ocpo/ostb/contracts/RT76-2023%20CPA%20Amendment%204-%20Effective%2001%20May%202024.pdf</v>
      </c>
      <c r="I1383">
        <f>2/100</f>
        <v>0.02</v>
      </c>
      <c r="J1383" t="s">
        <v>1487</v>
      </c>
      <c r="K1383" s="85">
        <f>I1383*E1383</f>
        <v>1.0615999999999999</v>
      </c>
      <c r="L1383"/>
    </row>
    <row r="1384" spans="1:12">
      <c r="A1384" t="s">
        <v>1372</v>
      </c>
      <c r="B1384" s="137" t="s">
        <v>31</v>
      </c>
      <c r="C1384" t="s">
        <v>389</v>
      </c>
      <c r="D1384" s="5" t="s">
        <v>21</v>
      </c>
      <c r="E1384" s="70">
        <f>IF(B1384="","",INDEX(Ingredients!$I$1:$I$5013,(MATCH(InterventionCosts!B1384,Ingredients!$A$1:$A$5013,0))))</f>
        <v>31.4</v>
      </c>
      <c r="F1384" s="5" t="str">
        <f>INDEX(Ingredients!J$1:J$265,(MATCH(InterventionCosts!B1384,Ingredients!A$1:A$265,0)))</f>
        <v>per 100 swabs</v>
      </c>
      <c r="G1384">
        <f>IF(B1384="","",INDEX(Ingredients!$E$1:$E$238,(MATCH(InterventionCosts!B1384,Ingredients!A$1:A$238,0))))</f>
        <v>2024</v>
      </c>
      <c r="H1384" t="str">
        <f>INDEX(Ingredients!$F$1:$F$318,(MATCH(InterventionCosts!B1384,Ingredients!A$1:A$318,0)))</f>
        <v xml:space="preserve">http://www.treasury.gov.za/divisions/ocpo/ostb/contracts/RT42-2022zip </v>
      </c>
      <c r="I1384">
        <f>1/100</f>
        <v>0.01</v>
      </c>
      <c r="J1384" t="s">
        <v>1485</v>
      </c>
      <c r="K1384" s="85">
        <f>I1384*E1384</f>
        <v>0.314</v>
      </c>
      <c r="L1384"/>
    </row>
    <row r="1385" spans="1:12">
      <c r="A1385" t="s">
        <v>1372</v>
      </c>
      <c r="B1385" s="136" t="s">
        <v>392</v>
      </c>
      <c r="E1385" s="70"/>
      <c r="F1385" s="3" t="s">
        <v>413</v>
      </c>
      <c r="I1385" s="3">
        <v>1.0399680955290223E-2</v>
      </c>
      <c r="J1385" s="3" t="s">
        <v>443</v>
      </c>
      <c r="L1385" s="3"/>
    </row>
    <row r="1386" spans="1:12">
      <c r="A1386" t="s">
        <v>1372</v>
      </c>
      <c r="B1386" s="137" t="s">
        <v>79</v>
      </c>
      <c r="C1386" t="s">
        <v>389</v>
      </c>
      <c r="D1386" s="5" t="s">
        <v>21</v>
      </c>
      <c r="E1386" s="70">
        <f>IF(B1386="","",INDEX(Ingredients!$I$1:$I$5013,(MATCH(InterventionCosts!B1386,Ingredients!$A$1:$A$5013,0))))</f>
        <v>9.3000000000000007</v>
      </c>
      <c r="F1386" s="5" t="str">
        <f>INDEX(Ingredients!J$1:J$265,(MATCH(InterventionCosts!B1386,Ingredients!A$1:A$265,0)))</f>
        <v>per test</v>
      </c>
      <c r="G1386">
        <f>IF(B1386="","",INDEX(Ingredients!$E$1:$E$238,(MATCH(InterventionCosts!B1386,Ingredients!A$1:A$238,0))))</f>
        <v>2024</v>
      </c>
      <c r="H1386" t="str">
        <f>INDEX(Ingredients!$F$1:$F$318,(MATCH(InterventionCosts!B1386,Ingredients!A$1:A$318,0)))</f>
        <v>https://www.treasury.gov.za/divisions/ocpo/ostb/contracts/RT41-2020.zip</v>
      </c>
      <c r="I1386">
        <f>I1385</f>
        <v>1.0399680955290223E-2</v>
      </c>
      <c r="J1386" t="s">
        <v>413</v>
      </c>
      <c r="K1386" s="85">
        <f>I1386*E1386</f>
        <v>9.6717032884199083E-2</v>
      </c>
      <c r="L1386"/>
    </row>
    <row r="1387" spans="1:12">
      <c r="A1387" t="s">
        <v>1372</v>
      </c>
      <c r="B1387" s="137" t="s">
        <v>54</v>
      </c>
      <c r="C1387" t="s">
        <v>389</v>
      </c>
      <c r="D1387" t="s">
        <v>48</v>
      </c>
      <c r="E1387" s="70">
        <f>IF(B1387="","",INDEX(Ingredients!$I$1:$I$5013,(MATCH(InterventionCosts!B1387,Ingredients!$A$1:$A$5013,0))))</f>
        <v>1.2444366591928251</v>
      </c>
      <c r="F1387" s="5" t="str">
        <f>INDEX(Ingredients!J$1:J$265,(MATCH(InterventionCosts!B1387,Ingredients!A$1:A$265,0)))</f>
        <v>per minute</v>
      </c>
      <c r="G1387">
        <f>IF(B1387="","",INDEX(Ingredients!$E$1:$E$238,(MATCH(InterventionCosts!B1387,Ingredients!A$1:A$238,0))))</f>
        <v>2024</v>
      </c>
      <c r="H1387" t="str">
        <f>INDEX(Ingredients!$F$1:$F$318,(MATCH(InterventionCosts!B1387,Ingredients!A$1:A$318,0)))</f>
        <v xml:space="preserve">April 2024 Salary scale </v>
      </c>
      <c r="I1387">
        <f>(15+1/(1-I1385))*I1385</f>
        <v>0.1665041852291701</v>
      </c>
      <c r="J1387" s="133" t="s">
        <v>414</v>
      </c>
      <c r="K1387" s="85">
        <f>I1387*E1387</f>
        <v>0.20720391200821178</v>
      </c>
      <c r="L1387" s="133"/>
    </row>
    <row r="1388" spans="1:12">
      <c r="A1388" t="s">
        <v>1372</v>
      </c>
      <c r="B1388" s="137" t="s">
        <v>1489</v>
      </c>
      <c r="C1388" t="s">
        <v>389</v>
      </c>
      <c r="D1388" s="5" t="s">
        <v>21</v>
      </c>
      <c r="E1388" s="70">
        <f>IF(B1388="","",INDEX(Ingredients!$I$1:$I$5013,(MATCH(InterventionCosts!B1388,Ingredients!$A$1:$A$5013,0))))</f>
        <v>53.08</v>
      </c>
      <c r="F1388" s="5" t="str">
        <f>INDEX(Ingredients!J$1:J$265,(MATCH(InterventionCosts!B1388,Ingredients!A$1:A$265,0)))</f>
        <v>per pack 100, 50 pairs</v>
      </c>
      <c r="G1388">
        <f>IF(B1388="","",INDEX(Ingredients!$E$1:$E$238,(MATCH(InterventionCosts!B1388,Ingredients!A$1:A$238,0))))</f>
        <v>2024</v>
      </c>
      <c r="H1388" t="str">
        <f>INDEX(Ingredients!$F$1:$F$318,(MATCH(InterventionCosts!B1388,Ingredients!A$1:A$318,0)))</f>
        <v>https://www.treasury.gov.za/divisions/ocpo/ostb/contracts/RT76-2023%20CPA%20Amendment%204-%20Effective%2001%20May%202024.pdf</v>
      </c>
      <c r="I1388">
        <f>2/100*I1385</f>
        <v>2.0799361910580448E-4</v>
      </c>
      <c r="J1388" t="s">
        <v>1487</v>
      </c>
      <c r="K1388" s="85">
        <f>I1388*E1388</f>
        <v>1.1040301302136101E-2</v>
      </c>
      <c r="L1388"/>
    </row>
    <row r="1389" spans="1:12">
      <c r="A1389" t="s">
        <v>1372</v>
      </c>
      <c r="B1389" s="137" t="s">
        <v>31</v>
      </c>
      <c r="C1389" t="s">
        <v>389</v>
      </c>
      <c r="D1389" s="5" t="s">
        <v>21</v>
      </c>
      <c r="E1389" s="70">
        <f>IF(B1389="","",INDEX(Ingredients!$I$1:$I$5013,(MATCH(InterventionCosts!B1389,Ingredients!$A$1:$A$5013,0))))</f>
        <v>31.4</v>
      </c>
      <c r="F1389" s="5" t="str">
        <f>INDEX(Ingredients!J$1:J$265,(MATCH(InterventionCosts!B1389,Ingredients!A$1:A$265,0)))</f>
        <v>per 100 swabs</v>
      </c>
      <c r="G1389">
        <f>IF(B1389="","",INDEX(Ingredients!$E$1:$E$238,(MATCH(InterventionCosts!B1389,Ingredients!A$1:A$238,0))))</f>
        <v>2024</v>
      </c>
      <c r="H1389" t="str">
        <f>INDEX(Ingredients!$F$1:$F$318,(MATCH(InterventionCosts!B1389,Ingredients!A$1:A$318,0)))</f>
        <v xml:space="preserve">http://www.treasury.gov.za/divisions/ocpo/ostb/contracts/RT42-2022zip </v>
      </c>
      <c r="I1389">
        <f>1/100*I1385</f>
        <v>1.0399680955290224E-4</v>
      </c>
      <c r="J1389" t="s">
        <v>1486</v>
      </c>
      <c r="K1389" s="135">
        <f>I1389*E1389</f>
        <v>3.2654998199611301E-3</v>
      </c>
      <c r="L1389"/>
    </row>
    <row r="1390" spans="1:12">
      <c r="A1390" t="s">
        <v>1372</v>
      </c>
      <c r="B1390" s="136" t="s">
        <v>393</v>
      </c>
      <c r="F1390" s="5"/>
      <c r="L1390"/>
    </row>
    <row r="1391" spans="1:12">
      <c r="A1391" t="s">
        <v>1372</v>
      </c>
      <c r="B1391" s="137" t="s">
        <v>77</v>
      </c>
      <c r="C1391" t="s">
        <v>389</v>
      </c>
      <c r="D1391" t="s">
        <v>75</v>
      </c>
      <c r="E1391" s="70">
        <f>IF(B1391="","",INDEX(Ingredients!$I$1:$I$5013,(MATCH(InterventionCosts!B1391,Ingredients!$A$1:$A$5013,0))))</f>
        <v>71.889951748999991</v>
      </c>
      <c r="F1391" s="5" t="str">
        <f>INDEX(Ingredients!J$1:J$265,(MATCH(InterventionCosts!B1391,Ingredients!A$1:A$265,0)))</f>
        <v>per test</v>
      </c>
      <c r="G1391">
        <f>IF(B1391="","",INDEX(Ingredients!$E$1:$E$238,(MATCH(InterventionCosts!B1391,Ingredients!A$1:A$238,0))))</f>
        <v>2021</v>
      </c>
      <c r="H1391" t="str">
        <f>INDEX(Ingredients!$F$1:$F$318,(MATCH(InterventionCosts!B1391,Ingredients!A$1:A$318,0)))</f>
        <v>NHLS 2021 price-list</v>
      </c>
      <c r="I1391">
        <v>0.02</v>
      </c>
      <c r="J1391" s="85" t="s">
        <v>397</v>
      </c>
      <c r="K1391" s="85">
        <f>I1391*E1391</f>
        <v>1.4377990349799998</v>
      </c>
    </row>
    <row r="1392" spans="1:12">
      <c r="A1392" t="s">
        <v>1372</v>
      </c>
      <c r="B1392" s="137" t="s">
        <v>54</v>
      </c>
      <c r="C1392" t="s">
        <v>389</v>
      </c>
      <c r="D1392" t="s">
        <v>48</v>
      </c>
      <c r="E1392" s="70">
        <f>IF(B1392="","",INDEX(Ingredients!$I$1:$I$5013,(MATCH(InterventionCosts!B1392,Ingredients!$A$1:$A$5013,0))))</f>
        <v>1.2444366591928251</v>
      </c>
      <c r="F1392" s="5" t="str">
        <f>INDEX(Ingredients!J$1:J$265,(MATCH(InterventionCosts!B1392,Ingredients!A$1:A$265,0)))</f>
        <v>per minute</v>
      </c>
      <c r="G1392">
        <f>IF(B1392="","",INDEX(Ingredients!$E$1:$E$238,(MATCH(InterventionCosts!B1392,Ingredients!A$1:A$238,0))))</f>
        <v>2024</v>
      </c>
      <c r="H1392" t="str">
        <f>INDEX(Ingredients!$F$1:$F$318,(MATCH(InterventionCosts!B1392,Ingredients!A$1:A$318,0)))</f>
        <v xml:space="preserve">April 2024 Salary scale </v>
      </c>
      <c r="I1392">
        <f>15*I1391</f>
        <v>0.3</v>
      </c>
      <c r="J1392" s="133" t="s">
        <v>414</v>
      </c>
      <c r="K1392" s="85">
        <f>I1392*E1392</f>
        <v>0.3733309977578475</v>
      </c>
      <c r="L1392" s="133"/>
    </row>
    <row r="1393" spans="1:12">
      <c r="A1393" t="s">
        <v>1372</v>
      </c>
      <c r="B1393" s="137" t="s">
        <v>1489</v>
      </c>
      <c r="C1393" t="s">
        <v>389</v>
      </c>
      <c r="D1393" s="5" t="s">
        <v>21</v>
      </c>
      <c r="E1393" s="70">
        <f>IF(B1393="","",INDEX(Ingredients!$I$1:$I$5013,(MATCH(InterventionCosts!B1393,Ingredients!$A$1:$A$5013,0))))</f>
        <v>53.08</v>
      </c>
      <c r="F1393" s="5" t="str">
        <f>INDEX(Ingredients!J$1:J$265,(MATCH(InterventionCosts!B1393,Ingredients!A$1:A$265,0)))</f>
        <v>per pack 100, 50 pairs</v>
      </c>
      <c r="G1393">
        <f>IF(B1393="","",INDEX(Ingredients!$E$1:$E$238,(MATCH(InterventionCosts!B1393,Ingredients!A$1:A$238,0))))</f>
        <v>2024</v>
      </c>
      <c r="H1393" t="str">
        <f>INDEX(Ingredients!$F$1:$F$318,(MATCH(InterventionCosts!B1393,Ingredients!A$1:A$318,0)))</f>
        <v>https://www.treasury.gov.za/divisions/ocpo/ostb/contracts/RT76-2023%20CPA%20Amendment%204-%20Effective%2001%20May%202024.pdf</v>
      </c>
      <c r="I1393">
        <f>2/100*I1391</f>
        <v>4.0000000000000002E-4</v>
      </c>
      <c r="J1393" t="s">
        <v>1487</v>
      </c>
      <c r="K1393" s="85">
        <f>I1393*E1393</f>
        <v>2.1232000000000001E-2</v>
      </c>
    </row>
    <row r="1394" spans="1:12">
      <c r="A1394" t="s">
        <v>1372</v>
      </c>
      <c r="B1394" s="137" t="s">
        <v>45</v>
      </c>
      <c r="C1394" t="s">
        <v>389</v>
      </c>
      <c r="D1394" s="5" t="s">
        <v>21</v>
      </c>
      <c r="E1394" s="70">
        <f>IF(B1394="","",INDEX(Ingredients!$I$1:$I$5013,(MATCH(InterventionCosts!B1394,Ingredients!$A$1:$A$5013,0))))</f>
        <v>46</v>
      </c>
      <c r="F1394" s="5" t="str">
        <f>INDEX(Ingredients!J$1:J$265,(MATCH(InterventionCosts!B1394,Ingredients!A$1:A$265,0)))</f>
        <v>per pack 100</v>
      </c>
      <c r="G1394">
        <f>IF(B1394="","",INDEX(Ingredients!$E$1:$E$238,(MATCH(InterventionCosts!B1394,Ingredients!A$1:A$238,0))))</f>
        <v>2024</v>
      </c>
      <c r="H1394" t="str">
        <f>INDEX(Ingredients!$F$1:$F$318,(MATCH(InterventionCosts!B1394,Ingredients!A$1:A$318,0)))</f>
        <v>https://www.treasury.gov.za/divisions/ocpo/ostb/contracts/RT284-2023.zip</v>
      </c>
      <c r="I1394">
        <f>1/100*I1391</f>
        <v>2.0000000000000001E-4</v>
      </c>
      <c r="J1394" s="85" t="s">
        <v>397</v>
      </c>
      <c r="K1394" s="135">
        <f>I1394*E1394</f>
        <v>9.1999999999999998E-3</v>
      </c>
    </row>
    <row r="1395" spans="1:12">
      <c r="A1395" t="s">
        <v>1372</v>
      </c>
      <c r="B1395" s="137" t="s">
        <v>31</v>
      </c>
      <c r="C1395" t="s">
        <v>389</v>
      </c>
      <c r="D1395" s="5" t="s">
        <v>21</v>
      </c>
      <c r="E1395" s="70">
        <f>IF(B1395="","",INDEX(Ingredients!$I$1:$I$5013,(MATCH(InterventionCosts!B1395,Ingredients!$A$1:$A$5013,0))))</f>
        <v>31.4</v>
      </c>
      <c r="F1395" s="5" t="str">
        <f>INDEX(Ingredients!J$1:J$265,(MATCH(InterventionCosts!B1395,Ingredients!A$1:A$265,0)))</f>
        <v>per 100 swabs</v>
      </c>
      <c r="G1395">
        <f>IF(B1395="","",INDEX(Ingredients!$E$1:$E$238,(MATCH(InterventionCosts!B1395,Ingredients!A$1:A$238,0))))</f>
        <v>2024</v>
      </c>
      <c r="H1395" t="str">
        <f>INDEX(Ingredients!$F$1:$F$318,(MATCH(InterventionCosts!B1395,Ingredients!A$1:A$318,0)))</f>
        <v xml:space="preserve">http://www.treasury.gov.za/divisions/ocpo/ostb/contracts/RT42-2022zip </v>
      </c>
      <c r="I1395">
        <f>1/100*I1391</f>
        <v>2.0000000000000001E-4</v>
      </c>
      <c r="J1395" s="85" t="s">
        <v>397</v>
      </c>
      <c r="K1395" s="135">
        <f>I1395*E1395</f>
        <v>6.28E-3</v>
      </c>
    </row>
    <row r="1396" spans="1:12">
      <c r="A1396" t="s">
        <v>1372</v>
      </c>
      <c r="B1396" s="136" t="s">
        <v>405</v>
      </c>
      <c r="L1396"/>
    </row>
    <row r="1397" spans="1:12">
      <c r="A1397" t="s">
        <v>1372</v>
      </c>
      <c r="B1397" s="137" t="s">
        <v>54</v>
      </c>
      <c r="C1397" t="s">
        <v>389</v>
      </c>
      <c r="D1397" t="s">
        <v>48</v>
      </c>
      <c r="E1397" s="70">
        <f>IF(B1397="","",INDEX(Ingredients!$I$1:$I$5013,(MATCH(InterventionCosts!B1397,Ingredients!$A$1:$A$5013,0))))</f>
        <v>1.2444366591928251</v>
      </c>
      <c r="F1397" s="5" t="str">
        <f>INDEX(Ingredients!J$1:J$265,(MATCH(InterventionCosts!B1397,Ingredients!A$1:A$265,0)))</f>
        <v>per minute</v>
      </c>
      <c r="G1397">
        <f>IF(B1397="","",INDEX(Ingredients!$E$1:$E$238,(MATCH(InterventionCosts!B1397,Ingredients!A$1:A$238,0))))</f>
        <v>2024</v>
      </c>
      <c r="H1397" t="str">
        <f>INDEX(Ingredients!$F$1:$F$318,(MATCH(InterventionCosts!B1397,Ingredients!A$1:A$318,0)))</f>
        <v xml:space="preserve">April 2024 Salary scale </v>
      </c>
      <c r="I1397">
        <v>5</v>
      </c>
      <c r="J1397" t="s">
        <v>1476</v>
      </c>
      <c r="K1397" s="85">
        <f>I1397*E1397</f>
        <v>6.2221832959641254</v>
      </c>
      <c r="L1397" s="133"/>
    </row>
    <row r="1398" spans="1:12">
      <c r="A1398" t="s">
        <v>1372</v>
      </c>
      <c r="B1398" s="140" t="s">
        <v>412</v>
      </c>
      <c r="C1398" s="141"/>
      <c r="D1398" s="141"/>
      <c r="E1398" s="157" t="s">
        <v>1129</v>
      </c>
      <c r="F1398" s="439">
        <f>'Summary of unit costs'!$B$40</f>
        <v>12</v>
      </c>
      <c r="G1398" s="141"/>
      <c r="H1398" s="141"/>
      <c r="I1398" s="157">
        <f>FLOOR((F1398-1)/2,1)</f>
        <v>5</v>
      </c>
      <c r="J1398" s="157" t="s">
        <v>1573</v>
      </c>
      <c r="K1398" s="143"/>
      <c r="L1398"/>
    </row>
    <row r="1399" spans="1:12">
      <c r="A1399" t="s">
        <v>1372</v>
      </c>
      <c r="B1399" s="136" t="s">
        <v>411</v>
      </c>
      <c r="L1399" s="145"/>
    </row>
    <row r="1400" spans="1:12">
      <c r="A1400" t="s">
        <v>1372</v>
      </c>
      <c r="B1400" s="137" t="s">
        <v>449</v>
      </c>
      <c r="C1400" t="s">
        <v>389</v>
      </c>
      <c r="D1400" t="s">
        <v>70</v>
      </c>
      <c r="E1400" s="70">
        <f>IF(B1400="","",INDEX(Ingredients!$I$1:$I$5013,(MATCH(InterventionCosts!B1400,Ingredients!$A$1:$A$5013,0))))</f>
        <v>535.00106288275867</v>
      </c>
      <c r="F1400" s="5" t="str">
        <f>INDEX(Ingredients!J$1:J$265,(MATCH(InterventionCosts!B1400,Ingredients!A$1:A$265,0)))</f>
        <v>per injection</v>
      </c>
      <c r="G1400">
        <f>IF(B1400="","",INDEX(Ingredients!$E$1:$E$238,(MATCH(InterventionCosts!B1400,Ingredients!A$1:A$238,0))))</f>
        <v>2024</v>
      </c>
      <c r="H1400" t="str">
        <f>INDEX(Ingredients!$F$1:$F$318,(MATCH(InterventionCosts!B1400,Ingredients!A$1:A$318,0)))</f>
        <v>24.50 GBP (email from Hasina, official letter from GSK), 1 GBP = 1.22 USD (on 02 Nov 2023)</v>
      </c>
      <c r="I1400">
        <f>I1398*1</f>
        <v>5</v>
      </c>
      <c r="J1400" t="s">
        <v>1486</v>
      </c>
      <c r="K1400" s="85">
        <f>I1400*E1400</f>
        <v>2675.0053144137933</v>
      </c>
      <c r="L1400"/>
    </row>
    <row r="1401" spans="1:12">
      <c r="A1401" t="s">
        <v>1372</v>
      </c>
      <c r="B1401" s="137" t="s">
        <v>354</v>
      </c>
      <c r="C1401" t="s">
        <v>389</v>
      </c>
      <c r="D1401" t="s">
        <v>48</v>
      </c>
      <c r="E1401" s="70">
        <f>IF(B1401="","",INDEX(Ingredients!$I$1:$I$5013,(MATCH(InterventionCosts!B1401,Ingredients!$A$1:$A$5013,0))))</f>
        <v>4.8996605630293981</v>
      </c>
      <c r="F1401" s="5" t="str">
        <f>INDEX(Ingredients!J$1:J$265,(MATCH(InterventionCosts!B1401,Ingredients!A$1:A$265,0)))</f>
        <v>per minute</v>
      </c>
      <c r="G1401">
        <f>IF(B1401="","",INDEX(Ingredients!$E$1:$E$238,(MATCH(InterventionCosts!B1401,Ingredients!A$1:A$238,0))))</f>
        <v>2024</v>
      </c>
      <c r="H1401" t="str">
        <f>INDEX(Ingredients!$F$1:$F$318,(MATCH(InterventionCosts!B1401,Ingredients!A$1:A$318,0)))</f>
        <v xml:space="preserve">April 2024 Salary scale </v>
      </c>
      <c r="I1401">
        <f>I1398*5</f>
        <v>25</v>
      </c>
      <c r="J1401" t="s">
        <v>1476</v>
      </c>
      <c r="K1401" s="85">
        <f>I1401*E1401</f>
        <v>122.49151407573495</v>
      </c>
      <c r="L1401"/>
    </row>
    <row r="1402" spans="1:12">
      <c r="A1402" t="s">
        <v>1372</v>
      </c>
      <c r="B1402" s="137" t="s">
        <v>54</v>
      </c>
      <c r="C1402" t="s">
        <v>389</v>
      </c>
      <c r="D1402" t="s">
        <v>48</v>
      </c>
      <c r="E1402" s="70">
        <f>IF(B1402="","",INDEX(Ingredients!$I$1:$I$5013,(MATCH(InterventionCosts!B1402,Ingredients!$A$1:$A$5013,0))))</f>
        <v>1.2444366591928251</v>
      </c>
      <c r="F1402" s="5" t="str">
        <f>INDEX(Ingredients!J$1:J$265,(MATCH(InterventionCosts!B1402,Ingredients!A$1:A$265,0)))</f>
        <v>per minute</v>
      </c>
      <c r="G1402">
        <f>IF(B1402="","",INDEX(Ingredients!$E$1:$E$238,(MATCH(InterventionCosts!B1402,Ingredients!A$1:A$238,0))))</f>
        <v>2024</v>
      </c>
      <c r="H1402" t="str">
        <f>INDEX(Ingredients!$F$1:$F$318,(MATCH(InterventionCosts!B1402,Ingredients!A$1:A$318,0)))</f>
        <v xml:space="preserve">April 2024 Salary scale </v>
      </c>
      <c r="I1402">
        <f>I1398*10</f>
        <v>50</v>
      </c>
      <c r="J1402" t="s">
        <v>1476</v>
      </c>
      <c r="K1402" s="85">
        <f>I1402*E1402</f>
        <v>62.221832959641254</v>
      </c>
      <c r="L1402"/>
    </row>
    <row r="1403" spans="1:12">
      <c r="A1403" t="s">
        <v>1372</v>
      </c>
      <c r="B1403" s="137" t="s">
        <v>45</v>
      </c>
      <c r="C1403" t="s">
        <v>389</v>
      </c>
      <c r="D1403" s="5" t="s">
        <v>21</v>
      </c>
      <c r="E1403" s="70">
        <f>IF(B1403="","",INDEX(Ingredients!$I$1:$I$5013,(MATCH(InterventionCosts!B1403,Ingredients!$A$1:$A$5013,0))))</f>
        <v>46</v>
      </c>
      <c r="F1403" s="5" t="str">
        <f>INDEX(Ingredients!J$1:J$265,(MATCH(InterventionCosts!B1403,Ingredients!A$1:A$265,0)))</f>
        <v>per pack 100</v>
      </c>
      <c r="G1403">
        <f>IF(B1403="","",INDEX(Ingredients!$E$1:$E$238,(MATCH(InterventionCosts!B1403,Ingredients!A$1:A$238,0))))</f>
        <v>2024</v>
      </c>
      <c r="H1403" t="str">
        <f>INDEX(Ingredients!$F$1:$F$318,(MATCH(InterventionCosts!B1403,Ingredients!A$1:A$318,0)))</f>
        <v>https://www.treasury.gov.za/divisions/ocpo/ostb/contracts/RT284-2023.zip</v>
      </c>
      <c r="I1403">
        <f>I1398*1/100</f>
        <v>0.05</v>
      </c>
      <c r="J1403" t="s">
        <v>1476</v>
      </c>
      <c r="K1403" s="85">
        <f>I1403*E1403</f>
        <v>2.3000000000000003</v>
      </c>
      <c r="L1403"/>
    </row>
    <row r="1404" spans="1:12">
      <c r="A1404" t="s">
        <v>1372</v>
      </c>
      <c r="B1404" s="137" t="s">
        <v>31</v>
      </c>
      <c r="C1404" t="s">
        <v>389</v>
      </c>
      <c r="D1404" s="5" t="s">
        <v>21</v>
      </c>
      <c r="E1404" s="70">
        <f>IF(B1404="","",INDEX(Ingredients!$I$1:$I$5013,(MATCH(InterventionCosts!B1404,Ingredients!$A$1:$A$5013,0))))</f>
        <v>31.4</v>
      </c>
      <c r="F1404" s="5" t="str">
        <f>INDEX(Ingredients!J$1:J$265,(MATCH(InterventionCosts!B1404,Ingredients!A$1:A$265,0)))</f>
        <v>per 100 swabs</v>
      </c>
      <c r="G1404">
        <f>IF(B1404="","",INDEX(Ingredients!$E$1:$E$238,(MATCH(InterventionCosts!B1404,Ingredients!A$1:A$238,0))))</f>
        <v>2024</v>
      </c>
      <c r="H1404" t="str">
        <f>INDEX(Ingredients!$F$1:$F$318,(MATCH(InterventionCosts!B1404,Ingredients!A$1:A$318,0)))</f>
        <v xml:space="preserve">http://www.treasury.gov.za/divisions/ocpo/ostb/contracts/RT42-2022zip </v>
      </c>
      <c r="I1404">
        <f>I1398*1/100</f>
        <v>0.05</v>
      </c>
      <c r="J1404" t="s">
        <v>1476</v>
      </c>
      <c r="K1404" s="85">
        <f>I1404*E1404</f>
        <v>1.57</v>
      </c>
      <c r="L1404"/>
    </row>
    <row r="1405" spans="1:12">
      <c r="A1405" t="s">
        <v>1372</v>
      </c>
      <c r="B1405" s="136" t="s">
        <v>405</v>
      </c>
      <c r="L1405"/>
    </row>
    <row r="1406" spans="1:12">
      <c r="A1406" t="s">
        <v>1372</v>
      </c>
      <c r="B1406" s="137" t="s">
        <v>54</v>
      </c>
      <c r="C1406" t="s">
        <v>389</v>
      </c>
      <c r="D1406" t="s">
        <v>48</v>
      </c>
      <c r="E1406" s="70">
        <f>IF(B1406="","",INDEX(Ingredients!$I$1:$I$5013,(MATCH(InterventionCosts!B1406,Ingredients!$A$1:$A$5013,0))))</f>
        <v>1.2444366591928251</v>
      </c>
      <c r="F1406" s="5" t="str">
        <f>INDEX(Ingredients!J$1:J$265,(MATCH(InterventionCosts!B1406,Ingredients!A$1:A$265,0)))</f>
        <v>per minute</v>
      </c>
      <c r="G1406">
        <f>IF(B1406="","",INDEX(Ingredients!$E$1:$E$238,(MATCH(InterventionCosts!B1406,Ingredients!A$1:A$238,0))))</f>
        <v>2024</v>
      </c>
      <c r="H1406" t="str">
        <f>INDEX(Ingredients!$F$1:$F$318,(MATCH(InterventionCosts!B1406,Ingredients!A$1:A$318,0)))</f>
        <v xml:space="preserve">April 2024 Salary scale </v>
      </c>
      <c r="I1406">
        <f>I1398*5</f>
        <v>25</v>
      </c>
      <c r="J1406" s="133" t="s">
        <v>406</v>
      </c>
      <c r="K1406" s="85">
        <f>I1406*E1406</f>
        <v>31.110916479820627</v>
      </c>
      <c r="L1406" s="133"/>
    </row>
    <row r="1407" spans="1:12">
      <c r="A1407" t="s">
        <v>1372</v>
      </c>
      <c r="B1407" s="136" t="s">
        <v>391</v>
      </c>
      <c r="L1407"/>
    </row>
    <row r="1408" spans="1:12">
      <c r="A1408" t="s">
        <v>1372</v>
      </c>
      <c r="B1408" s="137" t="s">
        <v>79</v>
      </c>
      <c r="C1408" t="s">
        <v>389</v>
      </c>
      <c r="D1408" s="5" t="s">
        <v>21</v>
      </c>
      <c r="E1408" s="70">
        <f>IF(B1408="","",INDEX(Ingredients!$I$1:$I$5013,(MATCH(InterventionCosts!B1408,Ingredients!$A$1:$A$5013,0))))</f>
        <v>9.3000000000000007</v>
      </c>
      <c r="F1408" s="5" t="str">
        <f>INDEX(Ingredients!J$1:J$265,(MATCH(InterventionCosts!B1408,Ingredients!A$1:A$265,0)))</f>
        <v>per test</v>
      </c>
      <c r="G1408">
        <f>IF(B1408="","",INDEX(Ingredients!$E$1:$E$238,(MATCH(InterventionCosts!B1408,Ingredients!A$1:A$238,0))))</f>
        <v>2024</v>
      </c>
      <c r="H1408" t="str">
        <f>INDEX(Ingredients!$F$1:$F$318,(MATCH(InterventionCosts!B1408,Ingredients!A$1:A$318,0)))</f>
        <v>https://www.treasury.gov.za/divisions/ocpo/ostb/contracts/RT41-2020.zip</v>
      </c>
      <c r="I1408">
        <f>I1398*1</f>
        <v>5</v>
      </c>
      <c r="J1408" t="s">
        <v>1486</v>
      </c>
      <c r="K1408" s="85">
        <f>I1408*E1408</f>
        <v>46.5</v>
      </c>
      <c r="L1408"/>
    </row>
    <row r="1409" spans="1:12">
      <c r="A1409" t="s">
        <v>1372</v>
      </c>
      <c r="B1409" s="137" t="s">
        <v>54</v>
      </c>
      <c r="C1409" t="s">
        <v>389</v>
      </c>
      <c r="D1409" t="s">
        <v>48</v>
      </c>
      <c r="E1409" s="70">
        <f>IF(B1409="","",INDEX(Ingredients!$I$1:$I$5013,(MATCH(InterventionCosts!B1409,Ingredients!$A$1:$A$5013,0))))</f>
        <v>1.2444366591928251</v>
      </c>
      <c r="F1409" s="5" t="str">
        <f>INDEX(Ingredients!J$1:J$265,(MATCH(InterventionCosts!B1409,Ingredients!A$1:A$265,0)))</f>
        <v>per minute</v>
      </c>
      <c r="G1409">
        <f>IF(B1409="","",INDEX(Ingredients!$E$1:$E$238,(MATCH(InterventionCosts!B1409,Ingredients!A$1:A$238,0))))</f>
        <v>2024</v>
      </c>
      <c r="H1409" t="str">
        <f>INDEX(Ingredients!$F$1:$F$318,(MATCH(InterventionCosts!B1409,Ingredients!A$1:A$318,0)))</f>
        <v xml:space="preserve">April 2024 Salary scale </v>
      </c>
      <c r="I1409">
        <f>I1398*15</f>
        <v>75</v>
      </c>
      <c r="J1409" s="133" t="s">
        <v>395</v>
      </c>
      <c r="K1409" s="85">
        <f>I1409*E1409</f>
        <v>93.332749439461878</v>
      </c>
      <c r="L1409" s="133"/>
    </row>
    <row r="1410" spans="1:12">
      <c r="A1410" t="s">
        <v>1372</v>
      </c>
      <c r="B1410" s="137" t="s">
        <v>1489</v>
      </c>
      <c r="C1410" t="s">
        <v>389</v>
      </c>
      <c r="D1410" s="5" t="s">
        <v>21</v>
      </c>
      <c r="E1410" s="70">
        <f>IF(B1410="","",INDEX(Ingredients!$I$1:$I$5013,(MATCH(InterventionCosts!B1410,Ingredients!$A$1:$A$5013,0))))</f>
        <v>53.08</v>
      </c>
      <c r="F1410" s="5" t="str">
        <f>INDEX(Ingredients!J$1:J$265,(MATCH(InterventionCosts!B1410,Ingredients!A$1:A$265,0)))</f>
        <v>per pack 100, 50 pairs</v>
      </c>
      <c r="G1410">
        <f>IF(B1410="","",INDEX(Ingredients!$E$1:$E$238,(MATCH(InterventionCosts!B1410,Ingredients!A$1:A$238,0))))</f>
        <v>2024</v>
      </c>
      <c r="H1410" t="str">
        <f>INDEX(Ingredients!$F$1:$F$318,(MATCH(InterventionCosts!B1410,Ingredients!A$1:A$318,0)))</f>
        <v>https://www.treasury.gov.za/divisions/ocpo/ostb/contracts/RT76-2023%20CPA%20Amendment%204-%20Effective%2001%20May%202024.pdf</v>
      </c>
      <c r="I1410">
        <f>I1398*2/100</f>
        <v>0.1</v>
      </c>
      <c r="J1410" t="s">
        <v>1487</v>
      </c>
      <c r="K1410" s="85">
        <f>I1410*E1410</f>
        <v>5.3079999999999998</v>
      </c>
      <c r="L1410"/>
    </row>
    <row r="1411" spans="1:12">
      <c r="A1411" t="s">
        <v>1372</v>
      </c>
      <c r="B1411" s="137" t="s">
        <v>31</v>
      </c>
      <c r="C1411" t="s">
        <v>389</v>
      </c>
      <c r="D1411" s="5" t="s">
        <v>21</v>
      </c>
      <c r="E1411" s="70">
        <f>IF(B1411="","",INDEX(Ingredients!$I$1:$I$5013,(MATCH(InterventionCosts!B1411,Ingredients!$A$1:$A$5013,0))))</f>
        <v>31.4</v>
      </c>
      <c r="F1411" s="5" t="str">
        <f>INDEX(Ingredients!J$1:J$265,(MATCH(InterventionCosts!B1411,Ingredients!A$1:A$265,0)))</f>
        <v>per 100 swabs</v>
      </c>
      <c r="G1411">
        <f>IF(B1411="","",INDEX(Ingredients!$E$1:$E$238,(MATCH(InterventionCosts!B1411,Ingredients!A$1:A$238,0))))</f>
        <v>2024</v>
      </c>
      <c r="H1411" t="str">
        <f>INDEX(Ingredients!$F$1:$F$318,(MATCH(InterventionCosts!B1411,Ingredients!A$1:A$318,0)))</f>
        <v xml:space="preserve">http://www.treasury.gov.za/divisions/ocpo/ostb/contracts/RT42-2022zip </v>
      </c>
      <c r="I1411">
        <f>I1398*1/100</f>
        <v>0.05</v>
      </c>
      <c r="J1411" t="s">
        <v>1486</v>
      </c>
      <c r="K1411" s="85">
        <f>I1411*E1411</f>
        <v>1.57</v>
      </c>
      <c r="L1411"/>
    </row>
    <row r="1412" spans="1:12">
      <c r="A1412" t="s">
        <v>1372</v>
      </c>
      <c r="B1412" s="136" t="s">
        <v>392</v>
      </c>
      <c r="E1412" s="70"/>
      <c r="F1412" s="3" t="s">
        <v>413</v>
      </c>
      <c r="I1412" s="3">
        <v>1.0399680955290223E-2</v>
      </c>
      <c r="J1412" s="3" t="s">
        <v>443</v>
      </c>
      <c r="L1412" s="3"/>
    </row>
    <row r="1413" spans="1:12">
      <c r="A1413" t="s">
        <v>1372</v>
      </c>
      <c r="B1413" s="137" t="s">
        <v>79</v>
      </c>
      <c r="C1413" t="s">
        <v>389</v>
      </c>
      <c r="D1413" s="5" t="s">
        <v>21</v>
      </c>
      <c r="E1413" s="70">
        <f>IF(B1413="","",INDEX(Ingredients!$I$1:$I$5013,(MATCH(InterventionCosts!B1413,Ingredients!$A$1:$A$5013,0))))</f>
        <v>9.3000000000000007</v>
      </c>
      <c r="F1413" s="5" t="str">
        <f>INDEX(Ingredients!J$1:J$265,(MATCH(InterventionCosts!B1413,Ingredients!A$1:A$265,0)))</f>
        <v>per test</v>
      </c>
      <c r="G1413">
        <f>IF(B1413="","",INDEX(Ingredients!$E$1:$E$238,(MATCH(InterventionCosts!B1413,Ingredients!A$1:A$238,0))))</f>
        <v>2024</v>
      </c>
      <c r="H1413" t="str">
        <f>INDEX(Ingredients!$F$1:$F$318,(MATCH(InterventionCosts!B1413,Ingredients!A$1:A$318,0)))</f>
        <v>https://www.treasury.gov.za/divisions/ocpo/ostb/contracts/RT41-2020.zip</v>
      </c>
      <c r="I1413">
        <f>I1398*I1412</f>
        <v>5.1998404776451117E-2</v>
      </c>
      <c r="J1413" t="s">
        <v>413</v>
      </c>
      <c r="K1413" s="85">
        <f>I1413*E1413</f>
        <v>0.48358516442099542</v>
      </c>
      <c r="L1413"/>
    </row>
    <row r="1414" spans="1:12">
      <c r="A1414" t="s">
        <v>1372</v>
      </c>
      <c r="B1414" s="137" t="s">
        <v>54</v>
      </c>
      <c r="C1414" t="s">
        <v>389</v>
      </c>
      <c r="D1414" t="s">
        <v>48</v>
      </c>
      <c r="E1414" s="70">
        <f>IF(B1414="","",INDEX(Ingredients!$I$1:$I$5013,(MATCH(InterventionCosts!B1414,Ingredients!$A$1:$A$5013,0))))</f>
        <v>1.2444366591928251</v>
      </c>
      <c r="F1414" s="5" t="str">
        <f>INDEX(Ingredients!J$1:J$265,(MATCH(InterventionCosts!B1414,Ingredients!A$1:A$265,0)))</f>
        <v>per minute</v>
      </c>
      <c r="G1414">
        <f>IF(B1414="","",INDEX(Ingredients!$E$1:$E$238,(MATCH(InterventionCosts!B1414,Ingredients!A$1:A$238,0))))</f>
        <v>2024</v>
      </c>
      <c r="H1414" t="str">
        <f>INDEX(Ingredients!$F$1:$F$318,(MATCH(InterventionCosts!B1414,Ingredients!A$1:A$318,0)))</f>
        <v xml:space="preserve">April 2024 Salary scale </v>
      </c>
      <c r="I1414">
        <f>I1398*((15+1/(1-I1412))*I1412)</f>
        <v>0.83252092614585049</v>
      </c>
      <c r="J1414" s="133" t="s">
        <v>414</v>
      </c>
      <c r="K1414" s="85">
        <f>I1414*E1414</f>
        <v>1.0360195600410589</v>
      </c>
      <c r="L1414" s="133"/>
    </row>
    <row r="1415" spans="1:12">
      <c r="A1415" t="s">
        <v>1372</v>
      </c>
      <c r="B1415" s="137" t="s">
        <v>1489</v>
      </c>
      <c r="C1415" t="s">
        <v>389</v>
      </c>
      <c r="D1415" s="5" t="s">
        <v>21</v>
      </c>
      <c r="E1415" s="70">
        <f>IF(B1415="","",INDEX(Ingredients!$I$1:$I$5013,(MATCH(InterventionCosts!B1415,Ingredients!$A$1:$A$5013,0))))</f>
        <v>53.08</v>
      </c>
      <c r="F1415" s="5" t="str">
        <f>INDEX(Ingredients!J$1:J$265,(MATCH(InterventionCosts!B1415,Ingredients!A$1:A$265,0)))</f>
        <v>per pack 100, 50 pairs</v>
      </c>
      <c r="G1415">
        <f>IF(B1415="","",INDEX(Ingredients!$E$1:$E$238,(MATCH(InterventionCosts!B1415,Ingredients!A$1:A$238,0))))</f>
        <v>2024</v>
      </c>
      <c r="H1415" t="str">
        <f>INDEX(Ingredients!$F$1:$F$318,(MATCH(InterventionCosts!B1415,Ingredients!A$1:A$318,0)))</f>
        <v>https://www.treasury.gov.za/divisions/ocpo/ostb/contracts/RT76-2023%20CPA%20Amendment%204-%20Effective%2001%20May%202024.pdf</v>
      </c>
      <c r="I1415">
        <f>I1398*(2/100*I1412)</f>
        <v>1.0399680955290225E-3</v>
      </c>
      <c r="J1415" t="s">
        <v>1487</v>
      </c>
      <c r="K1415" s="85">
        <f>I1415*E1415</f>
        <v>5.5201506510680509E-2</v>
      </c>
      <c r="L1415"/>
    </row>
    <row r="1416" spans="1:12">
      <c r="A1416" t="s">
        <v>1372</v>
      </c>
      <c r="B1416" s="137" t="s">
        <v>31</v>
      </c>
      <c r="C1416" t="s">
        <v>389</v>
      </c>
      <c r="D1416" s="5" t="s">
        <v>21</v>
      </c>
      <c r="E1416" s="70">
        <f>IF(B1416="","",INDEX(Ingredients!$I$1:$I$5013,(MATCH(InterventionCosts!B1416,Ingredients!$A$1:$A$5013,0))))</f>
        <v>31.4</v>
      </c>
      <c r="F1416" s="5" t="str">
        <f>INDEX(Ingredients!J$1:J$265,(MATCH(InterventionCosts!B1416,Ingredients!A$1:A$265,0)))</f>
        <v>per 100 swabs</v>
      </c>
      <c r="G1416">
        <f>IF(B1416="","",INDEX(Ingredients!$E$1:$E$238,(MATCH(InterventionCosts!B1416,Ingredients!A$1:A$238,0))))</f>
        <v>2024</v>
      </c>
      <c r="H1416" t="str">
        <f>INDEX(Ingredients!$F$1:$F$318,(MATCH(InterventionCosts!B1416,Ingredients!A$1:A$318,0)))</f>
        <v xml:space="preserve">http://www.treasury.gov.za/divisions/ocpo/ostb/contracts/RT42-2022zip </v>
      </c>
      <c r="I1416">
        <f>I1398*(1/100*I1412)</f>
        <v>5.1998404776451123E-4</v>
      </c>
      <c r="J1416" t="s">
        <v>1486</v>
      </c>
      <c r="K1416" s="135">
        <f>I1416*E1416</f>
        <v>1.6327499099805652E-2</v>
      </c>
      <c r="L1416"/>
    </row>
    <row r="1417" spans="1:12">
      <c r="A1417" t="s">
        <v>1372</v>
      </c>
      <c r="B1417" s="136" t="s">
        <v>393</v>
      </c>
      <c r="F1417" s="155" t="s">
        <v>452</v>
      </c>
      <c r="I1417" s="3">
        <v>0.02</v>
      </c>
      <c r="J1417" s="85" t="s">
        <v>397</v>
      </c>
    </row>
    <row r="1418" spans="1:12">
      <c r="A1418" t="s">
        <v>1372</v>
      </c>
      <c r="B1418" s="137" t="s">
        <v>77</v>
      </c>
      <c r="C1418" t="s">
        <v>389</v>
      </c>
      <c r="D1418" t="s">
        <v>75</v>
      </c>
      <c r="E1418" s="70">
        <f>IF(B1418="","",INDEX(Ingredients!$I$1:$I$5013,(MATCH(InterventionCosts!B1418,Ingredients!$A$1:$A$5013,0))))</f>
        <v>71.889951748999991</v>
      </c>
      <c r="F1418" s="5" t="str">
        <f>INDEX(Ingredients!J$1:J$265,(MATCH(InterventionCosts!B1418,Ingredients!A$1:A$265,0)))</f>
        <v>per test</v>
      </c>
      <c r="G1418">
        <f>IF(B1418="","",INDEX(Ingredients!$E$1:$E$238,(MATCH(InterventionCosts!B1418,Ingredients!A$1:A$238,0))))</f>
        <v>2021</v>
      </c>
      <c r="H1418" t="str">
        <f>INDEX(Ingredients!$F$1:$F$318,(MATCH(InterventionCosts!B1418,Ingredients!A$1:A$318,0)))</f>
        <v>NHLS 2021 price-list</v>
      </c>
      <c r="I1418">
        <f>I1398*I1417</f>
        <v>0.1</v>
      </c>
      <c r="J1418" s="85" t="s">
        <v>397</v>
      </c>
      <c r="K1418" s="85">
        <f t="shared" ref="K1418:K1422" si="37">I1418*E1418</f>
        <v>7.1889951748999996</v>
      </c>
    </row>
    <row r="1419" spans="1:12">
      <c r="A1419" t="s">
        <v>1372</v>
      </c>
      <c r="B1419" s="137" t="s">
        <v>54</v>
      </c>
      <c r="C1419" t="s">
        <v>389</v>
      </c>
      <c r="D1419" t="s">
        <v>48</v>
      </c>
      <c r="E1419" s="70">
        <f>IF(B1419="","",INDEX(Ingredients!$I$1:$I$5013,(MATCH(InterventionCosts!B1419,Ingredients!$A$1:$A$5013,0))))</f>
        <v>1.2444366591928251</v>
      </c>
      <c r="F1419" s="5" t="str">
        <f>INDEX(Ingredients!J$1:J$265,(MATCH(InterventionCosts!B1419,Ingredients!A$1:A$265,0)))</f>
        <v>per minute</v>
      </c>
      <c r="G1419">
        <f>IF(B1419="","",INDEX(Ingredients!$E$1:$E$238,(MATCH(InterventionCosts!B1419,Ingredients!A$1:A$238,0))))</f>
        <v>2024</v>
      </c>
      <c r="H1419" t="str">
        <f>INDEX(Ingredients!$F$1:$F$318,(MATCH(InterventionCosts!B1419,Ingredients!A$1:A$318,0)))</f>
        <v xml:space="preserve">April 2024 Salary scale </v>
      </c>
      <c r="I1419">
        <f>I1398*15*I1417</f>
        <v>1.5</v>
      </c>
      <c r="J1419" s="133" t="s">
        <v>414</v>
      </c>
      <c r="K1419" s="85">
        <f t="shared" si="37"/>
        <v>1.8666549887892376</v>
      </c>
      <c r="L1419" s="133"/>
    </row>
    <row r="1420" spans="1:12">
      <c r="A1420" t="s">
        <v>1372</v>
      </c>
      <c r="B1420" s="137" t="s">
        <v>1489</v>
      </c>
      <c r="C1420" t="s">
        <v>389</v>
      </c>
      <c r="D1420" s="5" t="s">
        <v>21</v>
      </c>
      <c r="E1420" s="70">
        <f>IF(B1420="","",INDEX(Ingredients!$I$1:$I$5013,(MATCH(InterventionCosts!B1420,Ingredients!$A$1:$A$5013,0))))</f>
        <v>53.08</v>
      </c>
      <c r="F1420" s="5" t="str">
        <f>INDEX(Ingredients!J$1:J$265,(MATCH(InterventionCosts!B1420,Ingredients!A$1:A$265,0)))</f>
        <v>per pack 100, 50 pairs</v>
      </c>
      <c r="G1420">
        <f>IF(B1420="","",INDEX(Ingredients!$E$1:$E$238,(MATCH(InterventionCosts!B1420,Ingredients!A$1:A$238,0))))</f>
        <v>2024</v>
      </c>
      <c r="H1420" t="str">
        <f>INDEX(Ingredients!$F$1:$F$318,(MATCH(InterventionCosts!B1420,Ingredients!A$1:A$318,0)))</f>
        <v>https://www.treasury.gov.za/divisions/ocpo/ostb/contracts/RT76-2023%20CPA%20Amendment%204-%20Effective%2001%20May%202024.pdf</v>
      </c>
      <c r="I1420">
        <f>I1398*2/100*I1417</f>
        <v>2E-3</v>
      </c>
      <c r="J1420" t="s">
        <v>1487</v>
      </c>
      <c r="K1420" s="85">
        <f t="shared" si="37"/>
        <v>0.10616</v>
      </c>
    </row>
    <row r="1421" spans="1:12">
      <c r="A1421" t="s">
        <v>1372</v>
      </c>
      <c r="B1421" s="137" t="s">
        <v>45</v>
      </c>
      <c r="C1421" t="s">
        <v>389</v>
      </c>
      <c r="D1421" s="5" t="s">
        <v>21</v>
      </c>
      <c r="E1421" s="70">
        <f>IF(B1421="","",INDEX(Ingredients!$I$1:$I$5013,(MATCH(InterventionCosts!B1421,Ingredients!$A$1:$A$5013,0))))</f>
        <v>46</v>
      </c>
      <c r="F1421" s="5" t="str">
        <f>INDEX(Ingredients!J$1:J$265,(MATCH(InterventionCosts!B1421,Ingredients!A$1:A$265,0)))</f>
        <v>per pack 100</v>
      </c>
      <c r="G1421">
        <f>IF(B1421="","",INDEX(Ingredients!$E$1:$E$238,(MATCH(InterventionCosts!B1421,Ingredients!A$1:A$238,0))))</f>
        <v>2024</v>
      </c>
      <c r="H1421" t="str">
        <f>INDEX(Ingredients!$F$1:$F$318,(MATCH(InterventionCosts!B1421,Ingredients!A$1:A$318,0)))</f>
        <v>https://www.treasury.gov.za/divisions/ocpo/ostb/contracts/RT284-2023.zip</v>
      </c>
      <c r="I1421">
        <f>I1398*1/100*I1417</f>
        <v>1E-3</v>
      </c>
      <c r="J1421" t="s">
        <v>1486</v>
      </c>
      <c r="K1421" s="135">
        <f t="shared" si="37"/>
        <v>4.5999999999999999E-2</v>
      </c>
      <c r="L1421"/>
    </row>
    <row r="1422" spans="1:12">
      <c r="A1422" t="s">
        <v>1372</v>
      </c>
      <c r="B1422" s="137" t="s">
        <v>31</v>
      </c>
      <c r="C1422" t="s">
        <v>389</v>
      </c>
      <c r="D1422" s="5" t="s">
        <v>21</v>
      </c>
      <c r="E1422" s="70">
        <f>IF(B1422="","",INDEX(Ingredients!$I$1:$I$5013,(MATCH(InterventionCosts!B1422,Ingredients!$A$1:$A$5013,0))))</f>
        <v>31.4</v>
      </c>
      <c r="F1422" s="5" t="str">
        <f>INDEX(Ingredients!J$1:J$265,(MATCH(InterventionCosts!B1422,Ingredients!A$1:A$265,0)))</f>
        <v>per 100 swabs</v>
      </c>
      <c r="G1422">
        <f>IF(B1422="","",INDEX(Ingredients!$E$1:$E$238,(MATCH(InterventionCosts!B1422,Ingredients!A$1:A$238,0))))</f>
        <v>2024</v>
      </c>
      <c r="H1422" t="str">
        <f>INDEX(Ingredients!$F$1:$F$318,(MATCH(InterventionCosts!B1422,Ingredients!A$1:A$318,0)))</f>
        <v xml:space="preserve">http://www.treasury.gov.za/divisions/ocpo/ostb/contracts/RT42-2022zip </v>
      </c>
      <c r="I1422">
        <f>I1398*1/100*I1417</f>
        <v>1E-3</v>
      </c>
      <c r="J1422" t="s">
        <v>1486</v>
      </c>
      <c r="K1422" s="135">
        <f t="shared" si="37"/>
        <v>3.1399999999999997E-2</v>
      </c>
      <c r="L1422"/>
    </row>
    <row r="1423" spans="1:12">
      <c r="A1423" t="s">
        <v>1372</v>
      </c>
      <c r="B1423" s="140" t="s">
        <v>415</v>
      </c>
      <c r="C1423" s="141"/>
      <c r="D1423" s="141"/>
      <c r="E1423" s="142"/>
      <c r="F1423" s="141"/>
      <c r="G1423" s="141"/>
      <c r="H1423" s="141"/>
      <c r="I1423" s="141"/>
      <c r="J1423" s="141"/>
      <c r="K1423" s="143"/>
      <c r="L1423"/>
    </row>
    <row r="1424" spans="1:12">
      <c r="A1424" t="s">
        <v>1372</v>
      </c>
      <c r="B1424" s="146" t="s">
        <v>416</v>
      </c>
    </row>
    <row r="1425" spans="1:11">
      <c r="A1425" t="s">
        <v>1372</v>
      </c>
      <c r="B1425" s="156" t="s">
        <v>354</v>
      </c>
      <c r="C1425" t="s">
        <v>389</v>
      </c>
      <c r="D1425" t="s">
        <v>81</v>
      </c>
      <c r="E1425" s="70">
        <f>IF(B1425="","",INDEX(Ingredients!$I$1:$I$5013,(MATCH(InterventionCosts!B1425,Ingredients!$A$1:$A$5013,0))))</f>
        <v>4.8996605630293981</v>
      </c>
      <c r="F1425" s="5" t="str">
        <f>INDEX(Ingredients!J$1:J$265,(MATCH(InterventionCosts!B1425,Ingredients!A$1:A$265,0)))</f>
        <v>per minute</v>
      </c>
      <c r="G1425">
        <f>IF(B1425="","",INDEX(Ingredients!$E$1:$E$238,(MATCH(InterventionCosts!B1425,Ingredients!A$1:A$238,0))))</f>
        <v>2024</v>
      </c>
      <c r="H1425" t="str">
        <f>INDEX(Ingredients!$F$1:$F$318,(MATCH(InterventionCosts!B1425,Ingredients!A$1:A$318,0)))</f>
        <v xml:space="preserve">April 2024 Salary scale </v>
      </c>
      <c r="I1425" s="149">
        <f>75/160</f>
        <v>0.46875</v>
      </c>
      <c r="J1425" t="s">
        <v>454</v>
      </c>
      <c r="K1425" s="85">
        <f>I1425*E1425</f>
        <v>2.2967158889200303</v>
      </c>
    </row>
    <row r="1426" spans="1:11">
      <c r="A1426" t="s">
        <v>1372</v>
      </c>
      <c r="B1426" s="146" t="s">
        <v>417</v>
      </c>
      <c r="I1426" s="149"/>
    </row>
    <row r="1427" spans="1:11">
      <c r="A1427" t="s">
        <v>1372</v>
      </c>
      <c r="B1427" s="147" t="s">
        <v>54</v>
      </c>
      <c r="C1427" t="s">
        <v>389</v>
      </c>
      <c r="D1427" t="s">
        <v>81</v>
      </c>
      <c r="E1427" s="70">
        <f>IF(B1427="","",INDEX(Ingredients!$I$1:$I$5013,(MATCH(InterventionCosts!B1427,Ingredients!$A$1:$A$5013,0))))</f>
        <v>1.2444366591928251</v>
      </c>
      <c r="F1427" s="5" t="str">
        <f>INDEX(Ingredients!J$1:J$265,(MATCH(InterventionCosts!B1427,Ingredients!A$1:A$265,0)))</f>
        <v>per minute</v>
      </c>
      <c r="G1427">
        <f>IF(B1427="","",INDEX(Ingredients!$E$1:$E$238,(MATCH(InterventionCosts!B1427,Ingredients!A$1:A$238,0))))</f>
        <v>2024</v>
      </c>
      <c r="H1427" t="str">
        <f>INDEX(Ingredients!$F$1:$F$318,(MATCH(InterventionCosts!B1427,Ingredients!A$1:A$318,0)))</f>
        <v xml:space="preserve">April 2024 Salary scale </v>
      </c>
      <c r="I1427" s="149">
        <f>75/160</f>
        <v>0.46875</v>
      </c>
      <c r="J1427" t="s">
        <v>454</v>
      </c>
      <c r="K1427" s="85">
        <f>I1427*E1427</f>
        <v>0.58332968399663676</v>
      </c>
    </row>
    <row r="1428" spans="1:11">
      <c r="A1428" t="s">
        <v>1372</v>
      </c>
      <c r="B1428" s="146" t="s">
        <v>418</v>
      </c>
    </row>
    <row r="1429" spans="1:11">
      <c r="A1429" t="s">
        <v>1372</v>
      </c>
      <c r="B1429" s="147" t="s">
        <v>425</v>
      </c>
      <c r="C1429" t="s">
        <v>389</v>
      </c>
      <c r="D1429" t="s">
        <v>81</v>
      </c>
      <c r="E1429" s="70">
        <f>IF(B1429="","",INDEX(Ingredients!$I$1:$I$5013,(MATCH(InterventionCosts!B1429,Ingredients!$A$1:$A$5013,0))))</f>
        <v>4100.2266666666665</v>
      </c>
      <c r="F1429" s="5" t="str">
        <f>INDEX(Ingredients!J$1:J$265,(MATCH(InterventionCosts!B1429,Ingredients!A$1:A$265,0)))</f>
        <v>per month</v>
      </c>
      <c r="G1429">
        <f>IF(B1429="","",INDEX(Ingredients!$E$1:$E$238,(MATCH(InterventionCosts!B1429,Ingredients!A$1:A$238,0))))</f>
        <v>2024</v>
      </c>
      <c r="H1429" t="str">
        <f>INDEX(Ingredients!$F$1:$F$318,(MATCH(InterventionCosts!B1429,Ingredients!A$1:A$318,0)))</f>
        <v>https://www.health.gov.za/wp-content/uploads/2022/07/Health-Department-welcomes-Bargaining-Council-resolution-to-improve-work-conditions-of-CHWs-27-July-2022.pdf</v>
      </c>
      <c r="I1429" s="149">
        <f>75/160*(12/workminutespa)</f>
        <v>5.2550448430493276E-5</v>
      </c>
      <c r="J1429" t="s">
        <v>454</v>
      </c>
      <c r="K1429" s="85">
        <f>I1429*E1429</f>
        <v>0.21546874999999999</v>
      </c>
    </row>
    <row r="1430" spans="1:11">
      <c r="A1430" t="s">
        <v>1372</v>
      </c>
      <c r="B1430" s="146" t="s">
        <v>453</v>
      </c>
      <c r="E1430" s="70"/>
      <c r="F1430" s="5"/>
    </row>
    <row r="1431" spans="1:11">
      <c r="A1431" t="s">
        <v>1372</v>
      </c>
      <c r="B1431" s="147" t="s">
        <v>55</v>
      </c>
      <c r="C1431" t="s">
        <v>389</v>
      </c>
      <c r="D1431" t="s">
        <v>81</v>
      </c>
      <c r="E1431" s="70">
        <f>IF(B1431="","",INDEX(Ingredients!$I$1:$I$5013,(MATCH(InterventionCosts!B1431,Ingredients!$A$1:$A$5013,0))))</f>
        <v>1.8549350710014947</v>
      </c>
      <c r="F1431" s="5" t="str">
        <f>INDEX(Ingredients!J$1:J$265,(MATCH(InterventionCosts!B1431,Ingredients!A$1:A$265,0)))</f>
        <v>per minute</v>
      </c>
      <c r="G1431">
        <f>IF(B1431="","",INDEX(Ingredients!$E$1:$E$238,(MATCH(InterventionCosts!B1431,Ingredients!A$1:A$238,0))))</f>
        <v>2024</v>
      </c>
      <c r="H1431" t="str">
        <f>INDEX(Ingredients!$F$1:$F$318,(MATCH(InterventionCosts!B1431,Ingredients!A$1:A$318,0)))</f>
        <v xml:space="preserve">April 2024 Salary scale </v>
      </c>
      <c r="I1431" s="149">
        <f>75/160</f>
        <v>0.46875</v>
      </c>
      <c r="J1431" t="s">
        <v>454</v>
      </c>
      <c r="K1431" s="85">
        <f>I1431*E1431</f>
        <v>0.86950081453195061</v>
      </c>
    </row>
    <row r="1432" spans="1:11">
      <c r="A1432" t="s">
        <v>1372</v>
      </c>
      <c r="B1432" s="146" t="s">
        <v>419</v>
      </c>
    </row>
    <row r="1433" spans="1:11">
      <c r="A1433" t="s">
        <v>1372</v>
      </c>
      <c r="B1433" s="147" t="s">
        <v>111</v>
      </c>
      <c r="C1433" t="s">
        <v>389</v>
      </c>
      <c r="D1433" t="s">
        <v>81</v>
      </c>
      <c r="E1433" s="70">
        <f>IF(B1433="","",INDEX(Ingredients!$I$1:$I$5013,(MATCH(InterventionCosts!B1433,Ingredients!$A$1:$A$5013,0))))</f>
        <v>239.77392959288917</v>
      </c>
      <c r="F1433" s="5" t="str">
        <f>INDEX(Ingredients!J$1:J$265,(MATCH(InterventionCosts!B1433,Ingredients!A$1:A$265,0)))</f>
        <v>pp per workshop</v>
      </c>
      <c r="G1433">
        <f>IF(B1433="","",INDEX(Ingredients!$E$1:$E$238,(MATCH(InterventionCosts!B1433,Ingredients!A$1:A$238,0))))</f>
        <v>2018</v>
      </c>
      <c r="H1433" t="str">
        <f>INDEX(Ingredients!$F$1:$F$318,(MATCH(InterventionCosts!B1433,Ingredients!A$1:A$318,0)))</f>
        <v>RSA Global Fund Grant portfolio budgets 2018, Subject to revision during grant negotiations (Steve's email)</v>
      </c>
      <c r="I1433" s="148">
        <f>1/100</f>
        <v>0.01</v>
      </c>
      <c r="J1433" s="149" t="s">
        <v>433</v>
      </c>
      <c r="K1433" s="85">
        <f>I1433*E1433</f>
        <v>2.3977392959288917</v>
      </c>
    </row>
    <row r="1434" spans="1:11">
      <c r="A1434" t="s">
        <v>1372</v>
      </c>
      <c r="B1434" s="147" t="s">
        <v>39</v>
      </c>
      <c r="C1434" t="s">
        <v>389</v>
      </c>
      <c r="D1434" t="s">
        <v>21</v>
      </c>
      <c r="E1434" s="70">
        <f>IF(B1434="","",INDEX(Ingredients!$I$1:$I$5013,(MATCH(InterventionCosts!B1434,Ingredients!$A$1:$A$5013,0))))</f>
        <v>0.90383818045604736</v>
      </c>
      <c r="F1434" s="5" t="str">
        <f>INDEX(Ingredients!J$1:J$265,(MATCH(InterventionCosts!B1434,Ingredients!A$1:A$265,0)))</f>
        <v>per material</v>
      </c>
      <c r="G1434">
        <f>IF(B1434="","",INDEX(Ingredients!$E$1:$E$238,(MATCH(InterventionCosts!B1434,Ingredients!A$1:A$238,0))))</f>
        <v>2016</v>
      </c>
      <c r="H1434" t="str">
        <f>INDEX(Ingredients!$F$1:$F$318,(MATCH(InterventionCosts!B1434,Ingredients!A$1:A$318,0)))</f>
        <v>RSA Global Fund Grant portfolio budgets 2016</v>
      </c>
      <c r="I1434" s="148">
        <v>1</v>
      </c>
      <c r="J1434" s="149" t="s">
        <v>434</v>
      </c>
      <c r="K1434" s="85">
        <f>I1434*E1434</f>
        <v>0.90383818045604736</v>
      </c>
    </row>
    <row r="1435" spans="1:11">
      <c r="A1435" t="s">
        <v>1372</v>
      </c>
      <c r="B1435" s="147" t="s">
        <v>425</v>
      </c>
      <c r="C1435" t="s">
        <v>389</v>
      </c>
      <c r="D1435" t="s">
        <v>48</v>
      </c>
      <c r="E1435" s="70">
        <f>IF(B1435="","",INDEX(Ingredients!$I$1:$I$5013,(MATCH(InterventionCosts!B1435,Ingredients!$A$1:$A$5013,0))))</f>
        <v>4100.2266666666665</v>
      </c>
      <c r="F1435" s="5" t="str">
        <f>INDEX(Ingredients!J$1:J$265,(MATCH(InterventionCosts!B1435,Ingredients!A$1:A$265,0)))</f>
        <v>per month</v>
      </c>
      <c r="G1435">
        <f>IF(B1435="","",INDEX(Ingredients!$E$1:$E$238,(MATCH(InterventionCosts!B1435,Ingredients!A$1:A$238,0))))</f>
        <v>2024</v>
      </c>
      <c r="H1435" t="str">
        <f>INDEX(Ingredients!$F$1:$F$318,(MATCH(InterventionCosts!B1435,Ingredients!A$1:A$318,0)))</f>
        <v>https://www.health.gov.za/wp-content/uploads/2022/07/Health-Department-welcomes-Bargaining-Council-resolution-to-improve-work-conditions-of-CHWs-27-July-2022.pdf</v>
      </c>
      <c r="I1435" s="150">
        <f>((15/(8*60))*workdayspermonth)/160*12</f>
        <v>4.3554687499999994E-2</v>
      </c>
      <c r="J1435" s="149" t="s">
        <v>435</v>
      </c>
      <c r="K1435" s="85">
        <f>I1435*E1435</f>
        <v>178.5840911458333</v>
      </c>
    </row>
    <row r="1436" spans="1:11">
      <c r="A1436" t="s">
        <v>1372</v>
      </c>
      <c r="B1436" s="146" t="s">
        <v>420</v>
      </c>
    </row>
    <row r="1437" spans="1:11">
      <c r="A1437" t="s">
        <v>1372</v>
      </c>
      <c r="B1437" s="147" t="s">
        <v>246</v>
      </c>
      <c r="C1437" t="s">
        <v>389</v>
      </c>
      <c r="D1437" t="s">
        <v>21</v>
      </c>
      <c r="E1437" s="70">
        <f>IF(B1437="","",INDEX(Ingredients!$I$1:$I$5013,(MATCH(InterventionCosts!B1437,Ingredients!$A$1:$A$5013,0))))</f>
        <v>0.16400000000000001</v>
      </c>
      <c r="F1437" s="5" t="str">
        <f>INDEX(Ingredients!J$1:J$265,(MATCH(InterventionCosts!B1437,Ingredients!A$1:A$265,0)))</f>
        <v>per page</v>
      </c>
      <c r="G1437">
        <f>IF(B1437="","",INDEX(Ingredients!$E$1:$E$238,(MATCH(InterventionCosts!B1437,Ingredients!A$1:A$238,0))))</f>
        <v>2024</v>
      </c>
      <c r="H1437" t="str">
        <f>INDEX(Ingredients!$F$1:$F$318,(MATCH(InterventionCosts!B1437,Ingredients!A$1:A$318,0)))</f>
        <v>https://www.makro.co.za/stationery-office-furniture/paper-filing/paper/white-paper/copy-paper/typek-a4-office-paper-80-gsm/p/000000000000012434_BOX</v>
      </c>
      <c r="I1437" s="148">
        <f>2*1</f>
        <v>2</v>
      </c>
      <c r="J1437" s="149" t="s">
        <v>436</v>
      </c>
      <c r="K1437" s="85">
        <f>I1437*E1437</f>
        <v>0.32800000000000001</v>
      </c>
    </row>
    <row r="1438" spans="1:11">
      <c r="A1438" t="s">
        <v>1372</v>
      </c>
      <c r="B1438" s="147" t="s">
        <v>426</v>
      </c>
      <c r="C1438" t="s">
        <v>389</v>
      </c>
      <c r="D1438" t="s">
        <v>21</v>
      </c>
      <c r="E1438" s="70">
        <f>IF(B1438="","",INDEX(Ingredients!$I$1:$I$5013,(MATCH(InterventionCosts!B1438,Ingredients!$A$1:$A$5013,0))))</f>
        <v>0.45800000000000002</v>
      </c>
      <c r="F1438" s="5" t="str">
        <f>INDEX(Ingredients!J$1:J$265,(MATCH(InterventionCosts!B1438,Ingredients!A$1:A$265,0)))</f>
        <v>per page</v>
      </c>
      <c r="G1438">
        <f>IF(B1438="","",INDEX(Ingredients!$E$1:$E$238,(MATCH(InterventionCosts!B1438,Ingredients!A$1:A$238,0))))</f>
        <v>2024</v>
      </c>
      <c r="H1438" t="str">
        <f>INDEX(Ingredients!$F$1:$F$318,(MATCH(InterventionCosts!B1438,Ingredients!A$1:A$318,0)))</f>
        <v>https://www.makro.co.za/stationery-office-furniture/paper-filing/paper/white-paper/a3-paper/typek-a3-office-paper-80-gsm/p/000000000000877929_EA</v>
      </c>
      <c r="I1438" s="148">
        <f>1/160*12</f>
        <v>7.5000000000000011E-2</v>
      </c>
      <c r="J1438" s="149" t="s">
        <v>437</v>
      </c>
      <c r="K1438" s="85">
        <f>I1438*E1438</f>
        <v>3.4350000000000006E-2</v>
      </c>
    </row>
    <row r="1439" spans="1:11">
      <c r="A1439" t="s">
        <v>1372</v>
      </c>
      <c r="B1439" s="147" t="s">
        <v>55</v>
      </c>
      <c r="C1439" t="s">
        <v>389</v>
      </c>
      <c r="D1439" t="s">
        <v>48</v>
      </c>
      <c r="E1439" s="70">
        <f>IF(B1439="","",INDEX(Ingredients!$I$1:$I$5013,(MATCH(InterventionCosts!B1439,Ingredients!$A$1:$A$5013,0))))</f>
        <v>1.8549350710014947</v>
      </c>
      <c r="F1439" s="5" t="str">
        <f>INDEX(Ingredients!J$1:J$265,(MATCH(InterventionCosts!B1439,Ingredients!A$1:A$265,0)))</f>
        <v>per minute</v>
      </c>
      <c r="G1439">
        <f>IF(B1439="","",INDEX(Ingredients!$E$1:$E$238,(MATCH(InterventionCosts!B1439,Ingredients!A$1:A$238,0))))</f>
        <v>2024</v>
      </c>
      <c r="H1439" t="str">
        <f>INDEX(Ingredients!$F$1:$F$318,(MATCH(InterventionCosts!B1439,Ingredients!A$1:A$318,0)))</f>
        <v xml:space="preserve">April 2024 Salary scale </v>
      </c>
      <c r="I1439" s="148">
        <f>(60*12)/160</f>
        <v>4.5</v>
      </c>
      <c r="J1439" s="149" t="s">
        <v>438</v>
      </c>
      <c r="K1439" s="85">
        <f>I1439*E1439</f>
        <v>8.3472078195067265</v>
      </c>
    </row>
    <row r="1440" spans="1:11">
      <c r="A1440" t="s">
        <v>1372</v>
      </c>
      <c r="B1440" s="146" t="s">
        <v>421</v>
      </c>
    </row>
    <row r="1441" spans="1:14">
      <c r="A1441" t="s">
        <v>1372</v>
      </c>
      <c r="B1441" s="147" t="s">
        <v>422</v>
      </c>
      <c r="C1441" t="s">
        <v>389</v>
      </c>
      <c r="D1441" t="s">
        <v>81</v>
      </c>
      <c r="E1441" s="70"/>
      <c r="F1441" s="5"/>
      <c r="J1441" t="s">
        <v>441</v>
      </c>
      <c r="K1441" s="85">
        <f>0.07*SUM(K1344:K1439,K1442)</f>
        <v>325.84230915297587</v>
      </c>
      <c r="L1441" s="85" t="s">
        <v>427</v>
      </c>
    </row>
    <row r="1442" spans="1:14">
      <c r="A1442" t="s">
        <v>1372</v>
      </c>
      <c r="B1442" s="147" t="s">
        <v>52</v>
      </c>
      <c r="C1442" t="s">
        <v>389</v>
      </c>
      <c r="D1442" t="s">
        <v>48</v>
      </c>
      <c r="E1442" s="70">
        <f>IF(B1442="","",INDEX(Ingredients!$I$1:$I$5013,(MATCH(InterventionCosts!B1442,Ingredients!$A$1:$A$5013,0))))</f>
        <v>1.8019482436472347</v>
      </c>
      <c r="F1442" s="5" t="str">
        <f>INDEX(Ingredients!J$1:J$265,(MATCH(InterventionCosts!B1442,Ingredients!A$1:A$265,0)))</f>
        <v>per minute</v>
      </c>
      <c r="G1442">
        <f>IF(B1442="","",INDEX(Ingredients!$E$1:$E$238,(MATCH(InterventionCosts!B1442,Ingredients!A$1:A$238,0))))</f>
        <v>2024</v>
      </c>
      <c r="H1442" t="str">
        <f>INDEX(Ingredients!$F$1:$F$318,(MATCH(InterventionCosts!B1442,Ingredients!A$1:A$318,0)))</f>
        <v xml:space="preserve">April 2024 Salary scale </v>
      </c>
      <c r="I1442">
        <f>3*4</f>
        <v>12</v>
      </c>
      <c r="J1442" s="149" t="s">
        <v>439</v>
      </c>
      <c r="K1442" s="85">
        <f>I1442*E1442</f>
        <v>21.623378923766815</v>
      </c>
    </row>
    <row r="1443" spans="1:14" s="89" customFormat="1">
      <c r="A1443" s="4" t="s">
        <v>1372</v>
      </c>
      <c r="F1443" s="89" t="s">
        <v>1164</v>
      </c>
      <c r="G1443" s="89" t="str">
        <f>IF(B1443="","",INDEX(Ingredients!$E$1:$E$238,(MATCH(InterventionCosts!B1443,Ingredients!A$1:A$238,0))))</f>
        <v/>
      </c>
      <c r="K1443" s="90"/>
      <c r="L1443" s="90">
        <f>SUM(K1344:K1442)</f>
        <v>4980.7324399097733</v>
      </c>
      <c r="M1443" s="92"/>
      <c r="N1443" s="4"/>
    </row>
    <row r="1444" spans="1:14" s="89" customFormat="1">
      <c r="A1444" s="4" t="s">
        <v>1372</v>
      </c>
      <c r="F1444" s="89" t="s">
        <v>117</v>
      </c>
      <c r="G1444" s="89" t="str">
        <f>IF(B1444="","",INDEX(Ingredients!$E$1:$E$238,(MATCH(InterventionCosts!B1444,Ingredients!A$1:A$238,0))))</f>
        <v/>
      </c>
      <c r="K1444" s="90"/>
      <c r="L1444" s="90" t="s">
        <v>440</v>
      </c>
    </row>
    <row r="1446" spans="1:14">
      <c r="A1446" t="s">
        <v>1373</v>
      </c>
      <c r="B1446" s="144" t="s">
        <v>388</v>
      </c>
      <c r="C1446" s="141"/>
      <c r="D1446" s="141"/>
      <c r="E1446" s="142"/>
      <c r="F1446" s="141"/>
      <c r="G1446" s="141"/>
      <c r="H1446" s="141"/>
      <c r="I1446" s="141"/>
      <c r="J1446" s="141"/>
      <c r="K1446" s="143"/>
    </row>
    <row r="1447" spans="1:14">
      <c r="A1447" t="s">
        <v>1373</v>
      </c>
      <c r="B1447" s="136" t="s">
        <v>390</v>
      </c>
    </row>
    <row r="1448" spans="1:14">
      <c r="A1448" t="s">
        <v>1373</v>
      </c>
      <c r="B1448" s="137" t="s">
        <v>54</v>
      </c>
      <c r="C1448" t="s">
        <v>389</v>
      </c>
      <c r="D1448" t="s">
        <v>48</v>
      </c>
      <c r="E1448" s="70">
        <f>IF(B1448="","",INDEX(Ingredients!$I$1:$I$5013,(MATCH(InterventionCosts!B1448,Ingredients!$A$1:$A$5013,0))))</f>
        <v>1.2444366591928251</v>
      </c>
      <c r="F1448" s="5" t="str">
        <f>INDEX(Ingredients!J$1:J$265,(MATCH(InterventionCosts!B1448,Ingredients!A$1:A$265,0)))</f>
        <v>per minute</v>
      </c>
      <c r="G1448">
        <f>IF(B1448="","",INDEX(Ingredients!$E$1:$E$238,(MATCH(InterventionCosts!B1448,Ingredients!A$1:A$238,0))))</f>
        <v>2024</v>
      </c>
      <c r="H1448" t="str">
        <f>INDEX(Ingredients!$F$1:$F$318,(MATCH(InterventionCosts!B1448,Ingredients!A$1:A$318,0)))</f>
        <v xml:space="preserve">April 2024 Salary scale </v>
      </c>
      <c r="I1448">
        <v>1</v>
      </c>
      <c r="J1448" t="s">
        <v>1476</v>
      </c>
      <c r="K1448" s="85">
        <f>I1448*E1448</f>
        <v>1.2444366591928251</v>
      </c>
    </row>
    <row r="1449" spans="1:14">
      <c r="A1449" t="s">
        <v>1373</v>
      </c>
      <c r="B1449" s="137" t="s">
        <v>246</v>
      </c>
      <c r="C1449" t="s">
        <v>389</v>
      </c>
      <c r="D1449" s="5" t="s">
        <v>21</v>
      </c>
      <c r="E1449" s="70">
        <f>IF(B1449="","",INDEX(Ingredients!$I$1:$I$5013,(MATCH(InterventionCosts!B1449,Ingredients!$A$1:$A$5013,0))))</f>
        <v>0.16400000000000001</v>
      </c>
      <c r="F1449" s="5" t="str">
        <f>INDEX(Ingredients!J$1:J$265,(MATCH(InterventionCosts!B1449,Ingredients!A$1:A$265,0)))</f>
        <v>per page</v>
      </c>
      <c r="G1449">
        <f>IF(B1449="","",INDEX(Ingredients!$E$1:$E$238,(MATCH(InterventionCosts!B1449,Ingredients!A$1:A$238,0))))</f>
        <v>2024</v>
      </c>
      <c r="H1449" t="str">
        <f>INDEX(Ingredients!$F$1:$F$318,(MATCH(InterventionCosts!B1449,Ingredients!A$1:A$318,0)))</f>
        <v>https://www.makro.co.za/stationery-office-furniture/paper-filing/paper/white-paper/copy-paper/typek-a4-office-paper-80-gsm/p/000000000000012434_BOX</v>
      </c>
      <c r="I1449">
        <f>1</f>
        <v>1</v>
      </c>
      <c r="J1449" t="s">
        <v>1476</v>
      </c>
      <c r="K1449" s="85">
        <f>I1449*E1449</f>
        <v>0.16400000000000001</v>
      </c>
      <c r="L1449" s="85" t="s">
        <v>1510</v>
      </c>
    </row>
    <row r="1450" spans="1:14">
      <c r="A1450" t="s">
        <v>1373</v>
      </c>
      <c r="B1450" s="136" t="s">
        <v>391</v>
      </c>
      <c r="F1450" s="3" t="s">
        <v>396</v>
      </c>
      <c r="I1450" s="153">
        <f>0.086</f>
        <v>8.5999999999999993E-2</v>
      </c>
      <c r="J1450" s="3" t="s">
        <v>443</v>
      </c>
      <c r="L1450" s="3"/>
      <c r="M1450" s="153"/>
      <c r="N1450" s="3"/>
    </row>
    <row r="1451" spans="1:14">
      <c r="A1451" t="s">
        <v>1373</v>
      </c>
      <c r="B1451" s="137" t="s">
        <v>79</v>
      </c>
      <c r="C1451" t="s">
        <v>389</v>
      </c>
      <c r="D1451" s="5" t="s">
        <v>21</v>
      </c>
      <c r="E1451" s="70">
        <f>IF(B1451="","",INDEX(Ingredients!$I$1:$I$5013,(MATCH(InterventionCosts!B1451,Ingredients!$A$1:$A$5013,0))))</f>
        <v>9.3000000000000007</v>
      </c>
      <c r="F1451" s="5" t="str">
        <f>INDEX(Ingredients!J$1:J$265,(MATCH(InterventionCosts!B1451,Ingredients!A$1:A$265,0)))</f>
        <v>per test</v>
      </c>
      <c r="G1451">
        <f>IF(B1451="","",INDEX(Ingredients!$E$1:$E$238,(MATCH(InterventionCosts!B1451,Ingredients!A$1:A$238,0))))</f>
        <v>2024</v>
      </c>
      <c r="H1451" t="str">
        <f>INDEX(Ingredients!$F$1:$F$318,(MATCH(InterventionCosts!B1451,Ingredients!A$1:A$318,0)))</f>
        <v>https://www.treasury.gov.za/divisions/ocpo/ostb/contracts/RT41-2020.zip</v>
      </c>
      <c r="I1451" s="134">
        <f>1/(1-I1450)</f>
        <v>1.0940919037199124</v>
      </c>
      <c r="J1451" s="133" t="s">
        <v>394</v>
      </c>
      <c r="K1451" s="85">
        <f>I1451*E1451</f>
        <v>10.175054704595185</v>
      </c>
      <c r="L1451" s="3"/>
      <c r="M1451" s="3"/>
      <c r="N1451" s="3"/>
    </row>
    <row r="1452" spans="1:14">
      <c r="A1452" t="s">
        <v>1373</v>
      </c>
      <c r="B1452" s="137" t="s">
        <v>54</v>
      </c>
      <c r="C1452" t="s">
        <v>389</v>
      </c>
      <c r="D1452" t="s">
        <v>48</v>
      </c>
      <c r="E1452" s="70">
        <f>IF(B1452="","",INDEX(Ingredients!$I$1:$I$5013,(MATCH(InterventionCosts!B1452,Ingredients!$A$1:$A$5013,0))))</f>
        <v>1.2444366591928251</v>
      </c>
      <c r="F1452" s="5" t="str">
        <f>INDEX(Ingredients!J$1:J$265,(MATCH(InterventionCosts!B1452,Ingredients!A$1:A$265,0)))</f>
        <v>per minute</v>
      </c>
      <c r="G1452">
        <f>IF(B1452="","",INDEX(Ingredients!$E$1:$E$238,(MATCH(InterventionCosts!B1452,Ingredients!A$1:A$238,0))))</f>
        <v>2024</v>
      </c>
      <c r="H1452" t="str">
        <f>INDEX(Ingredients!$F$1:$F$318,(MATCH(InterventionCosts!B1452,Ingredients!A$1:A$318,0)))</f>
        <v xml:space="preserve">April 2024 Salary scale </v>
      </c>
      <c r="I1452" s="134">
        <f>15+1/(1-I1450)</f>
        <v>16.094091903719914</v>
      </c>
      <c r="J1452" s="133" t="s">
        <v>395</v>
      </c>
      <c r="K1452" s="85">
        <f>I1452*E1452</f>
        <v>20.028077961407504</v>
      </c>
      <c r="L1452"/>
    </row>
    <row r="1453" spans="1:14">
      <c r="A1453" t="s">
        <v>1373</v>
      </c>
      <c r="B1453" s="137" t="s">
        <v>1489</v>
      </c>
      <c r="C1453" t="s">
        <v>389</v>
      </c>
      <c r="D1453" s="5" t="s">
        <v>21</v>
      </c>
      <c r="E1453" s="70">
        <f>IF(B1453="","",INDEX(Ingredients!$I$1:$I$5013,(MATCH(InterventionCosts!B1453,Ingredients!$A$1:$A$5013,0))))</f>
        <v>53.08</v>
      </c>
      <c r="F1453" s="5" t="str">
        <f>INDEX(Ingredients!J$1:J$265,(MATCH(InterventionCosts!B1453,Ingredients!A$1:A$265,0)))</f>
        <v>per pack 100, 50 pairs</v>
      </c>
      <c r="G1453">
        <f>IF(B1453="","",INDEX(Ingredients!$E$1:$E$238,(MATCH(InterventionCosts!B1453,Ingredients!A$1:A$238,0))))</f>
        <v>2024</v>
      </c>
      <c r="H1453" t="str">
        <f>INDEX(Ingredients!$F$1:$F$318,(MATCH(InterventionCosts!B1453,Ingredients!A$1:A$318,0)))</f>
        <v>https://www.treasury.gov.za/divisions/ocpo/ostb/contracts/RT76-2023%20CPA%20Amendment%204-%20Effective%2001%20May%202024.pdf</v>
      </c>
      <c r="I1453" s="134">
        <f>2/100*(1/(1-I1450))</f>
        <v>2.1881838074398249E-2</v>
      </c>
      <c r="J1453" t="s">
        <v>1487</v>
      </c>
      <c r="K1453" s="85">
        <f>I1453*E1453</f>
        <v>1.161487964989059</v>
      </c>
      <c r="L1453"/>
    </row>
    <row r="1454" spans="1:14">
      <c r="A1454" t="s">
        <v>1373</v>
      </c>
      <c r="B1454" s="137" t="s">
        <v>31</v>
      </c>
      <c r="C1454" t="s">
        <v>389</v>
      </c>
      <c r="D1454" s="5" t="s">
        <v>21</v>
      </c>
      <c r="E1454" s="70">
        <f>IF(B1454="","",INDEX(Ingredients!$I$1:$I$5013,(MATCH(InterventionCosts!B1454,Ingredients!$A$1:$A$5013,0))))</f>
        <v>31.4</v>
      </c>
      <c r="F1454" s="5" t="str">
        <f>INDEX(Ingredients!J$1:J$265,(MATCH(InterventionCosts!B1454,Ingredients!A$1:A$265,0)))</f>
        <v>per 100 swabs</v>
      </c>
      <c r="G1454">
        <f>IF(B1454="","",INDEX(Ingredients!$E$1:$E$238,(MATCH(InterventionCosts!B1454,Ingredients!A$1:A$238,0))))</f>
        <v>2024</v>
      </c>
      <c r="H1454" t="str">
        <f>INDEX(Ingredients!$F$1:$F$318,(MATCH(InterventionCosts!B1454,Ingredients!A$1:A$318,0)))</f>
        <v xml:space="preserve">http://www.treasury.gov.za/divisions/ocpo/ostb/contracts/RT42-2022zip </v>
      </c>
      <c r="I1454" s="134">
        <f>1/100*(1/(1-I1450))</f>
        <v>1.0940919037199124E-2</v>
      </c>
      <c r="J1454" s="133" t="s">
        <v>394</v>
      </c>
      <c r="K1454" s="85">
        <f>I1454*E1454</f>
        <v>0.34354485776805249</v>
      </c>
      <c r="L1454"/>
    </row>
    <row r="1455" spans="1:14">
      <c r="A1455" t="s">
        <v>1373</v>
      </c>
      <c r="B1455" s="136" t="s">
        <v>392</v>
      </c>
      <c r="E1455" s="70"/>
      <c r="F1455" s="5"/>
    </row>
    <row r="1456" spans="1:14">
      <c r="A1456" t="s">
        <v>1373</v>
      </c>
      <c r="B1456" s="137" t="s">
        <v>79</v>
      </c>
      <c r="C1456" t="s">
        <v>389</v>
      </c>
      <c r="D1456" s="5" t="s">
        <v>21</v>
      </c>
      <c r="E1456" s="70">
        <f>IF(B1456="","",INDEX(Ingredients!$I$1:$I$5013,(MATCH(InterventionCosts!B1456,Ingredients!$A$1:$A$5013,0))))</f>
        <v>9.3000000000000007</v>
      </c>
      <c r="F1456" s="5" t="str">
        <f>INDEX(Ingredients!J$1:J$265,(MATCH(InterventionCosts!B1456,Ingredients!A$1:A$265,0)))</f>
        <v>per test</v>
      </c>
      <c r="G1456">
        <f>IF(B1456="","",INDEX(Ingredients!$E$1:$E$238,(MATCH(InterventionCosts!B1456,Ingredients!A$1:A$238,0))))</f>
        <v>2024</v>
      </c>
      <c r="H1456" t="str">
        <f>INDEX(Ingredients!$F$1:$F$318,(MATCH(InterventionCosts!B1456,Ingredients!A$1:A$318,0)))</f>
        <v>https://www.treasury.gov.za/divisions/ocpo/ostb/contracts/RT41-2020.zip</v>
      </c>
      <c r="I1456" s="134">
        <f>I1450</f>
        <v>8.5999999999999993E-2</v>
      </c>
      <c r="J1456" s="85" t="s">
        <v>396</v>
      </c>
      <c r="K1456" s="85">
        <f>I1456*E1456</f>
        <v>0.79979999999999996</v>
      </c>
      <c r="L1456"/>
      <c r="M1456" s="153"/>
      <c r="N1456" s="3"/>
    </row>
    <row r="1457" spans="1:14">
      <c r="A1457" t="s">
        <v>1373</v>
      </c>
      <c r="B1457" s="137" t="s">
        <v>54</v>
      </c>
      <c r="C1457" t="s">
        <v>389</v>
      </c>
      <c r="D1457" t="s">
        <v>48</v>
      </c>
      <c r="E1457" s="70">
        <f>IF(B1457="","",INDEX(Ingredients!$I$1:$I$5013,(MATCH(InterventionCosts!B1457,Ingredients!$A$1:$A$5013,0))))</f>
        <v>1.2444366591928251</v>
      </c>
      <c r="F1457" s="5" t="str">
        <f>INDEX(Ingredients!J$1:J$265,(MATCH(InterventionCosts!B1457,Ingredients!A$1:A$265,0)))</f>
        <v>per minute</v>
      </c>
      <c r="G1457">
        <f>IF(B1457="","",INDEX(Ingredients!$E$1:$E$238,(MATCH(InterventionCosts!B1457,Ingredients!A$1:A$238,0))))</f>
        <v>2024</v>
      </c>
      <c r="H1457" t="str">
        <f>INDEX(Ingredients!$F$1:$F$318,(MATCH(InterventionCosts!B1457,Ingredients!A$1:A$318,0)))</f>
        <v xml:space="preserve">April 2024 Salary scale </v>
      </c>
      <c r="I1457" s="134">
        <f>(15+1/(1-I1450))*I1450</f>
        <v>1.3840919037199124</v>
      </c>
      <c r="J1457" s="133" t="s">
        <v>395</v>
      </c>
      <c r="K1457" s="85">
        <f>I1457*E1457</f>
        <v>1.7224147046810452</v>
      </c>
      <c r="L1457"/>
      <c r="M1457" s="3"/>
      <c r="N1457" s="3"/>
    </row>
    <row r="1458" spans="1:14">
      <c r="A1458" t="s">
        <v>1373</v>
      </c>
      <c r="B1458" s="137" t="s">
        <v>1489</v>
      </c>
      <c r="C1458" t="s">
        <v>389</v>
      </c>
      <c r="D1458" s="5" t="s">
        <v>21</v>
      </c>
      <c r="E1458" s="70">
        <f>IF(B1458="","",INDEX(Ingredients!$I$1:$I$5013,(MATCH(InterventionCosts!B1458,Ingredients!$A$1:$A$5013,0))))</f>
        <v>53.08</v>
      </c>
      <c r="F1458" s="5" t="str">
        <f>INDEX(Ingredients!J$1:J$265,(MATCH(InterventionCosts!B1458,Ingredients!A$1:A$265,0)))</f>
        <v>per pack 100, 50 pairs</v>
      </c>
      <c r="G1458">
        <f>IF(B1458="","",INDEX(Ingredients!$E$1:$E$238,(MATCH(InterventionCosts!B1458,Ingredients!A$1:A$238,0))))</f>
        <v>2024</v>
      </c>
      <c r="H1458" t="str">
        <f>INDEX(Ingredients!$F$1:$F$318,(MATCH(InterventionCosts!B1458,Ingredients!A$1:A$318,0)))</f>
        <v>https://www.treasury.gov.za/divisions/ocpo/ostb/contracts/RT76-2023%20CPA%20Amendment%204-%20Effective%2001%20May%202024.pdf</v>
      </c>
      <c r="I1458">
        <f>2/100*I1450</f>
        <v>1.72E-3</v>
      </c>
      <c r="J1458" t="s">
        <v>1487</v>
      </c>
      <c r="K1458" s="85">
        <f>I1458*E1458</f>
        <v>9.1297599999999993E-2</v>
      </c>
      <c r="L1458"/>
    </row>
    <row r="1459" spans="1:14">
      <c r="A1459" t="s">
        <v>1373</v>
      </c>
      <c r="B1459" s="137" t="s">
        <v>31</v>
      </c>
      <c r="C1459" t="s">
        <v>389</v>
      </c>
      <c r="D1459" s="5" t="s">
        <v>21</v>
      </c>
      <c r="E1459" s="70">
        <f>IF(B1459="","",INDEX(Ingredients!$I$1:$I$5013,(MATCH(InterventionCosts!B1459,Ingredients!$A$1:$A$5013,0))))</f>
        <v>31.4</v>
      </c>
      <c r="F1459" s="5" t="str">
        <f>INDEX(Ingredients!J$1:J$265,(MATCH(InterventionCosts!B1459,Ingredients!A$1:A$265,0)))</f>
        <v>per 100 swabs</v>
      </c>
      <c r="G1459">
        <f>IF(B1459="","",INDEX(Ingredients!$E$1:$E$238,(MATCH(InterventionCosts!B1459,Ingredients!A$1:A$238,0))))</f>
        <v>2024</v>
      </c>
      <c r="H1459" t="str">
        <f>INDEX(Ingredients!$F$1:$F$318,(MATCH(InterventionCosts!B1459,Ingredients!A$1:A$318,0)))</f>
        <v xml:space="preserve">http://www.treasury.gov.za/divisions/ocpo/ostb/contracts/RT42-2022zip </v>
      </c>
      <c r="I1459" s="152">
        <f>1/100*I1450</f>
        <v>8.5999999999999998E-4</v>
      </c>
      <c r="J1459" s="133" t="s">
        <v>1477</v>
      </c>
      <c r="K1459" s="85">
        <f>I1459*E1459</f>
        <v>2.7003999999999997E-2</v>
      </c>
      <c r="L1459"/>
    </row>
    <row r="1460" spans="1:14">
      <c r="A1460" t="s">
        <v>1373</v>
      </c>
      <c r="B1460" s="136" t="s">
        <v>393</v>
      </c>
      <c r="F1460" s="5"/>
    </row>
    <row r="1461" spans="1:14">
      <c r="A1461" t="s">
        <v>1373</v>
      </c>
      <c r="B1461" s="137" t="s">
        <v>77</v>
      </c>
      <c r="C1461" t="s">
        <v>389</v>
      </c>
      <c r="D1461" t="s">
        <v>75</v>
      </c>
      <c r="E1461" s="70">
        <f>IF(B1461="","",INDEX(Ingredients!$I$1:$I$5013,(MATCH(InterventionCosts!B1461,Ingredients!$A$1:$A$5013,0))))</f>
        <v>71.889951748999991</v>
      </c>
      <c r="F1461" s="5" t="str">
        <f>INDEX(Ingredients!J$1:J$265,(MATCH(InterventionCosts!B1461,Ingredients!A$1:A$265,0)))</f>
        <v>per test</v>
      </c>
      <c r="G1461">
        <f>IF(B1461="","",INDEX(Ingredients!$E$1:$E$238,(MATCH(InterventionCosts!B1461,Ingredients!A$1:A$238,0))))</f>
        <v>2021</v>
      </c>
      <c r="H1461" t="str">
        <f>INDEX(Ingredients!$F$1:$F$318,(MATCH(InterventionCosts!B1461,Ingredients!A$1:A$318,0)))</f>
        <v>NHLS 2021 price-list</v>
      </c>
      <c r="I1461">
        <v>0.02</v>
      </c>
      <c r="J1461" s="85" t="s">
        <v>397</v>
      </c>
      <c r="K1461" s="85">
        <f>I1461*E1461</f>
        <v>1.4377990349799998</v>
      </c>
      <c r="L1461" s="85" t="s">
        <v>397</v>
      </c>
    </row>
    <row r="1462" spans="1:14">
      <c r="A1462" t="s">
        <v>1373</v>
      </c>
      <c r="B1462" s="137" t="s">
        <v>54</v>
      </c>
      <c r="C1462" t="s">
        <v>389</v>
      </c>
      <c r="D1462" t="s">
        <v>48</v>
      </c>
      <c r="E1462" s="70">
        <f>IF(B1462="","",INDEX(Ingredients!$I$1:$I$5013,(MATCH(InterventionCosts!B1462,Ingredients!$A$1:$A$5013,0))))</f>
        <v>1.2444366591928251</v>
      </c>
      <c r="F1462" s="5" t="str">
        <f>INDEX(Ingredients!J$1:J$265,(MATCH(InterventionCosts!B1462,Ingredients!A$1:A$265,0)))</f>
        <v>per minute</v>
      </c>
      <c r="G1462">
        <f>IF(B1462="","",INDEX(Ingredients!$E$1:$E$238,(MATCH(InterventionCosts!B1462,Ingredients!A$1:A$238,0))))</f>
        <v>2024</v>
      </c>
      <c r="H1462" t="str">
        <f>INDEX(Ingredients!$F$1:$F$318,(MATCH(InterventionCosts!B1462,Ingredients!A$1:A$318,0)))</f>
        <v xml:space="preserve">April 2024 Salary scale </v>
      </c>
      <c r="I1462">
        <f>15*0.02</f>
        <v>0.3</v>
      </c>
      <c r="J1462" s="133" t="s">
        <v>395</v>
      </c>
      <c r="K1462" s="85">
        <f>I1462*E1462</f>
        <v>0.3733309977578475</v>
      </c>
    </row>
    <row r="1463" spans="1:14">
      <c r="A1463" t="s">
        <v>1373</v>
      </c>
      <c r="B1463" s="137" t="s">
        <v>1489</v>
      </c>
      <c r="C1463" t="s">
        <v>389</v>
      </c>
      <c r="D1463" s="5" t="s">
        <v>21</v>
      </c>
      <c r="E1463" s="70">
        <f>IF(B1463="","",INDEX(Ingredients!$I$1:$I$5013,(MATCH(InterventionCosts!B1463,Ingredients!$A$1:$A$5013,0))))</f>
        <v>53.08</v>
      </c>
      <c r="F1463" s="5" t="str">
        <f>INDEX(Ingredients!J$1:J$265,(MATCH(InterventionCosts!B1463,Ingredients!A$1:A$265,0)))</f>
        <v>per pack 100, 50 pairs</v>
      </c>
      <c r="G1463">
        <f>IF(B1463="","",INDEX(Ingredients!$E$1:$E$238,(MATCH(InterventionCosts!B1463,Ingredients!A$1:A$238,0))))</f>
        <v>2024</v>
      </c>
      <c r="H1463" t="str">
        <f>INDEX(Ingredients!$F$1:$F$318,(MATCH(InterventionCosts!B1463,Ingredients!A$1:A$318,0)))</f>
        <v>https://www.treasury.gov.za/divisions/ocpo/ostb/contracts/RT76-2023%20CPA%20Amendment%204-%20Effective%2001%20May%202024.pdf</v>
      </c>
      <c r="I1463">
        <f>2/100*0.02</f>
        <v>4.0000000000000002E-4</v>
      </c>
      <c r="J1463" t="s">
        <v>1487</v>
      </c>
      <c r="K1463" s="85">
        <f>I1463*E1463</f>
        <v>2.1232000000000001E-2</v>
      </c>
    </row>
    <row r="1464" spans="1:14">
      <c r="A1464" t="s">
        <v>1373</v>
      </c>
      <c r="B1464" s="137" t="s">
        <v>45</v>
      </c>
      <c r="C1464" t="s">
        <v>389</v>
      </c>
      <c r="D1464" s="5" t="s">
        <v>21</v>
      </c>
      <c r="E1464" s="70">
        <f>IF(B1464="","",INDEX(Ingredients!$I$1:$I$5013,(MATCH(InterventionCosts!B1464,Ingredients!$A$1:$A$5013,0))))</f>
        <v>46</v>
      </c>
      <c r="F1464" s="5" t="str">
        <f>INDEX(Ingredients!J$1:J$265,(MATCH(InterventionCosts!B1464,Ingredients!A$1:A$265,0)))</f>
        <v>per pack 100</v>
      </c>
      <c r="G1464">
        <f>IF(B1464="","",INDEX(Ingredients!$E$1:$E$238,(MATCH(InterventionCosts!B1464,Ingredients!A$1:A$238,0))))</f>
        <v>2024</v>
      </c>
      <c r="H1464" t="str">
        <f>INDEX(Ingredients!$F$1:$F$318,(MATCH(InterventionCosts!B1464,Ingredients!A$1:A$318,0)))</f>
        <v>https://www.treasury.gov.za/divisions/ocpo/ostb/contracts/RT284-2023.zip</v>
      </c>
      <c r="I1464">
        <f>1/100*0.02</f>
        <v>2.0000000000000001E-4</v>
      </c>
      <c r="J1464" s="85" t="s">
        <v>397</v>
      </c>
      <c r="K1464" s="135">
        <f>I1464*E1464</f>
        <v>9.1999999999999998E-3</v>
      </c>
    </row>
    <row r="1465" spans="1:14">
      <c r="A1465" t="s">
        <v>1373</v>
      </c>
      <c r="B1465" s="137" t="s">
        <v>31</v>
      </c>
      <c r="C1465" t="s">
        <v>389</v>
      </c>
      <c r="D1465" s="5" t="s">
        <v>21</v>
      </c>
      <c r="E1465" s="70">
        <f>IF(B1465="","",INDEX(Ingredients!$I$1:$I$5013,(MATCH(InterventionCosts!B1465,Ingredients!$A$1:$A$5013,0))))</f>
        <v>31.4</v>
      </c>
      <c r="F1465" s="5" t="str">
        <f>INDEX(Ingredients!J$1:J$265,(MATCH(InterventionCosts!B1465,Ingredients!A$1:A$265,0)))</f>
        <v>per 100 swabs</v>
      </c>
      <c r="G1465">
        <f>IF(B1465="","",INDEX(Ingredients!$E$1:$E$238,(MATCH(InterventionCosts!B1465,Ingredients!A$1:A$238,0))))</f>
        <v>2024</v>
      </c>
      <c r="H1465" t="str">
        <f>INDEX(Ingredients!$F$1:$F$318,(MATCH(InterventionCosts!B1465,Ingredients!A$1:A$318,0)))</f>
        <v xml:space="preserve">http://www.treasury.gov.za/divisions/ocpo/ostb/contracts/RT42-2022zip </v>
      </c>
      <c r="I1465">
        <f>1/100*0.02</f>
        <v>2.0000000000000001E-4</v>
      </c>
      <c r="J1465" s="85" t="s">
        <v>397</v>
      </c>
      <c r="K1465" s="135">
        <f>I1465*E1465</f>
        <v>6.28E-3</v>
      </c>
    </row>
    <row r="1466" spans="1:14">
      <c r="A1466" t="s">
        <v>1373</v>
      </c>
      <c r="B1466" s="136" t="s">
        <v>398</v>
      </c>
    </row>
    <row r="1467" spans="1:14">
      <c r="A1467" t="s">
        <v>1373</v>
      </c>
      <c r="B1467" s="137" t="s">
        <v>354</v>
      </c>
      <c r="C1467" t="s">
        <v>389</v>
      </c>
      <c r="D1467" t="s">
        <v>48</v>
      </c>
      <c r="E1467" s="70">
        <f>IF(B1467="","",INDEX(Ingredients!$I$1:$I$5013,(MATCH(InterventionCosts!B1467,Ingredients!$A$1:$A$5013,0))))</f>
        <v>4.8996605630293981</v>
      </c>
      <c r="F1467" s="5" t="str">
        <f>INDEX(Ingredients!J$1:J$265,(MATCH(InterventionCosts!B1467,Ingredients!A$1:A$265,0)))</f>
        <v>per minute</v>
      </c>
      <c r="G1467">
        <f>IF(B1467="","",INDEX(Ingredients!$E$1:$E$238,(MATCH(InterventionCosts!B1467,Ingredients!A$1:A$238,0))))</f>
        <v>2024</v>
      </c>
      <c r="H1467" t="str">
        <f>INDEX(Ingredients!$F$1:$F$318,(MATCH(InterventionCosts!B1467,Ingredients!A$1:A$318,0)))</f>
        <v xml:space="preserve">April 2024 Salary scale </v>
      </c>
      <c r="I1467">
        <v>15</v>
      </c>
      <c r="J1467" s="133" t="s">
        <v>395</v>
      </c>
      <c r="K1467" s="85">
        <f>I1467*E1467</f>
        <v>73.49490844544097</v>
      </c>
    </row>
    <row r="1468" spans="1:14">
      <c r="A1468" t="s">
        <v>1373</v>
      </c>
      <c r="B1468" s="137" t="s">
        <v>400</v>
      </c>
      <c r="C1468" t="s">
        <v>389</v>
      </c>
      <c r="D1468" t="s">
        <v>75</v>
      </c>
      <c r="E1468" s="70">
        <f>IF(B1468="","",INDEX(Ingredients!$I$1:$I$5013,(MATCH(InterventionCosts!B1468,Ingredients!$A$1:$A$5013,0))))</f>
        <v>59.183820742199998</v>
      </c>
      <c r="F1468" s="5" t="str">
        <f>INDEX(Ingredients!J$1:J$265,(MATCH(InterventionCosts!B1468,Ingredients!A$1:A$265,0)))</f>
        <v>per test</v>
      </c>
      <c r="G1468">
        <f>IF(B1468="","",INDEX(Ingredients!$E$1:$E$238,(MATCH(InterventionCosts!B1468,Ingredients!A$1:A$238,0))))</f>
        <v>2021</v>
      </c>
      <c r="H1468" t="str">
        <f>INDEX(Ingredients!$F$1:$F$318,(MATCH(InterventionCosts!B1468,Ingredients!A$1:A$318,0)))</f>
        <v>NHLS 2021 price-list</v>
      </c>
      <c r="I1468">
        <v>1</v>
      </c>
      <c r="J1468" t="s">
        <v>403</v>
      </c>
      <c r="K1468" s="85">
        <f>I1468*E1468</f>
        <v>59.183820742199998</v>
      </c>
      <c r="L1468" s="151"/>
    </row>
    <row r="1469" spans="1:14">
      <c r="A1469" t="s">
        <v>1373</v>
      </c>
      <c r="B1469" s="136" t="s">
        <v>405</v>
      </c>
    </row>
    <row r="1470" spans="1:14">
      <c r="A1470" t="s">
        <v>1373</v>
      </c>
      <c r="B1470" s="137" t="s">
        <v>54</v>
      </c>
      <c r="C1470" t="s">
        <v>389</v>
      </c>
      <c r="D1470" t="s">
        <v>48</v>
      </c>
      <c r="E1470" s="70">
        <f>IF(B1470="","",INDEX(Ingredients!$I$1:$I$5013,(MATCH(InterventionCosts!B1470,Ingredients!$A$1:$A$5013,0))))</f>
        <v>1.2444366591928251</v>
      </c>
      <c r="F1470" s="5" t="str">
        <f>INDEX(Ingredients!J$1:J$265,(MATCH(InterventionCosts!B1470,Ingredients!A$1:A$265,0)))</f>
        <v>per minute</v>
      </c>
      <c r="G1470">
        <f>IF(B1470="","",INDEX(Ingredients!$E$1:$E$238,(MATCH(InterventionCosts!B1470,Ingredients!A$1:A$238,0))))</f>
        <v>2024</v>
      </c>
      <c r="H1470" t="str">
        <f>INDEX(Ingredients!$F$1:$F$318,(MATCH(InterventionCosts!B1470,Ingredients!A$1:A$318,0)))</f>
        <v xml:space="preserve">April 2024 Salary scale </v>
      </c>
      <c r="I1470">
        <v>5</v>
      </c>
      <c r="J1470" t="s">
        <v>1476</v>
      </c>
      <c r="K1470" s="85">
        <f>I1470*E1470</f>
        <v>6.2221832959641254</v>
      </c>
    </row>
    <row r="1471" spans="1:14">
      <c r="A1471" t="s">
        <v>1373</v>
      </c>
      <c r="B1471" s="139" t="s">
        <v>407</v>
      </c>
      <c r="C1471" t="s">
        <v>389</v>
      </c>
      <c r="D1471" t="s">
        <v>75</v>
      </c>
      <c r="E1471" s="70">
        <f>IF(B1471="","",INDEX(Ingredients!$I$1:$I$5013,(MATCH(InterventionCosts!B1471,Ingredients!$A$1:$A$5013,0))))</f>
        <v>11.96</v>
      </c>
      <c r="F1471" s="5" t="str">
        <f>INDEX(Ingredients!J$1:J$265,(MATCH(InterventionCosts!B1471,Ingredients!A$1:A$265,0)))</f>
        <v>per test</v>
      </c>
      <c r="G1471">
        <f>IF(B1471="","",INDEX(Ingredients!$E$1:$E$238,(MATCH(InterventionCosts!B1471,Ingredients!A$1:A$238,0))))</f>
        <v>2024</v>
      </c>
      <c r="H1471" t="str">
        <f>INDEX(Ingredients!$F$1:$F$318,(MATCH(InterventionCosts!B1471,Ingredients!A$1:A$318,0)))</f>
        <v>https://www.treasury.gov.za/divisions/ocpo/ostb/contracts/RT41-1-2020%20CPA%20Addendum%205.pdf</v>
      </c>
      <c r="I1471">
        <v>1</v>
      </c>
      <c r="J1471" t="s">
        <v>1472</v>
      </c>
      <c r="K1471" s="85">
        <f>I1471*E1471</f>
        <v>11.96</v>
      </c>
    </row>
    <row r="1472" spans="1:14">
      <c r="A1472" t="s">
        <v>1373</v>
      </c>
      <c r="B1472" s="136" t="s">
        <v>411</v>
      </c>
      <c r="E1472" s="70"/>
      <c r="F1472" s="5"/>
    </row>
    <row r="1473" spans="1:11">
      <c r="A1473" t="s">
        <v>1373</v>
      </c>
      <c r="B1473" s="137" t="s">
        <v>449</v>
      </c>
      <c r="C1473" t="s">
        <v>389</v>
      </c>
      <c r="D1473" t="s">
        <v>70</v>
      </c>
      <c r="E1473" s="70">
        <f>IF(B1473="","",INDEX(Ingredients!$I$1:$I$5013,(MATCH(InterventionCosts!B1473,Ingredients!$A$1:$A$5013,0))))</f>
        <v>535.00106288275867</v>
      </c>
      <c r="F1473" s="5" t="str">
        <f>INDEX(Ingredients!J$1:J$265,(MATCH(InterventionCosts!B1473,Ingredients!A$1:A$265,0)))</f>
        <v>per injection</v>
      </c>
      <c r="G1473">
        <f>IF(B1473="","",INDEX(Ingredients!$E$1:$E$238,(MATCH(InterventionCosts!B1473,Ingredients!A$1:A$238,0))))</f>
        <v>2024</v>
      </c>
      <c r="H1473" t="str">
        <f>INDEX(Ingredients!$F$1:$F$318,(MATCH(InterventionCosts!B1473,Ingredients!A$1:A$318,0)))</f>
        <v>24.50 GBP (email from Hasina, official letter from GSK), 1 GBP = 1.22 USD (on 02 Nov 2023)</v>
      </c>
      <c r="I1473">
        <v>1</v>
      </c>
      <c r="J1473" t="s">
        <v>1472</v>
      </c>
      <c r="K1473" s="85">
        <f>I1473*E1473</f>
        <v>535.00106288275867</v>
      </c>
    </row>
    <row r="1474" spans="1:11">
      <c r="A1474" t="s">
        <v>1373</v>
      </c>
      <c r="B1474" s="137" t="s">
        <v>354</v>
      </c>
      <c r="C1474" t="s">
        <v>389</v>
      </c>
      <c r="D1474" t="s">
        <v>48</v>
      </c>
      <c r="E1474" s="70">
        <f>IF(B1474="","",INDEX(Ingredients!$I$1:$I$5013,(MATCH(InterventionCosts!B1474,Ingredients!$A$1:$A$5013,0))))</f>
        <v>4.8996605630293981</v>
      </c>
      <c r="F1474" s="5" t="str">
        <f>INDEX(Ingredients!J$1:J$265,(MATCH(InterventionCosts!B1474,Ingredients!A$1:A$265,0)))</f>
        <v>per minute</v>
      </c>
      <c r="G1474">
        <f>IF(B1474="","",INDEX(Ingredients!$E$1:$E$238,(MATCH(InterventionCosts!B1474,Ingredients!A$1:A$238,0))))</f>
        <v>2024</v>
      </c>
      <c r="H1474" t="str">
        <f>INDEX(Ingredients!$F$1:$F$318,(MATCH(InterventionCosts!B1474,Ingredients!A$1:A$318,0)))</f>
        <v xml:space="preserve">April 2024 Salary scale </v>
      </c>
      <c r="I1474">
        <v>5</v>
      </c>
      <c r="J1474" s="133" t="s">
        <v>395</v>
      </c>
      <c r="K1474" s="85">
        <f>I1474*E1474</f>
        <v>24.498302815146992</v>
      </c>
    </row>
    <row r="1475" spans="1:11">
      <c r="A1475" t="s">
        <v>1373</v>
      </c>
      <c r="B1475" s="137" t="s">
        <v>45</v>
      </c>
      <c r="C1475" t="s">
        <v>389</v>
      </c>
      <c r="D1475" s="5" t="s">
        <v>21</v>
      </c>
      <c r="E1475" s="70">
        <f>IF(B1475="","",INDEX(Ingredients!$I$1:$I$5013,(MATCH(InterventionCosts!B1475,Ingredients!$A$1:$A$5013,0))))</f>
        <v>46</v>
      </c>
      <c r="F1475" s="5" t="str">
        <f>INDEX(Ingredients!J$1:J$265,(MATCH(InterventionCosts!B1475,Ingredients!A$1:A$265,0)))</f>
        <v>per pack 100</v>
      </c>
      <c r="G1475">
        <f>IF(B1475="","",INDEX(Ingredients!$E$1:$E$238,(MATCH(InterventionCosts!B1475,Ingredients!A$1:A$238,0))))</f>
        <v>2024</v>
      </c>
      <c r="H1475" t="str">
        <f>INDEX(Ingredients!$F$1:$F$318,(MATCH(InterventionCosts!B1475,Ingredients!A$1:A$318,0)))</f>
        <v>https://www.treasury.gov.za/divisions/ocpo/ostb/contracts/RT284-2023.zip</v>
      </c>
      <c r="I1475">
        <f>1/100</f>
        <v>0.01</v>
      </c>
      <c r="J1475" s="133" t="s">
        <v>1486</v>
      </c>
      <c r="K1475" s="85">
        <f>I1475*E1475</f>
        <v>0.46</v>
      </c>
    </row>
    <row r="1476" spans="1:11">
      <c r="A1476" t="s">
        <v>1373</v>
      </c>
      <c r="B1476" s="137" t="s">
        <v>31</v>
      </c>
      <c r="C1476" t="s">
        <v>389</v>
      </c>
      <c r="D1476" s="5" t="s">
        <v>21</v>
      </c>
      <c r="E1476" s="70">
        <f>IF(B1476="","",INDEX(Ingredients!$I$1:$I$5013,(MATCH(InterventionCosts!B1476,Ingredients!$A$1:$A$5013,0))))</f>
        <v>31.4</v>
      </c>
      <c r="F1476" s="5" t="str">
        <f>INDEX(Ingredients!J$1:J$265,(MATCH(InterventionCosts!B1476,Ingredients!A$1:A$265,0)))</f>
        <v>per 100 swabs</v>
      </c>
      <c r="G1476">
        <f>IF(B1476="","",INDEX(Ingredients!$E$1:$E$238,(MATCH(InterventionCosts!B1476,Ingredients!A$1:A$238,0))))</f>
        <v>2024</v>
      </c>
      <c r="H1476" t="str">
        <f>INDEX(Ingredients!$F$1:$F$318,(MATCH(InterventionCosts!B1476,Ingredients!A$1:A$318,0)))</f>
        <v xml:space="preserve">http://www.treasury.gov.za/divisions/ocpo/ostb/contracts/RT42-2022zip </v>
      </c>
      <c r="I1476">
        <f>1/100</f>
        <v>0.01</v>
      </c>
      <c r="J1476" t="s">
        <v>1485</v>
      </c>
      <c r="K1476" s="85">
        <f>I1476*E1476</f>
        <v>0.314</v>
      </c>
    </row>
    <row r="1477" spans="1:11">
      <c r="A1477" t="s">
        <v>1373</v>
      </c>
      <c r="B1477" s="144" t="s">
        <v>451</v>
      </c>
      <c r="C1477" s="141"/>
      <c r="D1477" s="141"/>
      <c r="E1477" s="142"/>
      <c r="F1477" s="141"/>
      <c r="G1477" s="141"/>
      <c r="H1477" s="141"/>
      <c r="I1477" s="141"/>
      <c r="J1477" s="141"/>
      <c r="K1477" s="143"/>
    </row>
    <row r="1478" spans="1:11">
      <c r="A1478" t="s">
        <v>1373</v>
      </c>
      <c r="B1478" s="136" t="s">
        <v>411</v>
      </c>
    </row>
    <row r="1479" spans="1:11">
      <c r="A1479" t="s">
        <v>1373</v>
      </c>
      <c r="B1479" s="137" t="s">
        <v>449</v>
      </c>
      <c r="C1479" t="s">
        <v>389</v>
      </c>
      <c r="D1479" t="s">
        <v>70</v>
      </c>
      <c r="E1479" s="70">
        <f>IF(B1479="","",INDEX(Ingredients!$I$1:$I$5013,(MATCH(InterventionCosts!B1479,Ingredients!$A$1:$A$5013,0))))</f>
        <v>535.00106288275867</v>
      </c>
      <c r="F1479" s="5" t="str">
        <f>INDEX(Ingredients!J$1:J$265,(MATCH(InterventionCosts!B1479,Ingredients!A$1:A$265,0)))</f>
        <v>per injection</v>
      </c>
      <c r="G1479">
        <f>IF(B1479="","",INDEX(Ingredients!$E$1:$E$238,(MATCH(InterventionCosts!B1479,Ingredients!A$1:A$238,0))))</f>
        <v>2024</v>
      </c>
      <c r="H1479" t="str">
        <f>INDEX(Ingredients!$F$1:$F$318,(MATCH(InterventionCosts!B1479,Ingredients!A$1:A$318,0)))</f>
        <v>24.50 GBP (email from Hasina, official letter from GSK), 1 GBP = 1.22 USD (on 02 Nov 2023)</v>
      </c>
      <c r="I1479">
        <v>1</v>
      </c>
      <c r="J1479" t="s">
        <v>1476</v>
      </c>
      <c r="K1479" s="85">
        <f>I1479*E1479</f>
        <v>535.00106288275867</v>
      </c>
    </row>
    <row r="1480" spans="1:11">
      <c r="A1480" t="s">
        <v>1373</v>
      </c>
      <c r="B1480" s="137" t="s">
        <v>354</v>
      </c>
      <c r="C1480" t="s">
        <v>389</v>
      </c>
      <c r="D1480" t="s">
        <v>48</v>
      </c>
      <c r="E1480" s="70">
        <f>IF(B1480="","",INDEX(Ingredients!$I$1:$I$5013,(MATCH(InterventionCosts!B1480,Ingredients!$A$1:$A$5013,0))))</f>
        <v>4.8996605630293981</v>
      </c>
      <c r="F1480" s="5" t="str">
        <f>INDEX(Ingredients!J$1:J$265,(MATCH(InterventionCosts!B1480,Ingredients!A$1:A$265,0)))</f>
        <v>per minute</v>
      </c>
      <c r="G1480">
        <f>IF(B1480="","",INDEX(Ingredients!$E$1:$E$238,(MATCH(InterventionCosts!B1480,Ingredients!A$1:A$238,0))))</f>
        <v>2024</v>
      </c>
      <c r="H1480" t="str">
        <f>INDEX(Ingredients!$F$1:$F$318,(MATCH(InterventionCosts!B1480,Ingredients!A$1:A$318,0)))</f>
        <v xml:space="preserve">April 2024 Salary scale </v>
      </c>
      <c r="I1480">
        <v>5</v>
      </c>
      <c r="J1480" t="s">
        <v>1476</v>
      </c>
      <c r="K1480" s="85">
        <f>I1480*E1480</f>
        <v>24.498302815146992</v>
      </c>
    </row>
    <row r="1481" spans="1:11">
      <c r="A1481" t="s">
        <v>1373</v>
      </c>
      <c r="B1481" s="137" t="s">
        <v>54</v>
      </c>
      <c r="C1481" t="s">
        <v>389</v>
      </c>
      <c r="D1481" t="s">
        <v>48</v>
      </c>
      <c r="E1481" s="70">
        <f>IF(B1481="","",INDEX(Ingredients!$I$1:$I$5013,(MATCH(InterventionCosts!B1481,Ingredients!$A$1:$A$5013,0))))</f>
        <v>1.2444366591928251</v>
      </c>
      <c r="F1481" s="5" t="str">
        <f>INDEX(Ingredients!J$1:J$265,(MATCH(InterventionCosts!B1481,Ingredients!A$1:A$265,0)))</f>
        <v>per minute</v>
      </c>
      <c r="G1481">
        <f>IF(B1481="","",INDEX(Ingredients!$E$1:$E$238,(MATCH(InterventionCosts!B1481,Ingredients!A$1:A$238,0))))</f>
        <v>2024</v>
      </c>
      <c r="H1481" t="str">
        <f>INDEX(Ingredients!$F$1:$F$318,(MATCH(InterventionCosts!B1481,Ingredients!A$1:A$318,0)))</f>
        <v xml:space="preserve">April 2024 Salary scale </v>
      </c>
      <c r="I1481">
        <v>10</v>
      </c>
      <c r="J1481" t="s">
        <v>1476</v>
      </c>
      <c r="K1481" s="85">
        <f>I1481*E1481</f>
        <v>12.444366591928251</v>
      </c>
    </row>
    <row r="1482" spans="1:11">
      <c r="A1482" t="s">
        <v>1373</v>
      </c>
      <c r="B1482" s="137" t="s">
        <v>45</v>
      </c>
      <c r="C1482" t="s">
        <v>389</v>
      </c>
      <c r="D1482" s="5" t="s">
        <v>21</v>
      </c>
      <c r="E1482" s="70">
        <f>IF(B1482="","",INDEX(Ingredients!$I$1:$I$5013,(MATCH(InterventionCosts!B1482,Ingredients!$A$1:$A$5013,0))))</f>
        <v>46</v>
      </c>
      <c r="F1482" s="5" t="str">
        <f>INDEX(Ingredients!J$1:J$265,(MATCH(InterventionCosts!B1482,Ingredients!A$1:A$265,0)))</f>
        <v>per pack 100</v>
      </c>
      <c r="G1482">
        <f>IF(B1482="","",INDEX(Ingredients!$E$1:$E$238,(MATCH(InterventionCosts!B1482,Ingredients!A$1:A$238,0))))</f>
        <v>2024</v>
      </c>
      <c r="H1482" t="str">
        <f>INDEX(Ingredients!$F$1:$F$318,(MATCH(InterventionCosts!B1482,Ingredients!A$1:A$318,0)))</f>
        <v>https://www.treasury.gov.za/divisions/ocpo/ostb/contracts/RT284-2023.zip</v>
      </c>
      <c r="I1482">
        <f>1/100</f>
        <v>0.01</v>
      </c>
      <c r="J1482" t="s">
        <v>1476</v>
      </c>
      <c r="K1482" s="85">
        <f>I1482*E1482</f>
        <v>0.46</v>
      </c>
    </row>
    <row r="1483" spans="1:11">
      <c r="A1483" t="s">
        <v>1373</v>
      </c>
      <c r="B1483" s="137" t="s">
        <v>31</v>
      </c>
      <c r="C1483" t="s">
        <v>389</v>
      </c>
      <c r="D1483" s="5" t="s">
        <v>21</v>
      </c>
      <c r="E1483" s="70">
        <f>IF(B1483="","",INDEX(Ingredients!$I$1:$I$5013,(MATCH(InterventionCosts!B1483,Ingredients!$A$1:$A$5013,0))))</f>
        <v>31.4</v>
      </c>
      <c r="F1483" s="5" t="str">
        <f>INDEX(Ingredients!J$1:J$265,(MATCH(InterventionCosts!B1483,Ingredients!A$1:A$265,0)))</f>
        <v>per 100 swabs</v>
      </c>
      <c r="G1483">
        <f>IF(B1483="","",INDEX(Ingredients!$E$1:$E$238,(MATCH(InterventionCosts!B1483,Ingredients!A$1:A$238,0))))</f>
        <v>2024</v>
      </c>
      <c r="H1483" t="str">
        <f>INDEX(Ingredients!$F$1:$F$318,(MATCH(InterventionCosts!B1483,Ingredients!A$1:A$318,0)))</f>
        <v xml:space="preserve">http://www.treasury.gov.za/divisions/ocpo/ostb/contracts/RT42-2022zip </v>
      </c>
      <c r="I1483">
        <f>1/100</f>
        <v>0.01</v>
      </c>
      <c r="J1483" t="s">
        <v>1485</v>
      </c>
      <c r="K1483" s="85">
        <f>I1483*E1483</f>
        <v>0.314</v>
      </c>
    </row>
    <row r="1484" spans="1:11">
      <c r="A1484" t="s">
        <v>1373</v>
      </c>
      <c r="B1484" s="136" t="s">
        <v>391</v>
      </c>
    </row>
    <row r="1485" spans="1:11">
      <c r="A1485" t="s">
        <v>1373</v>
      </c>
      <c r="B1485" s="137" t="s">
        <v>79</v>
      </c>
      <c r="C1485" t="s">
        <v>389</v>
      </c>
      <c r="D1485" s="5" t="s">
        <v>21</v>
      </c>
      <c r="E1485" s="70">
        <f>IF(B1485="","",INDEX(Ingredients!$I$1:$I$5013,(MATCH(InterventionCosts!B1485,Ingredients!$A$1:$A$5013,0))))</f>
        <v>9.3000000000000007</v>
      </c>
      <c r="F1485" s="5" t="str">
        <f>INDEX(Ingredients!J$1:J$265,(MATCH(InterventionCosts!B1485,Ingredients!A$1:A$265,0)))</f>
        <v>per test</v>
      </c>
      <c r="G1485">
        <f>IF(B1485="","",INDEX(Ingredients!$E$1:$E$238,(MATCH(InterventionCosts!B1485,Ingredients!A$1:A$238,0))))</f>
        <v>2024</v>
      </c>
      <c r="H1485" t="str">
        <f>INDEX(Ingredients!$F$1:$F$318,(MATCH(InterventionCosts!B1485,Ingredients!A$1:A$318,0)))</f>
        <v>https://www.treasury.gov.za/divisions/ocpo/ostb/contracts/RT41-2020.zip</v>
      </c>
      <c r="I1485">
        <v>1</v>
      </c>
      <c r="J1485" t="s">
        <v>1486</v>
      </c>
      <c r="K1485" s="85">
        <f>I1485*E1485</f>
        <v>9.3000000000000007</v>
      </c>
    </row>
    <row r="1486" spans="1:11">
      <c r="A1486" t="s">
        <v>1373</v>
      </c>
      <c r="B1486" s="137" t="s">
        <v>54</v>
      </c>
      <c r="C1486" t="s">
        <v>389</v>
      </c>
      <c r="D1486" t="s">
        <v>48</v>
      </c>
      <c r="E1486" s="70">
        <f>IF(B1486="","",INDEX(Ingredients!$I$1:$I$5013,(MATCH(InterventionCosts!B1486,Ingredients!$A$1:$A$5013,0))))</f>
        <v>1.2444366591928251</v>
      </c>
      <c r="F1486" s="5" t="str">
        <f>INDEX(Ingredients!J$1:J$265,(MATCH(InterventionCosts!B1486,Ingredients!A$1:A$265,0)))</f>
        <v>per minute</v>
      </c>
      <c r="G1486">
        <f>IF(B1486="","",INDEX(Ingredients!$E$1:$E$238,(MATCH(InterventionCosts!B1486,Ingredients!A$1:A$238,0))))</f>
        <v>2024</v>
      </c>
      <c r="H1486" t="str">
        <f>INDEX(Ingredients!$F$1:$F$318,(MATCH(InterventionCosts!B1486,Ingredients!A$1:A$318,0)))</f>
        <v xml:space="preserve">April 2024 Salary scale </v>
      </c>
      <c r="I1486">
        <v>15</v>
      </c>
      <c r="J1486" s="133" t="s">
        <v>395</v>
      </c>
      <c r="K1486" s="85">
        <f>I1486*E1486</f>
        <v>18.666549887892376</v>
      </c>
    </row>
    <row r="1487" spans="1:11">
      <c r="A1487" t="s">
        <v>1373</v>
      </c>
      <c r="B1487" s="137" t="s">
        <v>1489</v>
      </c>
      <c r="C1487" t="s">
        <v>389</v>
      </c>
      <c r="D1487" s="5" t="s">
        <v>21</v>
      </c>
      <c r="E1487" s="70">
        <f>IF(B1487="","",INDEX(Ingredients!$I$1:$I$5013,(MATCH(InterventionCosts!B1487,Ingredients!$A$1:$A$5013,0))))</f>
        <v>53.08</v>
      </c>
      <c r="F1487" s="5" t="str">
        <f>INDEX(Ingredients!J$1:J$265,(MATCH(InterventionCosts!B1487,Ingredients!A$1:A$265,0)))</f>
        <v>per pack 100, 50 pairs</v>
      </c>
      <c r="G1487">
        <f>IF(B1487="","",INDEX(Ingredients!$E$1:$E$238,(MATCH(InterventionCosts!B1487,Ingredients!A$1:A$238,0))))</f>
        <v>2024</v>
      </c>
      <c r="H1487" t="str">
        <f>INDEX(Ingredients!$F$1:$F$318,(MATCH(InterventionCosts!B1487,Ingredients!A$1:A$318,0)))</f>
        <v>https://www.treasury.gov.za/divisions/ocpo/ostb/contracts/RT76-2023%20CPA%20Amendment%204-%20Effective%2001%20May%202024.pdf</v>
      </c>
      <c r="I1487">
        <f>2/100</f>
        <v>0.02</v>
      </c>
      <c r="J1487" t="s">
        <v>1487</v>
      </c>
      <c r="K1487" s="85">
        <f>I1487*E1487</f>
        <v>1.0615999999999999</v>
      </c>
    </row>
    <row r="1488" spans="1:11">
      <c r="A1488" t="s">
        <v>1373</v>
      </c>
      <c r="B1488" s="137" t="s">
        <v>31</v>
      </c>
      <c r="C1488" t="s">
        <v>389</v>
      </c>
      <c r="D1488" s="5" t="s">
        <v>21</v>
      </c>
      <c r="E1488" s="70">
        <f>IF(B1488="","",INDEX(Ingredients!$I$1:$I$5013,(MATCH(InterventionCosts!B1488,Ingredients!$A$1:$A$5013,0))))</f>
        <v>31.4</v>
      </c>
      <c r="F1488" s="5" t="str">
        <f>INDEX(Ingredients!J$1:J$265,(MATCH(InterventionCosts!B1488,Ingredients!A$1:A$265,0)))</f>
        <v>per 100 swabs</v>
      </c>
      <c r="G1488">
        <f>IF(B1488="","",INDEX(Ingredients!$E$1:$E$238,(MATCH(InterventionCosts!B1488,Ingredients!A$1:A$238,0))))</f>
        <v>2024</v>
      </c>
      <c r="H1488" t="str">
        <f>INDEX(Ingredients!$F$1:$F$318,(MATCH(InterventionCosts!B1488,Ingredients!A$1:A$318,0)))</f>
        <v xml:space="preserve">http://www.treasury.gov.za/divisions/ocpo/ostb/contracts/RT42-2022zip </v>
      </c>
      <c r="I1488">
        <f>1/100</f>
        <v>0.01</v>
      </c>
      <c r="J1488" t="s">
        <v>1485</v>
      </c>
      <c r="K1488" s="85">
        <f>I1488*E1488</f>
        <v>0.314</v>
      </c>
    </row>
    <row r="1489" spans="1:12">
      <c r="A1489" t="s">
        <v>1373</v>
      </c>
      <c r="B1489" s="136" t="s">
        <v>392</v>
      </c>
      <c r="E1489" s="70"/>
      <c r="F1489" s="3" t="s">
        <v>413</v>
      </c>
      <c r="I1489" s="3">
        <v>1.0332194970506053E-2</v>
      </c>
      <c r="J1489" s="3" t="s">
        <v>443</v>
      </c>
    </row>
    <row r="1490" spans="1:12">
      <c r="A1490" t="s">
        <v>1373</v>
      </c>
      <c r="B1490" s="137" t="s">
        <v>79</v>
      </c>
      <c r="C1490" t="s">
        <v>389</v>
      </c>
      <c r="D1490" s="5" t="s">
        <v>21</v>
      </c>
      <c r="E1490" s="70">
        <f>IF(B1490="","",INDEX(Ingredients!$I$1:$I$5013,(MATCH(InterventionCosts!B1490,Ingredients!$A$1:$A$5013,0))))</f>
        <v>9.3000000000000007</v>
      </c>
      <c r="F1490" s="5" t="str">
        <f>INDEX(Ingredients!J$1:J$265,(MATCH(InterventionCosts!B1490,Ingredients!A$1:A$265,0)))</f>
        <v>per test</v>
      </c>
      <c r="G1490">
        <f>IF(B1490="","",INDEX(Ingredients!$E$1:$E$238,(MATCH(InterventionCosts!B1490,Ingredients!A$1:A$238,0))))</f>
        <v>2024</v>
      </c>
      <c r="H1490" t="str">
        <f>INDEX(Ingredients!$F$1:$F$318,(MATCH(InterventionCosts!B1490,Ingredients!A$1:A$318,0)))</f>
        <v>https://www.treasury.gov.za/divisions/ocpo/ostb/contracts/RT41-2020.zip</v>
      </c>
      <c r="I1490">
        <f>I1489</f>
        <v>1.0332194970506053E-2</v>
      </c>
      <c r="J1490" t="s">
        <v>413</v>
      </c>
      <c r="K1490" s="85">
        <f>I1490*E1490</f>
        <v>9.6089413225706299E-2</v>
      </c>
    </row>
    <row r="1491" spans="1:12">
      <c r="A1491" t="s">
        <v>1373</v>
      </c>
      <c r="B1491" s="137" t="s">
        <v>54</v>
      </c>
      <c r="C1491" t="s">
        <v>389</v>
      </c>
      <c r="D1491" t="s">
        <v>48</v>
      </c>
      <c r="E1491" s="70">
        <f>IF(B1491="","",INDEX(Ingredients!$I$1:$I$5013,(MATCH(InterventionCosts!B1491,Ingredients!$A$1:$A$5013,0))))</f>
        <v>1.2444366591928251</v>
      </c>
      <c r="F1491" s="5" t="str">
        <f>INDEX(Ingredients!J$1:J$265,(MATCH(InterventionCosts!B1491,Ingredients!A$1:A$265,0)))</f>
        <v>per minute</v>
      </c>
      <c r="G1491">
        <f>IF(B1491="","",INDEX(Ingredients!$E$1:$E$238,(MATCH(InterventionCosts!B1491,Ingredients!A$1:A$238,0))))</f>
        <v>2024</v>
      </c>
      <c r="H1491" t="str">
        <f>INDEX(Ingredients!$F$1:$F$318,(MATCH(InterventionCosts!B1491,Ingredients!A$1:A$318,0)))</f>
        <v xml:space="preserve">April 2024 Salary scale </v>
      </c>
      <c r="I1491">
        <f>(15+1/(1-I1489))*I1489</f>
        <v>0.1654229883022108</v>
      </c>
      <c r="J1491" s="133" t="s">
        <v>414</v>
      </c>
      <c r="K1491" s="85">
        <f>I1491*E1491</f>
        <v>0.205858430916497</v>
      </c>
    </row>
    <row r="1492" spans="1:12">
      <c r="A1492" t="s">
        <v>1373</v>
      </c>
      <c r="B1492" s="137" t="s">
        <v>1489</v>
      </c>
      <c r="C1492" t="s">
        <v>389</v>
      </c>
      <c r="D1492" s="5" t="s">
        <v>21</v>
      </c>
      <c r="E1492" s="70">
        <f>IF(B1492="","",INDEX(Ingredients!$I$1:$I$5013,(MATCH(InterventionCosts!B1492,Ingredients!$A$1:$A$5013,0))))</f>
        <v>53.08</v>
      </c>
      <c r="F1492" s="5" t="str">
        <f>INDEX(Ingredients!J$1:J$265,(MATCH(InterventionCosts!B1492,Ingredients!A$1:A$265,0)))</f>
        <v>per pack 100, 50 pairs</v>
      </c>
      <c r="G1492">
        <f>IF(B1492="","",INDEX(Ingredients!$E$1:$E$238,(MATCH(InterventionCosts!B1492,Ingredients!A$1:A$238,0))))</f>
        <v>2024</v>
      </c>
      <c r="H1492" t="str">
        <f>INDEX(Ingredients!$F$1:$F$318,(MATCH(InterventionCosts!B1492,Ingredients!A$1:A$318,0)))</f>
        <v>https://www.treasury.gov.za/divisions/ocpo/ostb/contracts/RT76-2023%20CPA%20Amendment%204-%20Effective%2001%20May%202024.pdf</v>
      </c>
      <c r="I1492">
        <f>2/100*I1489</f>
        <v>2.0664389941012107E-4</v>
      </c>
      <c r="J1492" t="s">
        <v>1487</v>
      </c>
      <c r="K1492" s="85">
        <f>I1492*E1492</f>
        <v>1.0968658180689227E-2</v>
      </c>
    </row>
    <row r="1493" spans="1:12">
      <c r="A1493" t="s">
        <v>1373</v>
      </c>
      <c r="B1493" s="137" t="s">
        <v>31</v>
      </c>
      <c r="C1493" t="s">
        <v>389</v>
      </c>
      <c r="D1493" s="5" t="s">
        <v>21</v>
      </c>
      <c r="E1493" s="70">
        <f>IF(B1493="","",INDEX(Ingredients!$I$1:$I$5013,(MATCH(InterventionCosts!B1493,Ingredients!$A$1:$A$5013,0))))</f>
        <v>31.4</v>
      </c>
      <c r="F1493" s="5" t="str">
        <f>INDEX(Ingredients!J$1:J$265,(MATCH(InterventionCosts!B1493,Ingredients!A$1:A$265,0)))</f>
        <v>per 100 swabs</v>
      </c>
      <c r="G1493">
        <f>IF(B1493="","",INDEX(Ingredients!$E$1:$E$238,(MATCH(InterventionCosts!B1493,Ingredients!A$1:A$238,0))))</f>
        <v>2024</v>
      </c>
      <c r="H1493" t="str">
        <f>INDEX(Ingredients!$F$1:$F$318,(MATCH(InterventionCosts!B1493,Ingredients!A$1:A$318,0)))</f>
        <v xml:space="preserve">http://www.treasury.gov.za/divisions/ocpo/ostb/contracts/RT42-2022zip </v>
      </c>
      <c r="I1493">
        <f>1/100*I1489</f>
        <v>1.0332194970506053E-4</v>
      </c>
      <c r="J1493" t="s">
        <v>1486</v>
      </c>
      <c r="K1493" s="135">
        <f>I1493*E1493</f>
        <v>3.2443092207389006E-3</v>
      </c>
    </row>
    <row r="1494" spans="1:12">
      <c r="A1494" t="s">
        <v>1373</v>
      </c>
      <c r="B1494" s="136" t="s">
        <v>393</v>
      </c>
      <c r="F1494" s="5"/>
    </row>
    <row r="1495" spans="1:12">
      <c r="A1495" t="s">
        <v>1373</v>
      </c>
      <c r="B1495" s="137" t="s">
        <v>77</v>
      </c>
      <c r="C1495" t="s">
        <v>389</v>
      </c>
      <c r="D1495" t="s">
        <v>75</v>
      </c>
      <c r="E1495" s="70">
        <f>IF(B1495="","",INDEX(Ingredients!$I$1:$I$5013,(MATCH(InterventionCosts!B1495,Ingredients!$A$1:$A$5013,0))))</f>
        <v>71.889951748999991</v>
      </c>
      <c r="F1495" s="5" t="str">
        <f>INDEX(Ingredients!J$1:J$265,(MATCH(InterventionCosts!B1495,Ingredients!A$1:A$265,0)))</f>
        <v>per test</v>
      </c>
      <c r="G1495">
        <f>IF(B1495="","",INDEX(Ingredients!$E$1:$E$238,(MATCH(InterventionCosts!B1495,Ingredients!A$1:A$238,0))))</f>
        <v>2021</v>
      </c>
      <c r="H1495" t="str">
        <f>INDEX(Ingredients!$F$1:$F$318,(MATCH(InterventionCosts!B1495,Ingredients!A$1:A$318,0)))</f>
        <v>NHLS 2021 price-list</v>
      </c>
      <c r="I1495">
        <v>0.02</v>
      </c>
      <c r="J1495" s="85" t="s">
        <v>397</v>
      </c>
      <c r="K1495" s="85">
        <f>I1495*E1495</f>
        <v>1.4377990349799998</v>
      </c>
    </row>
    <row r="1496" spans="1:12">
      <c r="A1496" t="s">
        <v>1373</v>
      </c>
      <c r="B1496" s="137" t="s">
        <v>54</v>
      </c>
      <c r="C1496" t="s">
        <v>389</v>
      </c>
      <c r="D1496" t="s">
        <v>48</v>
      </c>
      <c r="E1496" s="70">
        <f>IF(B1496="","",INDEX(Ingredients!$I$1:$I$5013,(MATCH(InterventionCosts!B1496,Ingredients!$A$1:$A$5013,0))))</f>
        <v>1.2444366591928251</v>
      </c>
      <c r="F1496" s="5" t="str">
        <f>INDEX(Ingredients!J$1:J$265,(MATCH(InterventionCosts!B1496,Ingredients!A$1:A$265,0)))</f>
        <v>per minute</v>
      </c>
      <c r="G1496">
        <f>IF(B1496="","",INDEX(Ingredients!$E$1:$E$238,(MATCH(InterventionCosts!B1496,Ingredients!A$1:A$238,0))))</f>
        <v>2024</v>
      </c>
      <c r="H1496" t="str">
        <f>INDEX(Ingredients!$F$1:$F$318,(MATCH(InterventionCosts!B1496,Ingredients!A$1:A$318,0)))</f>
        <v xml:space="preserve">April 2024 Salary scale </v>
      </c>
      <c r="I1496">
        <f>15*I1495</f>
        <v>0.3</v>
      </c>
      <c r="J1496" s="133" t="s">
        <v>414</v>
      </c>
      <c r="K1496" s="85">
        <f>I1496*E1496</f>
        <v>0.3733309977578475</v>
      </c>
    </row>
    <row r="1497" spans="1:12">
      <c r="A1497" t="s">
        <v>1373</v>
      </c>
      <c r="B1497" s="137" t="s">
        <v>1489</v>
      </c>
      <c r="C1497" t="s">
        <v>389</v>
      </c>
      <c r="D1497" s="5" t="s">
        <v>21</v>
      </c>
      <c r="E1497" s="70">
        <f>IF(B1497="","",INDEX(Ingredients!$I$1:$I$5013,(MATCH(InterventionCosts!B1497,Ingredients!$A$1:$A$5013,0))))</f>
        <v>53.08</v>
      </c>
      <c r="F1497" s="5" t="str">
        <f>INDEX(Ingredients!J$1:J$265,(MATCH(InterventionCosts!B1497,Ingredients!A$1:A$265,0)))</f>
        <v>per pack 100, 50 pairs</v>
      </c>
      <c r="G1497">
        <f>IF(B1497="","",INDEX(Ingredients!$E$1:$E$238,(MATCH(InterventionCosts!B1497,Ingredients!A$1:A$238,0))))</f>
        <v>2024</v>
      </c>
      <c r="H1497" t="str">
        <f>INDEX(Ingredients!$F$1:$F$318,(MATCH(InterventionCosts!B1497,Ingredients!A$1:A$318,0)))</f>
        <v>https://www.treasury.gov.za/divisions/ocpo/ostb/contracts/RT76-2023%20CPA%20Amendment%204-%20Effective%2001%20May%202024.pdf</v>
      </c>
      <c r="I1497">
        <f>2/100*I1495</f>
        <v>4.0000000000000002E-4</v>
      </c>
      <c r="J1497" t="s">
        <v>1487</v>
      </c>
      <c r="K1497" s="85">
        <f>I1497*E1497</f>
        <v>2.1232000000000001E-2</v>
      </c>
    </row>
    <row r="1498" spans="1:12">
      <c r="A1498" t="s">
        <v>1373</v>
      </c>
      <c r="B1498" s="137" t="s">
        <v>45</v>
      </c>
      <c r="C1498" t="s">
        <v>389</v>
      </c>
      <c r="D1498" s="5" t="s">
        <v>21</v>
      </c>
      <c r="E1498" s="70">
        <f>IF(B1498="","",INDEX(Ingredients!$I$1:$I$5013,(MATCH(InterventionCosts!B1498,Ingredients!$A$1:$A$5013,0))))</f>
        <v>46</v>
      </c>
      <c r="F1498" s="5" t="str">
        <f>INDEX(Ingredients!J$1:J$265,(MATCH(InterventionCosts!B1498,Ingredients!A$1:A$265,0)))</f>
        <v>per pack 100</v>
      </c>
      <c r="G1498">
        <f>IF(B1498="","",INDEX(Ingredients!$E$1:$E$238,(MATCH(InterventionCosts!B1498,Ingredients!A$1:A$238,0))))</f>
        <v>2024</v>
      </c>
      <c r="H1498" t="str">
        <f>INDEX(Ingredients!$F$1:$F$318,(MATCH(InterventionCosts!B1498,Ingredients!A$1:A$318,0)))</f>
        <v>https://www.treasury.gov.za/divisions/ocpo/ostb/contracts/RT284-2023.zip</v>
      </c>
      <c r="I1498">
        <f>1/100*I1495</f>
        <v>2.0000000000000001E-4</v>
      </c>
      <c r="J1498" s="85" t="s">
        <v>397</v>
      </c>
      <c r="K1498" s="135">
        <f>I1498*E1498</f>
        <v>9.1999999999999998E-3</v>
      </c>
    </row>
    <row r="1499" spans="1:12">
      <c r="A1499" t="s">
        <v>1373</v>
      </c>
      <c r="B1499" s="137" t="s">
        <v>31</v>
      </c>
      <c r="C1499" t="s">
        <v>389</v>
      </c>
      <c r="D1499" s="5" t="s">
        <v>21</v>
      </c>
      <c r="E1499" s="70">
        <f>IF(B1499="","",INDEX(Ingredients!$I$1:$I$5013,(MATCH(InterventionCosts!B1499,Ingredients!$A$1:$A$5013,0))))</f>
        <v>31.4</v>
      </c>
      <c r="F1499" s="5" t="str">
        <f>INDEX(Ingredients!J$1:J$265,(MATCH(InterventionCosts!B1499,Ingredients!A$1:A$265,0)))</f>
        <v>per 100 swabs</v>
      </c>
      <c r="G1499">
        <f>IF(B1499="","",INDEX(Ingredients!$E$1:$E$238,(MATCH(InterventionCosts!B1499,Ingredients!A$1:A$238,0))))</f>
        <v>2024</v>
      </c>
      <c r="H1499" t="str">
        <f>INDEX(Ingredients!$F$1:$F$318,(MATCH(InterventionCosts!B1499,Ingredients!A$1:A$318,0)))</f>
        <v xml:space="preserve">http://www.treasury.gov.za/divisions/ocpo/ostb/contracts/RT42-2022zip </v>
      </c>
      <c r="I1499">
        <f>1/100*I1495</f>
        <v>2.0000000000000001E-4</v>
      </c>
      <c r="J1499" s="85" t="s">
        <v>397</v>
      </c>
      <c r="K1499" s="135">
        <f>I1499*E1499</f>
        <v>6.28E-3</v>
      </c>
    </row>
    <row r="1500" spans="1:12">
      <c r="A1500" t="s">
        <v>1373</v>
      </c>
      <c r="B1500" s="136" t="s">
        <v>405</v>
      </c>
    </row>
    <row r="1501" spans="1:12">
      <c r="A1501" t="s">
        <v>1373</v>
      </c>
      <c r="B1501" s="137" t="s">
        <v>54</v>
      </c>
      <c r="C1501" t="s">
        <v>389</v>
      </c>
      <c r="D1501" t="s">
        <v>48</v>
      </c>
      <c r="E1501" s="70">
        <f>IF(B1501="","",INDEX(Ingredients!$I$1:$I$5013,(MATCH(InterventionCosts!B1501,Ingredients!$A$1:$A$5013,0))))</f>
        <v>1.2444366591928251</v>
      </c>
      <c r="F1501" s="5" t="str">
        <f>INDEX(Ingredients!J$1:J$265,(MATCH(InterventionCosts!B1501,Ingredients!A$1:A$265,0)))</f>
        <v>per minute</v>
      </c>
      <c r="G1501">
        <f>IF(B1501="","",INDEX(Ingredients!$E$1:$E$238,(MATCH(InterventionCosts!B1501,Ingredients!A$1:A$238,0))))</f>
        <v>2024</v>
      </c>
      <c r="H1501" t="str">
        <f>INDEX(Ingredients!$F$1:$F$318,(MATCH(InterventionCosts!B1501,Ingredients!A$1:A$318,0)))</f>
        <v xml:space="preserve">April 2024 Salary scale </v>
      </c>
      <c r="I1501">
        <v>5</v>
      </c>
      <c r="J1501" t="s">
        <v>1476</v>
      </c>
      <c r="K1501" s="85">
        <f>I1501*E1501</f>
        <v>6.2221832959641254</v>
      </c>
      <c r="L1501"/>
    </row>
    <row r="1502" spans="1:12">
      <c r="A1502" t="s">
        <v>1373</v>
      </c>
      <c r="B1502" s="140" t="s">
        <v>412</v>
      </c>
      <c r="C1502" s="141"/>
      <c r="D1502" s="141"/>
      <c r="E1502" s="157" t="s">
        <v>1129</v>
      </c>
      <c r="F1502" s="439">
        <f>'Summary of unit costs'!$B$41</f>
        <v>18</v>
      </c>
      <c r="G1502" s="141"/>
      <c r="H1502" s="141"/>
      <c r="I1502" s="157">
        <f>FLOOR((F1502-1)/2,1)</f>
        <v>8</v>
      </c>
      <c r="J1502" s="157" t="s">
        <v>1573</v>
      </c>
      <c r="K1502" s="143"/>
      <c r="L1502"/>
    </row>
    <row r="1503" spans="1:12">
      <c r="A1503" t="s">
        <v>1373</v>
      </c>
      <c r="B1503" s="136" t="s">
        <v>411</v>
      </c>
      <c r="L1503" s="3"/>
    </row>
    <row r="1504" spans="1:12">
      <c r="A1504" t="s">
        <v>1373</v>
      </c>
      <c r="B1504" s="137" t="s">
        <v>449</v>
      </c>
      <c r="C1504" t="s">
        <v>389</v>
      </c>
      <c r="D1504" t="s">
        <v>70</v>
      </c>
      <c r="E1504" s="70">
        <f>IF(B1504="","",INDEX(Ingredients!$I$1:$I$5013,(MATCH(InterventionCosts!B1504,Ingredients!$A$1:$A$5013,0))))</f>
        <v>535.00106288275867</v>
      </c>
      <c r="F1504" s="5" t="str">
        <f>INDEX(Ingredients!J$1:J$265,(MATCH(InterventionCosts!B1504,Ingredients!A$1:A$265,0)))</f>
        <v>per injection</v>
      </c>
      <c r="G1504">
        <f>IF(B1504="","",INDEX(Ingredients!$E$1:$E$238,(MATCH(InterventionCosts!B1504,Ingredients!A$1:A$238,0))))</f>
        <v>2024</v>
      </c>
      <c r="H1504" t="str">
        <f>INDEX(Ingredients!$F$1:$F$318,(MATCH(InterventionCosts!B1504,Ingredients!A$1:A$318,0)))</f>
        <v>24.50 GBP (email from Hasina, official letter from GSK), 1 GBP = 1.22 USD (on 02 Nov 2023)</v>
      </c>
      <c r="I1504">
        <f>I1502*1</f>
        <v>8</v>
      </c>
      <c r="J1504" t="s">
        <v>1486</v>
      </c>
      <c r="K1504" s="85">
        <f>I1504*E1504</f>
        <v>4280.0085030620694</v>
      </c>
      <c r="L1504"/>
    </row>
    <row r="1505" spans="1:12">
      <c r="A1505" t="s">
        <v>1373</v>
      </c>
      <c r="B1505" s="137" t="s">
        <v>354</v>
      </c>
      <c r="C1505" t="s">
        <v>389</v>
      </c>
      <c r="D1505" t="s">
        <v>48</v>
      </c>
      <c r="E1505" s="70">
        <f>IF(B1505="","",INDEX(Ingredients!$I$1:$I$5013,(MATCH(InterventionCosts!B1505,Ingredients!$A$1:$A$5013,0))))</f>
        <v>4.8996605630293981</v>
      </c>
      <c r="F1505" s="5" t="str">
        <f>INDEX(Ingredients!J$1:J$265,(MATCH(InterventionCosts!B1505,Ingredients!A$1:A$265,0)))</f>
        <v>per minute</v>
      </c>
      <c r="G1505">
        <f>IF(B1505="","",INDEX(Ingredients!$E$1:$E$238,(MATCH(InterventionCosts!B1505,Ingredients!A$1:A$238,0))))</f>
        <v>2024</v>
      </c>
      <c r="H1505" t="str">
        <f>INDEX(Ingredients!$F$1:$F$318,(MATCH(InterventionCosts!B1505,Ingredients!A$1:A$318,0)))</f>
        <v xml:space="preserve">April 2024 Salary scale </v>
      </c>
      <c r="I1505">
        <f>I1502*5</f>
        <v>40</v>
      </c>
      <c r="J1505" t="s">
        <v>1476</v>
      </c>
      <c r="K1505" s="85">
        <f>I1505*E1505</f>
        <v>195.98642252117594</v>
      </c>
      <c r="L1505"/>
    </row>
    <row r="1506" spans="1:12">
      <c r="A1506" t="s">
        <v>1373</v>
      </c>
      <c r="B1506" s="137" t="s">
        <v>54</v>
      </c>
      <c r="C1506" t="s">
        <v>389</v>
      </c>
      <c r="D1506" t="s">
        <v>48</v>
      </c>
      <c r="E1506" s="70">
        <f>IF(B1506="","",INDEX(Ingredients!$I$1:$I$5013,(MATCH(InterventionCosts!B1506,Ingredients!$A$1:$A$5013,0))))</f>
        <v>1.2444366591928251</v>
      </c>
      <c r="F1506" s="5" t="str">
        <f>INDEX(Ingredients!J$1:J$265,(MATCH(InterventionCosts!B1506,Ingredients!A$1:A$265,0)))</f>
        <v>per minute</v>
      </c>
      <c r="G1506">
        <f>IF(B1506="","",INDEX(Ingredients!$E$1:$E$238,(MATCH(InterventionCosts!B1506,Ingredients!A$1:A$238,0))))</f>
        <v>2024</v>
      </c>
      <c r="H1506" t="str">
        <f>INDEX(Ingredients!$F$1:$F$318,(MATCH(InterventionCosts!B1506,Ingredients!A$1:A$318,0)))</f>
        <v xml:space="preserve">April 2024 Salary scale </v>
      </c>
      <c r="I1506">
        <f>I1502*10</f>
        <v>80</v>
      </c>
      <c r="J1506" t="s">
        <v>1476</v>
      </c>
      <c r="K1506" s="85">
        <f>I1506*E1506</f>
        <v>99.554932735426007</v>
      </c>
      <c r="L1506"/>
    </row>
    <row r="1507" spans="1:12">
      <c r="A1507" t="s">
        <v>1373</v>
      </c>
      <c r="B1507" s="137" t="s">
        <v>45</v>
      </c>
      <c r="C1507" t="s">
        <v>389</v>
      </c>
      <c r="D1507" s="5" t="s">
        <v>21</v>
      </c>
      <c r="E1507" s="70">
        <f>IF(B1507="","",INDEX(Ingredients!$I$1:$I$5013,(MATCH(InterventionCosts!B1507,Ingredients!$A$1:$A$5013,0))))</f>
        <v>46</v>
      </c>
      <c r="F1507" s="5" t="str">
        <f>INDEX(Ingredients!J$1:J$265,(MATCH(InterventionCosts!B1507,Ingredients!A$1:A$265,0)))</f>
        <v>per pack 100</v>
      </c>
      <c r="G1507">
        <f>IF(B1507="","",INDEX(Ingredients!$E$1:$E$238,(MATCH(InterventionCosts!B1507,Ingredients!A$1:A$238,0))))</f>
        <v>2024</v>
      </c>
      <c r="H1507" t="str">
        <f>INDEX(Ingredients!$F$1:$F$318,(MATCH(InterventionCosts!B1507,Ingredients!A$1:A$318,0)))</f>
        <v>https://www.treasury.gov.za/divisions/ocpo/ostb/contracts/RT284-2023.zip</v>
      </c>
      <c r="I1507">
        <f>I1502*1/100</f>
        <v>0.08</v>
      </c>
      <c r="J1507" t="s">
        <v>1476</v>
      </c>
      <c r="K1507" s="85">
        <f>I1507*E1507</f>
        <v>3.68</v>
      </c>
      <c r="L1507"/>
    </row>
    <row r="1508" spans="1:12">
      <c r="A1508" t="s">
        <v>1373</v>
      </c>
      <c r="B1508" s="137" t="s">
        <v>31</v>
      </c>
      <c r="C1508" t="s">
        <v>389</v>
      </c>
      <c r="D1508" s="5" t="s">
        <v>21</v>
      </c>
      <c r="E1508" s="70">
        <f>IF(B1508="","",INDEX(Ingredients!$I$1:$I$5013,(MATCH(InterventionCosts!B1508,Ingredients!$A$1:$A$5013,0))))</f>
        <v>31.4</v>
      </c>
      <c r="F1508" s="5" t="str">
        <f>INDEX(Ingredients!J$1:J$265,(MATCH(InterventionCosts!B1508,Ingredients!A$1:A$265,0)))</f>
        <v>per 100 swabs</v>
      </c>
      <c r="G1508">
        <f>IF(B1508="","",INDEX(Ingredients!$E$1:$E$238,(MATCH(InterventionCosts!B1508,Ingredients!A$1:A$238,0))))</f>
        <v>2024</v>
      </c>
      <c r="H1508" t="str">
        <f>INDEX(Ingredients!$F$1:$F$318,(MATCH(InterventionCosts!B1508,Ingredients!A$1:A$318,0)))</f>
        <v xml:space="preserve">http://www.treasury.gov.za/divisions/ocpo/ostb/contracts/RT42-2022zip </v>
      </c>
      <c r="I1508">
        <f>I1502*1/100</f>
        <v>0.08</v>
      </c>
      <c r="J1508" t="s">
        <v>1476</v>
      </c>
      <c r="K1508" s="85">
        <f>I1508*E1508</f>
        <v>2.512</v>
      </c>
      <c r="L1508"/>
    </row>
    <row r="1509" spans="1:12">
      <c r="A1509" t="s">
        <v>1373</v>
      </c>
      <c r="B1509" s="136" t="s">
        <v>405</v>
      </c>
      <c r="L1509"/>
    </row>
    <row r="1510" spans="1:12">
      <c r="A1510" t="s">
        <v>1373</v>
      </c>
      <c r="B1510" s="137" t="s">
        <v>54</v>
      </c>
      <c r="C1510" t="s">
        <v>389</v>
      </c>
      <c r="D1510" t="s">
        <v>48</v>
      </c>
      <c r="E1510" s="70">
        <f>IF(B1510="","",INDEX(Ingredients!$I$1:$I$5013,(MATCH(InterventionCosts!B1510,Ingredients!$A$1:$A$5013,0))))</f>
        <v>1.2444366591928251</v>
      </c>
      <c r="F1510" s="5" t="str">
        <f>INDEX(Ingredients!J$1:J$265,(MATCH(InterventionCosts!B1510,Ingredients!A$1:A$265,0)))</f>
        <v>per minute</v>
      </c>
      <c r="G1510">
        <f>IF(B1510="","",INDEX(Ingredients!$E$1:$E$238,(MATCH(InterventionCosts!B1510,Ingredients!A$1:A$238,0))))</f>
        <v>2024</v>
      </c>
      <c r="H1510" t="str">
        <f>INDEX(Ingredients!$F$1:$F$318,(MATCH(InterventionCosts!B1510,Ingredients!A$1:A$318,0)))</f>
        <v xml:space="preserve">April 2024 Salary scale </v>
      </c>
      <c r="I1510">
        <f>I1502*5</f>
        <v>40</v>
      </c>
      <c r="J1510" s="133" t="s">
        <v>406</v>
      </c>
      <c r="K1510" s="85">
        <f>I1510*E1510</f>
        <v>49.777466367713004</v>
      </c>
      <c r="L1510"/>
    </row>
    <row r="1511" spans="1:12">
      <c r="A1511" t="s">
        <v>1373</v>
      </c>
      <c r="B1511" s="136" t="s">
        <v>391</v>
      </c>
      <c r="L1511"/>
    </row>
    <row r="1512" spans="1:12">
      <c r="A1512" t="s">
        <v>1373</v>
      </c>
      <c r="B1512" s="137" t="s">
        <v>79</v>
      </c>
      <c r="C1512" t="s">
        <v>389</v>
      </c>
      <c r="D1512" s="5" t="s">
        <v>21</v>
      </c>
      <c r="E1512" s="70">
        <f>IF(B1512="","",INDEX(Ingredients!$I$1:$I$5013,(MATCH(InterventionCosts!B1512,Ingredients!$A$1:$A$5013,0))))</f>
        <v>9.3000000000000007</v>
      </c>
      <c r="F1512" s="5" t="str">
        <f>INDEX(Ingredients!J$1:J$265,(MATCH(InterventionCosts!B1512,Ingredients!A$1:A$265,0)))</f>
        <v>per test</v>
      </c>
      <c r="G1512">
        <f>IF(B1512="","",INDEX(Ingredients!$E$1:$E$238,(MATCH(InterventionCosts!B1512,Ingredients!A$1:A$238,0))))</f>
        <v>2024</v>
      </c>
      <c r="H1512" t="str">
        <f>INDEX(Ingredients!$F$1:$F$318,(MATCH(InterventionCosts!B1512,Ingredients!A$1:A$318,0)))</f>
        <v>https://www.treasury.gov.za/divisions/ocpo/ostb/contracts/RT41-2020.zip</v>
      </c>
      <c r="I1512">
        <f>I1502*1</f>
        <v>8</v>
      </c>
      <c r="J1512" t="s">
        <v>1486</v>
      </c>
      <c r="K1512" s="85">
        <f>I1512*E1512</f>
        <v>74.400000000000006</v>
      </c>
      <c r="L1512"/>
    </row>
    <row r="1513" spans="1:12">
      <c r="A1513" t="s">
        <v>1373</v>
      </c>
      <c r="B1513" s="137" t="s">
        <v>54</v>
      </c>
      <c r="C1513" t="s">
        <v>389</v>
      </c>
      <c r="D1513" t="s">
        <v>48</v>
      </c>
      <c r="E1513" s="70">
        <f>IF(B1513="","",INDEX(Ingredients!$I$1:$I$5013,(MATCH(InterventionCosts!B1513,Ingredients!$A$1:$A$5013,0))))</f>
        <v>1.2444366591928251</v>
      </c>
      <c r="F1513" s="5" t="str">
        <f>INDEX(Ingredients!J$1:J$265,(MATCH(InterventionCosts!B1513,Ingredients!A$1:A$265,0)))</f>
        <v>per minute</v>
      </c>
      <c r="G1513">
        <f>IF(B1513="","",INDEX(Ingredients!$E$1:$E$238,(MATCH(InterventionCosts!B1513,Ingredients!A$1:A$238,0))))</f>
        <v>2024</v>
      </c>
      <c r="H1513" t="str">
        <f>INDEX(Ingredients!$F$1:$F$318,(MATCH(InterventionCosts!B1513,Ingredients!A$1:A$318,0)))</f>
        <v xml:space="preserve">April 2024 Salary scale </v>
      </c>
      <c r="I1513">
        <f>I1502*15</f>
        <v>120</v>
      </c>
      <c r="J1513" s="133" t="s">
        <v>395</v>
      </c>
      <c r="K1513" s="85">
        <f>I1513*E1513</f>
        <v>149.33239910313901</v>
      </c>
      <c r="L1513"/>
    </row>
    <row r="1514" spans="1:12">
      <c r="A1514" t="s">
        <v>1373</v>
      </c>
      <c r="B1514" s="137" t="s">
        <v>1489</v>
      </c>
      <c r="C1514" t="s">
        <v>389</v>
      </c>
      <c r="D1514" s="5" t="s">
        <v>21</v>
      </c>
      <c r="E1514" s="70">
        <f>IF(B1514="","",INDEX(Ingredients!$I$1:$I$5013,(MATCH(InterventionCosts!B1514,Ingredients!$A$1:$A$5013,0))))</f>
        <v>53.08</v>
      </c>
      <c r="F1514" s="5" t="str">
        <f>INDEX(Ingredients!J$1:J$265,(MATCH(InterventionCosts!B1514,Ingredients!A$1:A$265,0)))</f>
        <v>per pack 100, 50 pairs</v>
      </c>
      <c r="G1514">
        <f>IF(B1514="","",INDEX(Ingredients!$E$1:$E$238,(MATCH(InterventionCosts!B1514,Ingredients!A$1:A$238,0))))</f>
        <v>2024</v>
      </c>
      <c r="H1514" t="str">
        <f>INDEX(Ingredients!$F$1:$F$318,(MATCH(InterventionCosts!B1514,Ingredients!A$1:A$318,0)))</f>
        <v>https://www.treasury.gov.za/divisions/ocpo/ostb/contracts/RT76-2023%20CPA%20Amendment%204-%20Effective%2001%20May%202024.pdf</v>
      </c>
      <c r="I1514">
        <f>I1502*2/100</f>
        <v>0.16</v>
      </c>
      <c r="J1514" t="s">
        <v>1487</v>
      </c>
      <c r="K1514" s="85">
        <f>I1514*E1514</f>
        <v>8.492799999999999</v>
      </c>
      <c r="L1514"/>
    </row>
    <row r="1515" spans="1:12">
      <c r="A1515" t="s">
        <v>1373</v>
      </c>
      <c r="B1515" s="137" t="s">
        <v>31</v>
      </c>
      <c r="C1515" t="s">
        <v>389</v>
      </c>
      <c r="D1515" s="5" t="s">
        <v>21</v>
      </c>
      <c r="E1515" s="70">
        <f>IF(B1515="","",INDEX(Ingredients!$I$1:$I$5013,(MATCH(InterventionCosts!B1515,Ingredients!$A$1:$A$5013,0))))</f>
        <v>31.4</v>
      </c>
      <c r="F1515" s="5" t="str">
        <f>INDEX(Ingredients!J$1:J$265,(MATCH(InterventionCosts!B1515,Ingredients!A$1:A$265,0)))</f>
        <v>per 100 swabs</v>
      </c>
      <c r="G1515">
        <f>IF(B1515="","",INDEX(Ingredients!$E$1:$E$238,(MATCH(InterventionCosts!B1515,Ingredients!A$1:A$238,0))))</f>
        <v>2024</v>
      </c>
      <c r="H1515" t="str">
        <f>INDEX(Ingredients!$F$1:$F$318,(MATCH(InterventionCosts!B1515,Ingredients!A$1:A$318,0)))</f>
        <v xml:space="preserve">http://www.treasury.gov.za/divisions/ocpo/ostb/contracts/RT42-2022zip </v>
      </c>
      <c r="I1515">
        <f>I1502*1/100</f>
        <v>0.08</v>
      </c>
      <c r="J1515" t="s">
        <v>1486</v>
      </c>
      <c r="K1515" s="85">
        <f>I1515*E1515</f>
        <v>2.512</v>
      </c>
      <c r="L1515"/>
    </row>
    <row r="1516" spans="1:12">
      <c r="A1516" t="s">
        <v>1373</v>
      </c>
      <c r="B1516" s="136" t="s">
        <v>392</v>
      </c>
      <c r="E1516" s="70"/>
      <c r="F1516" s="3" t="s">
        <v>413</v>
      </c>
      <c r="I1516" s="3">
        <v>1.0332194970506053E-2</v>
      </c>
      <c r="J1516" s="3" t="s">
        <v>443</v>
      </c>
      <c r="L1516"/>
    </row>
    <row r="1517" spans="1:12">
      <c r="A1517" t="s">
        <v>1373</v>
      </c>
      <c r="B1517" s="137" t="s">
        <v>79</v>
      </c>
      <c r="C1517" t="s">
        <v>389</v>
      </c>
      <c r="D1517" s="5" t="s">
        <v>21</v>
      </c>
      <c r="E1517" s="70">
        <f>IF(B1517="","",INDEX(Ingredients!$I$1:$I$5013,(MATCH(InterventionCosts!B1517,Ingredients!$A$1:$A$5013,0))))</f>
        <v>9.3000000000000007</v>
      </c>
      <c r="F1517" s="5" t="str">
        <f>INDEX(Ingredients!J$1:J$265,(MATCH(InterventionCosts!B1517,Ingredients!A$1:A$265,0)))</f>
        <v>per test</v>
      </c>
      <c r="G1517">
        <f>IF(B1517="","",INDEX(Ingredients!$E$1:$E$238,(MATCH(InterventionCosts!B1517,Ingredients!A$1:A$238,0))))</f>
        <v>2024</v>
      </c>
      <c r="H1517" t="str">
        <f>INDEX(Ingredients!$F$1:$F$318,(MATCH(InterventionCosts!B1517,Ingredients!A$1:A$318,0)))</f>
        <v>https://www.treasury.gov.za/divisions/ocpo/ostb/contracts/RT41-2020.zip</v>
      </c>
      <c r="I1517">
        <f>I1502*I1516</f>
        <v>8.2657559764048427E-2</v>
      </c>
      <c r="J1517" t="s">
        <v>413</v>
      </c>
      <c r="K1517" s="85">
        <f>I1517*E1517</f>
        <v>0.7687153058056504</v>
      </c>
      <c r="L1517"/>
    </row>
    <row r="1518" spans="1:12">
      <c r="A1518" t="s">
        <v>1373</v>
      </c>
      <c r="B1518" s="137" t="s">
        <v>54</v>
      </c>
      <c r="C1518" t="s">
        <v>389</v>
      </c>
      <c r="D1518" t="s">
        <v>48</v>
      </c>
      <c r="E1518" s="70">
        <f>IF(B1518="","",INDEX(Ingredients!$I$1:$I$5013,(MATCH(InterventionCosts!B1518,Ingredients!$A$1:$A$5013,0))))</f>
        <v>1.2444366591928251</v>
      </c>
      <c r="F1518" s="5" t="str">
        <f>INDEX(Ingredients!J$1:J$265,(MATCH(InterventionCosts!B1518,Ingredients!A$1:A$265,0)))</f>
        <v>per minute</v>
      </c>
      <c r="G1518">
        <f>IF(B1518="","",INDEX(Ingredients!$E$1:$E$238,(MATCH(InterventionCosts!B1518,Ingredients!A$1:A$238,0))))</f>
        <v>2024</v>
      </c>
      <c r="H1518" t="str">
        <f>INDEX(Ingredients!$F$1:$F$318,(MATCH(InterventionCosts!B1518,Ingredients!A$1:A$318,0)))</f>
        <v xml:space="preserve">April 2024 Salary scale </v>
      </c>
      <c r="I1518">
        <f>I1502*((15+1/(1-I1516))*I1516)</f>
        <v>1.3233839064176864</v>
      </c>
      <c r="J1518" s="133" t="s">
        <v>414</v>
      </c>
      <c r="K1518" s="85">
        <f>I1518*E1518</f>
        <v>1.646867447331976</v>
      </c>
      <c r="L1518"/>
    </row>
    <row r="1519" spans="1:12">
      <c r="A1519" t="s">
        <v>1373</v>
      </c>
      <c r="B1519" s="137" t="s">
        <v>1489</v>
      </c>
      <c r="C1519" t="s">
        <v>389</v>
      </c>
      <c r="D1519" s="5" t="s">
        <v>21</v>
      </c>
      <c r="E1519" s="70">
        <f>IF(B1519="","",INDEX(Ingredients!$I$1:$I$5013,(MATCH(InterventionCosts!B1519,Ingredients!$A$1:$A$5013,0))))</f>
        <v>53.08</v>
      </c>
      <c r="F1519" s="5" t="str">
        <f>INDEX(Ingredients!J$1:J$265,(MATCH(InterventionCosts!B1519,Ingredients!A$1:A$265,0)))</f>
        <v>per pack 100, 50 pairs</v>
      </c>
      <c r="G1519">
        <f>IF(B1519="","",INDEX(Ingredients!$E$1:$E$238,(MATCH(InterventionCosts!B1519,Ingredients!A$1:A$238,0))))</f>
        <v>2024</v>
      </c>
      <c r="H1519" t="str">
        <f>INDEX(Ingredients!$F$1:$F$318,(MATCH(InterventionCosts!B1519,Ingredients!A$1:A$318,0)))</f>
        <v>https://www.treasury.gov.za/divisions/ocpo/ostb/contracts/RT76-2023%20CPA%20Amendment%204-%20Effective%2001%20May%202024.pdf</v>
      </c>
      <c r="I1519">
        <f>I1502*(2/100*I1516)</f>
        <v>1.6531511952809685E-3</v>
      </c>
      <c r="J1519" t="s">
        <v>1487</v>
      </c>
      <c r="K1519" s="85">
        <f>I1519*E1519</f>
        <v>8.7749265445513813E-2</v>
      </c>
      <c r="L1519"/>
    </row>
    <row r="1520" spans="1:12">
      <c r="A1520" t="s">
        <v>1373</v>
      </c>
      <c r="B1520" s="137" t="s">
        <v>31</v>
      </c>
      <c r="C1520" t="s">
        <v>389</v>
      </c>
      <c r="D1520" s="5" t="s">
        <v>21</v>
      </c>
      <c r="E1520" s="70">
        <f>IF(B1520="","",INDEX(Ingredients!$I$1:$I$5013,(MATCH(InterventionCosts!B1520,Ingredients!$A$1:$A$5013,0))))</f>
        <v>31.4</v>
      </c>
      <c r="F1520" s="5" t="str">
        <f>INDEX(Ingredients!J$1:J$265,(MATCH(InterventionCosts!B1520,Ingredients!A$1:A$265,0)))</f>
        <v>per 100 swabs</v>
      </c>
      <c r="G1520">
        <f>IF(B1520="","",INDEX(Ingredients!$E$1:$E$238,(MATCH(InterventionCosts!B1520,Ingredients!A$1:A$238,0))))</f>
        <v>2024</v>
      </c>
      <c r="H1520" t="str">
        <f>INDEX(Ingredients!$F$1:$F$318,(MATCH(InterventionCosts!B1520,Ingredients!A$1:A$318,0)))</f>
        <v xml:space="preserve">http://www.treasury.gov.za/divisions/ocpo/ostb/contracts/RT42-2022zip </v>
      </c>
      <c r="I1520">
        <f>I1502*(1/100*I1516)</f>
        <v>8.2657559764048427E-4</v>
      </c>
      <c r="J1520" t="s">
        <v>1486</v>
      </c>
      <c r="K1520" s="135">
        <f>I1520*E1520</f>
        <v>2.5954473765911205E-2</v>
      </c>
      <c r="L1520"/>
    </row>
    <row r="1521" spans="1:12">
      <c r="A1521" t="s">
        <v>1373</v>
      </c>
      <c r="B1521" s="136" t="s">
        <v>393</v>
      </c>
      <c r="F1521" s="155" t="s">
        <v>452</v>
      </c>
      <c r="I1521" s="3">
        <v>0.02</v>
      </c>
      <c r="J1521" s="85" t="s">
        <v>397</v>
      </c>
      <c r="L1521"/>
    </row>
    <row r="1522" spans="1:12">
      <c r="A1522" t="s">
        <v>1373</v>
      </c>
      <c r="B1522" s="137" t="s">
        <v>77</v>
      </c>
      <c r="C1522" t="s">
        <v>389</v>
      </c>
      <c r="D1522" t="s">
        <v>75</v>
      </c>
      <c r="E1522" s="70">
        <f>IF(B1522="","",INDEX(Ingredients!$I$1:$I$5013,(MATCH(InterventionCosts!B1522,Ingredients!$A$1:$A$5013,0))))</f>
        <v>71.889951748999991</v>
      </c>
      <c r="F1522" s="5" t="str">
        <f>INDEX(Ingredients!J$1:J$265,(MATCH(InterventionCosts!B1522,Ingredients!A$1:A$265,0)))</f>
        <v>per test</v>
      </c>
      <c r="G1522">
        <f>IF(B1522="","",INDEX(Ingredients!$E$1:$E$238,(MATCH(InterventionCosts!B1522,Ingredients!A$1:A$238,0))))</f>
        <v>2021</v>
      </c>
      <c r="H1522" t="str">
        <f>INDEX(Ingredients!$F$1:$F$318,(MATCH(InterventionCosts!B1522,Ingredients!A$1:A$318,0)))</f>
        <v>NHLS 2021 price-list</v>
      </c>
      <c r="I1522">
        <f>I1502*I1521</f>
        <v>0.16</v>
      </c>
      <c r="J1522" s="85" t="s">
        <v>397</v>
      </c>
      <c r="K1522" s="85">
        <f t="shared" ref="K1522:K1526" si="38">I1522*E1522</f>
        <v>11.502392279839999</v>
      </c>
    </row>
    <row r="1523" spans="1:12">
      <c r="A1523" t="s">
        <v>1373</v>
      </c>
      <c r="B1523" s="137" t="s">
        <v>54</v>
      </c>
      <c r="C1523" t="s">
        <v>389</v>
      </c>
      <c r="D1523" t="s">
        <v>48</v>
      </c>
      <c r="E1523" s="70">
        <f>IF(B1523="","",INDEX(Ingredients!$I$1:$I$5013,(MATCH(InterventionCosts!B1523,Ingredients!$A$1:$A$5013,0))))</f>
        <v>1.2444366591928251</v>
      </c>
      <c r="F1523" s="5" t="str">
        <f>INDEX(Ingredients!J$1:J$265,(MATCH(InterventionCosts!B1523,Ingredients!A$1:A$265,0)))</f>
        <v>per minute</v>
      </c>
      <c r="G1523">
        <f>IF(B1523="","",INDEX(Ingredients!$E$1:$E$238,(MATCH(InterventionCosts!B1523,Ingredients!A$1:A$238,0))))</f>
        <v>2024</v>
      </c>
      <c r="H1523" t="str">
        <f>INDEX(Ingredients!$F$1:$F$318,(MATCH(InterventionCosts!B1523,Ingredients!A$1:A$318,0)))</f>
        <v xml:space="preserve">April 2024 Salary scale </v>
      </c>
      <c r="I1523">
        <f>I1502*15*I1521</f>
        <v>2.4</v>
      </c>
      <c r="J1523" s="133" t="s">
        <v>414</v>
      </c>
      <c r="K1523" s="85">
        <f t="shared" si="38"/>
        <v>2.98664798206278</v>
      </c>
    </row>
    <row r="1524" spans="1:12">
      <c r="A1524" t="s">
        <v>1373</v>
      </c>
      <c r="B1524" s="137" t="s">
        <v>1489</v>
      </c>
      <c r="C1524" t="s">
        <v>389</v>
      </c>
      <c r="D1524" s="5" t="s">
        <v>21</v>
      </c>
      <c r="E1524" s="70">
        <f>IF(B1524="","",INDEX(Ingredients!$I$1:$I$5013,(MATCH(InterventionCosts!B1524,Ingredients!$A$1:$A$5013,0))))</f>
        <v>53.08</v>
      </c>
      <c r="F1524" s="5" t="str">
        <f>INDEX(Ingredients!J$1:J$265,(MATCH(InterventionCosts!B1524,Ingredients!A$1:A$265,0)))</f>
        <v>per pack 100, 50 pairs</v>
      </c>
      <c r="G1524">
        <f>IF(B1524="","",INDEX(Ingredients!$E$1:$E$238,(MATCH(InterventionCosts!B1524,Ingredients!A$1:A$238,0))))</f>
        <v>2024</v>
      </c>
      <c r="H1524" t="str">
        <f>INDEX(Ingredients!$F$1:$F$318,(MATCH(InterventionCosts!B1524,Ingredients!A$1:A$318,0)))</f>
        <v>https://www.treasury.gov.za/divisions/ocpo/ostb/contracts/RT76-2023%20CPA%20Amendment%204-%20Effective%2001%20May%202024.pdf</v>
      </c>
      <c r="I1524">
        <f>I1502*2/100*I1521</f>
        <v>3.2000000000000002E-3</v>
      </c>
      <c r="J1524" t="s">
        <v>1487</v>
      </c>
      <c r="K1524" s="85">
        <f t="shared" si="38"/>
        <v>0.16985600000000001</v>
      </c>
    </row>
    <row r="1525" spans="1:12">
      <c r="A1525" t="s">
        <v>1373</v>
      </c>
      <c r="B1525" s="137" t="s">
        <v>45</v>
      </c>
      <c r="C1525" t="s">
        <v>389</v>
      </c>
      <c r="D1525" s="5" t="s">
        <v>21</v>
      </c>
      <c r="E1525" s="70">
        <f>IF(B1525="","",INDEX(Ingredients!$I$1:$I$5013,(MATCH(InterventionCosts!B1525,Ingredients!$A$1:$A$5013,0))))</f>
        <v>46</v>
      </c>
      <c r="F1525" s="5" t="str">
        <f>INDEX(Ingredients!J$1:J$265,(MATCH(InterventionCosts!B1525,Ingredients!A$1:A$265,0)))</f>
        <v>per pack 100</v>
      </c>
      <c r="G1525">
        <f>IF(B1525="","",INDEX(Ingredients!$E$1:$E$238,(MATCH(InterventionCosts!B1525,Ingredients!A$1:A$238,0))))</f>
        <v>2024</v>
      </c>
      <c r="H1525" t="str">
        <f>INDEX(Ingredients!$F$1:$F$318,(MATCH(InterventionCosts!B1525,Ingredients!A$1:A$318,0)))</f>
        <v>https://www.treasury.gov.za/divisions/ocpo/ostb/contracts/RT284-2023.zip</v>
      </c>
      <c r="I1525">
        <f>I1502*1/100*I1521</f>
        <v>1.6000000000000001E-3</v>
      </c>
      <c r="J1525" t="s">
        <v>1486</v>
      </c>
      <c r="K1525" s="135">
        <f t="shared" si="38"/>
        <v>7.3599999999999999E-2</v>
      </c>
    </row>
    <row r="1526" spans="1:12">
      <c r="A1526" t="s">
        <v>1373</v>
      </c>
      <c r="B1526" s="137" t="s">
        <v>31</v>
      </c>
      <c r="C1526" t="s">
        <v>389</v>
      </c>
      <c r="D1526" s="5" t="s">
        <v>21</v>
      </c>
      <c r="E1526" s="70">
        <f>IF(B1526="","",INDEX(Ingredients!$I$1:$I$5013,(MATCH(InterventionCosts!B1526,Ingredients!$A$1:$A$5013,0))))</f>
        <v>31.4</v>
      </c>
      <c r="F1526" s="5" t="str">
        <f>INDEX(Ingredients!J$1:J$265,(MATCH(InterventionCosts!B1526,Ingredients!A$1:A$265,0)))</f>
        <v>per 100 swabs</v>
      </c>
      <c r="G1526">
        <f>IF(B1526="","",INDEX(Ingredients!$E$1:$E$238,(MATCH(InterventionCosts!B1526,Ingredients!A$1:A$238,0))))</f>
        <v>2024</v>
      </c>
      <c r="H1526" t="str">
        <f>INDEX(Ingredients!$F$1:$F$318,(MATCH(InterventionCosts!B1526,Ingredients!A$1:A$318,0)))</f>
        <v xml:space="preserve">http://www.treasury.gov.za/divisions/ocpo/ostb/contracts/RT42-2022zip </v>
      </c>
      <c r="I1526">
        <f>I1502*1/100*I1521</f>
        <v>1.6000000000000001E-3</v>
      </c>
      <c r="J1526" t="s">
        <v>1486</v>
      </c>
      <c r="K1526" s="135">
        <f t="shared" si="38"/>
        <v>5.024E-2</v>
      </c>
    </row>
    <row r="1527" spans="1:12">
      <c r="A1527" t="s">
        <v>1373</v>
      </c>
      <c r="B1527" s="140" t="s">
        <v>415</v>
      </c>
      <c r="C1527" s="141"/>
      <c r="D1527" s="141"/>
      <c r="E1527" s="142"/>
      <c r="F1527" s="141"/>
      <c r="G1527" s="141"/>
      <c r="H1527" s="141"/>
      <c r="I1527" s="141"/>
      <c r="J1527" s="141"/>
      <c r="K1527" s="143"/>
    </row>
    <row r="1528" spans="1:12">
      <c r="A1528" t="s">
        <v>1373</v>
      </c>
      <c r="B1528" s="146" t="s">
        <v>416</v>
      </c>
    </row>
    <row r="1529" spans="1:12">
      <c r="A1529" t="s">
        <v>1373</v>
      </c>
      <c r="B1529" s="156" t="s">
        <v>354</v>
      </c>
      <c r="C1529" t="s">
        <v>389</v>
      </c>
      <c r="D1529" t="s">
        <v>81</v>
      </c>
      <c r="E1529" s="70">
        <f>IF(B1529="","",INDEX(Ingredients!$I$1:$I$5013,(MATCH(InterventionCosts!B1529,Ingredients!$A$1:$A$5013,0))))</f>
        <v>4.8996605630293981</v>
      </c>
      <c r="F1529" s="5" t="str">
        <f>INDEX(Ingredients!J$1:J$265,(MATCH(InterventionCosts!B1529,Ingredients!A$1:A$265,0)))</f>
        <v>per minute</v>
      </c>
      <c r="G1529">
        <f>IF(B1529="","",INDEX(Ingredients!$E$1:$E$238,(MATCH(InterventionCosts!B1529,Ingredients!A$1:A$238,0))))</f>
        <v>2024</v>
      </c>
      <c r="H1529" t="str">
        <f>INDEX(Ingredients!$F$1:$F$318,(MATCH(InterventionCosts!B1529,Ingredients!A$1:A$318,0)))</f>
        <v xml:space="preserve">April 2024 Salary scale </v>
      </c>
      <c r="I1529" s="149">
        <f>75/160</f>
        <v>0.46875</v>
      </c>
      <c r="J1529" t="s">
        <v>454</v>
      </c>
      <c r="K1529" s="85">
        <f>I1529*E1529</f>
        <v>2.2967158889200303</v>
      </c>
    </row>
    <row r="1530" spans="1:12">
      <c r="A1530" t="s">
        <v>1373</v>
      </c>
      <c r="B1530" s="146" t="s">
        <v>417</v>
      </c>
      <c r="I1530" s="149"/>
    </row>
    <row r="1531" spans="1:12">
      <c r="A1531" t="s">
        <v>1373</v>
      </c>
      <c r="B1531" s="147" t="s">
        <v>54</v>
      </c>
      <c r="C1531" t="s">
        <v>389</v>
      </c>
      <c r="D1531" t="s">
        <v>81</v>
      </c>
      <c r="E1531" s="70">
        <f>IF(B1531="","",INDEX(Ingredients!$I$1:$I$5013,(MATCH(InterventionCosts!B1531,Ingredients!$A$1:$A$5013,0))))</f>
        <v>1.2444366591928251</v>
      </c>
      <c r="F1531" s="5" t="str">
        <f>INDEX(Ingredients!J$1:J$265,(MATCH(InterventionCosts!B1531,Ingredients!A$1:A$265,0)))</f>
        <v>per minute</v>
      </c>
      <c r="G1531">
        <f>IF(B1531="","",INDEX(Ingredients!$E$1:$E$238,(MATCH(InterventionCosts!B1531,Ingredients!A$1:A$238,0))))</f>
        <v>2024</v>
      </c>
      <c r="H1531" t="str">
        <f>INDEX(Ingredients!$F$1:$F$318,(MATCH(InterventionCosts!B1531,Ingredients!A$1:A$318,0)))</f>
        <v xml:space="preserve">April 2024 Salary scale </v>
      </c>
      <c r="I1531" s="149">
        <f>75/160</f>
        <v>0.46875</v>
      </c>
      <c r="J1531" t="s">
        <v>454</v>
      </c>
      <c r="K1531" s="85">
        <f>I1531*E1531</f>
        <v>0.58332968399663676</v>
      </c>
    </row>
    <row r="1532" spans="1:12">
      <c r="A1532" t="s">
        <v>1373</v>
      </c>
      <c r="B1532" s="146" t="s">
        <v>418</v>
      </c>
    </row>
    <row r="1533" spans="1:12">
      <c r="A1533" t="s">
        <v>1373</v>
      </c>
      <c r="B1533" s="147" t="s">
        <v>425</v>
      </c>
      <c r="C1533" t="s">
        <v>389</v>
      </c>
      <c r="D1533" t="s">
        <v>81</v>
      </c>
      <c r="E1533" s="70">
        <f>IF(B1533="","",INDEX(Ingredients!$I$1:$I$5013,(MATCH(InterventionCosts!B1533,Ingredients!$A$1:$A$5013,0))))</f>
        <v>4100.2266666666665</v>
      </c>
      <c r="F1533" s="5" t="str">
        <f>INDEX(Ingredients!J$1:J$265,(MATCH(InterventionCosts!B1533,Ingredients!A$1:A$265,0)))</f>
        <v>per month</v>
      </c>
      <c r="G1533">
        <f>IF(B1533="","",INDEX(Ingredients!$E$1:$E$238,(MATCH(InterventionCosts!B1533,Ingredients!A$1:A$238,0))))</f>
        <v>2024</v>
      </c>
      <c r="H1533" t="str">
        <f>INDEX(Ingredients!$F$1:$F$318,(MATCH(InterventionCosts!B1533,Ingredients!A$1:A$318,0)))</f>
        <v>https://www.health.gov.za/wp-content/uploads/2022/07/Health-Department-welcomes-Bargaining-Council-resolution-to-improve-work-conditions-of-CHWs-27-July-2022.pdf</v>
      </c>
      <c r="I1533" s="149">
        <f>75/160*(12/workminutespa)</f>
        <v>5.2550448430493276E-5</v>
      </c>
      <c r="J1533" t="s">
        <v>454</v>
      </c>
      <c r="K1533" s="85">
        <f>I1533*E1533</f>
        <v>0.21546874999999999</v>
      </c>
    </row>
    <row r="1534" spans="1:12">
      <c r="A1534" t="s">
        <v>1373</v>
      </c>
      <c r="B1534" s="146" t="s">
        <v>453</v>
      </c>
      <c r="E1534" s="70"/>
      <c r="F1534" s="5"/>
    </row>
    <row r="1535" spans="1:12">
      <c r="A1535" t="s">
        <v>1373</v>
      </c>
      <c r="B1535" s="147" t="s">
        <v>55</v>
      </c>
      <c r="C1535" t="s">
        <v>389</v>
      </c>
      <c r="D1535" t="s">
        <v>81</v>
      </c>
      <c r="E1535" s="70">
        <f>IF(B1535="","",INDEX(Ingredients!$I$1:$I$5013,(MATCH(InterventionCosts!B1535,Ingredients!$A$1:$A$5013,0))))</f>
        <v>1.8549350710014947</v>
      </c>
      <c r="F1535" s="5" t="str">
        <f>INDEX(Ingredients!J$1:J$265,(MATCH(InterventionCosts!B1535,Ingredients!A$1:A$265,0)))</f>
        <v>per minute</v>
      </c>
      <c r="G1535">
        <f>IF(B1535="","",INDEX(Ingredients!$E$1:$E$238,(MATCH(InterventionCosts!B1535,Ingredients!A$1:A$238,0))))</f>
        <v>2024</v>
      </c>
      <c r="H1535" t="str">
        <f>INDEX(Ingredients!$F$1:$F$318,(MATCH(InterventionCosts!B1535,Ingredients!A$1:A$318,0)))</f>
        <v xml:space="preserve">April 2024 Salary scale </v>
      </c>
      <c r="I1535" s="149">
        <f>75/160</f>
        <v>0.46875</v>
      </c>
      <c r="J1535" t="s">
        <v>454</v>
      </c>
      <c r="K1535" s="85">
        <f>I1535*E1535</f>
        <v>0.86950081453195061</v>
      </c>
    </row>
    <row r="1536" spans="1:12">
      <c r="A1536" t="s">
        <v>1373</v>
      </c>
      <c r="B1536" s="146" t="s">
        <v>419</v>
      </c>
    </row>
    <row r="1537" spans="1:14">
      <c r="A1537" t="s">
        <v>1373</v>
      </c>
      <c r="B1537" s="147" t="s">
        <v>111</v>
      </c>
      <c r="C1537" t="s">
        <v>389</v>
      </c>
      <c r="D1537" t="s">
        <v>81</v>
      </c>
      <c r="E1537" s="70">
        <f>IF(B1537="","",INDEX(Ingredients!$I$1:$I$5013,(MATCH(InterventionCosts!B1537,Ingredients!$A$1:$A$5013,0))))</f>
        <v>239.77392959288917</v>
      </c>
      <c r="F1537" s="5" t="str">
        <f>INDEX(Ingredients!J$1:J$265,(MATCH(InterventionCosts!B1537,Ingredients!A$1:A$265,0)))</f>
        <v>pp per workshop</v>
      </c>
      <c r="G1537">
        <f>IF(B1537="","",INDEX(Ingredients!$E$1:$E$238,(MATCH(InterventionCosts!B1537,Ingredients!A$1:A$238,0))))</f>
        <v>2018</v>
      </c>
      <c r="H1537" t="str">
        <f>INDEX(Ingredients!$F$1:$F$318,(MATCH(InterventionCosts!B1537,Ingredients!A$1:A$318,0)))</f>
        <v>RSA Global Fund Grant portfolio budgets 2018, Subject to revision during grant negotiations (Steve's email)</v>
      </c>
      <c r="I1537" s="148">
        <f>1/100</f>
        <v>0.01</v>
      </c>
      <c r="J1537" s="149" t="s">
        <v>433</v>
      </c>
      <c r="K1537" s="85">
        <f>I1537*E1537</f>
        <v>2.3977392959288917</v>
      </c>
    </row>
    <row r="1538" spans="1:14">
      <c r="A1538" t="s">
        <v>1373</v>
      </c>
      <c r="B1538" s="147" t="s">
        <v>39</v>
      </c>
      <c r="C1538" t="s">
        <v>389</v>
      </c>
      <c r="D1538" t="s">
        <v>21</v>
      </c>
      <c r="E1538" s="70">
        <f>IF(B1538="","",INDEX(Ingredients!$I$1:$I$5013,(MATCH(InterventionCosts!B1538,Ingredients!$A$1:$A$5013,0))))</f>
        <v>0.90383818045604736</v>
      </c>
      <c r="F1538" s="5" t="str">
        <f>INDEX(Ingredients!J$1:J$265,(MATCH(InterventionCosts!B1538,Ingredients!A$1:A$265,0)))</f>
        <v>per material</v>
      </c>
      <c r="G1538">
        <f>IF(B1538="","",INDEX(Ingredients!$E$1:$E$238,(MATCH(InterventionCosts!B1538,Ingredients!A$1:A$238,0))))</f>
        <v>2016</v>
      </c>
      <c r="H1538" t="str">
        <f>INDEX(Ingredients!$F$1:$F$318,(MATCH(InterventionCosts!B1538,Ingredients!A$1:A$318,0)))</f>
        <v>RSA Global Fund Grant portfolio budgets 2016</v>
      </c>
      <c r="I1538" s="148">
        <v>1</v>
      </c>
      <c r="J1538" s="149" t="s">
        <v>434</v>
      </c>
      <c r="K1538" s="85">
        <f>I1538*E1538</f>
        <v>0.90383818045604736</v>
      </c>
    </row>
    <row r="1539" spans="1:14">
      <c r="A1539" t="s">
        <v>1373</v>
      </c>
      <c r="B1539" s="147" t="s">
        <v>425</v>
      </c>
      <c r="C1539" t="s">
        <v>389</v>
      </c>
      <c r="D1539" t="s">
        <v>48</v>
      </c>
      <c r="E1539" s="70">
        <f>IF(B1539="","",INDEX(Ingredients!$I$1:$I$5013,(MATCH(InterventionCosts!B1539,Ingredients!$A$1:$A$5013,0))))</f>
        <v>4100.2266666666665</v>
      </c>
      <c r="F1539" s="5" t="str">
        <f>INDEX(Ingredients!J$1:J$265,(MATCH(InterventionCosts!B1539,Ingredients!A$1:A$265,0)))</f>
        <v>per month</v>
      </c>
      <c r="G1539">
        <f>IF(B1539="","",INDEX(Ingredients!$E$1:$E$238,(MATCH(InterventionCosts!B1539,Ingredients!A$1:A$238,0))))</f>
        <v>2024</v>
      </c>
      <c r="H1539" t="str">
        <f>INDEX(Ingredients!$F$1:$F$318,(MATCH(InterventionCosts!B1539,Ingredients!A$1:A$318,0)))</f>
        <v>https://www.health.gov.za/wp-content/uploads/2022/07/Health-Department-welcomes-Bargaining-Council-resolution-to-improve-work-conditions-of-CHWs-27-July-2022.pdf</v>
      </c>
      <c r="I1539" s="150">
        <f>((15/(8*60))*workdayspermonth)/160*12</f>
        <v>4.3554687499999994E-2</v>
      </c>
      <c r="J1539" s="149" t="s">
        <v>435</v>
      </c>
      <c r="K1539" s="85">
        <f>I1539*E1539</f>
        <v>178.5840911458333</v>
      </c>
    </row>
    <row r="1540" spans="1:14">
      <c r="A1540" t="s">
        <v>1373</v>
      </c>
      <c r="B1540" s="146" t="s">
        <v>420</v>
      </c>
    </row>
    <row r="1541" spans="1:14">
      <c r="A1541" t="s">
        <v>1373</v>
      </c>
      <c r="B1541" s="147" t="s">
        <v>246</v>
      </c>
      <c r="C1541" t="s">
        <v>389</v>
      </c>
      <c r="D1541" t="s">
        <v>21</v>
      </c>
      <c r="E1541" s="70">
        <f>IF(B1541="","",INDEX(Ingredients!$I$1:$I$5013,(MATCH(InterventionCosts!B1541,Ingredients!$A$1:$A$5013,0))))</f>
        <v>0.16400000000000001</v>
      </c>
      <c r="F1541" s="5" t="str">
        <f>INDEX(Ingredients!J$1:J$265,(MATCH(InterventionCosts!B1541,Ingredients!A$1:A$265,0)))</f>
        <v>per page</v>
      </c>
      <c r="G1541">
        <f>IF(B1541="","",INDEX(Ingredients!$E$1:$E$238,(MATCH(InterventionCosts!B1541,Ingredients!A$1:A$238,0))))</f>
        <v>2024</v>
      </c>
      <c r="H1541" t="str">
        <f>INDEX(Ingredients!$F$1:$F$318,(MATCH(InterventionCosts!B1541,Ingredients!A$1:A$318,0)))</f>
        <v>https://www.makro.co.za/stationery-office-furniture/paper-filing/paper/white-paper/copy-paper/typek-a4-office-paper-80-gsm/p/000000000000012434_BOX</v>
      </c>
      <c r="I1541" s="148">
        <f>2*1</f>
        <v>2</v>
      </c>
      <c r="J1541" s="149" t="s">
        <v>436</v>
      </c>
      <c r="K1541" s="85">
        <f>I1541*E1541</f>
        <v>0.32800000000000001</v>
      </c>
    </row>
    <row r="1542" spans="1:14">
      <c r="A1542" t="s">
        <v>1373</v>
      </c>
      <c r="B1542" s="147" t="s">
        <v>426</v>
      </c>
      <c r="C1542" t="s">
        <v>389</v>
      </c>
      <c r="D1542" t="s">
        <v>21</v>
      </c>
      <c r="E1542" s="70">
        <f>IF(B1542="","",INDEX(Ingredients!$I$1:$I$5013,(MATCH(InterventionCosts!B1542,Ingredients!$A$1:$A$5013,0))))</f>
        <v>0.45800000000000002</v>
      </c>
      <c r="F1542" s="5" t="str">
        <f>INDEX(Ingredients!J$1:J$265,(MATCH(InterventionCosts!B1542,Ingredients!A$1:A$265,0)))</f>
        <v>per page</v>
      </c>
      <c r="G1542">
        <f>IF(B1542="","",INDEX(Ingredients!$E$1:$E$238,(MATCH(InterventionCosts!B1542,Ingredients!A$1:A$238,0))))</f>
        <v>2024</v>
      </c>
      <c r="H1542" t="str">
        <f>INDEX(Ingredients!$F$1:$F$318,(MATCH(InterventionCosts!B1542,Ingredients!A$1:A$318,0)))</f>
        <v>https://www.makro.co.za/stationery-office-furniture/paper-filing/paper/white-paper/a3-paper/typek-a3-office-paper-80-gsm/p/000000000000877929_EA</v>
      </c>
      <c r="I1542" s="148">
        <f>1/160*12</f>
        <v>7.5000000000000011E-2</v>
      </c>
      <c r="J1542" s="149" t="s">
        <v>437</v>
      </c>
      <c r="K1542" s="85">
        <f>I1542*E1542</f>
        <v>3.4350000000000006E-2</v>
      </c>
    </row>
    <row r="1543" spans="1:14">
      <c r="A1543" t="s">
        <v>1373</v>
      </c>
      <c r="B1543" s="147" t="s">
        <v>55</v>
      </c>
      <c r="C1543" t="s">
        <v>389</v>
      </c>
      <c r="D1543" t="s">
        <v>48</v>
      </c>
      <c r="E1543" s="70">
        <f>IF(B1543="","",INDEX(Ingredients!$I$1:$I$5013,(MATCH(InterventionCosts!B1543,Ingredients!$A$1:$A$5013,0))))</f>
        <v>1.8549350710014947</v>
      </c>
      <c r="F1543" s="5" t="str">
        <f>INDEX(Ingredients!J$1:J$265,(MATCH(InterventionCosts!B1543,Ingredients!A$1:A$265,0)))</f>
        <v>per minute</v>
      </c>
      <c r="G1543">
        <f>IF(B1543="","",INDEX(Ingredients!$E$1:$E$238,(MATCH(InterventionCosts!B1543,Ingredients!A$1:A$238,0))))</f>
        <v>2024</v>
      </c>
      <c r="H1543" t="str">
        <f>INDEX(Ingredients!$F$1:$F$318,(MATCH(InterventionCosts!B1543,Ingredients!A$1:A$318,0)))</f>
        <v xml:space="preserve">April 2024 Salary scale </v>
      </c>
      <c r="I1543" s="148">
        <f>(60*12)/160</f>
        <v>4.5</v>
      </c>
      <c r="J1543" s="149" t="s">
        <v>438</v>
      </c>
      <c r="K1543" s="85">
        <f>I1543*E1543</f>
        <v>8.3472078195067265</v>
      </c>
    </row>
    <row r="1544" spans="1:14">
      <c r="A1544" t="s">
        <v>1373</v>
      </c>
      <c r="B1544" s="146" t="s">
        <v>421</v>
      </c>
    </row>
    <row r="1545" spans="1:14">
      <c r="A1545" t="s">
        <v>1373</v>
      </c>
      <c r="B1545" s="147" t="s">
        <v>422</v>
      </c>
      <c r="C1545" t="s">
        <v>389</v>
      </c>
      <c r="D1545" t="s">
        <v>81</v>
      </c>
      <c r="E1545" s="70"/>
      <c r="F1545" s="5"/>
      <c r="J1545" t="s">
        <v>441</v>
      </c>
      <c r="K1545" s="85">
        <f>0.07*SUM(K1448:K1543,K1546)</f>
        <v>452.12562318220978</v>
      </c>
      <c r="L1545" s="85" t="s">
        <v>427</v>
      </c>
    </row>
    <row r="1546" spans="1:14">
      <c r="A1546" t="s">
        <v>1373</v>
      </c>
      <c r="B1546" s="147" t="s">
        <v>52</v>
      </c>
      <c r="C1546" t="s">
        <v>389</v>
      </c>
      <c r="D1546" t="s">
        <v>48</v>
      </c>
      <c r="E1546" s="70">
        <f>IF(B1546="","",INDEX(Ingredients!$I$1:$I$5013,(MATCH(InterventionCosts!B1546,Ingredients!$A$1:$A$5013,0))))</f>
        <v>1.8019482436472347</v>
      </c>
      <c r="F1546" s="5" t="str">
        <f>INDEX(Ingredients!J$1:J$265,(MATCH(InterventionCosts!B1546,Ingredients!A$1:A$265,0)))</f>
        <v>per minute</v>
      </c>
      <c r="G1546">
        <f>IF(B1546="","",INDEX(Ingredients!$E$1:$E$238,(MATCH(InterventionCosts!B1546,Ingredients!A$1:A$238,0))))</f>
        <v>2024</v>
      </c>
      <c r="H1546" t="str">
        <f>INDEX(Ingredients!$F$1:$F$318,(MATCH(InterventionCosts!B1546,Ingredients!A$1:A$318,0)))</f>
        <v xml:space="preserve">April 2024 Salary scale </v>
      </c>
      <c r="I1546">
        <f>3*4</f>
        <v>12</v>
      </c>
      <c r="J1546" s="149" t="s">
        <v>439</v>
      </c>
      <c r="K1546" s="85">
        <f>I1546*E1546</f>
        <v>21.623378923766815</v>
      </c>
    </row>
    <row r="1547" spans="1:14" s="89" customFormat="1">
      <c r="A1547" s="4" t="s">
        <v>1373</v>
      </c>
      <c r="F1547" s="89" t="s">
        <v>1164</v>
      </c>
      <c r="G1547" s="89" t="str">
        <f>IF(B1547="","",INDEX(Ingredients!$E$1:$E$238,(MATCH(InterventionCosts!B1547,Ingredients!A$1:A$238,0))))</f>
        <v/>
      </c>
      <c r="K1547" s="90"/>
      <c r="L1547" s="90">
        <f>SUM(K1448:K1546)</f>
        <v>6911.0630972137778</v>
      </c>
      <c r="M1547" s="92"/>
      <c r="N1547" s="4"/>
    </row>
    <row r="1548" spans="1:14" s="89" customFormat="1">
      <c r="A1548" s="4" t="s">
        <v>1373</v>
      </c>
      <c r="F1548" s="89" t="s">
        <v>117</v>
      </c>
      <c r="G1548" s="89" t="str">
        <f>IF(B1548="","",INDEX(Ingredients!$E$1:$E$238,(MATCH(InterventionCosts!B1548,Ingredients!A$1:A$238,0))))</f>
        <v/>
      </c>
      <c r="K1548" s="90"/>
      <c r="L1548" s="90" t="s">
        <v>440</v>
      </c>
    </row>
    <row r="1550" spans="1:14">
      <c r="A1550" t="s">
        <v>938</v>
      </c>
      <c r="B1550" s="144" t="s">
        <v>388</v>
      </c>
      <c r="C1550" s="141"/>
      <c r="D1550" s="141"/>
      <c r="E1550" s="142"/>
      <c r="F1550" s="141"/>
      <c r="G1550" s="141"/>
      <c r="H1550" s="141"/>
      <c r="I1550" s="141"/>
      <c r="J1550" s="141"/>
      <c r="K1550" s="143"/>
    </row>
    <row r="1551" spans="1:14">
      <c r="A1551" t="s">
        <v>938</v>
      </c>
      <c r="B1551" s="136" t="s">
        <v>390</v>
      </c>
    </row>
    <row r="1552" spans="1:14">
      <c r="A1552" t="s">
        <v>938</v>
      </c>
      <c r="B1552" s="137" t="s">
        <v>54</v>
      </c>
      <c r="C1552" t="s">
        <v>389</v>
      </c>
      <c r="D1552" t="s">
        <v>48</v>
      </c>
      <c r="E1552" s="70">
        <f>IF(B1552="","",INDEX(Ingredients!$I$1:$I$5013,(MATCH(InterventionCosts!B1552,Ingredients!$A$1:$A$5013,0))))</f>
        <v>1.2444366591928251</v>
      </c>
      <c r="F1552" s="5" t="str">
        <f>INDEX(Ingredients!J$1:J$265,(MATCH(InterventionCosts!B1552,Ingredients!A$1:A$265,0)))</f>
        <v>per minute</v>
      </c>
      <c r="G1552">
        <f>IF(B1552="","",INDEX(Ingredients!$E$1:$E$238,(MATCH(InterventionCosts!B1552,Ingredients!A$1:A$238,0))))</f>
        <v>2024</v>
      </c>
      <c r="H1552" t="str">
        <f>INDEX(Ingredients!$F$1:$F$318,(MATCH(InterventionCosts!B1552,Ingredients!A$1:A$318,0)))</f>
        <v xml:space="preserve">April 2024 Salary scale </v>
      </c>
      <c r="I1552">
        <v>1</v>
      </c>
      <c r="J1552" t="s">
        <v>1476</v>
      </c>
      <c r="K1552" s="85">
        <f>I1552*E1552</f>
        <v>1.2444366591928251</v>
      </c>
      <c r="L1552"/>
    </row>
    <row r="1553" spans="1:12">
      <c r="A1553" t="s">
        <v>938</v>
      </c>
      <c r="B1553" s="137" t="s">
        <v>246</v>
      </c>
      <c r="C1553" t="s">
        <v>389</v>
      </c>
      <c r="D1553" s="5" t="s">
        <v>21</v>
      </c>
      <c r="E1553" s="70">
        <f>IF(B1553="","",INDEX(Ingredients!$I$1:$I$5013,(MATCH(InterventionCosts!B1553,Ingredients!$A$1:$A$5013,0))))</f>
        <v>0.16400000000000001</v>
      </c>
      <c r="F1553" s="5" t="str">
        <f>INDEX(Ingredients!J$1:J$265,(MATCH(InterventionCosts!B1553,Ingredients!A$1:A$265,0)))</f>
        <v>per page</v>
      </c>
      <c r="G1553">
        <f>IF(B1553="","",INDEX(Ingredients!$E$1:$E$238,(MATCH(InterventionCosts!B1553,Ingredients!A$1:A$238,0))))</f>
        <v>2024</v>
      </c>
      <c r="H1553" t="str">
        <f>INDEX(Ingredients!$F$1:$F$318,(MATCH(InterventionCosts!B1553,Ingredients!A$1:A$318,0)))</f>
        <v>https://www.makro.co.za/stationery-office-furniture/paper-filing/paper/white-paper/copy-paper/typek-a4-office-paper-80-gsm/p/000000000000012434_BOX</v>
      </c>
      <c r="I1553">
        <f>1</f>
        <v>1</v>
      </c>
      <c r="J1553" t="s">
        <v>1476</v>
      </c>
      <c r="K1553" s="85">
        <f>I1553*E1553</f>
        <v>0.16400000000000001</v>
      </c>
      <c r="L1553" t="s">
        <v>1510</v>
      </c>
    </row>
    <row r="1554" spans="1:12">
      <c r="A1554" t="s">
        <v>938</v>
      </c>
      <c r="B1554" s="136" t="s">
        <v>391</v>
      </c>
      <c r="F1554" s="3" t="s">
        <v>396</v>
      </c>
      <c r="I1554" s="153">
        <f>0.086</f>
        <v>8.5999999999999993E-2</v>
      </c>
      <c r="J1554" s="3" t="s">
        <v>443</v>
      </c>
      <c r="L1554" s="3"/>
    </row>
    <row r="1555" spans="1:12">
      <c r="A1555" t="s">
        <v>938</v>
      </c>
      <c r="B1555" s="137" t="s">
        <v>79</v>
      </c>
      <c r="C1555" t="s">
        <v>389</v>
      </c>
      <c r="D1555" s="5" t="s">
        <v>21</v>
      </c>
      <c r="E1555" s="70">
        <f>IF(B1555="","",INDEX(Ingredients!$I$1:$I$5013,(MATCH(InterventionCosts!B1555,Ingredients!$A$1:$A$5013,0))))</f>
        <v>9.3000000000000007</v>
      </c>
      <c r="F1555" s="5" t="str">
        <f>INDEX(Ingredients!J$1:J$265,(MATCH(InterventionCosts!B1555,Ingredients!A$1:A$265,0)))</f>
        <v>per test</v>
      </c>
      <c r="G1555">
        <f>IF(B1555="","",INDEX(Ingredients!$E$1:$E$238,(MATCH(InterventionCosts!B1555,Ingredients!A$1:A$238,0))))</f>
        <v>2024</v>
      </c>
      <c r="H1555" t="str">
        <f>INDEX(Ingredients!$F$1:$F$318,(MATCH(InterventionCosts!B1555,Ingredients!A$1:A$318,0)))</f>
        <v>https://www.treasury.gov.za/divisions/ocpo/ostb/contracts/RT41-2020.zip</v>
      </c>
      <c r="I1555" s="134">
        <f>1/(1-I1554)</f>
        <v>1.0940919037199124</v>
      </c>
      <c r="J1555" s="133" t="s">
        <v>394</v>
      </c>
      <c r="K1555" s="85">
        <f>I1555*E1555</f>
        <v>10.175054704595185</v>
      </c>
      <c r="L1555" s="133"/>
    </row>
    <row r="1556" spans="1:12">
      <c r="A1556" t="s">
        <v>938</v>
      </c>
      <c r="B1556" s="137" t="s">
        <v>54</v>
      </c>
      <c r="C1556" t="s">
        <v>389</v>
      </c>
      <c r="D1556" t="s">
        <v>48</v>
      </c>
      <c r="E1556" s="70">
        <f>IF(B1556="","",INDEX(Ingredients!$I$1:$I$5013,(MATCH(InterventionCosts!B1556,Ingredients!$A$1:$A$5013,0))))</f>
        <v>1.2444366591928251</v>
      </c>
      <c r="F1556" s="5" t="str">
        <f>INDEX(Ingredients!J$1:J$265,(MATCH(InterventionCosts!B1556,Ingredients!A$1:A$265,0)))</f>
        <v>per minute</v>
      </c>
      <c r="G1556">
        <f>IF(B1556="","",INDEX(Ingredients!$E$1:$E$238,(MATCH(InterventionCosts!B1556,Ingredients!A$1:A$238,0))))</f>
        <v>2024</v>
      </c>
      <c r="H1556" t="str">
        <f>INDEX(Ingredients!$F$1:$F$318,(MATCH(InterventionCosts!B1556,Ingredients!A$1:A$318,0)))</f>
        <v xml:space="preserve">April 2024 Salary scale </v>
      </c>
      <c r="I1556" s="134">
        <f>15+1/(1-I1554)</f>
        <v>16.094091903719914</v>
      </c>
      <c r="J1556" s="133" t="s">
        <v>395</v>
      </c>
      <c r="K1556" s="85">
        <f>I1556*E1556</f>
        <v>20.028077961407504</v>
      </c>
      <c r="L1556" s="133"/>
    </row>
    <row r="1557" spans="1:12">
      <c r="A1557" t="s">
        <v>938</v>
      </c>
      <c r="B1557" s="137" t="s">
        <v>1489</v>
      </c>
      <c r="C1557" t="s">
        <v>389</v>
      </c>
      <c r="D1557" s="5" t="s">
        <v>21</v>
      </c>
      <c r="E1557" s="70">
        <f>IF(B1557="","",INDEX(Ingredients!$I$1:$I$5013,(MATCH(InterventionCosts!B1557,Ingredients!$A$1:$A$5013,0))))</f>
        <v>53.08</v>
      </c>
      <c r="F1557" s="5" t="str">
        <f>INDEX(Ingredients!J$1:J$265,(MATCH(InterventionCosts!B1557,Ingredients!A$1:A$265,0)))</f>
        <v>per pack 100, 50 pairs</v>
      </c>
      <c r="G1557">
        <f>IF(B1557="","",INDEX(Ingredients!$E$1:$E$238,(MATCH(InterventionCosts!B1557,Ingredients!A$1:A$238,0))))</f>
        <v>2024</v>
      </c>
      <c r="H1557" t="str">
        <f>INDEX(Ingredients!$F$1:$F$318,(MATCH(InterventionCosts!B1557,Ingredients!A$1:A$318,0)))</f>
        <v>https://www.treasury.gov.za/divisions/ocpo/ostb/contracts/RT76-2023%20CPA%20Amendment%204-%20Effective%2001%20May%202024.pdf</v>
      </c>
      <c r="I1557" s="134">
        <f>2/100*(1/(1-I1554))</f>
        <v>2.1881838074398249E-2</v>
      </c>
      <c r="J1557" t="s">
        <v>1487</v>
      </c>
      <c r="K1557" s="85">
        <f>I1557*E1557</f>
        <v>1.161487964989059</v>
      </c>
      <c r="L1557"/>
    </row>
    <row r="1558" spans="1:12">
      <c r="A1558" t="s">
        <v>938</v>
      </c>
      <c r="B1558" s="137" t="s">
        <v>31</v>
      </c>
      <c r="C1558" t="s">
        <v>389</v>
      </c>
      <c r="D1558" s="5" t="s">
        <v>21</v>
      </c>
      <c r="E1558" s="70">
        <f>IF(B1558="","",INDEX(Ingredients!$I$1:$I$5013,(MATCH(InterventionCosts!B1558,Ingredients!$A$1:$A$5013,0))))</f>
        <v>31.4</v>
      </c>
      <c r="F1558" s="5" t="str">
        <f>INDEX(Ingredients!J$1:J$265,(MATCH(InterventionCosts!B1558,Ingredients!A$1:A$265,0)))</f>
        <v>per 100 swabs</v>
      </c>
      <c r="G1558">
        <f>IF(B1558="","",INDEX(Ingredients!$E$1:$E$238,(MATCH(InterventionCosts!B1558,Ingredients!A$1:A$238,0))))</f>
        <v>2024</v>
      </c>
      <c r="H1558" t="str">
        <f>INDEX(Ingredients!$F$1:$F$318,(MATCH(InterventionCosts!B1558,Ingredients!A$1:A$318,0)))</f>
        <v xml:space="preserve">http://www.treasury.gov.za/divisions/ocpo/ostb/contracts/RT42-2022zip </v>
      </c>
      <c r="I1558" s="134">
        <f>1/100*(1/(1-I1554))</f>
        <v>1.0940919037199124E-2</v>
      </c>
      <c r="J1558" s="133" t="s">
        <v>394</v>
      </c>
      <c r="K1558" s="85">
        <f>I1558*E1558</f>
        <v>0.34354485776805249</v>
      </c>
      <c r="L1558" s="133"/>
    </row>
    <row r="1559" spans="1:12">
      <c r="A1559" t="s">
        <v>938</v>
      </c>
      <c r="B1559" s="136" t="s">
        <v>392</v>
      </c>
      <c r="E1559" s="70"/>
      <c r="F1559" s="5"/>
      <c r="L1559"/>
    </row>
    <row r="1560" spans="1:12">
      <c r="A1560" t="s">
        <v>938</v>
      </c>
      <c r="B1560" s="137" t="s">
        <v>79</v>
      </c>
      <c r="C1560" t="s">
        <v>389</v>
      </c>
      <c r="D1560" s="5" t="s">
        <v>21</v>
      </c>
      <c r="E1560" s="70">
        <f>IF(B1560="","",INDEX(Ingredients!$I$1:$I$5013,(MATCH(InterventionCosts!B1560,Ingredients!$A$1:$A$5013,0))))</f>
        <v>9.3000000000000007</v>
      </c>
      <c r="F1560" s="5" t="str">
        <f>INDEX(Ingredients!J$1:J$265,(MATCH(InterventionCosts!B1560,Ingredients!A$1:A$265,0)))</f>
        <v>per test</v>
      </c>
      <c r="G1560">
        <f>IF(B1560="","",INDEX(Ingredients!$E$1:$E$238,(MATCH(InterventionCosts!B1560,Ingredients!A$1:A$238,0))))</f>
        <v>2024</v>
      </c>
      <c r="H1560" t="str">
        <f>INDEX(Ingredients!$F$1:$F$318,(MATCH(InterventionCosts!B1560,Ingredients!A$1:A$318,0)))</f>
        <v>https://www.treasury.gov.za/divisions/ocpo/ostb/contracts/RT41-2020.zip</v>
      </c>
      <c r="I1560" s="134">
        <f>I1554</f>
        <v>8.5999999999999993E-2</v>
      </c>
      <c r="J1560" s="85" t="s">
        <v>396</v>
      </c>
      <c r="K1560" s="85">
        <f>I1560*E1560</f>
        <v>0.79979999999999996</v>
      </c>
    </row>
    <row r="1561" spans="1:12">
      <c r="A1561" t="s">
        <v>938</v>
      </c>
      <c r="B1561" s="137" t="s">
        <v>54</v>
      </c>
      <c r="C1561" t="s">
        <v>389</v>
      </c>
      <c r="D1561" t="s">
        <v>48</v>
      </c>
      <c r="E1561" s="70">
        <f>IF(B1561="","",INDEX(Ingredients!$I$1:$I$5013,(MATCH(InterventionCosts!B1561,Ingredients!$A$1:$A$5013,0))))</f>
        <v>1.2444366591928251</v>
      </c>
      <c r="F1561" s="5" t="str">
        <f>INDEX(Ingredients!J$1:J$265,(MATCH(InterventionCosts!B1561,Ingredients!A$1:A$265,0)))</f>
        <v>per minute</v>
      </c>
      <c r="G1561">
        <f>IF(B1561="","",INDEX(Ingredients!$E$1:$E$238,(MATCH(InterventionCosts!B1561,Ingredients!A$1:A$238,0))))</f>
        <v>2024</v>
      </c>
      <c r="H1561" t="str">
        <f>INDEX(Ingredients!$F$1:$F$318,(MATCH(InterventionCosts!B1561,Ingredients!A$1:A$318,0)))</f>
        <v xml:space="preserve">April 2024 Salary scale </v>
      </c>
      <c r="I1561" s="134">
        <f>(15+1/(1-I1554))*I1554</f>
        <v>1.3840919037199124</v>
      </c>
      <c r="J1561" s="133" t="s">
        <v>395</v>
      </c>
      <c r="K1561" s="85">
        <f>I1561*E1561</f>
        <v>1.7224147046810452</v>
      </c>
      <c r="L1561" s="133"/>
    </row>
    <row r="1562" spans="1:12">
      <c r="A1562" t="s">
        <v>938</v>
      </c>
      <c r="B1562" s="137" t="s">
        <v>1489</v>
      </c>
      <c r="C1562" t="s">
        <v>389</v>
      </c>
      <c r="D1562" s="5" t="s">
        <v>21</v>
      </c>
      <c r="E1562" s="70">
        <f>IF(B1562="","",INDEX(Ingredients!$I$1:$I$5013,(MATCH(InterventionCosts!B1562,Ingredients!$A$1:$A$5013,0))))</f>
        <v>53.08</v>
      </c>
      <c r="F1562" s="5" t="str">
        <f>INDEX(Ingredients!J$1:J$265,(MATCH(InterventionCosts!B1562,Ingredients!A$1:A$265,0)))</f>
        <v>per pack 100, 50 pairs</v>
      </c>
      <c r="G1562">
        <f>IF(B1562="","",INDEX(Ingredients!$E$1:$E$238,(MATCH(InterventionCosts!B1562,Ingredients!A$1:A$238,0))))</f>
        <v>2024</v>
      </c>
      <c r="H1562" t="str">
        <f>INDEX(Ingredients!$F$1:$F$318,(MATCH(InterventionCosts!B1562,Ingredients!A$1:A$318,0)))</f>
        <v>https://www.treasury.gov.za/divisions/ocpo/ostb/contracts/RT76-2023%20CPA%20Amendment%204-%20Effective%2001%20May%202024.pdf</v>
      </c>
      <c r="I1562">
        <f>2/100*I1554</f>
        <v>1.72E-3</v>
      </c>
      <c r="J1562" t="s">
        <v>1487</v>
      </c>
      <c r="K1562" s="85">
        <f>I1562*E1562</f>
        <v>9.1297599999999993E-2</v>
      </c>
      <c r="L1562"/>
    </row>
    <row r="1563" spans="1:12">
      <c r="A1563" t="s">
        <v>938</v>
      </c>
      <c r="B1563" s="137" t="s">
        <v>31</v>
      </c>
      <c r="C1563" t="s">
        <v>389</v>
      </c>
      <c r="D1563" s="5" t="s">
        <v>21</v>
      </c>
      <c r="E1563" s="70">
        <f>IF(B1563="","",INDEX(Ingredients!$I$1:$I$5013,(MATCH(InterventionCosts!B1563,Ingredients!$A$1:$A$5013,0))))</f>
        <v>31.4</v>
      </c>
      <c r="F1563" s="5" t="str">
        <f>INDEX(Ingredients!J$1:J$265,(MATCH(InterventionCosts!B1563,Ingredients!A$1:A$265,0)))</f>
        <v>per 100 swabs</v>
      </c>
      <c r="G1563">
        <f>IF(B1563="","",INDEX(Ingredients!$E$1:$E$238,(MATCH(InterventionCosts!B1563,Ingredients!A$1:A$238,0))))</f>
        <v>2024</v>
      </c>
      <c r="H1563" t="str">
        <f>INDEX(Ingredients!$F$1:$F$318,(MATCH(InterventionCosts!B1563,Ingredients!A$1:A$318,0)))</f>
        <v xml:space="preserve">http://www.treasury.gov.za/divisions/ocpo/ostb/contracts/RT42-2022zip </v>
      </c>
      <c r="I1563" s="152">
        <f>1/100*I1554</f>
        <v>8.5999999999999998E-4</v>
      </c>
      <c r="J1563" t="s">
        <v>1486</v>
      </c>
      <c r="K1563" s="85">
        <f>I1563*E1563</f>
        <v>2.7003999999999997E-2</v>
      </c>
      <c r="L1563" s="133"/>
    </row>
    <row r="1564" spans="1:12">
      <c r="A1564" t="s">
        <v>938</v>
      </c>
      <c r="B1564" s="136" t="s">
        <v>393</v>
      </c>
      <c r="F1564" s="5"/>
      <c r="L1564"/>
    </row>
    <row r="1565" spans="1:12">
      <c r="A1565" t="s">
        <v>938</v>
      </c>
      <c r="B1565" s="137" t="s">
        <v>77</v>
      </c>
      <c r="C1565" t="s">
        <v>389</v>
      </c>
      <c r="D1565" t="s">
        <v>75</v>
      </c>
      <c r="E1565" s="70">
        <f>IF(B1565="","",INDEX(Ingredients!$I$1:$I$5013,(MATCH(InterventionCosts!B1565,Ingredients!$A$1:$A$5013,0))))</f>
        <v>71.889951748999991</v>
      </c>
      <c r="F1565" s="5" t="str">
        <f>INDEX(Ingredients!J$1:J$265,(MATCH(InterventionCosts!B1565,Ingredients!A$1:A$265,0)))</f>
        <v>per test</v>
      </c>
      <c r="G1565">
        <f>IF(B1565="","",INDEX(Ingredients!$E$1:$E$238,(MATCH(InterventionCosts!B1565,Ingredients!A$1:A$238,0))))</f>
        <v>2021</v>
      </c>
      <c r="H1565" t="str">
        <f>INDEX(Ingredients!$F$1:$F$318,(MATCH(InterventionCosts!B1565,Ingredients!A$1:A$318,0)))</f>
        <v>NHLS 2021 price-list</v>
      </c>
      <c r="I1565">
        <v>0.02</v>
      </c>
      <c r="J1565" s="85" t="s">
        <v>397</v>
      </c>
      <c r="K1565" s="85">
        <f>I1565*E1565</f>
        <v>1.4377990349799998</v>
      </c>
    </row>
    <row r="1566" spans="1:12">
      <c r="A1566" t="s">
        <v>938</v>
      </c>
      <c r="B1566" s="137" t="s">
        <v>54</v>
      </c>
      <c r="C1566" t="s">
        <v>389</v>
      </c>
      <c r="D1566" t="s">
        <v>48</v>
      </c>
      <c r="E1566" s="70">
        <f>IF(B1566="","",INDEX(Ingredients!$I$1:$I$5013,(MATCH(InterventionCosts!B1566,Ingredients!$A$1:$A$5013,0))))</f>
        <v>1.2444366591928251</v>
      </c>
      <c r="F1566" s="5" t="str">
        <f>INDEX(Ingredients!J$1:J$265,(MATCH(InterventionCosts!B1566,Ingredients!A$1:A$265,0)))</f>
        <v>per minute</v>
      </c>
      <c r="G1566">
        <f>IF(B1566="","",INDEX(Ingredients!$E$1:$E$238,(MATCH(InterventionCosts!B1566,Ingredients!A$1:A$238,0))))</f>
        <v>2024</v>
      </c>
      <c r="H1566" t="str">
        <f>INDEX(Ingredients!$F$1:$F$318,(MATCH(InterventionCosts!B1566,Ingredients!A$1:A$318,0)))</f>
        <v xml:space="preserve">April 2024 Salary scale </v>
      </c>
      <c r="I1566">
        <f>15*0.02</f>
        <v>0.3</v>
      </c>
      <c r="J1566" s="133" t="s">
        <v>395</v>
      </c>
      <c r="K1566" s="85">
        <f>I1566*E1566</f>
        <v>0.3733309977578475</v>
      </c>
      <c r="L1566" s="133"/>
    </row>
    <row r="1567" spans="1:12">
      <c r="A1567" t="s">
        <v>938</v>
      </c>
      <c r="B1567" s="137" t="s">
        <v>1489</v>
      </c>
      <c r="C1567" t="s">
        <v>389</v>
      </c>
      <c r="D1567" s="5" t="s">
        <v>21</v>
      </c>
      <c r="E1567" s="70">
        <f>IF(B1567="","",INDEX(Ingredients!$I$1:$I$5013,(MATCH(InterventionCosts!B1567,Ingredients!$A$1:$A$5013,0))))</f>
        <v>53.08</v>
      </c>
      <c r="F1567" s="5" t="str">
        <f>INDEX(Ingredients!J$1:J$265,(MATCH(InterventionCosts!B1567,Ingredients!A$1:A$265,0)))</f>
        <v>per pack 100, 50 pairs</v>
      </c>
      <c r="G1567">
        <f>IF(B1567="","",INDEX(Ingredients!$E$1:$E$238,(MATCH(InterventionCosts!B1567,Ingredients!A$1:A$238,0))))</f>
        <v>2024</v>
      </c>
      <c r="H1567" t="str">
        <f>INDEX(Ingredients!$F$1:$F$318,(MATCH(InterventionCosts!B1567,Ingredients!A$1:A$318,0)))</f>
        <v>https://www.treasury.gov.za/divisions/ocpo/ostb/contracts/RT76-2023%20CPA%20Amendment%204-%20Effective%2001%20May%202024.pdf</v>
      </c>
      <c r="I1567">
        <f>2/100*0.02</f>
        <v>4.0000000000000002E-4</v>
      </c>
      <c r="J1567" t="s">
        <v>1487</v>
      </c>
      <c r="K1567" s="85">
        <f>I1567*E1567</f>
        <v>2.1232000000000001E-2</v>
      </c>
      <c r="L1567"/>
    </row>
    <row r="1568" spans="1:12">
      <c r="A1568" t="s">
        <v>938</v>
      </c>
      <c r="B1568" s="137" t="s">
        <v>45</v>
      </c>
      <c r="C1568" t="s">
        <v>389</v>
      </c>
      <c r="D1568" s="5" t="s">
        <v>21</v>
      </c>
      <c r="E1568" s="70">
        <f>IF(B1568="","",INDEX(Ingredients!$I$1:$I$5013,(MATCH(InterventionCosts!B1568,Ingredients!$A$1:$A$5013,0))))</f>
        <v>46</v>
      </c>
      <c r="F1568" s="5" t="str">
        <f>INDEX(Ingredients!J$1:J$265,(MATCH(InterventionCosts!B1568,Ingredients!A$1:A$265,0)))</f>
        <v>per pack 100</v>
      </c>
      <c r="G1568">
        <f>IF(B1568="","",INDEX(Ingredients!$E$1:$E$238,(MATCH(InterventionCosts!B1568,Ingredients!A$1:A$238,0))))</f>
        <v>2024</v>
      </c>
      <c r="H1568" t="str">
        <f>INDEX(Ingredients!$F$1:$F$318,(MATCH(InterventionCosts!B1568,Ingredients!A$1:A$318,0)))</f>
        <v>https://www.treasury.gov.za/divisions/ocpo/ostb/contracts/RT284-2023.zip</v>
      </c>
      <c r="I1568">
        <f>1/100*0.02</f>
        <v>2.0000000000000001E-4</v>
      </c>
      <c r="J1568" t="s">
        <v>1486</v>
      </c>
      <c r="K1568" s="135">
        <f>I1568*E1568</f>
        <v>9.1999999999999998E-3</v>
      </c>
    </row>
    <row r="1569" spans="1:12">
      <c r="A1569" t="s">
        <v>938</v>
      </c>
      <c r="B1569" s="137" t="s">
        <v>31</v>
      </c>
      <c r="C1569" t="s">
        <v>389</v>
      </c>
      <c r="D1569" s="5" t="s">
        <v>21</v>
      </c>
      <c r="E1569" s="70">
        <f>IF(B1569="","",INDEX(Ingredients!$I$1:$I$5013,(MATCH(InterventionCosts!B1569,Ingredients!$A$1:$A$5013,0))))</f>
        <v>31.4</v>
      </c>
      <c r="F1569" s="5" t="str">
        <f>INDEX(Ingredients!J$1:J$265,(MATCH(InterventionCosts!B1569,Ingredients!A$1:A$265,0)))</f>
        <v>per 100 swabs</v>
      </c>
      <c r="G1569">
        <f>IF(B1569="","",INDEX(Ingredients!$E$1:$E$238,(MATCH(InterventionCosts!B1569,Ingredients!A$1:A$238,0))))</f>
        <v>2024</v>
      </c>
      <c r="H1569" t="str">
        <f>INDEX(Ingredients!$F$1:$F$318,(MATCH(InterventionCosts!B1569,Ingredients!A$1:A$318,0)))</f>
        <v xml:space="preserve">http://www.treasury.gov.za/divisions/ocpo/ostb/contracts/RT42-2022zip </v>
      </c>
      <c r="I1569">
        <f>1/100*0.02</f>
        <v>2.0000000000000001E-4</v>
      </c>
      <c r="J1569" t="s">
        <v>1486</v>
      </c>
      <c r="K1569" s="135">
        <f>I1569*E1569</f>
        <v>6.28E-3</v>
      </c>
    </row>
    <row r="1570" spans="1:12">
      <c r="A1570" t="s">
        <v>938</v>
      </c>
      <c r="B1570" s="136" t="s">
        <v>398</v>
      </c>
      <c r="L1570"/>
    </row>
    <row r="1571" spans="1:12">
      <c r="A1571" t="s">
        <v>938</v>
      </c>
      <c r="B1571" s="137" t="s">
        <v>354</v>
      </c>
      <c r="C1571" t="s">
        <v>389</v>
      </c>
      <c r="D1571" t="s">
        <v>48</v>
      </c>
      <c r="E1571" s="70">
        <f>IF(B1571="","",INDEX(Ingredients!$I$1:$I$5013,(MATCH(InterventionCosts!B1571,Ingredients!$A$1:$A$5013,0))))</f>
        <v>4.8996605630293981</v>
      </c>
      <c r="F1571" s="5" t="str">
        <f>INDEX(Ingredients!J$1:J$265,(MATCH(InterventionCosts!B1571,Ingredients!A$1:A$265,0)))</f>
        <v>per minute</v>
      </c>
      <c r="G1571">
        <f>IF(B1571="","",INDEX(Ingredients!$E$1:$E$238,(MATCH(InterventionCosts!B1571,Ingredients!A$1:A$238,0))))</f>
        <v>2024</v>
      </c>
      <c r="H1571" t="str">
        <f>INDEX(Ingredients!$F$1:$F$318,(MATCH(InterventionCosts!B1571,Ingredients!A$1:A$318,0)))</f>
        <v xml:space="preserve">April 2024 Salary scale </v>
      </c>
      <c r="I1571">
        <v>15</v>
      </c>
      <c r="J1571" s="133" t="s">
        <v>395</v>
      </c>
      <c r="K1571" s="85">
        <f>I1571*E1571</f>
        <v>73.49490844544097</v>
      </c>
      <c r="L1571" s="133"/>
    </row>
    <row r="1572" spans="1:12">
      <c r="A1572" t="s">
        <v>938</v>
      </c>
      <c r="B1572" s="137" t="s">
        <v>401</v>
      </c>
      <c r="C1572" t="s">
        <v>389</v>
      </c>
      <c r="D1572" s="5" t="s">
        <v>21</v>
      </c>
      <c r="E1572" s="70">
        <f>IF(B1572="","",INDEX(Ingredients!$I$1:$I$5013,(MATCH(InterventionCosts!B1572,Ingredients!$A$1:$A$5013,0))))</f>
        <v>4.8734277524838099</v>
      </c>
      <c r="F1572" s="5" t="str">
        <f>INDEX(Ingredients!J$1:J$265,(MATCH(InterventionCosts!B1572,Ingredients!A$1:A$265,0)))</f>
        <v>per test</v>
      </c>
      <c r="G1572">
        <f>IF(B1572="","",INDEX(Ingredients!$E$1:$E$238,(MATCH(InterventionCosts!B1572,Ingredients!A$1:A$238,0))))</f>
        <v>2019</v>
      </c>
      <c r="H1572" t="str">
        <f>INDEX(Ingredients!$F$1:$F$318,(MATCH(InterventionCosts!B1572,Ingredients!A$1:A$318,0)))</f>
        <v>Kendon Medical Supplies Pty Ltd, quote (19 Aug 2019)</v>
      </c>
      <c r="I1572">
        <v>1</v>
      </c>
      <c r="J1572" t="s">
        <v>1472</v>
      </c>
      <c r="K1572" s="85">
        <f>I1572*E1572</f>
        <v>4.8734277524838099</v>
      </c>
      <c r="L1572"/>
    </row>
    <row r="1573" spans="1:12">
      <c r="A1573" t="s">
        <v>938</v>
      </c>
      <c r="B1573" s="136" t="s">
        <v>405</v>
      </c>
      <c r="L1573"/>
    </row>
    <row r="1574" spans="1:12">
      <c r="A1574" t="s">
        <v>938</v>
      </c>
      <c r="B1574" s="137" t="s">
        <v>54</v>
      </c>
      <c r="C1574" t="s">
        <v>389</v>
      </c>
      <c r="D1574" t="s">
        <v>48</v>
      </c>
      <c r="E1574" s="70">
        <f>IF(B1574="","",INDEX(Ingredients!$I$1:$I$5013,(MATCH(InterventionCosts!B1574,Ingredients!$A$1:$A$5013,0))))</f>
        <v>1.2444366591928251</v>
      </c>
      <c r="F1574" s="5" t="str">
        <f>INDEX(Ingredients!J$1:J$265,(MATCH(InterventionCosts!B1574,Ingredients!A$1:A$265,0)))</f>
        <v>per minute</v>
      </c>
      <c r="G1574">
        <f>IF(B1574="","",INDEX(Ingredients!$E$1:$E$238,(MATCH(InterventionCosts!B1574,Ingredients!A$1:A$238,0))))</f>
        <v>2024</v>
      </c>
      <c r="H1574" t="str">
        <f>INDEX(Ingredients!$F$1:$F$318,(MATCH(InterventionCosts!B1574,Ingredients!A$1:A$318,0)))</f>
        <v xml:space="preserve">April 2024 Salary scale </v>
      </c>
      <c r="I1574">
        <v>5</v>
      </c>
      <c r="J1574" t="s">
        <v>1476</v>
      </c>
      <c r="K1574" s="85">
        <f>I1574*E1574</f>
        <v>6.2221832959641254</v>
      </c>
      <c r="L1574"/>
    </row>
    <row r="1575" spans="1:12">
      <c r="A1575" t="s">
        <v>938</v>
      </c>
      <c r="B1575" s="139" t="s">
        <v>409</v>
      </c>
      <c r="C1575" t="s">
        <v>389</v>
      </c>
      <c r="D1575" t="s">
        <v>75</v>
      </c>
      <c r="E1575" s="70">
        <f>IF(B1575="","",INDEX(Ingredients!$I$1:$I$5013,(MATCH(InterventionCosts!B1575,Ingredients!$A$1:$A$5013,0))))</f>
        <v>40.924728346149998</v>
      </c>
      <c r="F1575" s="5" t="str">
        <f>INDEX(Ingredients!J$1:J$265,(MATCH(InterventionCosts!B1575,Ingredients!A$1:A$265,0)))</f>
        <v>per test</v>
      </c>
      <c r="G1575">
        <f>IF(B1575="","",INDEX(Ingredients!$E$1:$E$238,(MATCH(InterventionCosts!B1575,Ingredients!A$1:A$238,0))))</f>
        <v>2021</v>
      </c>
      <c r="H1575" t="str">
        <f>INDEX(Ingredients!$F$1:$F$318,(MATCH(InterventionCosts!B1575,Ingredients!A$1:A$318,0)))</f>
        <v>NHLS 2021 price-list</v>
      </c>
      <c r="I1575">
        <v>1</v>
      </c>
      <c r="J1575" t="s">
        <v>1472</v>
      </c>
      <c r="K1575" s="85">
        <f>I1575*E1575</f>
        <v>40.924728346149998</v>
      </c>
      <c r="L1575"/>
    </row>
    <row r="1576" spans="1:12">
      <c r="A1576" t="s">
        <v>938</v>
      </c>
      <c r="B1576" s="136" t="s">
        <v>411</v>
      </c>
      <c r="E1576" s="70"/>
      <c r="F1576" s="5"/>
      <c r="L1576"/>
    </row>
    <row r="1577" spans="1:12">
      <c r="A1577" t="s">
        <v>938</v>
      </c>
      <c r="B1577" s="137" t="s">
        <v>939</v>
      </c>
      <c r="C1577" t="s">
        <v>389</v>
      </c>
      <c r="D1577" t="s">
        <v>70</v>
      </c>
      <c r="E1577" s="70">
        <f>IF(B1577="","",INDEX(Ingredients!$I$1:$I$5013,(MATCH(InterventionCosts!B1577,Ingredients!$A$1:$A$5013,0))))</f>
        <v>307.00346482216554</v>
      </c>
      <c r="F1577" s="5" t="str">
        <f>INDEX(Ingredients!J$1:J$265,(MATCH(InterventionCosts!B1577,Ingredients!A$1:A$265,0)))</f>
        <v>per ring</v>
      </c>
      <c r="G1577">
        <f>IF(B1577="","",INDEX(Ingredients!$E$1:$E$238,(MATCH(InterventionCosts!B1577,Ingredients!A$1:A$238,0))))</f>
        <v>2023</v>
      </c>
      <c r="H1577" t="str">
        <f>INDEX(Ingredients!$F$1:$F$318,(MATCH(InterventionCosts!B1577,Ingredients!A$1:A$318,0)))</f>
        <v>Personal communication (Hasina Sebudar contact point, price from Leonard from Pop Council)</v>
      </c>
      <c r="I1577">
        <v>3</v>
      </c>
      <c r="J1577" t="s">
        <v>1488</v>
      </c>
      <c r="K1577" s="85">
        <f>I1577*E1577</f>
        <v>921.01039446649656</v>
      </c>
      <c r="L1577"/>
    </row>
    <row r="1578" spans="1:12">
      <c r="A1578" t="s">
        <v>938</v>
      </c>
      <c r="B1578" s="137" t="s">
        <v>354</v>
      </c>
      <c r="C1578" t="s">
        <v>389</v>
      </c>
      <c r="D1578" t="s">
        <v>48</v>
      </c>
      <c r="E1578" s="70">
        <f>IF(B1578="","",INDEX(Ingredients!$I$1:$I$5013,(MATCH(InterventionCosts!B1578,Ingredients!$A$1:$A$5013,0))))</f>
        <v>4.8996605630293981</v>
      </c>
      <c r="F1578" s="5" t="str">
        <f>INDEX(Ingredients!J$1:J$265,(MATCH(InterventionCosts!B1578,Ingredients!A$1:A$265,0)))</f>
        <v>per minute</v>
      </c>
      <c r="G1578">
        <f>IF(B1578="","",INDEX(Ingredients!$E$1:$E$238,(MATCH(InterventionCosts!B1578,Ingredients!A$1:A$238,0))))</f>
        <v>2024</v>
      </c>
      <c r="H1578" t="str">
        <f>INDEX(Ingredients!$F$1:$F$318,(MATCH(InterventionCosts!B1578,Ingredients!A$1:A$318,0)))</f>
        <v xml:space="preserve">April 2024 Salary scale </v>
      </c>
      <c r="I1578">
        <v>20</v>
      </c>
      <c r="J1578" t="s">
        <v>1476</v>
      </c>
      <c r="K1578" s="85">
        <f>I1578*E1578</f>
        <v>97.993211260587969</v>
      </c>
      <c r="L1578" s="133"/>
    </row>
    <row r="1579" spans="1:12">
      <c r="A1579" t="s">
        <v>938</v>
      </c>
      <c r="B1579" s="140" t="s">
        <v>412</v>
      </c>
      <c r="C1579" s="141"/>
      <c r="D1579" s="141"/>
      <c r="E1579" s="362" t="s">
        <v>1129</v>
      </c>
      <c r="F1579" s="440">
        <f>'Summary of unit costs'!$B$42</f>
        <v>6</v>
      </c>
      <c r="G1579" s="141"/>
      <c r="H1579" s="141"/>
      <c r="I1579" s="157">
        <f>FLOOR((F1579-1)/3,1)</f>
        <v>1</v>
      </c>
      <c r="J1579" s="157" t="s">
        <v>1123</v>
      </c>
      <c r="K1579" s="143"/>
      <c r="L1579" s="133"/>
    </row>
    <row r="1580" spans="1:12">
      <c r="A1580" t="s">
        <v>938</v>
      </c>
      <c r="B1580" s="136" t="s">
        <v>411</v>
      </c>
      <c r="L1580"/>
    </row>
    <row r="1581" spans="1:12">
      <c r="A1581" t="s">
        <v>938</v>
      </c>
      <c r="B1581" s="137" t="s">
        <v>939</v>
      </c>
      <c r="C1581" t="s">
        <v>389</v>
      </c>
      <c r="D1581" t="s">
        <v>70</v>
      </c>
      <c r="E1581" s="70">
        <f>IF(B1581="","",INDEX(Ingredients!$I$1:$I$5013,(MATCH(InterventionCosts!B1581,Ingredients!$A$1:$A$5013,0))))</f>
        <v>307.00346482216554</v>
      </c>
      <c r="F1581" s="5" t="str">
        <f>INDEX(Ingredients!J$1:J$265,(MATCH(InterventionCosts!B1581,Ingredients!A$1:A$265,0)))</f>
        <v>per ring</v>
      </c>
      <c r="G1581">
        <f>IF(B1581="","",INDEX(Ingredients!$E$1:$E$238,(MATCH(InterventionCosts!B1581,Ingredients!A$1:A$238,0))))</f>
        <v>2023</v>
      </c>
      <c r="H1581" t="str">
        <f>INDEX(Ingredients!$F$1:$F$318,(MATCH(InterventionCosts!B1581,Ingredients!A$1:A$318,0)))</f>
        <v>Personal communication (Hasina Sebudar contact point, price from Leonard from Pop Council)</v>
      </c>
      <c r="I1581">
        <f>I1579*3</f>
        <v>3</v>
      </c>
      <c r="J1581" t="s">
        <v>1488</v>
      </c>
      <c r="K1581" s="85">
        <f>I1581*E1581</f>
        <v>921.01039446649656</v>
      </c>
    </row>
    <row r="1582" spans="1:12">
      <c r="A1582" t="s">
        <v>938</v>
      </c>
      <c r="B1582" s="137" t="s">
        <v>354</v>
      </c>
      <c r="C1582" t="s">
        <v>389</v>
      </c>
      <c r="D1582" t="s">
        <v>48</v>
      </c>
      <c r="E1582" s="70">
        <f>IF(B1582="","",INDEX(Ingredients!$I$1:$I$5013,(MATCH(InterventionCosts!B1582,Ingredients!$A$1:$A$5013,0))))</f>
        <v>4.8996605630293981</v>
      </c>
      <c r="F1582" s="5" t="str">
        <f>INDEX(Ingredients!J$1:J$265,(MATCH(InterventionCosts!B1582,Ingredients!A$1:A$265,0)))</f>
        <v>per minute</v>
      </c>
      <c r="G1582">
        <f>IF(B1582="","",INDEX(Ingredients!$E$1:$E$238,(MATCH(InterventionCosts!B1582,Ingredients!A$1:A$238,0))))</f>
        <v>2024</v>
      </c>
      <c r="H1582" t="str">
        <f>INDEX(Ingredients!$F$1:$F$318,(MATCH(InterventionCosts!B1582,Ingredients!A$1:A$318,0)))</f>
        <v xml:space="preserve">April 2024 Salary scale </v>
      </c>
      <c r="I1582">
        <v>2</v>
      </c>
      <c r="J1582" t="s">
        <v>1476</v>
      </c>
      <c r="K1582" s="85">
        <f>I1582*E1582</f>
        <v>9.7993211260587962</v>
      </c>
    </row>
    <row r="1583" spans="1:12">
      <c r="A1583" t="s">
        <v>938</v>
      </c>
      <c r="B1583" s="137" t="s">
        <v>54</v>
      </c>
      <c r="C1583" t="s">
        <v>389</v>
      </c>
      <c r="D1583" t="s">
        <v>48</v>
      </c>
      <c r="E1583" s="70">
        <f>IF(B1583="","",INDEX(Ingredients!$I$1:$I$5013,(MATCH(InterventionCosts!B1583,Ingredients!$A$1:$A$5013,0))))</f>
        <v>1.2444366591928251</v>
      </c>
      <c r="F1583" s="5" t="str">
        <f>INDEX(Ingredients!J$1:J$265,(MATCH(InterventionCosts!B1583,Ingredients!A$1:A$265,0)))</f>
        <v>per minute</v>
      </c>
      <c r="G1583">
        <f>IF(B1583="","",INDEX(Ingredients!$E$1:$E$238,(MATCH(InterventionCosts!B1583,Ingredients!A$1:A$238,0))))</f>
        <v>2024</v>
      </c>
      <c r="H1583" t="str">
        <f>INDEX(Ingredients!$F$1:$F$318,(MATCH(InterventionCosts!B1583,Ingredients!A$1:A$318,0)))</f>
        <v xml:space="preserve">April 2024 Salary scale </v>
      </c>
      <c r="I1583">
        <f>I1579*10</f>
        <v>10</v>
      </c>
      <c r="J1583" t="s">
        <v>1476</v>
      </c>
      <c r="K1583" s="85">
        <f>I1583*E1583</f>
        <v>12.444366591928251</v>
      </c>
    </row>
    <row r="1584" spans="1:12">
      <c r="A1584" t="s">
        <v>938</v>
      </c>
      <c r="B1584" s="136" t="s">
        <v>405</v>
      </c>
    </row>
    <row r="1585" spans="1:11">
      <c r="A1585" t="s">
        <v>938</v>
      </c>
      <c r="B1585" s="137" t="s">
        <v>54</v>
      </c>
      <c r="C1585" t="s">
        <v>389</v>
      </c>
      <c r="D1585" t="s">
        <v>48</v>
      </c>
      <c r="E1585" s="70">
        <f>IF(B1585="","",INDEX(Ingredients!$I$1:$I$5013,(MATCH(InterventionCosts!B1585,Ingredients!$A$1:$A$5013,0))))</f>
        <v>1.2444366591928251</v>
      </c>
      <c r="F1585" s="5" t="str">
        <f>INDEX(Ingredients!J$1:J$265,(MATCH(InterventionCosts!B1585,Ingredients!A$1:A$265,0)))</f>
        <v>per minute</v>
      </c>
      <c r="G1585">
        <f>IF(B1585="","",INDEX(Ingredients!$E$1:$E$238,(MATCH(InterventionCosts!B1585,Ingredients!A$1:A$238,0))))</f>
        <v>2024</v>
      </c>
      <c r="H1585" t="str">
        <f>INDEX(Ingredients!$F$1:$F$318,(MATCH(InterventionCosts!B1585,Ingredients!A$1:A$318,0)))</f>
        <v xml:space="preserve">April 2024 Salary scale </v>
      </c>
      <c r="I1585">
        <f>I1579*5</f>
        <v>5</v>
      </c>
      <c r="J1585" t="s">
        <v>1476</v>
      </c>
      <c r="K1585" s="85">
        <f>I1585*E1585</f>
        <v>6.2221832959641254</v>
      </c>
    </row>
    <row r="1586" spans="1:11">
      <c r="A1586" t="s">
        <v>938</v>
      </c>
      <c r="B1586" s="136" t="s">
        <v>391</v>
      </c>
    </row>
    <row r="1587" spans="1:11">
      <c r="A1587" t="s">
        <v>938</v>
      </c>
      <c r="B1587" s="137" t="s">
        <v>79</v>
      </c>
      <c r="C1587" t="s">
        <v>389</v>
      </c>
      <c r="D1587" s="5" t="s">
        <v>21</v>
      </c>
      <c r="E1587" s="70">
        <f>IF(B1587="","",INDEX(Ingredients!$I$1:$I$5013,(MATCH(InterventionCosts!B1587,Ingredients!$A$1:$A$5013,0))))</f>
        <v>9.3000000000000007</v>
      </c>
      <c r="F1587" s="5" t="str">
        <f>INDEX(Ingredients!J$1:J$265,(MATCH(InterventionCosts!B1587,Ingredients!A$1:A$265,0)))</f>
        <v>per test</v>
      </c>
      <c r="G1587">
        <f>IF(B1587="","",INDEX(Ingredients!$E$1:$E$238,(MATCH(InterventionCosts!B1587,Ingredients!A$1:A$238,0))))</f>
        <v>2024</v>
      </c>
      <c r="H1587" t="str">
        <f>INDEX(Ingredients!$F$1:$F$318,(MATCH(InterventionCosts!B1587,Ingredients!A$1:A$318,0)))</f>
        <v>https://www.treasury.gov.za/divisions/ocpo/ostb/contracts/RT41-2020.zip</v>
      </c>
      <c r="I1587">
        <f>I1579*1</f>
        <v>1</v>
      </c>
      <c r="J1587" t="s">
        <v>1472</v>
      </c>
      <c r="K1587" s="85">
        <f>I1587*E1587</f>
        <v>9.3000000000000007</v>
      </c>
    </row>
    <row r="1588" spans="1:11">
      <c r="A1588" t="s">
        <v>938</v>
      </c>
      <c r="B1588" s="137" t="s">
        <v>54</v>
      </c>
      <c r="C1588" t="s">
        <v>389</v>
      </c>
      <c r="D1588" t="s">
        <v>48</v>
      </c>
      <c r="E1588" s="70">
        <f>IF(B1588="","",INDEX(Ingredients!$I$1:$I$5013,(MATCH(InterventionCosts!B1588,Ingredients!$A$1:$A$5013,0))))</f>
        <v>1.2444366591928251</v>
      </c>
      <c r="F1588" s="5" t="str">
        <f>INDEX(Ingredients!J$1:J$265,(MATCH(InterventionCosts!B1588,Ingredients!A$1:A$265,0)))</f>
        <v>per minute</v>
      </c>
      <c r="G1588">
        <f>IF(B1588="","",INDEX(Ingredients!$E$1:$E$238,(MATCH(InterventionCosts!B1588,Ingredients!A$1:A$238,0))))</f>
        <v>2024</v>
      </c>
      <c r="H1588" t="str">
        <f>INDEX(Ingredients!$F$1:$F$318,(MATCH(InterventionCosts!B1588,Ingredients!A$1:A$318,0)))</f>
        <v xml:space="preserve">April 2024 Salary scale </v>
      </c>
      <c r="I1588">
        <f>I1579*15</f>
        <v>15</v>
      </c>
      <c r="J1588" s="133" t="s">
        <v>395</v>
      </c>
      <c r="K1588" s="85">
        <f>I1588*E1588</f>
        <v>18.666549887892376</v>
      </c>
    </row>
    <row r="1589" spans="1:11">
      <c r="A1589" t="s">
        <v>938</v>
      </c>
      <c r="B1589" s="137" t="s">
        <v>1489</v>
      </c>
      <c r="C1589" t="s">
        <v>389</v>
      </c>
      <c r="D1589" s="5" t="s">
        <v>21</v>
      </c>
      <c r="E1589" s="70">
        <f>IF(B1589="","",INDEX(Ingredients!$I$1:$I$5013,(MATCH(InterventionCosts!B1589,Ingredients!$A$1:$A$5013,0))))</f>
        <v>53.08</v>
      </c>
      <c r="F1589" s="5" t="str">
        <f>INDEX(Ingredients!J$1:J$265,(MATCH(InterventionCosts!B1589,Ingredients!A$1:A$265,0)))</f>
        <v>per pack 100, 50 pairs</v>
      </c>
      <c r="G1589">
        <f>IF(B1589="","",INDEX(Ingredients!$E$1:$E$238,(MATCH(InterventionCosts!B1589,Ingredients!A$1:A$238,0))))</f>
        <v>2024</v>
      </c>
      <c r="H1589" t="str">
        <f>INDEX(Ingredients!$F$1:$F$318,(MATCH(InterventionCosts!B1589,Ingredients!A$1:A$318,0)))</f>
        <v>https://www.treasury.gov.za/divisions/ocpo/ostb/contracts/RT76-2023%20CPA%20Amendment%204-%20Effective%2001%20May%202024.pdf</v>
      </c>
      <c r="I1589">
        <f>I1579*2/100</f>
        <v>0.02</v>
      </c>
      <c r="J1589" t="s">
        <v>1487</v>
      </c>
      <c r="K1589" s="85">
        <f>I1589*E1589</f>
        <v>1.0615999999999999</v>
      </c>
    </row>
    <row r="1590" spans="1:11">
      <c r="A1590" t="s">
        <v>938</v>
      </c>
      <c r="B1590" s="137" t="s">
        <v>31</v>
      </c>
      <c r="C1590" t="s">
        <v>389</v>
      </c>
      <c r="D1590" s="5" t="s">
        <v>21</v>
      </c>
      <c r="E1590" s="70">
        <f>IF(B1590="","",INDEX(Ingredients!$I$1:$I$5013,(MATCH(InterventionCosts!B1590,Ingredients!$A$1:$A$5013,0))))</f>
        <v>31.4</v>
      </c>
      <c r="F1590" s="5" t="str">
        <f>INDEX(Ingredients!J$1:J$265,(MATCH(InterventionCosts!B1590,Ingredients!A$1:A$265,0)))</f>
        <v>per 100 swabs</v>
      </c>
      <c r="G1590">
        <f>IF(B1590="","",INDEX(Ingredients!$E$1:$E$238,(MATCH(InterventionCosts!B1590,Ingredients!A$1:A$238,0))))</f>
        <v>2024</v>
      </c>
      <c r="H1590" t="str">
        <f>INDEX(Ingredients!$F$1:$F$318,(MATCH(InterventionCosts!B1590,Ingredients!A$1:A$318,0)))</f>
        <v xml:space="preserve">http://www.treasury.gov.za/divisions/ocpo/ostb/contracts/RT42-2022zip </v>
      </c>
      <c r="I1590">
        <f>I1579*1/100</f>
        <v>0.01</v>
      </c>
      <c r="J1590" t="s">
        <v>1485</v>
      </c>
      <c r="K1590" s="85">
        <f>I1590*E1590</f>
        <v>0.314</v>
      </c>
    </row>
    <row r="1591" spans="1:11">
      <c r="A1591" t="s">
        <v>938</v>
      </c>
      <c r="B1591" s="136" t="s">
        <v>392</v>
      </c>
      <c r="E1591" s="70"/>
      <c r="F1591" s="3" t="s">
        <v>413</v>
      </c>
      <c r="I1591" s="3">
        <v>1.83260085192333E-2</v>
      </c>
      <c r="J1591" s="3" t="s">
        <v>443</v>
      </c>
    </row>
    <row r="1592" spans="1:11">
      <c r="A1592" t="s">
        <v>938</v>
      </c>
      <c r="B1592" s="137" t="s">
        <v>79</v>
      </c>
      <c r="C1592" t="s">
        <v>389</v>
      </c>
      <c r="D1592" s="5" t="s">
        <v>21</v>
      </c>
      <c r="E1592" s="70">
        <f>IF(B1592="","",INDEX(Ingredients!$I$1:$I$5013,(MATCH(InterventionCosts!B1592,Ingredients!$A$1:$A$5013,0))))</f>
        <v>9.3000000000000007</v>
      </c>
      <c r="F1592" s="5" t="str">
        <f>INDEX(Ingredients!J$1:J$265,(MATCH(InterventionCosts!B1592,Ingredients!A$1:A$265,0)))</f>
        <v>per test</v>
      </c>
      <c r="G1592">
        <f>IF(B1592="","",INDEX(Ingredients!$E$1:$E$238,(MATCH(InterventionCosts!B1592,Ingredients!A$1:A$238,0))))</f>
        <v>2024</v>
      </c>
      <c r="H1592" t="str">
        <f>INDEX(Ingredients!$F$1:$F$318,(MATCH(InterventionCosts!B1592,Ingredients!A$1:A$318,0)))</f>
        <v>https://www.treasury.gov.za/divisions/ocpo/ostb/contracts/RT41-2020.zip</v>
      </c>
      <c r="I1592">
        <f>I1579*I1591</f>
        <v>1.83260085192333E-2</v>
      </c>
      <c r="J1592" t="s">
        <v>413</v>
      </c>
      <c r="K1592" s="85">
        <f>I1592*E1592</f>
        <v>0.17043187922886971</v>
      </c>
    </row>
    <row r="1593" spans="1:11">
      <c r="A1593" t="s">
        <v>938</v>
      </c>
      <c r="B1593" s="137" t="s">
        <v>54</v>
      </c>
      <c r="C1593" t="s">
        <v>389</v>
      </c>
      <c r="D1593" t="s">
        <v>48</v>
      </c>
      <c r="E1593" s="70">
        <f>IF(B1593="","",INDEX(Ingredients!$I$1:$I$5013,(MATCH(InterventionCosts!B1593,Ingredients!$A$1:$A$5013,0))))</f>
        <v>1.2444366591928251</v>
      </c>
      <c r="F1593" s="5" t="str">
        <f>INDEX(Ingredients!J$1:J$265,(MATCH(InterventionCosts!B1593,Ingredients!A$1:A$265,0)))</f>
        <v>per minute</v>
      </c>
      <c r="G1593">
        <f>IF(B1593="","",INDEX(Ingredients!$E$1:$E$238,(MATCH(InterventionCosts!B1593,Ingredients!A$1:A$238,0))))</f>
        <v>2024</v>
      </c>
      <c r="H1593" t="str">
        <f>INDEX(Ingredients!$F$1:$F$318,(MATCH(InterventionCosts!B1593,Ingredients!A$1:A$318,0)))</f>
        <v xml:space="preserve">April 2024 Salary scale </v>
      </c>
      <c r="I1593">
        <f>I1579*((15+1/(1-I1591))*I1591)</f>
        <v>0.29355824844593909</v>
      </c>
      <c r="J1593" s="133" t="s">
        <v>414</v>
      </c>
      <c r="K1593" s="85">
        <f>I1593*E1593</f>
        <v>0.36531464597456176</v>
      </c>
    </row>
    <row r="1594" spans="1:11">
      <c r="A1594" t="s">
        <v>938</v>
      </c>
      <c r="B1594" s="137" t="s">
        <v>1489</v>
      </c>
      <c r="C1594" t="s">
        <v>389</v>
      </c>
      <c r="D1594" s="5" t="s">
        <v>21</v>
      </c>
      <c r="E1594" s="70">
        <f>IF(B1594="","",INDEX(Ingredients!$I$1:$I$5013,(MATCH(InterventionCosts!B1594,Ingredients!$A$1:$A$5013,0))))</f>
        <v>53.08</v>
      </c>
      <c r="F1594" s="5" t="str">
        <f>INDEX(Ingredients!J$1:J$265,(MATCH(InterventionCosts!B1594,Ingredients!A$1:A$265,0)))</f>
        <v>per pack 100, 50 pairs</v>
      </c>
      <c r="G1594">
        <f>IF(B1594="","",INDEX(Ingredients!$E$1:$E$238,(MATCH(InterventionCosts!B1594,Ingredients!A$1:A$238,0))))</f>
        <v>2024</v>
      </c>
      <c r="H1594" t="str">
        <f>INDEX(Ingredients!$F$1:$F$318,(MATCH(InterventionCosts!B1594,Ingredients!A$1:A$318,0)))</f>
        <v>https://www.treasury.gov.za/divisions/ocpo/ostb/contracts/RT76-2023%20CPA%20Amendment%204-%20Effective%2001%20May%202024.pdf</v>
      </c>
      <c r="I1594">
        <f>I1579*(2/100*I1591)</f>
        <v>3.6652017038466602E-4</v>
      </c>
      <c r="J1594" t="s">
        <v>1487</v>
      </c>
      <c r="K1594" s="85">
        <f>I1594*E1594</f>
        <v>1.9454890644018071E-2</v>
      </c>
    </row>
    <row r="1595" spans="1:11">
      <c r="A1595" t="s">
        <v>938</v>
      </c>
      <c r="B1595" s="137" t="s">
        <v>31</v>
      </c>
      <c r="C1595" t="s">
        <v>389</v>
      </c>
      <c r="D1595" s="5" t="s">
        <v>21</v>
      </c>
      <c r="E1595" s="70">
        <f>IF(B1595="","",INDEX(Ingredients!$I$1:$I$5013,(MATCH(InterventionCosts!B1595,Ingredients!$A$1:$A$5013,0))))</f>
        <v>31.4</v>
      </c>
      <c r="F1595" s="5" t="str">
        <f>INDEX(Ingredients!J$1:J$265,(MATCH(InterventionCosts!B1595,Ingredients!A$1:A$265,0)))</f>
        <v>per 100 swabs</v>
      </c>
      <c r="G1595">
        <f>IF(B1595="","",INDEX(Ingredients!$E$1:$E$238,(MATCH(InterventionCosts!B1595,Ingredients!A$1:A$238,0))))</f>
        <v>2024</v>
      </c>
      <c r="H1595" t="str">
        <f>INDEX(Ingredients!$F$1:$F$318,(MATCH(InterventionCosts!B1595,Ingredients!A$1:A$318,0)))</f>
        <v xml:space="preserve">http://www.treasury.gov.za/divisions/ocpo/ostb/contracts/RT42-2022zip </v>
      </c>
      <c r="I1595">
        <f>I1579*(1/100*I1591)</f>
        <v>1.8326008519233301E-4</v>
      </c>
      <c r="J1595" t="s">
        <v>1485</v>
      </c>
      <c r="K1595" s="135">
        <f>I1595*E1595</f>
        <v>5.7543666750392566E-3</v>
      </c>
    </row>
    <row r="1596" spans="1:11">
      <c r="A1596" t="s">
        <v>938</v>
      </c>
      <c r="B1596" s="136" t="s">
        <v>393</v>
      </c>
      <c r="F1596" s="155" t="s">
        <v>452</v>
      </c>
      <c r="I1596" s="3">
        <v>0.02</v>
      </c>
      <c r="J1596" s="85" t="s">
        <v>397</v>
      </c>
    </row>
    <row r="1597" spans="1:11">
      <c r="A1597" t="s">
        <v>938</v>
      </c>
      <c r="B1597" s="137" t="s">
        <v>77</v>
      </c>
      <c r="C1597" t="s">
        <v>389</v>
      </c>
      <c r="D1597" t="s">
        <v>75</v>
      </c>
      <c r="E1597" s="70">
        <f>IF(B1597="","",INDEX(Ingredients!$I$1:$I$5013,(MATCH(InterventionCosts!B1597,Ingredients!$A$1:$A$5013,0))))</f>
        <v>71.889951748999991</v>
      </c>
      <c r="F1597" s="5" t="str">
        <f>INDEX(Ingredients!J$1:J$265,(MATCH(InterventionCosts!B1597,Ingredients!A$1:A$265,0)))</f>
        <v>per test</v>
      </c>
      <c r="G1597">
        <f>IF(B1597="","",INDEX(Ingredients!$E$1:$E$238,(MATCH(InterventionCosts!B1597,Ingredients!A$1:A$238,0))))</f>
        <v>2021</v>
      </c>
      <c r="H1597" t="str">
        <f>INDEX(Ingredients!$F$1:$F$318,(MATCH(InterventionCosts!B1597,Ingredients!A$1:A$318,0)))</f>
        <v>NHLS 2021 price-list</v>
      </c>
      <c r="I1597">
        <f>I1579*I1596</f>
        <v>0.02</v>
      </c>
      <c r="J1597" s="85" t="s">
        <v>397</v>
      </c>
      <c r="K1597" s="85">
        <f t="shared" ref="K1597:K1602" si="39">I1597*E1597</f>
        <v>1.4377990349799998</v>
      </c>
    </row>
    <row r="1598" spans="1:11">
      <c r="A1598" t="s">
        <v>938</v>
      </c>
      <c r="B1598" s="137" t="s">
        <v>54</v>
      </c>
      <c r="C1598" t="s">
        <v>389</v>
      </c>
      <c r="D1598" t="s">
        <v>48</v>
      </c>
      <c r="E1598" s="70">
        <f>IF(B1598="","",INDEX(Ingredients!$I$1:$I$5013,(MATCH(InterventionCosts!B1598,Ingredients!$A$1:$A$5013,0))))</f>
        <v>1.2444366591928251</v>
      </c>
      <c r="F1598" s="5" t="str">
        <f>INDEX(Ingredients!J$1:J$265,(MATCH(InterventionCosts!B1598,Ingredients!A$1:A$265,0)))</f>
        <v>per minute</v>
      </c>
      <c r="G1598">
        <f>IF(B1598="","",INDEX(Ingredients!$E$1:$E$238,(MATCH(InterventionCosts!B1598,Ingredients!A$1:A$238,0))))</f>
        <v>2024</v>
      </c>
      <c r="H1598" t="str">
        <f>INDEX(Ingredients!$F$1:$F$318,(MATCH(InterventionCosts!B1598,Ingredients!A$1:A$318,0)))</f>
        <v xml:space="preserve">April 2024 Salary scale </v>
      </c>
      <c r="I1598">
        <f>I1579*15*I1596</f>
        <v>0.3</v>
      </c>
      <c r="J1598" s="133" t="s">
        <v>414</v>
      </c>
      <c r="K1598" s="85">
        <f t="shared" si="39"/>
        <v>0.3733309977578475</v>
      </c>
    </row>
    <row r="1599" spans="1:11">
      <c r="A1599" t="s">
        <v>938</v>
      </c>
      <c r="B1599" s="137" t="s">
        <v>1489</v>
      </c>
      <c r="C1599" t="s">
        <v>389</v>
      </c>
      <c r="D1599" s="5" t="s">
        <v>21</v>
      </c>
      <c r="E1599" s="70">
        <f>IF(B1599="","",INDEX(Ingredients!$I$1:$I$5013,(MATCH(InterventionCosts!B1599,Ingredients!$A$1:$A$5013,0))))</f>
        <v>53.08</v>
      </c>
      <c r="F1599" s="5" t="str">
        <f>INDEX(Ingredients!J$1:J$265,(MATCH(InterventionCosts!B1599,Ingredients!A$1:A$265,0)))</f>
        <v>per pack 100, 50 pairs</v>
      </c>
      <c r="G1599">
        <f>IF(B1599="","",INDEX(Ingredients!$E$1:$E$238,(MATCH(InterventionCosts!B1599,Ingredients!A$1:A$238,0))))</f>
        <v>2024</v>
      </c>
      <c r="H1599" t="str">
        <f>INDEX(Ingredients!$F$1:$F$318,(MATCH(InterventionCosts!B1599,Ingredients!A$1:A$318,0)))</f>
        <v>https://www.treasury.gov.za/divisions/ocpo/ostb/contracts/RT76-2023%20CPA%20Amendment%204-%20Effective%2001%20May%202024.pdf</v>
      </c>
      <c r="I1599">
        <f>I1579*2/100*I1596</f>
        <v>4.0000000000000002E-4</v>
      </c>
      <c r="J1599" t="s">
        <v>1487</v>
      </c>
      <c r="K1599" s="85">
        <f t="shared" si="39"/>
        <v>2.1232000000000001E-2</v>
      </c>
    </row>
    <row r="1600" spans="1:11">
      <c r="A1600" t="s">
        <v>938</v>
      </c>
      <c r="B1600" s="137" t="s">
        <v>45</v>
      </c>
      <c r="C1600" t="s">
        <v>389</v>
      </c>
      <c r="D1600" s="5" t="s">
        <v>21</v>
      </c>
      <c r="E1600" s="70">
        <f>IF(B1600="","",INDEX(Ingredients!$I$1:$I$5013,(MATCH(InterventionCosts!B1600,Ingredients!$A$1:$A$5013,0))))</f>
        <v>46</v>
      </c>
      <c r="F1600" s="5" t="str">
        <f>INDEX(Ingredients!J$1:J$265,(MATCH(InterventionCosts!B1600,Ingredients!A$1:A$265,0)))</f>
        <v>per pack 100</v>
      </c>
      <c r="G1600">
        <f>IF(B1600="","",INDEX(Ingredients!$E$1:$E$238,(MATCH(InterventionCosts!B1600,Ingredients!A$1:A$238,0))))</f>
        <v>2024</v>
      </c>
      <c r="H1600" t="str">
        <f>INDEX(Ingredients!$F$1:$F$318,(MATCH(InterventionCosts!B1600,Ingredients!A$1:A$318,0)))</f>
        <v>https://www.treasury.gov.za/divisions/ocpo/ostb/contracts/RT284-2023.zip</v>
      </c>
      <c r="I1600">
        <f>I1579*1/100*I1596</f>
        <v>2.0000000000000001E-4</v>
      </c>
      <c r="J1600" t="s">
        <v>1486</v>
      </c>
      <c r="K1600" s="135">
        <f t="shared" si="39"/>
        <v>9.1999999999999998E-3</v>
      </c>
    </row>
    <row r="1601" spans="1:11">
      <c r="A1601" t="s">
        <v>938</v>
      </c>
      <c r="B1601" s="137" t="s">
        <v>31</v>
      </c>
      <c r="C1601" t="s">
        <v>389</v>
      </c>
      <c r="D1601" s="5" t="s">
        <v>21</v>
      </c>
      <c r="E1601" s="70">
        <f>IF(B1601="","",INDEX(Ingredients!$I$1:$I$5013,(MATCH(InterventionCosts!B1601,Ingredients!$A$1:$A$5013,0))))</f>
        <v>31.4</v>
      </c>
      <c r="F1601" s="5" t="str">
        <f>INDEX(Ingredients!J$1:J$265,(MATCH(InterventionCosts!B1601,Ingredients!A$1:A$265,0)))</f>
        <v>per 100 swabs</v>
      </c>
      <c r="G1601">
        <f>IF(B1601="","",INDEX(Ingredients!$E$1:$E$238,(MATCH(InterventionCosts!B1601,Ingredients!A$1:A$238,0))))</f>
        <v>2024</v>
      </c>
      <c r="H1601" t="str">
        <f>INDEX(Ingredients!$F$1:$F$318,(MATCH(InterventionCosts!B1601,Ingredients!A$1:A$318,0)))</f>
        <v xml:space="preserve">http://www.treasury.gov.za/divisions/ocpo/ostb/contracts/RT42-2022zip </v>
      </c>
      <c r="I1601">
        <f>I1579*1/100*I1596</f>
        <v>2.0000000000000001E-4</v>
      </c>
      <c r="J1601" t="s">
        <v>1485</v>
      </c>
      <c r="K1601" s="135">
        <f t="shared" si="39"/>
        <v>6.28E-3</v>
      </c>
    </row>
    <row r="1602" spans="1:11">
      <c r="A1602" t="s">
        <v>938</v>
      </c>
      <c r="B1602" s="139" t="s">
        <v>401</v>
      </c>
      <c r="C1602" t="s">
        <v>389</v>
      </c>
      <c r="D1602" s="5" t="s">
        <v>21</v>
      </c>
      <c r="E1602" s="70">
        <f>IF(B1602="","",INDEX(Ingredients!$I$1:$I$5013,(MATCH(InterventionCosts!B1602,Ingredients!$A$1:$A$5013,0))))</f>
        <v>4.8734277524838099</v>
      </c>
      <c r="F1602" s="5" t="str">
        <f>INDEX(Ingredients!J$1:J$265,(MATCH(InterventionCosts!B1602,Ingredients!A$1:A$265,0)))</f>
        <v>per test</v>
      </c>
      <c r="G1602">
        <f>IF(B1602="","",INDEX(Ingredients!$E$1:$E$238,(MATCH(InterventionCosts!B1602,Ingredients!A$1:A$238,0))))</f>
        <v>2019</v>
      </c>
      <c r="H1602" t="str">
        <f>INDEX(Ingredients!$F$1:$F$318,(MATCH(InterventionCosts!B1602,Ingredients!A$1:A$318,0)))</f>
        <v>Kendon Medical Supplies Pty Ltd, quote (19 Aug 2019)</v>
      </c>
      <c r="I1602">
        <f>I1579*1</f>
        <v>1</v>
      </c>
      <c r="J1602" t="s">
        <v>1486</v>
      </c>
      <c r="K1602" s="85">
        <f t="shared" si="39"/>
        <v>4.8734277524838099</v>
      </c>
    </row>
    <row r="1603" spans="1:11">
      <c r="A1603" t="s">
        <v>938</v>
      </c>
      <c r="B1603" s="140" t="s">
        <v>415</v>
      </c>
      <c r="C1603" s="141"/>
      <c r="D1603" s="141"/>
      <c r="E1603" s="142"/>
      <c r="F1603" s="141"/>
      <c r="G1603" s="141"/>
      <c r="H1603" s="141"/>
      <c r="I1603" s="141"/>
      <c r="J1603" s="141"/>
      <c r="K1603" s="143"/>
    </row>
    <row r="1604" spans="1:11">
      <c r="A1604" t="s">
        <v>938</v>
      </c>
      <c r="B1604" s="146" t="s">
        <v>416</v>
      </c>
    </row>
    <row r="1605" spans="1:11">
      <c r="A1605" t="s">
        <v>938</v>
      </c>
      <c r="B1605" s="156" t="s">
        <v>354</v>
      </c>
      <c r="C1605" t="s">
        <v>389</v>
      </c>
      <c r="D1605" t="s">
        <v>81</v>
      </c>
      <c r="E1605" s="70">
        <f>IF(B1605="","",INDEX(Ingredients!$I$1:$I$5013,(MATCH(InterventionCosts!B1605,Ingredients!$A$1:$A$5013,0))))</f>
        <v>4.8996605630293981</v>
      </c>
      <c r="F1605" s="5" t="str">
        <f>INDEX(Ingredients!J$1:J$265,(MATCH(InterventionCosts!B1605,Ingredients!A$1:A$265,0)))</f>
        <v>per minute</v>
      </c>
      <c r="G1605">
        <f>IF(B1605="","",INDEX(Ingredients!$E$1:$E$238,(MATCH(InterventionCosts!B1605,Ingredients!A$1:A$238,0))))</f>
        <v>2024</v>
      </c>
      <c r="H1605" t="str">
        <f>INDEX(Ingredients!$F$1:$F$318,(MATCH(InterventionCosts!B1605,Ingredients!A$1:A$318,0)))</f>
        <v xml:space="preserve">April 2024 Salary scale </v>
      </c>
      <c r="I1605" s="149">
        <f>75/160</f>
        <v>0.46875</v>
      </c>
      <c r="J1605" t="s">
        <v>454</v>
      </c>
      <c r="K1605" s="85">
        <f>I1605*E1605</f>
        <v>2.2967158889200303</v>
      </c>
    </row>
    <row r="1606" spans="1:11">
      <c r="A1606" t="s">
        <v>938</v>
      </c>
      <c r="B1606" s="146" t="s">
        <v>417</v>
      </c>
      <c r="I1606" s="149"/>
    </row>
    <row r="1607" spans="1:11">
      <c r="A1607" t="s">
        <v>938</v>
      </c>
      <c r="B1607" s="147" t="s">
        <v>54</v>
      </c>
      <c r="C1607" t="s">
        <v>389</v>
      </c>
      <c r="D1607" t="s">
        <v>81</v>
      </c>
      <c r="E1607" s="70">
        <f>IF(B1607="","",INDEX(Ingredients!$I$1:$I$5013,(MATCH(InterventionCosts!B1607,Ingredients!$A$1:$A$5013,0))))</f>
        <v>1.2444366591928251</v>
      </c>
      <c r="F1607" s="5" t="str">
        <f>INDEX(Ingredients!J$1:J$265,(MATCH(InterventionCosts!B1607,Ingredients!A$1:A$265,0)))</f>
        <v>per minute</v>
      </c>
      <c r="G1607">
        <f>IF(B1607="","",INDEX(Ingredients!$E$1:$E$238,(MATCH(InterventionCosts!B1607,Ingredients!A$1:A$238,0))))</f>
        <v>2024</v>
      </c>
      <c r="H1607" t="str">
        <f>INDEX(Ingredients!$F$1:$F$318,(MATCH(InterventionCosts!B1607,Ingredients!A$1:A$318,0)))</f>
        <v xml:space="preserve">April 2024 Salary scale </v>
      </c>
      <c r="I1607" s="149">
        <f>75/160</f>
        <v>0.46875</v>
      </c>
      <c r="J1607" t="s">
        <v>454</v>
      </c>
      <c r="K1607" s="85">
        <f>I1607*E1607</f>
        <v>0.58332968399663676</v>
      </c>
    </row>
    <row r="1608" spans="1:11">
      <c r="A1608" t="s">
        <v>938</v>
      </c>
      <c r="B1608" s="146" t="s">
        <v>418</v>
      </c>
    </row>
    <row r="1609" spans="1:11">
      <c r="A1609" t="s">
        <v>938</v>
      </c>
      <c r="B1609" s="147" t="s">
        <v>425</v>
      </c>
      <c r="C1609" t="s">
        <v>389</v>
      </c>
      <c r="D1609" t="s">
        <v>81</v>
      </c>
      <c r="E1609" s="70">
        <f>IF(B1609="","",INDEX(Ingredients!$I$1:$I$5013,(MATCH(InterventionCosts!B1609,Ingredients!$A$1:$A$5013,0))))</f>
        <v>4100.2266666666665</v>
      </c>
      <c r="F1609" s="5" t="str">
        <f>INDEX(Ingredients!J$1:J$265,(MATCH(InterventionCosts!B1609,Ingredients!A$1:A$265,0)))</f>
        <v>per month</v>
      </c>
      <c r="G1609">
        <f>IF(B1609="","",INDEX(Ingredients!$E$1:$E$238,(MATCH(InterventionCosts!B1609,Ingredients!A$1:A$238,0))))</f>
        <v>2024</v>
      </c>
      <c r="H1609" t="str">
        <f>INDEX(Ingredients!$F$1:$F$318,(MATCH(InterventionCosts!B1609,Ingredients!A$1:A$318,0)))</f>
        <v>https://www.health.gov.za/wp-content/uploads/2022/07/Health-Department-welcomes-Bargaining-Council-resolution-to-improve-work-conditions-of-CHWs-27-July-2022.pdf</v>
      </c>
      <c r="I1609" s="149">
        <f>75/160*(12/workminutespa)</f>
        <v>5.2550448430493276E-5</v>
      </c>
      <c r="J1609" t="s">
        <v>454</v>
      </c>
      <c r="K1609" s="85">
        <f>I1609*E1609</f>
        <v>0.21546874999999999</v>
      </c>
    </row>
    <row r="1610" spans="1:11">
      <c r="A1610" t="s">
        <v>938</v>
      </c>
      <c r="B1610" s="146" t="s">
        <v>453</v>
      </c>
      <c r="E1610" s="70"/>
      <c r="F1610" s="5"/>
    </row>
    <row r="1611" spans="1:11">
      <c r="A1611" t="s">
        <v>938</v>
      </c>
      <c r="B1611" s="147" t="s">
        <v>55</v>
      </c>
      <c r="C1611" t="s">
        <v>389</v>
      </c>
      <c r="D1611" t="s">
        <v>81</v>
      </c>
      <c r="E1611" s="70">
        <f>IF(B1611="","",INDEX(Ingredients!$I$1:$I$5013,(MATCH(InterventionCosts!B1611,Ingredients!$A$1:$A$5013,0))))</f>
        <v>1.8549350710014947</v>
      </c>
      <c r="F1611" s="5" t="str">
        <f>INDEX(Ingredients!J$1:J$265,(MATCH(InterventionCosts!B1611,Ingredients!A$1:A$265,0)))</f>
        <v>per minute</v>
      </c>
      <c r="G1611">
        <f>IF(B1611="","",INDEX(Ingredients!$E$1:$E$238,(MATCH(InterventionCosts!B1611,Ingredients!A$1:A$238,0))))</f>
        <v>2024</v>
      </c>
      <c r="H1611" t="str">
        <f>INDEX(Ingredients!$F$1:$F$318,(MATCH(InterventionCosts!B1611,Ingredients!A$1:A$318,0)))</f>
        <v xml:space="preserve">April 2024 Salary scale </v>
      </c>
      <c r="I1611" s="149">
        <f>75/160</f>
        <v>0.46875</v>
      </c>
      <c r="J1611" t="s">
        <v>454</v>
      </c>
      <c r="K1611" s="85">
        <f>I1611*E1611</f>
        <v>0.86950081453195061</v>
      </c>
    </row>
    <row r="1612" spans="1:11">
      <c r="A1612" t="s">
        <v>938</v>
      </c>
      <c r="B1612" s="146" t="s">
        <v>419</v>
      </c>
    </row>
    <row r="1613" spans="1:11">
      <c r="A1613" t="s">
        <v>938</v>
      </c>
      <c r="B1613" s="147" t="s">
        <v>111</v>
      </c>
      <c r="C1613" t="s">
        <v>389</v>
      </c>
      <c r="D1613" t="s">
        <v>81</v>
      </c>
      <c r="E1613" s="70">
        <f>IF(B1613="","",INDEX(Ingredients!$I$1:$I$5013,(MATCH(InterventionCosts!B1613,Ingredients!$A$1:$A$5013,0))))</f>
        <v>239.77392959288917</v>
      </c>
      <c r="F1613" s="5" t="str">
        <f>INDEX(Ingredients!J$1:J$265,(MATCH(InterventionCosts!B1613,Ingredients!A$1:A$265,0)))</f>
        <v>pp per workshop</v>
      </c>
      <c r="G1613">
        <f>IF(B1613="","",INDEX(Ingredients!$E$1:$E$238,(MATCH(InterventionCosts!B1613,Ingredients!A$1:A$238,0))))</f>
        <v>2018</v>
      </c>
      <c r="H1613" t="str">
        <f>INDEX(Ingredients!$F$1:$F$318,(MATCH(InterventionCosts!B1613,Ingredients!A$1:A$318,0)))</f>
        <v>RSA Global Fund Grant portfolio budgets 2018, Subject to revision during grant negotiations (Steve's email)</v>
      </c>
      <c r="I1613" s="148">
        <f>1/100</f>
        <v>0.01</v>
      </c>
      <c r="J1613" s="149" t="s">
        <v>433</v>
      </c>
      <c r="K1613" s="85">
        <f>I1613*E1613</f>
        <v>2.3977392959288917</v>
      </c>
    </row>
    <row r="1614" spans="1:11">
      <c r="A1614" t="s">
        <v>938</v>
      </c>
      <c r="B1614" s="147" t="s">
        <v>39</v>
      </c>
      <c r="C1614" t="s">
        <v>389</v>
      </c>
      <c r="D1614" t="s">
        <v>21</v>
      </c>
      <c r="E1614" s="70">
        <f>IF(B1614="","",INDEX(Ingredients!$I$1:$I$5013,(MATCH(InterventionCosts!B1614,Ingredients!$A$1:$A$5013,0))))</f>
        <v>0.90383818045604736</v>
      </c>
      <c r="F1614" s="5" t="str">
        <f>INDEX(Ingredients!J$1:J$265,(MATCH(InterventionCosts!B1614,Ingredients!A$1:A$265,0)))</f>
        <v>per material</v>
      </c>
      <c r="G1614">
        <f>IF(B1614="","",INDEX(Ingredients!$E$1:$E$238,(MATCH(InterventionCosts!B1614,Ingredients!A$1:A$238,0))))</f>
        <v>2016</v>
      </c>
      <c r="H1614" t="str">
        <f>INDEX(Ingredients!$F$1:$F$318,(MATCH(InterventionCosts!B1614,Ingredients!A$1:A$318,0)))</f>
        <v>RSA Global Fund Grant portfolio budgets 2016</v>
      </c>
      <c r="I1614" s="148">
        <v>1</v>
      </c>
      <c r="J1614" s="149" t="s">
        <v>434</v>
      </c>
      <c r="K1614" s="85">
        <f>I1614*E1614</f>
        <v>0.90383818045604736</v>
      </c>
    </row>
    <row r="1615" spans="1:11">
      <c r="A1615" t="s">
        <v>938</v>
      </c>
      <c r="B1615" s="147" t="s">
        <v>425</v>
      </c>
      <c r="C1615" t="s">
        <v>389</v>
      </c>
      <c r="D1615" t="s">
        <v>48</v>
      </c>
      <c r="E1615" s="70">
        <f>IF(B1615="","",INDEX(Ingredients!$I$1:$I$5013,(MATCH(InterventionCosts!B1615,Ingredients!$A$1:$A$5013,0))))</f>
        <v>4100.2266666666665</v>
      </c>
      <c r="F1615" s="5" t="str">
        <f>INDEX(Ingredients!J$1:J$265,(MATCH(InterventionCosts!B1615,Ingredients!A$1:A$265,0)))</f>
        <v>per month</v>
      </c>
      <c r="G1615">
        <f>IF(B1615="","",INDEX(Ingredients!$E$1:$E$238,(MATCH(InterventionCosts!B1615,Ingredients!A$1:A$238,0))))</f>
        <v>2024</v>
      </c>
      <c r="H1615" t="str">
        <f>INDEX(Ingredients!$F$1:$F$318,(MATCH(InterventionCosts!B1615,Ingredients!A$1:A$318,0)))</f>
        <v>https://www.health.gov.za/wp-content/uploads/2022/07/Health-Department-welcomes-Bargaining-Council-resolution-to-improve-work-conditions-of-CHWs-27-July-2022.pdf</v>
      </c>
      <c r="I1615" s="150">
        <f>((15/(8*60))*workdayspermonth)/160*12</f>
        <v>4.3554687499999994E-2</v>
      </c>
      <c r="J1615" s="149" t="s">
        <v>435</v>
      </c>
      <c r="K1615" s="85">
        <f>I1615*E1615</f>
        <v>178.5840911458333</v>
      </c>
    </row>
    <row r="1616" spans="1:11">
      <c r="A1616" t="s">
        <v>938</v>
      </c>
      <c r="B1616" s="146" t="s">
        <v>420</v>
      </c>
    </row>
    <row r="1617" spans="1:14">
      <c r="A1617" t="s">
        <v>938</v>
      </c>
      <c r="B1617" s="147" t="s">
        <v>246</v>
      </c>
      <c r="C1617" t="s">
        <v>389</v>
      </c>
      <c r="D1617" t="s">
        <v>21</v>
      </c>
      <c r="E1617" s="70">
        <f>IF(B1617="","",INDEX(Ingredients!$I$1:$I$5013,(MATCH(InterventionCosts!B1617,Ingredients!$A$1:$A$5013,0))))</f>
        <v>0.16400000000000001</v>
      </c>
      <c r="F1617" s="5" t="str">
        <f>INDEX(Ingredients!J$1:J$265,(MATCH(InterventionCosts!B1617,Ingredients!A$1:A$265,0)))</f>
        <v>per page</v>
      </c>
      <c r="G1617">
        <f>IF(B1617="","",INDEX(Ingredients!$E$1:$E$238,(MATCH(InterventionCosts!B1617,Ingredients!A$1:A$238,0))))</f>
        <v>2024</v>
      </c>
      <c r="H1617" t="str">
        <f>INDEX(Ingredients!$F$1:$F$318,(MATCH(InterventionCosts!B1617,Ingredients!A$1:A$318,0)))</f>
        <v>https://www.makro.co.za/stationery-office-furniture/paper-filing/paper/white-paper/copy-paper/typek-a4-office-paper-80-gsm/p/000000000000012434_BOX</v>
      </c>
      <c r="I1617" s="148">
        <f>2*1</f>
        <v>2</v>
      </c>
      <c r="J1617" s="149" t="s">
        <v>436</v>
      </c>
      <c r="K1617" s="85">
        <f>I1617*E1617</f>
        <v>0.32800000000000001</v>
      </c>
    </row>
    <row r="1618" spans="1:14">
      <c r="A1618" t="s">
        <v>938</v>
      </c>
      <c r="B1618" s="147" t="s">
        <v>426</v>
      </c>
      <c r="C1618" t="s">
        <v>389</v>
      </c>
      <c r="D1618" t="s">
        <v>21</v>
      </c>
      <c r="E1618" s="70">
        <f>IF(B1618="","",INDEX(Ingredients!$I$1:$I$5013,(MATCH(InterventionCosts!B1618,Ingredients!$A$1:$A$5013,0))))</f>
        <v>0.45800000000000002</v>
      </c>
      <c r="F1618" s="5" t="str">
        <f>INDEX(Ingredients!J$1:J$265,(MATCH(InterventionCosts!B1618,Ingredients!A$1:A$265,0)))</f>
        <v>per page</v>
      </c>
      <c r="G1618">
        <f>IF(B1618="","",INDEX(Ingredients!$E$1:$E$238,(MATCH(InterventionCosts!B1618,Ingredients!A$1:A$238,0))))</f>
        <v>2024</v>
      </c>
      <c r="H1618" t="str">
        <f>INDEX(Ingredients!$F$1:$F$318,(MATCH(InterventionCosts!B1618,Ingredients!A$1:A$318,0)))</f>
        <v>https://www.makro.co.za/stationery-office-furniture/paper-filing/paper/white-paper/a3-paper/typek-a3-office-paper-80-gsm/p/000000000000877929_EA</v>
      </c>
      <c r="I1618" s="148">
        <f>1/160*12</f>
        <v>7.5000000000000011E-2</v>
      </c>
      <c r="J1618" s="149" t="s">
        <v>437</v>
      </c>
      <c r="K1618" s="85">
        <f>I1618*E1618</f>
        <v>3.4350000000000006E-2</v>
      </c>
    </row>
    <row r="1619" spans="1:14">
      <c r="A1619" t="s">
        <v>938</v>
      </c>
      <c r="B1619" s="147" t="s">
        <v>55</v>
      </c>
      <c r="C1619" t="s">
        <v>389</v>
      </c>
      <c r="D1619" t="s">
        <v>48</v>
      </c>
      <c r="E1619" s="70">
        <f>IF(B1619="","",INDEX(Ingredients!$I$1:$I$5013,(MATCH(InterventionCosts!B1619,Ingredients!$A$1:$A$5013,0))))</f>
        <v>1.8549350710014947</v>
      </c>
      <c r="F1619" s="5" t="str">
        <f>INDEX(Ingredients!J$1:J$265,(MATCH(InterventionCosts!B1619,Ingredients!A$1:A$265,0)))</f>
        <v>per minute</v>
      </c>
      <c r="G1619">
        <f>IF(B1619="","",INDEX(Ingredients!$E$1:$E$238,(MATCH(InterventionCosts!B1619,Ingredients!A$1:A$238,0))))</f>
        <v>2024</v>
      </c>
      <c r="H1619" t="str">
        <f>INDEX(Ingredients!$F$1:$F$318,(MATCH(InterventionCosts!B1619,Ingredients!A$1:A$318,0)))</f>
        <v xml:space="preserve">April 2024 Salary scale </v>
      </c>
      <c r="I1619" s="148">
        <f>(60*12)/160</f>
        <v>4.5</v>
      </c>
      <c r="J1619" s="149" t="s">
        <v>438</v>
      </c>
      <c r="K1619" s="85">
        <f>I1619*E1619</f>
        <v>8.3472078195067265</v>
      </c>
    </row>
    <row r="1620" spans="1:14">
      <c r="A1620" t="s">
        <v>938</v>
      </c>
      <c r="B1620" s="146" t="s">
        <v>421</v>
      </c>
    </row>
    <row r="1621" spans="1:14">
      <c r="A1621" t="s">
        <v>938</v>
      </c>
      <c r="B1621" s="147" t="s">
        <v>422</v>
      </c>
      <c r="C1621" t="s">
        <v>389</v>
      </c>
      <c r="D1621" t="s">
        <v>81</v>
      </c>
      <c r="E1621" s="70"/>
      <c r="F1621" s="5"/>
      <c r="J1621" t="s">
        <v>441</v>
      </c>
      <c r="K1621" s="85">
        <f>SUM(K1552:K1619,K1622)*0.07</f>
        <v>166.90856528440636</v>
      </c>
    </row>
    <row r="1622" spans="1:14">
      <c r="A1622" t="s">
        <v>938</v>
      </c>
      <c r="B1622" s="147" t="s">
        <v>52</v>
      </c>
      <c r="C1622" t="s">
        <v>389</v>
      </c>
      <c r="D1622" t="s">
        <v>48</v>
      </c>
      <c r="E1622" s="70">
        <f>IF(B1622="","",INDEX(Ingredients!$I$1:$I$5013,(MATCH(InterventionCosts!B1622,Ingredients!$A$1:$A$5013,0))))</f>
        <v>1.8019482436472347</v>
      </c>
      <c r="F1622" s="5" t="str">
        <f>INDEX(Ingredients!J$1:J$265,(MATCH(InterventionCosts!B1622,Ingredients!A$1:A$265,0)))</f>
        <v>per minute</v>
      </c>
      <c r="G1622">
        <f>IF(B1622="","",INDEX(Ingredients!$E$1:$E$238,(MATCH(InterventionCosts!B1622,Ingredients!A$1:A$238,0))))</f>
        <v>2024</v>
      </c>
      <c r="H1622" t="str">
        <f>INDEX(Ingredients!$F$1:$F$318,(MATCH(InterventionCosts!B1622,Ingredients!A$1:A$318,0)))</f>
        <v xml:space="preserve">April 2024 Salary scale </v>
      </c>
      <c r="I1622">
        <f>3*4</f>
        <v>12</v>
      </c>
      <c r="J1622" s="149" t="s">
        <v>439</v>
      </c>
      <c r="K1622" s="85">
        <f>I1622*E1622</f>
        <v>21.623378923766815</v>
      </c>
    </row>
    <row r="1623" spans="1:14" s="89" customFormat="1">
      <c r="A1623" s="4" t="s">
        <v>938</v>
      </c>
      <c r="F1623" s="89" t="s">
        <v>1164</v>
      </c>
      <c r="G1623" s="89" t="str">
        <f>IF(B1623="","",INDEX(Ingredients!$E$1:$E$238,(MATCH(InterventionCosts!B1623,Ingredients!A$1:A$238,0))))</f>
        <v/>
      </c>
      <c r="K1623" s="90"/>
      <c r="L1623" s="90">
        <f>SUM(K1552:K1622)</f>
        <v>2551.3166407759259</v>
      </c>
      <c r="M1623" s="92"/>
      <c r="N1623" s="4"/>
    </row>
    <row r="1624" spans="1:14" s="89" customFormat="1">
      <c r="A1624" s="4" t="s">
        <v>938</v>
      </c>
      <c r="F1624" s="89" t="s">
        <v>117</v>
      </c>
      <c r="G1624" s="89" t="str">
        <f>IF(B1624="","",INDEX(Ingredients!$E$1:$E$238,(MATCH(InterventionCosts!B1624,Ingredients!A$1:A$238,0))))</f>
        <v/>
      </c>
      <c r="K1624" s="90"/>
      <c r="L1624" s="90" t="s">
        <v>440</v>
      </c>
    </row>
    <row r="1625" spans="1:14">
      <c r="B1625" s="147"/>
      <c r="E1625" s="70"/>
      <c r="F1625" s="5"/>
      <c r="J1625" s="149"/>
    </row>
    <row r="1626" spans="1:14">
      <c r="A1626" t="s">
        <v>381</v>
      </c>
      <c r="B1626" t="s">
        <v>858</v>
      </c>
      <c r="C1626" t="s">
        <v>459</v>
      </c>
      <c r="D1626" t="s">
        <v>75</v>
      </c>
      <c r="E1626" s="70">
        <f>IF(B1626="","",INDEX(Ingredients!$I$1:$I$5013,(MATCH(InterventionCosts!B1626,Ingredients!$A$1:$A$5013,0))))</f>
        <v>495.08531887209995</v>
      </c>
      <c r="F1626" s="5" t="str">
        <f>INDEX(Ingredients!J$1:J$265,(MATCH(InterventionCosts!B1626,Ingredients!A$1:A$265,0)))</f>
        <v>per test</v>
      </c>
      <c r="G1626">
        <f>IF(B1626="","",INDEX(Ingredients!$E$1:$E$238,(MATCH(InterventionCosts!B1626,Ingredients!A$1:A$238,0))))</f>
        <v>2021</v>
      </c>
      <c r="H1626" t="str">
        <f>INDEX(Ingredients!$F$1:$F$318,(MATCH(InterventionCosts!B1626,Ingredients!A$1:A$318,0)))</f>
        <v>NHLS 2021 price-list</v>
      </c>
      <c r="I1626">
        <v>2</v>
      </c>
      <c r="J1626" t="s">
        <v>459</v>
      </c>
      <c r="K1626" s="85">
        <f>I1626*E1626</f>
        <v>990.17063774419989</v>
      </c>
      <c r="N1626" s="230"/>
    </row>
    <row r="1627" spans="1:14">
      <c r="A1627" t="s">
        <v>381</v>
      </c>
      <c r="B1627" t="s">
        <v>458</v>
      </c>
      <c r="C1627" t="s">
        <v>459</v>
      </c>
      <c r="D1627" t="s">
        <v>75</v>
      </c>
      <c r="E1627" s="70">
        <f>IF(B1627="","",INDEX(Ingredients!$I$1:$I$5013,(MATCH(InterventionCosts!B1627,Ingredients!$A$1:$A$5013,0))))</f>
        <v>86.59037211495</v>
      </c>
      <c r="F1627" s="5" t="str">
        <f>INDEX(Ingredients!J$1:J$265,(MATCH(InterventionCosts!B1627,Ingredients!A$1:A$265,0)))</f>
        <v>per test</v>
      </c>
      <c r="G1627">
        <f>IF(B1627="","",INDEX(Ingredients!$E$1:$E$238,(MATCH(InterventionCosts!B1627,Ingredients!A$1:A$238,0))))</f>
        <v>2021</v>
      </c>
      <c r="H1627" t="str">
        <f>INDEX(Ingredients!$F$1:$F$318,(MATCH(InterventionCosts!B1627,Ingredients!A$1:A$318,0)))</f>
        <v>NHLS 2021 price-list</v>
      </c>
      <c r="I1627">
        <v>1</v>
      </c>
      <c r="J1627" t="s">
        <v>459</v>
      </c>
      <c r="K1627" s="85">
        <f>I1627*E1627</f>
        <v>86.59037211495</v>
      </c>
    </row>
    <row r="1628" spans="1:14">
      <c r="A1628" t="s">
        <v>381</v>
      </c>
      <c r="B1628" t="s">
        <v>408</v>
      </c>
      <c r="C1628" t="s">
        <v>459</v>
      </c>
      <c r="D1628" t="s">
        <v>75</v>
      </c>
      <c r="E1628" s="70">
        <f>IF(B1628="","",INDEX(Ingredients!$I$1:$I$5013,(MATCH(InterventionCosts!B1628,Ingredients!$A$1:$A$5013,0))))</f>
        <v>39.539473461949996</v>
      </c>
      <c r="F1628" s="5" t="str">
        <f>INDEX(Ingredients!J$1:J$265,(MATCH(InterventionCosts!B1628,Ingredients!A$1:A$265,0)))</f>
        <v>per test</v>
      </c>
      <c r="G1628">
        <f>IF(B1628="","",INDEX(Ingredients!$E$1:$E$238,(MATCH(InterventionCosts!B1628,Ingredients!A$1:A$238,0))))</f>
        <v>2021</v>
      </c>
      <c r="H1628" t="str">
        <f>INDEX(Ingredients!$F$1:$F$318,(MATCH(InterventionCosts!B1628,Ingredients!A$1:A$318,0)))</f>
        <v>NHLS 2021 price-list</v>
      </c>
      <c r="I1628">
        <v>2</v>
      </c>
      <c r="J1628" t="s">
        <v>459</v>
      </c>
      <c r="K1628" s="85">
        <f>I1628*E1628</f>
        <v>79.078946923899991</v>
      </c>
    </row>
    <row r="1629" spans="1:14">
      <c r="A1629" t="s">
        <v>381</v>
      </c>
      <c r="B1629" t="s">
        <v>52</v>
      </c>
      <c r="C1629" t="s">
        <v>460</v>
      </c>
      <c r="D1629" t="s">
        <v>48</v>
      </c>
      <c r="E1629" s="70">
        <f>IF(B1629="","",INDEX(Ingredients!$I$1:$I$5013,(MATCH(InterventionCosts!B1629,Ingredients!$A$1:$A$5013,0))))</f>
        <v>1.8019482436472347</v>
      </c>
      <c r="F1629" s="5" t="str">
        <f>INDEX(Ingredients!J$1:J$265,(MATCH(InterventionCosts!B1629,Ingredients!A$1:A$265,0)))</f>
        <v>per minute</v>
      </c>
      <c r="G1629">
        <f>IF(B1629="","",INDEX(Ingredients!$E$1:$E$238,(MATCH(InterventionCosts!B1629,Ingredients!A$1:A$238,0))))</f>
        <v>2024</v>
      </c>
      <c r="H1629" t="str">
        <f>INDEX(Ingredients!$F$1:$F$318,(MATCH(InterventionCosts!B1629,Ingredients!A$1:A$318,0)))</f>
        <v xml:space="preserve">April 2024 Salary scale </v>
      </c>
      <c r="I1629">
        <f>4*7.54*(workminutespa/12/5102)</f>
        <v>52.729753038024306</v>
      </c>
      <c r="J1629" t="s">
        <v>460</v>
      </c>
      <c r="K1629" s="85">
        <f t="shared" ref="K1629:K1640" si="40">E1629*I1629</f>
        <v>95.01628587482034</v>
      </c>
      <c r="L1629" s="85" t="s">
        <v>1097</v>
      </c>
    </row>
    <row r="1630" spans="1:14">
      <c r="A1630" t="s">
        <v>381</v>
      </c>
      <c r="B1630" t="s">
        <v>55</v>
      </c>
      <c r="C1630" t="s">
        <v>460</v>
      </c>
      <c r="D1630" t="s">
        <v>48</v>
      </c>
      <c r="E1630" s="70">
        <f>IF(B1630="","",INDEX(Ingredients!$I$1:$I$5013,(MATCH(InterventionCosts!B1630,Ingredients!$A$1:$A$5013,0))))</f>
        <v>1.8549350710014947</v>
      </c>
      <c r="F1630" s="5" t="str">
        <f>INDEX(Ingredients!J$1:J$265,(MATCH(InterventionCosts!B1630,Ingredients!A$1:A$265,0)))</f>
        <v>per minute</v>
      </c>
      <c r="G1630">
        <f>IF(B1630="","",INDEX(Ingredients!$E$1:$E$238,(MATCH(InterventionCosts!B1630,Ingredients!A$1:A$238,0))))</f>
        <v>2024</v>
      </c>
      <c r="H1630" t="str">
        <f>INDEX(Ingredients!$F$1:$F$318,(MATCH(InterventionCosts!B1630,Ingredients!A$1:A$318,0)))</f>
        <v xml:space="preserve">April 2024 Salary scale </v>
      </c>
      <c r="I1630">
        <f>4*7.54*(workminutespa/12/5102)</f>
        <v>52.729753038024306</v>
      </c>
      <c r="J1630" t="s">
        <v>460</v>
      </c>
      <c r="K1630" s="85">
        <f t="shared" si="40"/>
        <v>97.810268195478898</v>
      </c>
      <c r="L1630" s="85" t="s">
        <v>1097</v>
      </c>
    </row>
    <row r="1631" spans="1:14">
      <c r="A1631" t="s">
        <v>381</v>
      </c>
      <c r="B1631" t="s">
        <v>1070</v>
      </c>
      <c r="C1631" t="s">
        <v>460</v>
      </c>
      <c r="D1631" t="s">
        <v>48</v>
      </c>
      <c r="E1631" s="70">
        <f>IF(B1631="","",INDEX(Ingredients!$I$1:$I$5013,(MATCH(InterventionCosts!B1631,Ingredients!$A$1:$A$5013,0))))</f>
        <v>2.443981128550075</v>
      </c>
      <c r="F1631" s="5" t="str">
        <f>INDEX(Ingredients!J$1:J$265,(MATCH(InterventionCosts!B1631,Ingredients!A$1:A$265,0)))</f>
        <v>per minute</v>
      </c>
      <c r="G1631">
        <f>IF(B1631="","",INDEX(Ingredients!$E$1:$E$238,(MATCH(InterventionCosts!B1631,Ingredients!A$1:A$238,0))))</f>
        <v>2024</v>
      </c>
      <c r="H1631" t="str">
        <f>INDEX(Ingredients!$F$1:$F$318,(MATCH(InterventionCosts!B1631,Ingredients!A$1:A$318,0)))</f>
        <v xml:space="preserve">April 2024 Salary scale </v>
      </c>
      <c r="I1631">
        <f>1*7.54*(workminutespa/12/5102)</f>
        <v>13.182438259506077</v>
      </c>
      <c r="J1631" t="s">
        <v>460</v>
      </c>
      <c r="K1631" s="85">
        <f t="shared" si="40"/>
        <v>32.217630334509344</v>
      </c>
      <c r="L1631" s="85" t="s">
        <v>1098</v>
      </c>
    </row>
    <row r="1632" spans="1:14">
      <c r="A1632" t="s">
        <v>381</v>
      </c>
      <c r="B1632" t="s">
        <v>51</v>
      </c>
      <c r="C1632" t="s">
        <v>460</v>
      </c>
      <c r="D1632" t="s">
        <v>48</v>
      </c>
      <c r="E1632" s="70">
        <f>IF(B1632="","",INDEX(Ingredients!$I$1:$I$5013,(MATCH(InterventionCosts!B1632,Ingredients!$A$1:$A$5013,0))))</f>
        <v>4100.2266666666665</v>
      </c>
      <c r="F1632" s="5" t="str">
        <f>INDEX(Ingredients!J$1:J$265,(MATCH(InterventionCosts!B1632,Ingredients!A$1:A$265,0)))</f>
        <v>per month</v>
      </c>
      <c r="G1632">
        <f>IF(B1632="","",INDEX(Ingredients!$E$1:$E$238,(MATCH(InterventionCosts!B1632,Ingredients!A$1:A$238,0))))</f>
        <v>2024</v>
      </c>
      <c r="H1632" t="str">
        <f>INDEX(Ingredients!$F$1:$F$318,(MATCH(InterventionCosts!B1632,Ingredients!A$1:A$318,0)))</f>
        <v>https://www.gov.za/news/media-statements/government-activities/minister-thulas-nxesi-announces-national-minimum-wage</v>
      </c>
      <c r="I1632">
        <f>1*7.54*(1/5102)</f>
        <v>1.4778518228145826E-3</v>
      </c>
      <c r="J1632" t="s">
        <v>460</v>
      </c>
      <c r="K1632" s="85">
        <f t="shared" si="40"/>
        <v>6.0595274532862931</v>
      </c>
      <c r="L1632" s="85" t="s">
        <v>1098</v>
      </c>
    </row>
    <row r="1633" spans="1:14">
      <c r="A1633" t="s">
        <v>381</v>
      </c>
      <c r="B1633" t="s">
        <v>54</v>
      </c>
      <c r="C1633" t="s">
        <v>460</v>
      </c>
      <c r="D1633" t="s">
        <v>48</v>
      </c>
      <c r="E1633" s="70">
        <f>IF(B1633="","",INDEX(Ingredients!$I$1:$I$5013,(MATCH(InterventionCosts!B1633,Ingredients!$A$1:$A$5013,0))))</f>
        <v>1.2444366591928251</v>
      </c>
      <c r="F1633" s="5" t="str">
        <f>INDEX(Ingredients!J$1:J$265,(MATCH(InterventionCosts!B1633,Ingredients!A$1:A$265,0)))</f>
        <v>per minute</v>
      </c>
      <c r="G1633">
        <f>IF(B1633="","",INDEX(Ingredients!$E$1:$E$238,(MATCH(InterventionCosts!B1633,Ingredients!A$1:A$238,0))))</f>
        <v>2024</v>
      </c>
      <c r="H1633" t="str">
        <f>INDEX(Ingredients!$F$1:$F$318,(MATCH(InterventionCosts!B1633,Ingredients!A$1:A$318,0)))</f>
        <v xml:space="preserve">April 2024 Salary scale </v>
      </c>
      <c r="I1633">
        <f>8*7.54*(workminutespa/12/5102)</f>
        <v>105.45950607604861</v>
      </c>
      <c r="J1633" t="s">
        <v>460</v>
      </c>
      <c r="K1633" s="85">
        <f t="shared" si="40"/>
        <v>131.23767542140337</v>
      </c>
      <c r="L1633" s="85" t="s">
        <v>1099</v>
      </c>
    </row>
    <row r="1634" spans="1:14">
      <c r="A1634" t="s">
        <v>381</v>
      </c>
      <c r="B1634" t="s">
        <v>354</v>
      </c>
      <c r="C1634" t="s">
        <v>460</v>
      </c>
      <c r="D1634" t="s">
        <v>48</v>
      </c>
      <c r="E1634" s="70">
        <f>IF(B1634="","",INDEX(Ingredients!$I$1:$I$5013,(MATCH(InterventionCosts!B1634,Ingredients!$A$1:$A$5013,0))))</f>
        <v>4.8996605630293981</v>
      </c>
      <c r="F1634" s="5" t="str">
        <f>INDEX(Ingredients!J$1:J$265,(MATCH(InterventionCosts!B1634,Ingredients!A$1:A$265,0)))</f>
        <v>per minute</v>
      </c>
      <c r="G1634">
        <f>IF(B1634="","",INDEX(Ingredients!$E$1:$E$238,(MATCH(InterventionCosts!B1634,Ingredients!A$1:A$238,0))))</f>
        <v>2024</v>
      </c>
      <c r="H1634" t="str">
        <f>INDEX(Ingredients!$F$1:$F$318,(MATCH(InterventionCosts!B1634,Ingredients!A$1:A$318,0)))</f>
        <v xml:space="preserve">April 2024 Salary scale </v>
      </c>
      <c r="I1634">
        <f>16*7.54*(workminutespa/12/5102)</f>
        <v>210.91901215209722</v>
      </c>
      <c r="J1634" t="s">
        <v>460</v>
      </c>
      <c r="K1634" s="85">
        <f t="shared" si="40"/>
        <v>1033.4315658347491</v>
      </c>
      <c r="L1634" s="85" t="s">
        <v>1100</v>
      </c>
    </row>
    <row r="1635" spans="1:14">
      <c r="A1635" t="s">
        <v>381</v>
      </c>
      <c r="B1635" t="s">
        <v>286</v>
      </c>
      <c r="C1635" t="s">
        <v>460</v>
      </c>
      <c r="D1635" t="s">
        <v>48</v>
      </c>
      <c r="E1635" s="70">
        <f>IF(B1635="","",INDEX(Ingredients!$I$1:$I$5013,(MATCH(InterventionCosts!B1635,Ingredients!$A$1:$A$5013,0))))</f>
        <v>3.2392279521674139</v>
      </c>
      <c r="F1635" s="5" t="str">
        <f>INDEX(Ingredients!J$1:J$265,(MATCH(InterventionCosts!B1635,Ingredients!A$1:A$265,0)))</f>
        <v>per minute</v>
      </c>
      <c r="G1635">
        <f>IF(B1635="","",INDEX(Ingredients!$E$1:$E$238,(MATCH(InterventionCosts!B1635,Ingredients!A$1:A$238,0))))</f>
        <v>2024</v>
      </c>
      <c r="H1635" t="str">
        <f>INDEX(Ingredients!$F$1:$F$318,(MATCH(InterventionCosts!B1635,Ingredients!A$1:A$318,0)))</f>
        <v xml:space="preserve">April 2024 Salary scale </v>
      </c>
      <c r="I1635">
        <f>4*7.54*(workminutespa/12/5102)</f>
        <v>52.729753038024306</v>
      </c>
      <c r="J1635" t="s">
        <v>460</v>
      </c>
      <c r="K1635" s="85">
        <f t="shared" si="40"/>
        <v>170.80368995165296</v>
      </c>
      <c r="L1635" s="85" t="s">
        <v>1097</v>
      </c>
    </row>
    <row r="1636" spans="1:14">
      <c r="A1636" t="s">
        <v>381</v>
      </c>
      <c r="B1636" t="s">
        <v>1072</v>
      </c>
      <c r="C1636" t="s">
        <v>460</v>
      </c>
      <c r="D1636" t="s">
        <v>48</v>
      </c>
      <c r="E1636" s="70">
        <f>IF(B1636="","",INDEX(Ingredients!$I$1:$I$5013,(MATCH(InterventionCosts!B1636,Ingredients!$A$1:$A$5013,0))))</f>
        <v>2.5530496387643251</v>
      </c>
      <c r="F1636" s="5" t="str">
        <f>INDEX(Ingredients!J$1:J$265,(MATCH(InterventionCosts!B1636,Ingredients!A$1:A$265,0)))</f>
        <v>per minute</v>
      </c>
      <c r="G1636">
        <f>IF(B1636="","",INDEX(Ingredients!$E$1:$E$238,(MATCH(InterventionCosts!B1636,Ingredients!A$1:A$238,0))))</f>
        <v>2024</v>
      </c>
      <c r="H1636" t="str">
        <f>INDEX(Ingredients!$F$1:$F$318,(MATCH(InterventionCosts!B1636,Ingredients!A$1:A$318,0)))</f>
        <v xml:space="preserve">April 2024 Salary scale </v>
      </c>
      <c r="I1636">
        <f>1*7.54*(workminutespa/12/5102)</f>
        <v>13.182438259506077</v>
      </c>
      <c r="J1636" t="s">
        <v>460</v>
      </c>
      <c r="K1636" s="85">
        <f t="shared" si="40"/>
        <v>33.655419236465008</v>
      </c>
      <c r="L1636" s="85" t="s">
        <v>1098</v>
      </c>
    </row>
    <row r="1637" spans="1:14">
      <c r="A1637" t="s">
        <v>381</v>
      </c>
      <c r="B1637" t="s">
        <v>1074</v>
      </c>
      <c r="C1637" t="s">
        <v>460</v>
      </c>
      <c r="D1637" t="s">
        <v>48</v>
      </c>
      <c r="E1637" s="70">
        <f>IF(B1637="","",INDEX(Ingredients!$I$1:$I$5013,(MATCH(InterventionCosts!B1637,Ingredients!$A$1:$A$5013,0))))</f>
        <v>2076.8733333333334</v>
      </c>
      <c r="F1637" s="5" t="str">
        <f>INDEX(Ingredients!J$1:J$265,(MATCH(InterventionCosts!B1637,Ingredients!A$1:A$265,0)))</f>
        <v>per month</v>
      </c>
      <c r="G1637">
        <f>IF(B1637="","",INDEX(Ingredients!$E$1:$E$238,(MATCH(InterventionCosts!B1637,Ingredients!A$1:A$238,0))))</f>
        <v>2024</v>
      </c>
      <c r="H1637" t="str">
        <f>INDEX(Ingredients!$F$1:$F$318,(MATCH(InterventionCosts!B1637,Ingredients!A$1:A$318,0)))</f>
        <v>https://www.gov.za/speeches/minister-thulas-nxesi-hikes-minimum-wage-farmworkers-and-domestic-workers-22-feb-2023-0000</v>
      </c>
      <c r="I1637">
        <f>13*7.54*(1/5102)</f>
        <v>1.921207369658957E-2</v>
      </c>
      <c r="J1637" t="s">
        <v>460</v>
      </c>
      <c r="K1637" s="85">
        <f t="shared" si="40"/>
        <v>39.901043538481638</v>
      </c>
      <c r="L1637" s="85" t="s">
        <v>1101</v>
      </c>
    </row>
    <row r="1638" spans="1:14">
      <c r="A1638" t="s">
        <v>381</v>
      </c>
      <c r="B1638" t="s">
        <v>60</v>
      </c>
      <c r="C1638" t="s">
        <v>460</v>
      </c>
      <c r="D1638" t="s">
        <v>48</v>
      </c>
      <c r="E1638" s="70">
        <f>IF(B1638="","",INDEX(Ingredients!$I$1:$I$5013,(MATCH(InterventionCosts!B1638,Ingredients!$A$1:$A$5013,0))))</f>
        <v>9.1192801756352768</v>
      </c>
      <c r="F1638" s="5" t="str">
        <f>INDEX(Ingredients!J$1:J$265,(MATCH(InterventionCosts!B1638,Ingredients!A$1:A$265,0)))</f>
        <v>per minute</v>
      </c>
      <c r="G1638">
        <f>IF(B1638="","",INDEX(Ingredients!$E$1:$E$238,(MATCH(InterventionCosts!B1638,Ingredients!A$1:A$238,0))))</f>
        <v>2024</v>
      </c>
      <c r="H1638" t="str">
        <f>INDEX(Ingredients!$F$1:$F$318,(MATCH(InterventionCosts!B1638,Ingredients!A$1:A$318,0)))</f>
        <v xml:space="preserve">April 2024 Salary scale </v>
      </c>
      <c r="I1638">
        <f>1*7.54*(workminutespa/12/5102)</f>
        <v>13.182438259506077</v>
      </c>
      <c r="J1638" t="s">
        <v>460</v>
      </c>
      <c r="K1638" s="85">
        <f t="shared" si="40"/>
        <v>120.21434788644977</v>
      </c>
      <c r="L1638" s="85" t="s">
        <v>1098</v>
      </c>
    </row>
    <row r="1639" spans="1:14">
      <c r="A1639" t="s">
        <v>381</v>
      </c>
      <c r="B1639" t="s">
        <v>1077</v>
      </c>
      <c r="C1639" t="s">
        <v>460</v>
      </c>
      <c r="D1639" t="s">
        <v>48</v>
      </c>
      <c r="E1639" s="70">
        <f>IF(B1639="","",INDEX(Ingredients!$I$1:$I$5013,(MATCH(InterventionCosts!B1639,Ingredients!$A$1:$A$5013,0))))</f>
        <v>2.1347303967364222</v>
      </c>
      <c r="F1639" s="5" t="str">
        <f>INDEX(Ingredients!J$1:J$265,(MATCH(InterventionCosts!B1639,Ingredients!A$1:A$265,0)))</f>
        <v>per minute</v>
      </c>
      <c r="G1639">
        <f>IF(B1639="","",INDEX(Ingredients!$E$1:$E$238,(MATCH(InterventionCosts!B1639,Ingredients!A$1:A$238,0))))</f>
        <v>2024</v>
      </c>
      <c r="H1639" t="str">
        <f>INDEX(Ingredients!$F$1:$F$318,(MATCH(InterventionCosts!B1639,Ingredients!A$1:A$318,0)))</f>
        <v xml:space="preserve">April 2024 Salary scale </v>
      </c>
      <c r="I1639">
        <f>4*7.54*(workminutespa/12/5102)</f>
        <v>52.729753038024306</v>
      </c>
      <c r="J1639" t="s">
        <v>460</v>
      </c>
      <c r="K1639" s="85">
        <f t="shared" si="40"/>
        <v>112.56380662267519</v>
      </c>
      <c r="L1639" s="85" t="s">
        <v>1097</v>
      </c>
    </row>
    <row r="1640" spans="1:14">
      <c r="A1640" t="s">
        <v>381</v>
      </c>
      <c r="B1640" t="s">
        <v>1078</v>
      </c>
      <c r="C1640" t="s">
        <v>460</v>
      </c>
      <c r="D1640" t="s">
        <v>48</v>
      </c>
      <c r="E1640" s="70">
        <f>IF(B1640="","",INDEX(Ingredients!$I$1:$I$5013,(MATCH(InterventionCosts!B1640,Ingredients!$A$1:$A$5013,0))))</f>
        <v>13.503224277528648</v>
      </c>
      <c r="F1640" s="5" t="str">
        <f>INDEX(Ingredients!J$1:J$265,(MATCH(InterventionCosts!B1640,Ingredients!A$1:A$265,0)))</f>
        <v>per minute</v>
      </c>
      <c r="G1640">
        <f>IF(B1640="","",INDEX(Ingredients!$E$1:$E$238,(MATCH(InterventionCosts!B1640,Ingredients!A$1:A$238,0))))</f>
        <v>2024</v>
      </c>
      <c r="H1640" t="str">
        <f>INDEX(Ingredients!$F$1:$F$318,(MATCH(InterventionCosts!B1640,Ingredients!A$1:A$318,0)))</f>
        <v xml:space="preserve">April 2024 Salary scale </v>
      </c>
      <c r="I1640">
        <f>2*7.54*(workminutespa/12/5102)</f>
        <v>26.364876519012153</v>
      </c>
      <c r="J1640" t="s">
        <v>460</v>
      </c>
      <c r="K1640" s="85">
        <f t="shared" si="40"/>
        <v>356.01084068556992</v>
      </c>
      <c r="L1640" s="85" t="s">
        <v>1102</v>
      </c>
    </row>
    <row r="1641" spans="1:14">
      <c r="A1641" t="s">
        <v>381</v>
      </c>
      <c r="B1641" t="s">
        <v>477</v>
      </c>
      <c r="C1641" t="s">
        <v>460</v>
      </c>
      <c r="D1641" t="s">
        <v>81</v>
      </c>
      <c r="E1641" s="70">
        <f>IF(B1641="","",INDEX(Ingredients!$I$1:$I$5013,(MATCH(InterventionCosts!B1641,Ingredients!$A$1:$A$5013,0))))</f>
        <v>88.256346376062865</v>
      </c>
      <c r="F1641" s="5" t="str">
        <f>INDEX(Ingredients!J$1:J$265,(MATCH(InterventionCosts!B1641,Ingredients!A$1:A$265,0)))</f>
        <v>per visit</v>
      </c>
      <c r="G1641">
        <f>IF(B1641="","",INDEX(Ingredients!$E$1:$E$238,(MATCH(InterventionCosts!B1641,Ingredients!A$1:A$238,0))))</f>
        <v>2019</v>
      </c>
      <c r="H1641" t="str">
        <f>INDEX(Ingredients!$F$1:$F$318,(MATCH(InterventionCosts!B1641,Ingredients!A$1:A$318,0)))</f>
        <v xml:space="preserve">Long L, Girdwood S, Govender K, Meyer-Rath G, Miot J: Cost and outcomes of routine HIV care and treatment: A comparison of public and private delivery models covering low-income earners in South Africa. Preprint available under DOI: https://doi.org/10.21203/rs.3.rs-960517/v1    </v>
      </c>
      <c r="I1641">
        <f>PPPvisitperpt</f>
        <v>7.54</v>
      </c>
      <c r="J1641" t="s">
        <v>460</v>
      </c>
      <c r="K1641" s="85">
        <f>I1641*E1641</f>
        <v>665.45285167551401</v>
      </c>
    </row>
    <row r="1642" spans="1:14">
      <c r="A1642" t="s">
        <v>381</v>
      </c>
      <c r="B1642" t="s">
        <v>478</v>
      </c>
      <c r="C1642" t="s">
        <v>460</v>
      </c>
      <c r="D1642" t="s">
        <v>70</v>
      </c>
      <c r="E1642" s="70">
        <f>IF(B1642="","",INDEX(Ingredients!$I$1:$I$5013,(MATCH(InterventionCosts!B1642,Ingredients!$A$1:$A$5013,0))))</f>
        <v>31.786769776357943</v>
      </c>
      <c r="F1642" s="5" t="str">
        <f>INDEX(Ingredients!J$1:J$265,(MATCH(InterventionCosts!B1642,Ingredients!A$1:A$265,0)))</f>
        <v>per visit</v>
      </c>
      <c r="G1642">
        <f>IF(B1642="","",INDEX(Ingredients!$E$1:$E$238,(MATCH(InterventionCosts!B1642,Ingredients!A$1:A$238,0))))</f>
        <v>2023</v>
      </c>
      <c r="H1642" t="str">
        <f>INDEX(Ingredients!$F$1:$F$318,(MATCH(InterventionCosts!B1642,Ingredients!A$1:A$318,0)))</f>
        <v xml:space="preserve">Updated costs for Long L, Girdwood S, Govender K, Meyer-Rath G, Miot J: Cost and outcomes of routine HIV care and treatment: A comparison of public and private delivery models covering low-income earners in South Africa. Preprint available under DOI: https://doi.org/10.21203/rs.3.rs-960517/v1    </v>
      </c>
      <c r="I1642">
        <f>PPPvisitperpt</f>
        <v>7.54</v>
      </c>
      <c r="J1642" t="s">
        <v>460</v>
      </c>
      <c r="K1642" s="85">
        <f>I1642*E1642</f>
        <v>239.67224411373888</v>
      </c>
    </row>
    <row r="1643" spans="1:14">
      <c r="A1643" t="s">
        <v>381</v>
      </c>
      <c r="B1643" s="5" t="s">
        <v>1367</v>
      </c>
      <c r="C1643" t="s">
        <v>460</v>
      </c>
      <c r="D1643" t="s">
        <v>70</v>
      </c>
      <c r="E1643" s="70">
        <f>IF(B1643="","",INDEX(Ingredients!$I$1:$I$5013,(MATCH(InterventionCosts!B1643,Ingredients!$A$1:$A$5013,0))))</f>
        <v>2.952048897020477</v>
      </c>
      <c r="F1643" s="5" t="str">
        <f>INDEX(Ingredients!J$1:J$265,(MATCH(InterventionCosts!B1643,Ingredients!A$1:A$265,0)))</f>
        <v>per day</v>
      </c>
      <c r="G1643">
        <f>IF(B1643="","",INDEX(Ingredients!$E$1:$E$238,(MATCH(InterventionCosts!B1643,Ingredients!A$1:A$238,0))))</f>
        <v>2024</v>
      </c>
      <c r="H1643" t="str">
        <f>INDEX(Ingredients!$F$1:$F$318,(MATCH(InterventionCosts!B1643,Ingredients!A$1:A$318,0)))</f>
        <v>Master Procurement Circular May 2024</v>
      </c>
      <c r="I1643">
        <v>360</v>
      </c>
      <c r="J1643" t="s">
        <v>406</v>
      </c>
      <c r="K1643" s="85">
        <f>I1643*E1643</f>
        <v>1062.7376029273717</v>
      </c>
    </row>
    <row r="1644" spans="1:14" s="89" customFormat="1">
      <c r="A1644" s="4" t="s">
        <v>381</v>
      </c>
      <c r="F1644" s="89" t="s">
        <v>1164</v>
      </c>
      <c r="K1644" s="90"/>
      <c r="L1644" s="90">
        <f>SUM(K1626:K1643)</f>
        <v>5352.624756535216</v>
      </c>
      <c r="M1644" s="92"/>
      <c r="N1644" s="4"/>
    </row>
    <row r="1645" spans="1:14" s="89" customFormat="1">
      <c r="A1645" s="4" t="s">
        <v>381</v>
      </c>
      <c r="F1645" s="89" t="s">
        <v>117</v>
      </c>
      <c r="K1645" s="90"/>
      <c r="L1645" s="90" t="s">
        <v>937</v>
      </c>
    </row>
    <row r="1647" spans="1:14">
      <c r="A1647" t="s">
        <v>911</v>
      </c>
      <c r="B1647" t="s">
        <v>858</v>
      </c>
      <c r="C1647" t="s">
        <v>459</v>
      </c>
      <c r="D1647" t="s">
        <v>75</v>
      </c>
      <c r="E1647" s="70">
        <f>IF(B1647="","",INDEX(Ingredients!$I$1:$I$5013,(MATCH(InterventionCosts!B1647,Ingredients!$A$1:$A$5013,0))))</f>
        <v>495.08531887209995</v>
      </c>
      <c r="F1647" s="5" t="str">
        <f>INDEX(Ingredients!J$1:J$265,(MATCH(InterventionCosts!B1647,Ingredients!A$1:A$265,0)))</f>
        <v>per test</v>
      </c>
      <c r="G1647">
        <f>IF(B1647="","",INDEX(Ingredients!$E$1:$E$238,(MATCH(InterventionCosts!B1647,Ingredients!A$1:A$238,0))))</f>
        <v>2021</v>
      </c>
      <c r="H1647" t="str">
        <f>INDEX(Ingredients!$F$1:$F$318,(MATCH(InterventionCosts!B1647,Ingredients!A$1:A$318,0)))</f>
        <v>NHLS 2021 price-list</v>
      </c>
      <c r="I1647">
        <v>1</v>
      </c>
      <c r="J1647" t="s">
        <v>459</v>
      </c>
      <c r="K1647" s="85">
        <f t="shared" ref="K1647:K1664" si="41">I1647*E1647</f>
        <v>495.08531887209995</v>
      </c>
      <c r="N1647" s="230"/>
    </row>
    <row r="1648" spans="1:14">
      <c r="A1648" t="s">
        <v>911</v>
      </c>
      <c r="B1648" t="s">
        <v>458</v>
      </c>
      <c r="C1648" t="s">
        <v>459</v>
      </c>
      <c r="D1648" t="s">
        <v>75</v>
      </c>
      <c r="E1648" s="70">
        <f>IF(B1648="","",INDEX(Ingredients!$I$1:$I$5013,(MATCH(InterventionCosts!B1648,Ingredients!$A$1:$A$5013,0))))</f>
        <v>86.59037211495</v>
      </c>
      <c r="F1648" s="5" t="str">
        <f>INDEX(Ingredients!J$1:J$265,(MATCH(InterventionCosts!B1648,Ingredients!A$1:A$265,0)))</f>
        <v>per test</v>
      </c>
      <c r="G1648">
        <f>IF(B1648="","",INDEX(Ingredients!$E$1:$E$238,(MATCH(InterventionCosts!B1648,Ingredients!A$1:A$238,0))))</f>
        <v>2021</v>
      </c>
      <c r="H1648" t="str">
        <f>INDEX(Ingredients!$F$1:$F$318,(MATCH(InterventionCosts!B1648,Ingredients!A$1:A$318,0)))</f>
        <v>NHLS 2021 price-list</v>
      </c>
      <c r="I1648">
        <v>1</v>
      </c>
      <c r="J1648" t="s">
        <v>459</v>
      </c>
      <c r="K1648" s="85">
        <f t="shared" si="41"/>
        <v>86.59037211495</v>
      </c>
    </row>
    <row r="1649" spans="1:12">
      <c r="A1649" t="s">
        <v>911</v>
      </c>
      <c r="B1649" t="s">
        <v>408</v>
      </c>
      <c r="C1649" t="s">
        <v>459</v>
      </c>
      <c r="D1649" t="s">
        <v>75</v>
      </c>
      <c r="E1649" s="70">
        <f>IF(B1649="","",INDEX(Ingredients!$I$1:$I$5013,(MATCH(InterventionCosts!B1649,Ingredients!$A$1:$A$5013,0))))</f>
        <v>39.539473461949996</v>
      </c>
      <c r="F1649" s="5" t="str">
        <f>INDEX(Ingredients!J$1:J$265,(MATCH(InterventionCosts!B1649,Ingredients!A$1:A$265,0)))</f>
        <v>per test</v>
      </c>
      <c r="G1649">
        <f>IF(B1649="","",INDEX(Ingredients!$E$1:$E$238,(MATCH(InterventionCosts!B1649,Ingredients!A$1:A$238,0))))</f>
        <v>2021</v>
      </c>
      <c r="H1649" t="str">
        <f>INDEX(Ingredients!$F$1:$F$318,(MATCH(InterventionCosts!B1649,Ingredients!A$1:A$318,0)))</f>
        <v>NHLS 2021 price-list</v>
      </c>
      <c r="I1649">
        <v>1</v>
      </c>
      <c r="J1649" t="s">
        <v>459</v>
      </c>
      <c r="K1649" s="85">
        <f>I1649*E1649</f>
        <v>39.539473461949996</v>
      </c>
    </row>
    <row r="1650" spans="1:12">
      <c r="A1650" t="s">
        <v>911</v>
      </c>
      <c r="B1650" t="s">
        <v>52</v>
      </c>
      <c r="C1650" t="s">
        <v>460</v>
      </c>
      <c r="D1650" t="s">
        <v>48</v>
      </c>
      <c r="E1650" s="70">
        <f>IF(B1650="","",INDEX(Ingredients!$I$1:$I$5013,(MATCH(InterventionCosts!B1650,Ingredients!$A$1:$A$5013,0))))</f>
        <v>1.8019482436472347</v>
      </c>
      <c r="F1650" s="5" t="str">
        <f>INDEX(Ingredients!J$1:J$265,(MATCH(InterventionCosts!B1650,Ingredients!A$1:A$265,0)))</f>
        <v>per minute</v>
      </c>
      <c r="G1650">
        <f>IF(B1650="","",INDEX(Ingredients!$E$1:$E$238,(MATCH(InterventionCosts!B1650,Ingredients!A$1:A$238,0))))</f>
        <v>2024</v>
      </c>
      <c r="H1650" t="str">
        <f>INDEX(Ingredients!$F$1:$F$318,(MATCH(InterventionCosts!B1650,Ingredients!A$1:A$318,0)))</f>
        <v xml:space="preserve">April 2024 Salary scale </v>
      </c>
      <c r="I1650">
        <f>4*4*(workminutespa/12/5102)</f>
        <v>27.973343786750295</v>
      </c>
      <c r="J1650" t="s">
        <v>460</v>
      </c>
      <c r="K1650" s="85">
        <f t="shared" si="41"/>
        <v>50.406517705474982</v>
      </c>
      <c r="L1650" s="85" t="s">
        <v>1079</v>
      </c>
    </row>
    <row r="1651" spans="1:12">
      <c r="A1651" t="s">
        <v>911</v>
      </c>
      <c r="B1651" t="s">
        <v>55</v>
      </c>
      <c r="C1651" t="s">
        <v>460</v>
      </c>
      <c r="D1651" t="s">
        <v>48</v>
      </c>
      <c r="E1651" s="70">
        <f>IF(B1651="","",INDEX(Ingredients!$I$1:$I$5013,(MATCH(InterventionCosts!B1651,Ingredients!$A$1:$A$5013,0))))</f>
        <v>1.8549350710014947</v>
      </c>
      <c r="F1651" s="5" t="str">
        <f>INDEX(Ingredients!J$1:J$265,(MATCH(InterventionCosts!B1651,Ingredients!A$1:A$265,0)))</f>
        <v>per minute</v>
      </c>
      <c r="G1651">
        <f>IF(B1651="","",INDEX(Ingredients!$E$1:$E$238,(MATCH(InterventionCosts!B1651,Ingredients!A$1:A$238,0))))</f>
        <v>2024</v>
      </c>
      <c r="H1651" t="str">
        <f>INDEX(Ingredients!$F$1:$F$318,(MATCH(InterventionCosts!B1651,Ingredients!A$1:A$318,0)))</f>
        <v xml:space="preserve">April 2024 Salary scale </v>
      </c>
      <c r="I1651">
        <f>4*4*(workminutespa/12/5102)</f>
        <v>27.973343786750295</v>
      </c>
      <c r="J1651" t="s">
        <v>460</v>
      </c>
      <c r="K1651" s="85">
        <f t="shared" si="41"/>
        <v>51.888736443224879</v>
      </c>
      <c r="L1651" s="85" t="s">
        <v>1079</v>
      </c>
    </row>
    <row r="1652" spans="1:12">
      <c r="A1652" t="s">
        <v>911</v>
      </c>
      <c r="B1652" t="s">
        <v>1070</v>
      </c>
      <c r="C1652" t="s">
        <v>460</v>
      </c>
      <c r="D1652" t="s">
        <v>48</v>
      </c>
      <c r="E1652" s="70">
        <f>IF(B1652="","",INDEX(Ingredients!$I$1:$I$5013,(MATCH(InterventionCosts!B1652,Ingredients!$A$1:$A$5013,0))))</f>
        <v>2.443981128550075</v>
      </c>
      <c r="F1652" s="5" t="str">
        <f>INDEX(Ingredients!J$1:J$265,(MATCH(InterventionCosts!B1652,Ingredients!A$1:A$265,0)))</f>
        <v>per minute</v>
      </c>
      <c r="G1652">
        <f>IF(B1652="","",INDEX(Ingredients!$E$1:$E$238,(MATCH(InterventionCosts!B1652,Ingredients!A$1:A$238,0))))</f>
        <v>2024</v>
      </c>
      <c r="H1652" t="str">
        <f>INDEX(Ingredients!$F$1:$F$318,(MATCH(InterventionCosts!B1652,Ingredients!A$1:A$318,0)))</f>
        <v xml:space="preserve">April 2024 Salary scale </v>
      </c>
      <c r="I1652">
        <f>1*4*(workminutespa/12/5102)</f>
        <v>6.9933359466875737</v>
      </c>
      <c r="J1652" t="s">
        <v>460</v>
      </c>
      <c r="K1652" s="85">
        <f t="shared" si="41"/>
        <v>17.091581079315304</v>
      </c>
      <c r="L1652" s="85" t="s">
        <v>1080</v>
      </c>
    </row>
    <row r="1653" spans="1:12">
      <c r="A1653" t="s">
        <v>911</v>
      </c>
      <c r="B1653" t="s">
        <v>51</v>
      </c>
      <c r="C1653" t="s">
        <v>460</v>
      </c>
      <c r="D1653" t="s">
        <v>48</v>
      </c>
      <c r="E1653" s="70">
        <f>IF(B1653="","",INDEX(Ingredients!$I$1:$I$5013,(MATCH(InterventionCosts!B1653,Ingredients!$A$1:$A$5013,0))))</f>
        <v>4100.2266666666665</v>
      </c>
      <c r="F1653" s="5" t="str">
        <f>INDEX(Ingredients!J$1:J$265,(MATCH(InterventionCosts!B1653,Ingredients!A$1:A$265,0)))</f>
        <v>per month</v>
      </c>
      <c r="G1653">
        <f>IF(B1653="","",INDEX(Ingredients!$E$1:$E$238,(MATCH(InterventionCosts!B1653,Ingredients!A$1:A$238,0))))</f>
        <v>2024</v>
      </c>
      <c r="H1653" t="str">
        <f>INDEX(Ingredients!$F$1:$F$318,(MATCH(InterventionCosts!B1653,Ingredients!A$1:A$318,0)))</f>
        <v>https://www.gov.za/news/media-statements/government-activities/minister-thulas-nxesi-announces-national-minimum-wage</v>
      </c>
      <c r="I1653">
        <f>1*4*(1/5102)</f>
        <v>7.840062720501764E-4</v>
      </c>
      <c r="J1653" t="s">
        <v>460</v>
      </c>
      <c r="K1653" s="85">
        <f t="shared" si="41"/>
        <v>3.2146034234940544</v>
      </c>
      <c r="L1653" s="85" t="s">
        <v>1080</v>
      </c>
    </row>
    <row r="1654" spans="1:12">
      <c r="A1654" t="s">
        <v>911</v>
      </c>
      <c r="B1654" t="s">
        <v>54</v>
      </c>
      <c r="C1654" t="s">
        <v>460</v>
      </c>
      <c r="D1654" t="s">
        <v>48</v>
      </c>
      <c r="E1654" s="70">
        <f>IF(B1654="","",INDEX(Ingredients!$I$1:$I$5013,(MATCH(InterventionCosts!B1654,Ingredients!$A$1:$A$5013,0))))</f>
        <v>1.2444366591928251</v>
      </c>
      <c r="F1654" s="5" t="str">
        <f>INDEX(Ingredients!J$1:J$265,(MATCH(InterventionCosts!B1654,Ingredients!A$1:A$265,0)))</f>
        <v>per minute</v>
      </c>
      <c r="G1654">
        <f>IF(B1654="","",INDEX(Ingredients!$E$1:$E$238,(MATCH(InterventionCosts!B1654,Ingredients!A$1:A$238,0))))</f>
        <v>2024</v>
      </c>
      <c r="H1654" t="str">
        <f>INDEX(Ingredients!$F$1:$F$318,(MATCH(InterventionCosts!B1654,Ingredients!A$1:A$318,0)))</f>
        <v xml:space="preserve">April 2024 Salary scale </v>
      </c>
      <c r="I1654">
        <f>8*4*(workminutespa/12/5102)</f>
        <v>55.94668757350059</v>
      </c>
      <c r="J1654" t="s">
        <v>460</v>
      </c>
      <c r="K1654" s="85">
        <f t="shared" si="41"/>
        <v>69.622108976871814</v>
      </c>
      <c r="L1654" s="85" t="s">
        <v>1081</v>
      </c>
    </row>
    <row r="1655" spans="1:12">
      <c r="A1655" t="s">
        <v>911</v>
      </c>
      <c r="B1655" t="s">
        <v>354</v>
      </c>
      <c r="C1655" t="s">
        <v>460</v>
      </c>
      <c r="D1655" t="s">
        <v>48</v>
      </c>
      <c r="E1655" s="70">
        <f>IF(B1655="","",INDEX(Ingredients!$I$1:$I$5013,(MATCH(InterventionCosts!B1655,Ingredients!$A$1:$A$5013,0))))</f>
        <v>4.8996605630293981</v>
      </c>
      <c r="F1655" s="5" t="str">
        <f>INDEX(Ingredients!J$1:J$265,(MATCH(InterventionCosts!B1655,Ingredients!A$1:A$265,0)))</f>
        <v>per minute</v>
      </c>
      <c r="G1655">
        <f>IF(B1655="","",INDEX(Ingredients!$E$1:$E$238,(MATCH(InterventionCosts!B1655,Ingredients!A$1:A$238,0))))</f>
        <v>2024</v>
      </c>
      <c r="H1655" t="str">
        <f>INDEX(Ingredients!$F$1:$F$318,(MATCH(InterventionCosts!B1655,Ingredients!A$1:A$318,0)))</f>
        <v xml:space="preserve">April 2024 Salary scale </v>
      </c>
      <c r="I1655">
        <f>16*4*(workminutespa/12/5102)</f>
        <v>111.89337514700118</v>
      </c>
      <c r="J1655" t="s">
        <v>460</v>
      </c>
      <c r="K1655" s="85">
        <f t="shared" si="41"/>
        <v>548.23955747201546</v>
      </c>
      <c r="L1655" s="85" t="s">
        <v>1082</v>
      </c>
    </row>
    <row r="1656" spans="1:12">
      <c r="A1656" t="s">
        <v>911</v>
      </c>
      <c r="B1656" t="s">
        <v>286</v>
      </c>
      <c r="C1656" t="s">
        <v>460</v>
      </c>
      <c r="D1656" t="s">
        <v>48</v>
      </c>
      <c r="E1656" s="70">
        <f>IF(B1656="","",INDEX(Ingredients!$I$1:$I$5013,(MATCH(InterventionCosts!B1656,Ingredients!$A$1:$A$5013,0))))</f>
        <v>3.2392279521674139</v>
      </c>
      <c r="F1656" s="5" t="str">
        <f>INDEX(Ingredients!J$1:J$265,(MATCH(InterventionCosts!B1656,Ingredients!A$1:A$265,0)))</f>
        <v>per minute</v>
      </c>
      <c r="G1656">
        <f>IF(B1656="","",INDEX(Ingredients!$E$1:$E$238,(MATCH(InterventionCosts!B1656,Ingredients!A$1:A$238,0))))</f>
        <v>2024</v>
      </c>
      <c r="H1656" t="str">
        <f>INDEX(Ingredients!$F$1:$F$318,(MATCH(InterventionCosts!B1656,Ingredients!A$1:A$318,0)))</f>
        <v xml:space="preserve">April 2024 Salary scale </v>
      </c>
      <c r="I1656">
        <f>4*4*(workminutespa/12/5102)</f>
        <v>27.973343786750295</v>
      </c>
      <c r="J1656" t="s">
        <v>460</v>
      </c>
      <c r="K1656" s="85">
        <f t="shared" si="41"/>
        <v>90.612037109630208</v>
      </c>
      <c r="L1656" s="85" t="s">
        <v>1079</v>
      </c>
    </row>
    <row r="1657" spans="1:12">
      <c r="A1657" t="s">
        <v>911</v>
      </c>
      <c r="B1657" t="s">
        <v>1072</v>
      </c>
      <c r="C1657" t="s">
        <v>460</v>
      </c>
      <c r="D1657" t="s">
        <v>48</v>
      </c>
      <c r="E1657" s="70">
        <f>IF(B1657="","",INDEX(Ingredients!$I$1:$I$5013,(MATCH(InterventionCosts!B1657,Ingredients!$A$1:$A$5013,0))))</f>
        <v>2.5530496387643251</v>
      </c>
      <c r="F1657" s="5" t="str">
        <f>INDEX(Ingredients!J$1:J$265,(MATCH(InterventionCosts!B1657,Ingredients!A$1:A$265,0)))</f>
        <v>per minute</v>
      </c>
      <c r="G1657">
        <f>IF(B1657="","",INDEX(Ingredients!$E$1:$E$238,(MATCH(InterventionCosts!B1657,Ingredients!A$1:A$238,0))))</f>
        <v>2024</v>
      </c>
      <c r="H1657" t="str">
        <f>INDEX(Ingredients!$F$1:$F$318,(MATCH(InterventionCosts!B1657,Ingredients!A$1:A$318,0)))</f>
        <v xml:space="preserve">April 2024 Salary scale </v>
      </c>
      <c r="I1657">
        <f>1*4*(workminutespa/12/5102)</f>
        <v>6.9933359466875737</v>
      </c>
      <c r="J1657" t="s">
        <v>460</v>
      </c>
      <c r="K1657" s="85">
        <f t="shared" si="41"/>
        <v>17.854333812448278</v>
      </c>
      <c r="L1657" s="85" t="s">
        <v>1080</v>
      </c>
    </row>
    <row r="1658" spans="1:12">
      <c r="A1658" t="s">
        <v>911</v>
      </c>
      <c r="B1658" t="s">
        <v>1074</v>
      </c>
      <c r="C1658" t="s">
        <v>460</v>
      </c>
      <c r="D1658" t="s">
        <v>48</v>
      </c>
      <c r="E1658" s="70">
        <f>IF(B1658="","",INDEX(Ingredients!$I$1:$I$5013,(MATCH(InterventionCosts!B1658,Ingredients!$A$1:$A$5013,0))))</f>
        <v>2076.8733333333334</v>
      </c>
      <c r="F1658" s="5" t="str">
        <f>INDEX(Ingredients!J$1:J$265,(MATCH(InterventionCosts!B1658,Ingredients!A$1:A$265,0)))</f>
        <v>per month</v>
      </c>
      <c r="G1658">
        <f>IF(B1658="","",INDEX(Ingredients!$E$1:$E$238,(MATCH(InterventionCosts!B1658,Ingredients!A$1:A$238,0))))</f>
        <v>2024</v>
      </c>
      <c r="H1658" t="str">
        <f>INDEX(Ingredients!$F$1:$F$318,(MATCH(InterventionCosts!B1658,Ingredients!A$1:A$318,0)))</f>
        <v>https://www.gov.za/speeches/minister-thulas-nxesi-hikes-minimum-wage-farmworkers-and-domestic-workers-22-feb-2023-0000</v>
      </c>
      <c r="I1658">
        <f>13*4*(1/5102)</f>
        <v>1.0192081536652292E-2</v>
      </c>
      <c r="J1658" t="s">
        <v>460</v>
      </c>
      <c r="K1658" s="85">
        <f t="shared" si="41"/>
        <v>21.167662354632171</v>
      </c>
      <c r="L1658" s="85" t="s">
        <v>1083</v>
      </c>
    </row>
    <row r="1659" spans="1:12">
      <c r="A1659" t="s">
        <v>911</v>
      </c>
      <c r="B1659" t="s">
        <v>60</v>
      </c>
      <c r="C1659" t="s">
        <v>460</v>
      </c>
      <c r="D1659" t="s">
        <v>48</v>
      </c>
      <c r="E1659" s="70">
        <f>IF(B1659="","",INDEX(Ingredients!$I$1:$I$5013,(MATCH(InterventionCosts!B1659,Ingredients!$A$1:$A$5013,0))))</f>
        <v>9.1192801756352768</v>
      </c>
      <c r="F1659" s="5" t="str">
        <f>INDEX(Ingredients!J$1:J$265,(MATCH(InterventionCosts!B1659,Ingredients!A$1:A$265,0)))</f>
        <v>per minute</v>
      </c>
      <c r="G1659">
        <f>IF(B1659="","",INDEX(Ingredients!$E$1:$E$238,(MATCH(InterventionCosts!B1659,Ingredients!A$1:A$238,0))))</f>
        <v>2024</v>
      </c>
      <c r="H1659" t="str">
        <f>INDEX(Ingredients!$F$1:$F$318,(MATCH(InterventionCosts!B1659,Ingredients!A$1:A$318,0)))</f>
        <v xml:space="preserve">April 2024 Salary scale </v>
      </c>
      <c r="I1659">
        <f>1*4*(workminutespa/12/5102)</f>
        <v>6.9933359466875737</v>
      </c>
      <c r="J1659" t="s">
        <v>460</v>
      </c>
      <c r="K1659" s="85">
        <f t="shared" si="41"/>
        <v>63.774189860185551</v>
      </c>
      <c r="L1659" s="85" t="s">
        <v>1080</v>
      </c>
    </row>
    <row r="1660" spans="1:12">
      <c r="A1660" t="s">
        <v>911</v>
      </c>
      <c r="B1660" t="s">
        <v>1077</v>
      </c>
      <c r="C1660" t="s">
        <v>460</v>
      </c>
      <c r="D1660" t="s">
        <v>48</v>
      </c>
      <c r="E1660" s="70">
        <f>IF(B1660="","",INDEX(Ingredients!$I$1:$I$5013,(MATCH(InterventionCosts!B1660,Ingredients!$A$1:$A$5013,0))))</f>
        <v>2.1347303967364222</v>
      </c>
      <c r="F1660" s="5" t="str">
        <f>INDEX(Ingredients!J$1:J$265,(MATCH(InterventionCosts!B1660,Ingredients!A$1:A$265,0)))</f>
        <v>per minute</v>
      </c>
      <c r="G1660">
        <f>IF(B1660="","",INDEX(Ingredients!$E$1:$E$238,(MATCH(InterventionCosts!B1660,Ingredients!A$1:A$238,0))))</f>
        <v>2024</v>
      </c>
      <c r="H1660" t="str">
        <f>INDEX(Ingredients!$F$1:$F$318,(MATCH(InterventionCosts!B1660,Ingredients!A$1:A$318,0)))</f>
        <v xml:space="preserve">April 2024 Salary scale </v>
      </c>
      <c r="I1660">
        <f>4*4*(workminutespa/12/5102)</f>
        <v>27.973343786750295</v>
      </c>
      <c r="J1660" t="s">
        <v>460</v>
      </c>
      <c r="K1660" s="85">
        <f t="shared" si="41"/>
        <v>59.715547279933787</v>
      </c>
      <c r="L1660" s="85" t="s">
        <v>1079</v>
      </c>
    </row>
    <row r="1661" spans="1:12">
      <c r="A1661" t="s">
        <v>911</v>
      </c>
      <c r="B1661" t="s">
        <v>1078</v>
      </c>
      <c r="C1661" t="s">
        <v>460</v>
      </c>
      <c r="D1661" t="s">
        <v>48</v>
      </c>
      <c r="E1661" s="70">
        <f>IF(B1661="","",INDEX(Ingredients!$I$1:$I$5013,(MATCH(InterventionCosts!B1661,Ingredients!$A$1:$A$5013,0))))</f>
        <v>13.503224277528648</v>
      </c>
      <c r="F1661" s="5" t="str">
        <f>INDEX(Ingredients!J$1:J$265,(MATCH(InterventionCosts!B1661,Ingredients!A$1:A$265,0)))</f>
        <v>per minute</v>
      </c>
      <c r="G1661">
        <f>IF(B1661="","",INDEX(Ingredients!$E$1:$E$238,(MATCH(InterventionCosts!B1661,Ingredients!A$1:A$238,0))))</f>
        <v>2024</v>
      </c>
      <c r="H1661" t="str">
        <f>INDEX(Ingredients!$F$1:$F$318,(MATCH(InterventionCosts!B1661,Ingredients!A$1:A$318,0)))</f>
        <v xml:space="preserve">April 2024 Salary scale </v>
      </c>
      <c r="I1661">
        <f>2*4*(workminutespa/12/5102)</f>
        <v>13.986671893375147</v>
      </c>
      <c r="J1661" t="s">
        <v>460</v>
      </c>
      <c r="K1661" s="85">
        <f t="shared" si="41"/>
        <v>188.86516747245088</v>
      </c>
      <c r="L1661" s="85" t="s">
        <v>1084</v>
      </c>
    </row>
    <row r="1662" spans="1:12">
      <c r="A1662" t="s">
        <v>911</v>
      </c>
      <c r="B1662" t="s">
        <v>477</v>
      </c>
      <c r="C1662" t="s">
        <v>459</v>
      </c>
      <c r="D1662" t="s">
        <v>81</v>
      </c>
      <c r="E1662" s="70">
        <f>IF(B1662="","",INDEX(Ingredients!$I$1:$I$5013,(MATCH(InterventionCosts!B1662,Ingredients!$A$1:$A$5013,0))))</f>
        <v>88.256346376062865</v>
      </c>
      <c r="F1662" s="5" t="str">
        <f>INDEX(Ingredients!J$1:J$265,(MATCH(InterventionCosts!B1662,Ingredients!A$1:A$265,0)))</f>
        <v>per visit</v>
      </c>
      <c r="G1662">
        <f>IF(B1662="","",INDEX(Ingredients!$E$1:$E$238,(MATCH(InterventionCosts!B1662,Ingredients!A$1:A$238,0))))</f>
        <v>2019</v>
      </c>
      <c r="H1662" t="str">
        <f>INDEX(Ingredients!$F$1:$F$318,(MATCH(InterventionCosts!B1662,Ingredients!A$1:A$318,0)))</f>
        <v xml:space="preserve">Long L, Girdwood S, Govender K, Meyer-Rath G, Miot J: Cost and outcomes of routine HIV care and treatment: A comparison of public and private delivery models covering low-income earners in South Africa. Preprint available under DOI: https://doi.org/10.21203/rs.3.rs-960517/v1    </v>
      </c>
      <c r="I1662">
        <f>VisitsFUyear</f>
        <v>4</v>
      </c>
      <c r="J1662" t="s">
        <v>459</v>
      </c>
      <c r="K1662" s="85">
        <f t="shared" si="41"/>
        <v>353.02538550425146</v>
      </c>
    </row>
    <row r="1663" spans="1:12">
      <c r="A1663" t="s">
        <v>911</v>
      </c>
      <c r="B1663" t="s">
        <v>478</v>
      </c>
      <c r="C1663" t="s">
        <v>459</v>
      </c>
      <c r="D1663" t="s">
        <v>70</v>
      </c>
      <c r="E1663" s="70">
        <f>IF(B1663="","",INDEX(Ingredients!$I$1:$I$5013,(MATCH(InterventionCosts!B1663,Ingredients!$A$1:$A$5013,0))))</f>
        <v>31.786769776357943</v>
      </c>
      <c r="F1663" s="5" t="str">
        <f>INDEX(Ingredients!J$1:J$265,(MATCH(InterventionCosts!B1663,Ingredients!A$1:A$265,0)))</f>
        <v>per visit</v>
      </c>
      <c r="G1663">
        <f>IF(B1663="","",INDEX(Ingredients!$E$1:$E$238,(MATCH(InterventionCosts!B1663,Ingredients!A$1:A$238,0))))</f>
        <v>2023</v>
      </c>
      <c r="H1663" t="str">
        <f>INDEX(Ingredients!$F$1:$F$318,(MATCH(InterventionCosts!B1663,Ingredients!A$1:A$318,0)))</f>
        <v xml:space="preserve">Updated costs for Long L, Girdwood S, Govender K, Meyer-Rath G, Miot J: Cost and outcomes of routine HIV care and treatment: A comparison of public and private delivery models covering low-income earners in South Africa. Preprint available under DOI: https://doi.org/10.21203/rs.3.rs-960517/v1    </v>
      </c>
      <c r="I1663">
        <f>VisitsFUyear</f>
        <v>4</v>
      </c>
      <c r="J1663" t="s">
        <v>459</v>
      </c>
      <c r="K1663" s="85">
        <f t="shared" si="41"/>
        <v>127.14707910543177</v>
      </c>
    </row>
    <row r="1664" spans="1:12">
      <c r="A1664" t="s">
        <v>911</v>
      </c>
      <c r="B1664" s="5" t="s">
        <v>1367</v>
      </c>
      <c r="C1664" t="s">
        <v>459</v>
      </c>
      <c r="D1664" t="s">
        <v>70</v>
      </c>
      <c r="E1664" s="70">
        <f>IF(B1664="","",INDEX(Ingredients!$I$1:$I$5013,(MATCH(InterventionCosts!B1664,Ingredients!$A$1:$A$5013,0))))</f>
        <v>2.952048897020477</v>
      </c>
      <c r="F1664" s="5" t="str">
        <f>INDEX(Ingredients!J$1:J$265,(MATCH(InterventionCosts!B1664,Ingredients!A$1:A$265,0)))</f>
        <v>per day</v>
      </c>
      <c r="G1664">
        <f>IF(B1664="","",INDEX(Ingredients!$E$1:$E$238,(MATCH(InterventionCosts!B1664,Ingredients!A$1:A$238,0))))</f>
        <v>2024</v>
      </c>
      <c r="H1664" t="str">
        <f>INDEX(Ingredients!$F$1:$F$318,(MATCH(InterventionCosts!B1664,Ingredients!A$1:A$318,0)))</f>
        <v>Master Procurement Circular May 2024</v>
      </c>
      <c r="I1664">
        <v>360</v>
      </c>
      <c r="J1664" t="s">
        <v>459</v>
      </c>
      <c r="K1664" s="85">
        <f t="shared" si="41"/>
        <v>1062.7376029273717</v>
      </c>
    </row>
    <row r="1665" spans="1:14" s="89" customFormat="1">
      <c r="A1665" s="4" t="s">
        <v>911</v>
      </c>
      <c r="F1665" s="89" t="s">
        <v>1164</v>
      </c>
      <c r="K1665" s="90"/>
      <c r="L1665" s="90">
        <f>SUM(K1647:K1664)</f>
        <v>3346.5772749757316</v>
      </c>
      <c r="M1665" s="92"/>
      <c r="N1665" s="4"/>
    </row>
    <row r="1666" spans="1:14" s="89" customFormat="1">
      <c r="A1666" s="4" t="s">
        <v>911</v>
      </c>
      <c r="F1666" s="89" t="s">
        <v>117</v>
      </c>
      <c r="K1666" s="90"/>
      <c r="L1666" s="90" t="s">
        <v>937</v>
      </c>
    </row>
    <row r="1668" spans="1:14">
      <c r="A1668" t="s">
        <v>912</v>
      </c>
      <c r="B1668" t="s">
        <v>858</v>
      </c>
      <c r="C1668" t="s">
        <v>459</v>
      </c>
      <c r="D1668" t="s">
        <v>75</v>
      </c>
      <c r="E1668" s="70">
        <f>IF(B1668="","",INDEX(Ingredients!$I$1:$I$5013,(MATCH(InterventionCosts!B1668,Ingredients!$A$1:$A$5013,0))))</f>
        <v>495.08531887209995</v>
      </c>
      <c r="F1668" s="5" t="str">
        <f>INDEX(Ingredients!J$1:J$265,(MATCH(InterventionCosts!B1668,Ingredients!A$1:A$265,0)))</f>
        <v>per test</v>
      </c>
      <c r="G1668">
        <f>IF(B1668="","",INDEX(Ingredients!$E$1:$E$238,(MATCH(InterventionCosts!B1668,Ingredients!A$1:A$238,0))))</f>
        <v>2021</v>
      </c>
      <c r="H1668" t="str">
        <f>INDEX(Ingredients!$F$1:$F$318,(MATCH(InterventionCosts!B1668,Ingredients!A$1:A$318,0)))</f>
        <v>NHLS 2021 price-list</v>
      </c>
      <c r="I1668">
        <v>2</v>
      </c>
      <c r="J1668" t="s">
        <v>459</v>
      </c>
      <c r="K1668" s="85">
        <f t="shared" ref="K1668:K1685" si="42">I1668*E1668</f>
        <v>990.17063774419989</v>
      </c>
      <c r="N1668" s="230"/>
    </row>
    <row r="1669" spans="1:14">
      <c r="A1669" t="s">
        <v>912</v>
      </c>
      <c r="B1669" t="s">
        <v>458</v>
      </c>
      <c r="C1669" t="s">
        <v>459</v>
      </c>
      <c r="D1669" t="s">
        <v>75</v>
      </c>
      <c r="E1669" s="70">
        <f>IF(B1669="","",INDEX(Ingredients!$I$1:$I$5013,(MATCH(InterventionCosts!B1669,Ingredients!$A$1:$A$5013,0))))</f>
        <v>86.59037211495</v>
      </c>
      <c r="F1669" s="5" t="str">
        <f>INDEX(Ingredients!J$1:J$265,(MATCH(InterventionCosts!B1669,Ingredients!A$1:A$265,0)))</f>
        <v>per test</v>
      </c>
      <c r="G1669">
        <f>IF(B1669="","",INDEX(Ingredients!$E$1:$E$238,(MATCH(InterventionCosts!B1669,Ingredients!A$1:A$238,0))))</f>
        <v>2021</v>
      </c>
      <c r="H1669" t="str">
        <f>INDEX(Ingredients!$F$1:$F$318,(MATCH(InterventionCosts!B1669,Ingredients!A$1:A$318,0)))</f>
        <v>NHLS 2021 price-list</v>
      </c>
      <c r="I1669">
        <v>1</v>
      </c>
      <c r="J1669" t="s">
        <v>459</v>
      </c>
      <c r="K1669" s="85">
        <f t="shared" si="42"/>
        <v>86.59037211495</v>
      </c>
    </row>
    <row r="1670" spans="1:14">
      <c r="A1670" t="s">
        <v>912</v>
      </c>
      <c r="B1670" t="s">
        <v>408</v>
      </c>
      <c r="C1670" t="s">
        <v>459</v>
      </c>
      <c r="D1670" t="s">
        <v>75</v>
      </c>
      <c r="E1670" s="70">
        <f>IF(B1670="","",INDEX(Ingredients!$I$1:$I$5013,(MATCH(InterventionCosts!B1670,Ingredients!$A$1:$A$5013,0))))</f>
        <v>39.539473461949996</v>
      </c>
      <c r="F1670" s="5" t="str">
        <f>INDEX(Ingredients!J$1:J$265,(MATCH(InterventionCosts!B1670,Ingredients!A$1:A$265,0)))</f>
        <v>per test</v>
      </c>
      <c r="G1670">
        <f>IF(B1670="","",INDEX(Ingredients!$E$1:$E$238,(MATCH(InterventionCosts!B1670,Ingredients!A$1:A$238,0))))</f>
        <v>2021</v>
      </c>
      <c r="H1670" t="str">
        <f>INDEX(Ingredients!$F$1:$F$318,(MATCH(InterventionCosts!B1670,Ingredients!A$1:A$318,0)))</f>
        <v>NHLS 2021 price-list</v>
      </c>
      <c r="I1670">
        <v>1</v>
      </c>
      <c r="J1670" t="s">
        <v>459</v>
      </c>
      <c r="K1670" s="85">
        <f>I1670*E1670</f>
        <v>39.539473461949996</v>
      </c>
    </row>
    <row r="1671" spans="1:14">
      <c r="A1671" t="s">
        <v>912</v>
      </c>
      <c r="B1671" t="s">
        <v>52</v>
      </c>
      <c r="C1671" t="s">
        <v>460</v>
      </c>
      <c r="D1671" t="s">
        <v>48</v>
      </c>
      <c r="E1671" s="70">
        <f>IF(B1671="","",INDEX(Ingredients!$I$1:$I$5013,(MATCH(InterventionCosts!B1671,Ingredients!$A$1:$A$5013,0))))</f>
        <v>1.8019482436472347</v>
      </c>
      <c r="F1671" s="5" t="str">
        <f>INDEX(Ingredients!J$1:J$265,(MATCH(InterventionCosts!B1671,Ingredients!A$1:A$265,0)))</f>
        <v>per minute</v>
      </c>
      <c r="G1671">
        <f>IF(B1671="","",INDEX(Ingredients!$E$1:$E$238,(MATCH(InterventionCosts!B1671,Ingredients!A$1:A$238,0))))</f>
        <v>2024</v>
      </c>
      <c r="H1671" t="str">
        <f>INDEX(Ingredients!$F$1:$F$318,(MATCH(InterventionCosts!B1671,Ingredients!A$1:A$318,0)))</f>
        <v xml:space="preserve">April 2024 Salary scale </v>
      </c>
      <c r="I1671">
        <f>4*5*(workminutespa/12/5102)</f>
        <v>34.966679733437871</v>
      </c>
      <c r="J1671" t="s">
        <v>460</v>
      </c>
      <c r="K1671" s="85">
        <f t="shared" si="42"/>
        <v>63.008147131843728</v>
      </c>
      <c r="L1671" s="85" t="s">
        <v>1085</v>
      </c>
    </row>
    <row r="1672" spans="1:14">
      <c r="A1672" t="s">
        <v>912</v>
      </c>
      <c r="B1672" t="s">
        <v>55</v>
      </c>
      <c r="C1672" t="s">
        <v>460</v>
      </c>
      <c r="D1672" t="s">
        <v>48</v>
      </c>
      <c r="E1672" s="70">
        <f>IF(B1672="","",INDEX(Ingredients!$I$1:$I$5013,(MATCH(InterventionCosts!B1672,Ingredients!$A$1:$A$5013,0))))</f>
        <v>1.8549350710014947</v>
      </c>
      <c r="F1672" s="5" t="str">
        <f>INDEX(Ingredients!J$1:J$265,(MATCH(InterventionCosts!B1672,Ingredients!A$1:A$265,0)))</f>
        <v>per minute</v>
      </c>
      <c r="G1672">
        <f>IF(B1672="","",INDEX(Ingredients!$E$1:$E$238,(MATCH(InterventionCosts!B1672,Ingredients!A$1:A$238,0))))</f>
        <v>2024</v>
      </c>
      <c r="H1672" t="str">
        <f>INDEX(Ingredients!$F$1:$F$318,(MATCH(InterventionCosts!B1672,Ingredients!A$1:A$318,0)))</f>
        <v xml:space="preserve">April 2024 Salary scale </v>
      </c>
      <c r="I1672">
        <f>4*5*(workminutespa/12/5102)</f>
        <v>34.966679733437871</v>
      </c>
      <c r="J1672" t="s">
        <v>460</v>
      </c>
      <c r="K1672" s="85">
        <f t="shared" si="42"/>
        <v>64.860920554031097</v>
      </c>
      <c r="L1672" s="85" t="s">
        <v>1085</v>
      </c>
    </row>
    <row r="1673" spans="1:14">
      <c r="A1673" t="s">
        <v>912</v>
      </c>
      <c r="B1673" t="s">
        <v>1070</v>
      </c>
      <c r="C1673" t="s">
        <v>460</v>
      </c>
      <c r="D1673" t="s">
        <v>48</v>
      </c>
      <c r="E1673" s="70">
        <f>IF(B1673="","",INDEX(Ingredients!$I$1:$I$5013,(MATCH(InterventionCosts!B1673,Ingredients!$A$1:$A$5013,0))))</f>
        <v>2.443981128550075</v>
      </c>
      <c r="F1673" s="5" t="str">
        <f>INDEX(Ingredients!J$1:J$265,(MATCH(InterventionCosts!B1673,Ingredients!A$1:A$265,0)))</f>
        <v>per minute</v>
      </c>
      <c r="G1673">
        <f>IF(B1673="","",INDEX(Ingredients!$E$1:$E$238,(MATCH(InterventionCosts!B1673,Ingredients!A$1:A$238,0))))</f>
        <v>2024</v>
      </c>
      <c r="H1673" t="str">
        <f>INDEX(Ingredients!$F$1:$F$318,(MATCH(InterventionCosts!B1673,Ingredients!A$1:A$318,0)))</f>
        <v xml:space="preserve">April 2024 Salary scale </v>
      </c>
      <c r="I1673">
        <f>1*5*(workminutespa/12/5102)</f>
        <v>8.7416699333594678</v>
      </c>
      <c r="J1673" t="s">
        <v>460</v>
      </c>
      <c r="K1673" s="85">
        <f t="shared" si="42"/>
        <v>21.36447634914413</v>
      </c>
      <c r="L1673" s="85" t="s">
        <v>1086</v>
      </c>
    </row>
    <row r="1674" spans="1:14">
      <c r="A1674" t="s">
        <v>912</v>
      </c>
      <c r="B1674" t="s">
        <v>51</v>
      </c>
      <c r="C1674" t="s">
        <v>460</v>
      </c>
      <c r="D1674" t="s">
        <v>48</v>
      </c>
      <c r="E1674" s="70">
        <f>IF(B1674="","",INDEX(Ingredients!$I$1:$I$5013,(MATCH(InterventionCosts!B1674,Ingredients!$A$1:$A$5013,0))))</f>
        <v>4100.2266666666665</v>
      </c>
      <c r="F1674" s="5" t="str">
        <f>INDEX(Ingredients!J$1:J$265,(MATCH(InterventionCosts!B1674,Ingredients!A$1:A$265,0)))</f>
        <v>per month</v>
      </c>
      <c r="G1674">
        <f>IF(B1674="","",INDEX(Ingredients!$E$1:$E$238,(MATCH(InterventionCosts!B1674,Ingredients!A$1:A$238,0))))</f>
        <v>2024</v>
      </c>
      <c r="H1674" t="str">
        <f>INDEX(Ingredients!$F$1:$F$318,(MATCH(InterventionCosts!B1674,Ingredients!A$1:A$318,0)))</f>
        <v>https://www.gov.za/news/media-statements/government-activities/minister-thulas-nxesi-announces-national-minimum-wage</v>
      </c>
      <c r="I1674">
        <f>1*5*(1/5102)</f>
        <v>9.8000784006272053E-4</v>
      </c>
      <c r="J1674" t="s">
        <v>460</v>
      </c>
      <c r="K1674" s="85">
        <f t="shared" si="42"/>
        <v>4.018254279367568</v>
      </c>
      <c r="L1674" s="85" t="s">
        <v>1086</v>
      </c>
    </row>
    <row r="1675" spans="1:14">
      <c r="A1675" t="s">
        <v>912</v>
      </c>
      <c r="B1675" t="s">
        <v>54</v>
      </c>
      <c r="C1675" t="s">
        <v>460</v>
      </c>
      <c r="D1675" t="s">
        <v>48</v>
      </c>
      <c r="E1675" s="70">
        <f>IF(B1675="","",INDEX(Ingredients!$I$1:$I$5013,(MATCH(InterventionCosts!B1675,Ingredients!$A$1:$A$5013,0))))</f>
        <v>1.2444366591928251</v>
      </c>
      <c r="F1675" s="5" t="str">
        <f>INDEX(Ingredients!J$1:J$265,(MATCH(InterventionCosts!B1675,Ingredients!A$1:A$265,0)))</f>
        <v>per minute</v>
      </c>
      <c r="G1675">
        <f>IF(B1675="","",INDEX(Ingredients!$E$1:$E$238,(MATCH(InterventionCosts!B1675,Ingredients!A$1:A$238,0))))</f>
        <v>2024</v>
      </c>
      <c r="H1675" t="str">
        <f>INDEX(Ingredients!$F$1:$F$318,(MATCH(InterventionCosts!B1675,Ingredients!A$1:A$318,0)))</f>
        <v xml:space="preserve">April 2024 Salary scale </v>
      </c>
      <c r="I1675">
        <f>8*5*(workminutespa/12/5102)</f>
        <v>69.933359466875743</v>
      </c>
      <c r="J1675" t="s">
        <v>460</v>
      </c>
      <c r="K1675" s="85">
        <f t="shared" si="42"/>
        <v>87.027636221089779</v>
      </c>
      <c r="L1675" s="85" t="s">
        <v>1087</v>
      </c>
    </row>
    <row r="1676" spans="1:14">
      <c r="A1676" t="s">
        <v>912</v>
      </c>
      <c r="B1676" t="s">
        <v>354</v>
      </c>
      <c r="C1676" t="s">
        <v>460</v>
      </c>
      <c r="D1676" t="s">
        <v>48</v>
      </c>
      <c r="E1676" s="70">
        <f>IF(B1676="","",INDEX(Ingredients!$I$1:$I$5013,(MATCH(InterventionCosts!B1676,Ingredients!$A$1:$A$5013,0))))</f>
        <v>4.8996605630293981</v>
      </c>
      <c r="F1676" s="5" t="str">
        <f>INDEX(Ingredients!J$1:J$265,(MATCH(InterventionCosts!B1676,Ingredients!A$1:A$265,0)))</f>
        <v>per minute</v>
      </c>
      <c r="G1676">
        <f>IF(B1676="","",INDEX(Ingredients!$E$1:$E$238,(MATCH(InterventionCosts!B1676,Ingredients!A$1:A$238,0))))</f>
        <v>2024</v>
      </c>
      <c r="H1676" t="str">
        <f>INDEX(Ingredients!$F$1:$F$318,(MATCH(InterventionCosts!B1676,Ingredients!A$1:A$318,0)))</f>
        <v xml:space="preserve">April 2024 Salary scale </v>
      </c>
      <c r="I1676">
        <f>16*5*(workminutespa/12/5102)</f>
        <v>139.86671893375149</v>
      </c>
      <c r="J1676" t="s">
        <v>460</v>
      </c>
      <c r="K1676" s="85">
        <f t="shared" si="42"/>
        <v>685.29944684001941</v>
      </c>
      <c r="L1676" s="85" t="s">
        <v>1088</v>
      </c>
    </row>
    <row r="1677" spans="1:14">
      <c r="A1677" t="s">
        <v>912</v>
      </c>
      <c r="B1677" t="s">
        <v>286</v>
      </c>
      <c r="C1677" t="s">
        <v>460</v>
      </c>
      <c r="D1677" t="s">
        <v>48</v>
      </c>
      <c r="E1677" s="70">
        <f>IF(B1677="","",INDEX(Ingredients!$I$1:$I$5013,(MATCH(InterventionCosts!B1677,Ingredients!$A$1:$A$5013,0))))</f>
        <v>3.2392279521674139</v>
      </c>
      <c r="F1677" s="5" t="str">
        <f>INDEX(Ingredients!J$1:J$265,(MATCH(InterventionCosts!B1677,Ingredients!A$1:A$265,0)))</f>
        <v>per minute</v>
      </c>
      <c r="G1677">
        <f>IF(B1677="","",INDEX(Ingredients!$E$1:$E$238,(MATCH(InterventionCosts!B1677,Ingredients!A$1:A$238,0))))</f>
        <v>2024</v>
      </c>
      <c r="H1677" t="str">
        <f>INDEX(Ingredients!$F$1:$F$318,(MATCH(InterventionCosts!B1677,Ingredients!A$1:A$318,0)))</f>
        <v xml:space="preserve">April 2024 Salary scale </v>
      </c>
      <c r="I1677">
        <f>4*5*(workminutespa/12/5102)</f>
        <v>34.966679733437871</v>
      </c>
      <c r="J1677" t="s">
        <v>460</v>
      </c>
      <c r="K1677" s="85">
        <f t="shared" si="42"/>
        <v>113.26504638703777</v>
      </c>
      <c r="L1677" s="85" t="s">
        <v>1085</v>
      </c>
    </row>
    <row r="1678" spans="1:14">
      <c r="A1678" t="s">
        <v>912</v>
      </c>
      <c r="B1678" t="s">
        <v>1072</v>
      </c>
      <c r="C1678" t="s">
        <v>460</v>
      </c>
      <c r="D1678" t="s">
        <v>48</v>
      </c>
      <c r="E1678" s="70">
        <f>IF(B1678="","",INDEX(Ingredients!$I$1:$I$5013,(MATCH(InterventionCosts!B1678,Ingredients!$A$1:$A$5013,0))))</f>
        <v>2.5530496387643251</v>
      </c>
      <c r="F1678" s="5" t="str">
        <f>INDEX(Ingredients!J$1:J$265,(MATCH(InterventionCosts!B1678,Ingredients!A$1:A$265,0)))</f>
        <v>per minute</v>
      </c>
      <c r="G1678">
        <f>IF(B1678="","",INDEX(Ingredients!$E$1:$E$238,(MATCH(InterventionCosts!B1678,Ingredients!A$1:A$238,0))))</f>
        <v>2024</v>
      </c>
      <c r="H1678" t="str">
        <f>INDEX(Ingredients!$F$1:$F$318,(MATCH(InterventionCosts!B1678,Ingredients!A$1:A$318,0)))</f>
        <v xml:space="preserve">April 2024 Salary scale </v>
      </c>
      <c r="I1678">
        <f>1*5*(workminutespa/12/5102)</f>
        <v>8.7416699333594678</v>
      </c>
      <c r="J1678" t="s">
        <v>460</v>
      </c>
      <c r="K1678" s="85">
        <f t="shared" si="42"/>
        <v>22.31791726556035</v>
      </c>
      <c r="L1678" s="85" t="s">
        <v>1086</v>
      </c>
    </row>
    <row r="1679" spans="1:14">
      <c r="A1679" t="s">
        <v>912</v>
      </c>
      <c r="B1679" t="s">
        <v>1074</v>
      </c>
      <c r="C1679" t="s">
        <v>460</v>
      </c>
      <c r="D1679" t="s">
        <v>48</v>
      </c>
      <c r="E1679" s="70">
        <f>IF(B1679="","",INDEX(Ingredients!$I$1:$I$5013,(MATCH(InterventionCosts!B1679,Ingredients!$A$1:$A$5013,0))))</f>
        <v>2076.8733333333334</v>
      </c>
      <c r="F1679" s="5" t="str">
        <f>INDEX(Ingredients!J$1:J$265,(MATCH(InterventionCosts!B1679,Ingredients!A$1:A$265,0)))</f>
        <v>per month</v>
      </c>
      <c r="G1679">
        <f>IF(B1679="","",INDEX(Ingredients!$E$1:$E$238,(MATCH(InterventionCosts!B1679,Ingredients!A$1:A$238,0))))</f>
        <v>2024</v>
      </c>
      <c r="H1679" t="str">
        <f>INDEX(Ingredients!$F$1:$F$318,(MATCH(InterventionCosts!B1679,Ingredients!A$1:A$318,0)))</f>
        <v>https://www.gov.za/speeches/minister-thulas-nxesi-hikes-minimum-wage-farmworkers-and-domestic-workers-22-feb-2023-0000</v>
      </c>
      <c r="I1679">
        <f>13*5*(1/5102)</f>
        <v>1.2740101920815367E-2</v>
      </c>
      <c r="J1679" t="s">
        <v>460</v>
      </c>
      <c r="K1679" s="85">
        <f t="shared" si="42"/>
        <v>26.459577943290213</v>
      </c>
      <c r="L1679" s="85" t="s">
        <v>1089</v>
      </c>
    </row>
    <row r="1680" spans="1:14">
      <c r="A1680" t="s">
        <v>912</v>
      </c>
      <c r="B1680" t="s">
        <v>60</v>
      </c>
      <c r="C1680" t="s">
        <v>460</v>
      </c>
      <c r="D1680" t="s">
        <v>48</v>
      </c>
      <c r="E1680" s="70">
        <f>IF(B1680="","",INDEX(Ingredients!$I$1:$I$5013,(MATCH(InterventionCosts!B1680,Ingredients!$A$1:$A$5013,0))))</f>
        <v>9.1192801756352768</v>
      </c>
      <c r="F1680" s="5" t="str">
        <f>INDEX(Ingredients!J$1:J$265,(MATCH(InterventionCosts!B1680,Ingredients!A$1:A$265,0)))</f>
        <v>per minute</v>
      </c>
      <c r="G1680">
        <f>IF(B1680="","",INDEX(Ingredients!$E$1:$E$238,(MATCH(InterventionCosts!B1680,Ingredients!A$1:A$238,0))))</f>
        <v>2024</v>
      </c>
      <c r="H1680" t="str">
        <f>INDEX(Ingredients!$F$1:$F$318,(MATCH(InterventionCosts!B1680,Ingredients!A$1:A$318,0)))</f>
        <v xml:space="preserve">April 2024 Salary scale </v>
      </c>
      <c r="I1680">
        <f>1*5*(workminutespa/12/5102)</f>
        <v>8.7416699333594678</v>
      </c>
      <c r="J1680" t="s">
        <v>460</v>
      </c>
      <c r="K1680" s="85">
        <f t="shared" si="42"/>
        <v>79.717737325231951</v>
      </c>
      <c r="L1680" s="85" t="s">
        <v>1086</v>
      </c>
    </row>
    <row r="1681" spans="1:14">
      <c r="A1681" t="s">
        <v>912</v>
      </c>
      <c r="B1681" t="s">
        <v>1077</v>
      </c>
      <c r="C1681" t="s">
        <v>460</v>
      </c>
      <c r="D1681" t="s">
        <v>48</v>
      </c>
      <c r="E1681" s="70">
        <f>IF(B1681="","",INDEX(Ingredients!$I$1:$I$5013,(MATCH(InterventionCosts!B1681,Ingredients!$A$1:$A$5013,0))))</f>
        <v>2.1347303967364222</v>
      </c>
      <c r="F1681" s="5" t="str">
        <f>INDEX(Ingredients!J$1:J$265,(MATCH(InterventionCosts!B1681,Ingredients!A$1:A$265,0)))</f>
        <v>per minute</v>
      </c>
      <c r="G1681">
        <f>IF(B1681="","",INDEX(Ingredients!$E$1:$E$238,(MATCH(InterventionCosts!B1681,Ingredients!A$1:A$238,0))))</f>
        <v>2024</v>
      </c>
      <c r="H1681" t="str">
        <f>INDEX(Ingredients!$F$1:$F$318,(MATCH(InterventionCosts!B1681,Ingredients!A$1:A$318,0)))</f>
        <v xml:space="preserve">April 2024 Salary scale </v>
      </c>
      <c r="I1681">
        <f>4*5*(workminutespa/12/5102)</f>
        <v>34.966679733437871</v>
      </c>
      <c r="J1681" t="s">
        <v>460</v>
      </c>
      <c r="K1681" s="85">
        <f t="shared" si="42"/>
        <v>74.644434099917234</v>
      </c>
      <c r="L1681" s="85" t="s">
        <v>1085</v>
      </c>
    </row>
    <row r="1682" spans="1:14">
      <c r="A1682" t="s">
        <v>912</v>
      </c>
      <c r="B1682" t="s">
        <v>1078</v>
      </c>
      <c r="C1682" t="s">
        <v>460</v>
      </c>
      <c r="D1682" t="s">
        <v>48</v>
      </c>
      <c r="E1682" s="70">
        <f>IF(B1682="","",INDEX(Ingredients!$I$1:$I$5013,(MATCH(InterventionCosts!B1682,Ingredients!$A$1:$A$5013,0))))</f>
        <v>13.503224277528648</v>
      </c>
      <c r="F1682" s="5" t="str">
        <f>INDEX(Ingredients!J$1:J$265,(MATCH(InterventionCosts!B1682,Ingredients!A$1:A$265,0)))</f>
        <v>per minute</v>
      </c>
      <c r="G1682">
        <f>IF(B1682="","",INDEX(Ingredients!$E$1:$E$238,(MATCH(InterventionCosts!B1682,Ingredients!A$1:A$238,0))))</f>
        <v>2024</v>
      </c>
      <c r="H1682" t="str">
        <f>INDEX(Ingredients!$F$1:$F$318,(MATCH(InterventionCosts!B1682,Ingredients!A$1:A$318,0)))</f>
        <v xml:space="preserve">April 2024 Salary scale </v>
      </c>
      <c r="I1682">
        <f>2*5*(workminutespa/12/5102)</f>
        <v>17.483339866718936</v>
      </c>
      <c r="J1682" t="s">
        <v>460</v>
      </c>
      <c r="K1682" s="85">
        <f t="shared" si="42"/>
        <v>236.08145934056361</v>
      </c>
      <c r="L1682" s="85" t="s">
        <v>1090</v>
      </c>
    </row>
    <row r="1683" spans="1:14">
      <c r="A1683" t="s">
        <v>912</v>
      </c>
      <c r="B1683" t="s">
        <v>477</v>
      </c>
      <c r="C1683" t="s">
        <v>459</v>
      </c>
      <c r="D1683" t="s">
        <v>81</v>
      </c>
      <c r="E1683" s="70">
        <f>IF(B1683="","",INDEX(Ingredients!$I$1:$I$5013,(MATCH(InterventionCosts!B1683,Ingredients!$A$1:$A$5013,0))))</f>
        <v>88.256346376062865</v>
      </c>
      <c r="F1683" s="5" t="str">
        <f>INDEX(Ingredients!J$1:J$265,(MATCH(InterventionCosts!B1683,Ingredients!A$1:A$265,0)))</f>
        <v>per visit</v>
      </c>
      <c r="G1683">
        <f>IF(B1683="","",INDEX(Ingredients!$E$1:$E$238,(MATCH(InterventionCosts!B1683,Ingredients!A$1:A$238,0))))</f>
        <v>2019</v>
      </c>
      <c r="H1683" t="str">
        <f>INDEX(Ingredients!$F$1:$F$318,(MATCH(InterventionCosts!B1683,Ingredients!A$1:A$318,0)))</f>
        <v xml:space="preserve">Long L, Girdwood S, Govender K, Meyer-Rath G, Miot J: Cost and outcomes of routine HIV care and treatment: A comparison of public and private delivery models covering low-income earners in South Africa. Preprint available under DOI: https://doi.org/10.21203/rs.3.rs-960517/v1    </v>
      </c>
      <c r="I1683">
        <f>VisitsFUyear+1</f>
        <v>5</v>
      </c>
      <c r="J1683" t="s">
        <v>459</v>
      </c>
      <c r="K1683" s="85">
        <f t="shared" si="42"/>
        <v>441.28173188031434</v>
      </c>
    </row>
    <row r="1684" spans="1:14">
      <c r="A1684" t="s">
        <v>912</v>
      </c>
      <c r="B1684" t="s">
        <v>478</v>
      </c>
      <c r="C1684" t="s">
        <v>459</v>
      </c>
      <c r="D1684" t="s">
        <v>70</v>
      </c>
      <c r="E1684" s="70">
        <f>IF(B1684="","",INDEX(Ingredients!$I$1:$I$5013,(MATCH(InterventionCosts!B1684,Ingredients!$A$1:$A$5013,0))))</f>
        <v>31.786769776357943</v>
      </c>
      <c r="F1684" s="5" t="str">
        <f>INDEX(Ingredients!J$1:J$265,(MATCH(InterventionCosts!B1684,Ingredients!A$1:A$265,0)))</f>
        <v>per visit</v>
      </c>
      <c r="G1684">
        <f>IF(B1684="","",INDEX(Ingredients!$E$1:$E$238,(MATCH(InterventionCosts!B1684,Ingredients!A$1:A$238,0))))</f>
        <v>2023</v>
      </c>
      <c r="H1684" t="str">
        <f>INDEX(Ingredients!$F$1:$F$318,(MATCH(InterventionCosts!B1684,Ingredients!A$1:A$318,0)))</f>
        <v xml:space="preserve">Updated costs for Long L, Girdwood S, Govender K, Meyer-Rath G, Miot J: Cost and outcomes of routine HIV care and treatment: A comparison of public and private delivery models covering low-income earners in South Africa. Preprint available under DOI: https://doi.org/10.21203/rs.3.rs-960517/v1    </v>
      </c>
      <c r="I1684">
        <f>VisitsFUyear+1</f>
        <v>5</v>
      </c>
      <c r="J1684" t="s">
        <v>459</v>
      </c>
      <c r="K1684" s="85">
        <f t="shared" si="42"/>
        <v>158.93384888178971</v>
      </c>
    </row>
    <row r="1685" spans="1:14">
      <c r="A1685" t="s">
        <v>912</v>
      </c>
      <c r="B1685" t="s">
        <v>1336</v>
      </c>
      <c r="C1685" t="s">
        <v>459</v>
      </c>
      <c r="D1685" t="s">
        <v>70</v>
      </c>
      <c r="E1685" s="70">
        <f>IF(B1685="","",INDEX(Ingredients!$I$1:$I$5013,(MATCH(InterventionCosts!B1685,Ingredients!$A$1:$A$5013,0))))</f>
        <v>7.4665000090607867</v>
      </c>
      <c r="F1685" s="5" t="str">
        <f>INDEX(Ingredients!J$1:J$265,(MATCH(InterventionCosts!B1685,Ingredients!A$1:A$265,0)))</f>
        <v>per day</v>
      </c>
      <c r="G1685">
        <f>IF(B1685="","",INDEX(Ingredients!$E$1:$E$238,(MATCH(InterventionCosts!B1685,Ingredients!A$1:A$238,0))))</f>
        <v>2024</v>
      </c>
      <c r="H1685" t="str">
        <f>INDEX(Ingredients!$F$1:$F$318,(MATCH(InterventionCosts!B1685,Ingredients!A$1:A$318,0)))</f>
        <v>Master Procurement Circular May 2024</v>
      </c>
      <c r="I1685">
        <v>360</v>
      </c>
      <c r="J1685" t="s">
        <v>459</v>
      </c>
      <c r="K1685" s="85">
        <f t="shared" si="42"/>
        <v>2687.9400032618832</v>
      </c>
    </row>
    <row r="1686" spans="1:14" s="89" customFormat="1">
      <c r="A1686" s="4" t="s">
        <v>912</v>
      </c>
      <c r="F1686" s="89" t="s">
        <v>1164</v>
      </c>
      <c r="K1686" s="90"/>
      <c r="L1686" s="90">
        <f>SUM(K1668:K1685)</f>
        <v>5882.5211210821844</v>
      </c>
      <c r="M1686" s="92"/>
      <c r="N1686" s="4"/>
    </row>
    <row r="1687" spans="1:14" s="89" customFormat="1">
      <c r="A1687" s="4" t="s">
        <v>912</v>
      </c>
      <c r="F1687" s="89" t="s">
        <v>117</v>
      </c>
      <c r="K1687" s="90"/>
      <c r="L1687" s="90" t="s">
        <v>937</v>
      </c>
    </row>
    <row r="1689" spans="1:14">
      <c r="A1689" t="s">
        <v>886</v>
      </c>
      <c r="B1689" t="s">
        <v>888</v>
      </c>
      <c r="C1689" t="s">
        <v>459</v>
      </c>
      <c r="D1689" t="s">
        <v>70</v>
      </c>
      <c r="E1689" s="70">
        <f>IF(B1689="","",INDEX(Ingredients!$I$1:$I$5013,(MATCH(InterventionCosts!B1689,Ingredients!$A$1:$A$5013,0))))</f>
        <v>1.2484133422164692</v>
      </c>
      <c r="F1689" s="5" t="str">
        <f>INDEX(Ingredients!J$1:J$265,(MATCH(InterventionCosts!B1689,Ingredients!A$1:A$265,0)))</f>
        <v>per day</v>
      </c>
      <c r="G1689">
        <f>IF(B1689="","",INDEX(Ingredients!$E$1:$E$238,(MATCH(InterventionCosts!B1689,Ingredients!A$1:A$238,0))))</f>
        <v>2024</v>
      </c>
      <c r="H1689" t="str">
        <f>INDEX(Ingredients!$F$1:$F$318,(MATCH(InterventionCosts!B1689,Ingredients!A$1:A$318,0)))</f>
        <v>Master Procurement Circular May 2024</v>
      </c>
      <c r="I1689" s="161">
        <f>30</f>
        <v>30</v>
      </c>
      <c r="J1689" t="s">
        <v>483</v>
      </c>
      <c r="K1689" s="85">
        <f t="shared" ref="K1689:K1704" si="43">I1689*E1689</f>
        <v>37.452400266494074</v>
      </c>
      <c r="L1689" t="s">
        <v>483</v>
      </c>
    </row>
    <row r="1690" spans="1:14">
      <c r="A1690" t="s">
        <v>886</v>
      </c>
      <c r="B1690" t="s">
        <v>78</v>
      </c>
      <c r="C1690" t="s">
        <v>459</v>
      </c>
      <c r="D1690" t="s">
        <v>75</v>
      </c>
      <c r="E1690" s="70">
        <f>IF(B1690="","",INDEX(Ingredients!$I$1:$I$5013,(MATCH(InterventionCosts!B1690,Ingredients!$A$1:$A$5013,0))))</f>
        <v>495.08531887209995</v>
      </c>
      <c r="F1690" s="5" t="str">
        <f>INDEX(Ingredients!J$1:J$265,(MATCH(InterventionCosts!B1690,Ingredients!A$1:A$265,0)))</f>
        <v>per test</v>
      </c>
      <c r="G1690">
        <f>IF(B1690="","",INDEX(Ingredients!$E$1:$E$238,(MATCH(InterventionCosts!B1690,Ingredients!A$1:A$238,0))))</f>
        <v>2021</v>
      </c>
      <c r="H1690" t="str">
        <f>INDEX(Ingredients!$F$1:$F$318,(MATCH(InterventionCosts!B1690,Ingredients!A$1:A$318,0)))</f>
        <v>NHLS 2021 price-list</v>
      </c>
      <c r="I1690">
        <v>1</v>
      </c>
      <c r="J1690" t="s">
        <v>459</v>
      </c>
      <c r="K1690" s="85">
        <f t="shared" si="43"/>
        <v>495.08531887209995</v>
      </c>
    </row>
    <row r="1691" spans="1:14">
      <c r="A1691" t="s">
        <v>886</v>
      </c>
      <c r="B1691" t="s">
        <v>458</v>
      </c>
      <c r="C1691" t="s">
        <v>459</v>
      </c>
      <c r="D1691" t="s">
        <v>75</v>
      </c>
      <c r="E1691" s="70">
        <f>IF(B1691="","",INDEX(Ingredients!$I$1:$I$5013,(MATCH(InterventionCosts!B1691,Ingredients!$A$1:$A$5013,0))))</f>
        <v>86.59037211495</v>
      </c>
      <c r="F1691" s="5" t="str">
        <f>INDEX(Ingredients!J$1:J$265,(MATCH(InterventionCosts!B1691,Ingredients!A$1:A$265,0)))</f>
        <v>per test</v>
      </c>
      <c r="G1691">
        <f>IF(B1691="","",INDEX(Ingredients!$E$1:$E$238,(MATCH(InterventionCosts!B1691,Ingredients!A$1:A$238,0))))</f>
        <v>2021</v>
      </c>
      <c r="H1691" t="str">
        <f>INDEX(Ingredients!$F$1:$F$318,(MATCH(InterventionCosts!B1691,Ingredients!A$1:A$318,0)))</f>
        <v>NHLS 2021 price-list</v>
      </c>
      <c r="I1691">
        <v>1</v>
      </c>
      <c r="J1691" t="s">
        <v>459</v>
      </c>
      <c r="K1691" s="85">
        <f t="shared" si="43"/>
        <v>86.59037211495</v>
      </c>
    </row>
    <row r="1692" spans="1:14">
      <c r="A1692" t="s">
        <v>886</v>
      </c>
      <c r="B1692" t="s">
        <v>52</v>
      </c>
      <c r="C1692" t="s">
        <v>460</v>
      </c>
      <c r="D1692" t="s">
        <v>48</v>
      </c>
      <c r="E1692" s="70">
        <f>IF(B1692="","",INDEX(Ingredients!$I$1:$I$5013,(MATCH(InterventionCosts!B1692,Ingredients!$A$1:$A$5013,0))))</f>
        <v>1.8019482436472347</v>
      </c>
      <c r="F1692" s="5" t="str">
        <f>INDEX(Ingredients!J$1:J$265,(MATCH(InterventionCosts!B1692,Ingredients!A$1:A$265,0)))</f>
        <v>per minute</v>
      </c>
      <c r="G1692">
        <f>IF(B1692="","",INDEX(Ingredients!$E$1:$E$238,(MATCH(InterventionCosts!B1692,Ingredients!A$1:A$238,0))))</f>
        <v>2024</v>
      </c>
      <c r="H1692" t="str">
        <f>INDEX(Ingredients!$F$1:$F$318,(MATCH(InterventionCosts!B1692,Ingredients!A$1:A$318,0)))</f>
        <v xml:space="preserve">April 2024 Salary scale </v>
      </c>
      <c r="I1692">
        <f>4*3*(workminutespa/12/5102)</f>
        <v>20.980007840062722</v>
      </c>
      <c r="J1692" t="s">
        <v>460</v>
      </c>
      <c r="K1692" s="85">
        <f t="shared" si="43"/>
        <v>37.804888279106237</v>
      </c>
      <c r="L1692" s="85" t="s">
        <v>1091</v>
      </c>
    </row>
    <row r="1693" spans="1:14">
      <c r="A1693" t="s">
        <v>886</v>
      </c>
      <c r="B1693" t="s">
        <v>55</v>
      </c>
      <c r="C1693" t="s">
        <v>460</v>
      </c>
      <c r="D1693" t="s">
        <v>48</v>
      </c>
      <c r="E1693" s="70">
        <f>IF(B1693="","",INDEX(Ingredients!$I$1:$I$5013,(MATCH(InterventionCosts!B1693,Ingredients!$A$1:$A$5013,0))))</f>
        <v>1.8549350710014947</v>
      </c>
      <c r="F1693" s="5" t="str">
        <f>INDEX(Ingredients!J$1:J$265,(MATCH(InterventionCosts!B1693,Ingredients!A$1:A$265,0)))</f>
        <v>per minute</v>
      </c>
      <c r="G1693">
        <f>IF(B1693="","",INDEX(Ingredients!$E$1:$E$238,(MATCH(InterventionCosts!B1693,Ingredients!A$1:A$238,0))))</f>
        <v>2024</v>
      </c>
      <c r="H1693" t="str">
        <f>INDEX(Ingredients!$F$1:$F$318,(MATCH(InterventionCosts!B1693,Ingredients!A$1:A$318,0)))</f>
        <v xml:space="preserve">April 2024 Salary scale </v>
      </c>
      <c r="I1693">
        <f>4*3*(workminutespa/12/5102)</f>
        <v>20.980007840062722</v>
      </c>
      <c r="J1693" t="s">
        <v>460</v>
      </c>
      <c r="K1693" s="85">
        <f t="shared" si="43"/>
        <v>38.916552332418661</v>
      </c>
      <c r="L1693" s="85" t="s">
        <v>1091</v>
      </c>
    </row>
    <row r="1694" spans="1:14">
      <c r="A1694" t="s">
        <v>886</v>
      </c>
      <c r="B1694" t="s">
        <v>1070</v>
      </c>
      <c r="C1694" t="s">
        <v>460</v>
      </c>
      <c r="D1694" t="s">
        <v>48</v>
      </c>
      <c r="E1694" s="70">
        <f>IF(B1694="","",INDEX(Ingredients!$I$1:$I$5013,(MATCH(InterventionCosts!B1694,Ingredients!$A$1:$A$5013,0))))</f>
        <v>2.443981128550075</v>
      </c>
      <c r="F1694" s="5" t="str">
        <f>INDEX(Ingredients!J$1:J$265,(MATCH(InterventionCosts!B1694,Ingredients!A$1:A$265,0)))</f>
        <v>per minute</v>
      </c>
      <c r="G1694">
        <f>IF(B1694="","",INDEX(Ingredients!$E$1:$E$238,(MATCH(InterventionCosts!B1694,Ingredients!A$1:A$238,0))))</f>
        <v>2024</v>
      </c>
      <c r="H1694" t="str">
        <f>INDEX(Ingredients!$F$1:$F$318,(MATCH(InterventionCosts!B1694,Ingredients!A$1:A$318,0)))</f>
        <v xml:space="preserve">April 2024 Salary scale </v>
      </c>
      <c r="I1694">
        <f>1*3*(workminutespa/12/5102)</f>
        <v>5.2450019600156805</v>
      </c>
      <c r="J1694" t="s">
        <v>460</v>
      </c>
      <c r="K1694" s="85">
        <f t="shared" si="43"/>
        <v>12.818685809486478</v>
      </c>
      <c r="L1694" s="85" t="s">
        <v>1092</v>
      </c>
    </row>
    <row r="1695" spans="1:14">
      <c r="A1695" t="s">
        <v>886</v>
      </c>
      <c r="B1695" t="s">
        <v>51</v>
      </c>
      <c r="C1695" t="s">
        <v>460</v>
      </c>
      <c r="D1695" t="s">
        <v>48</v>
      </c>
      <c r="E1695" s="70">
        <f>IF(B1695="","",INDEX(Ingredients!$I$1:$I$5013,(MATCH(InterventionCosts!B1695,Ingredients!$A$1:$A$5013,0))))</f>
        <v>4100.2266666666665</v>
      </c>
      <c r="F1695" s="5" t="str">
        <f>INDEX(Ingredients!J$1:J$265,(MATCH(InterventionCosts!B1695,Ingredients!A$1:A$265,0)))</f>
        <v>per month</v>
      </c>
      <c r="G1695">
        <f>IF(B1695="","",INDEX(Ingredients!$E$1:$E$238,(MATCH(InterventionCosts!B1695,Ingredients!A$1:A$238,0))))</f>
        <v>2024</v>
      </c>
      <c r="H1695" t="str">
        <f>INDEX(Ingredients!$F$1:$F$318,(MATCH(InterventionCosts!B1695,Ingredients!A$1:A$318,0)))</f>
        <v>https://www.gov.za/news/media-statements/government-activities/minister-thulas-nxesi-announces-national-minimum-wage</v>
      </c>
      <c r="I1695">
        <f>1*3*(1/5102)</f>
        <v>5.8800470403763227E-4</v>
      </c>
      <c r="J1695" t="s">
        <v>460</v>
      </c>
      <c r="K1695" s="85">
        <f t="shared" si="43"/>
        <v>2.4109525676205408</v>
      </c>
      <c r="L1695" s="85" t="s">
        <v>1092</v>
      </c>
    </row>
    <row r="1696" spans="1:14">
      <c r="A1696" t="s">
        <v>886</v>
      </c>
      <c r="B1696" t="s">
        <v>54</v>
      </c>
      <c r="C1696" t="s">
        <v>460</v>
      </c>
      <c r="D1696" t="s">
        <v>48</v>
      </c>
      <c r="E1696" s="70">
        <f>IF(B1696="","",INDEX(Ingredients!$I$1:$I$5013,(MATCH(InterventionCosts!B1696,Ingredients!$A$1:$A$5013,0))))</f>
        <v>1.2444366591928251</v>
      </c>
      <c r="F1696" s="5" t="str">
        <f>INDEX(Ingredients!J$1:J$265,(MATCH(InterventionCosts!B1696,Ingredients!A$1:A$265,0)))</f>
        <v>per minute</v>
      </c>
      <c r="G1696">
        <f>IF(B1696="","",INDEX(Ingredients!$E$1:$E$238,(MATCH(InterventionCosts!B1696,Ingredients!A$1:A$238,0))))</f>
        <v>2024</v>
      </c>
      <c r="H1696" t="str">
        <f>INDEX(Ingredients!$F$1:$F$318,(MATCH(InterventionCosts!B1696,Ingredients!A$1:A$318,0)))</f>
        <v xml:space="preserve">April 2024 Salary scale </v>
      </c>
      <c r="I1696">
        <f>8*3*(workminutespa/12/5102)</f>
        <v>41.960015680125444</v>
      </c>
      <c r="J1696" t="s">
        <v>460</v>
      </c>
      <c r="K1696" s="85">
        <f t="shared" si="43"/>
        <v>52.216581732653864</v>
      </c>
      <c r="L1696" s="85" t="s">
        <v>1093</v>
      </c>
    </row>
    <row r="1697" spans="1:14">
      <c r="A1697" t="s">
        <v>886</v>
      </c>
      <c r="B1697" t="s">
        <v>354</v>
      </c>
      <c r="C1697" t="s">
        <v>460</v>
      </c>
      <c r="D1697" t="s">
        <v>48</v>
      </c>
      <c r="E1697" s="70">
        <f>IF(B1697="","",INDEX(Ingredients!$I$1:$I$5013,(MATCH(InterventionCosts!B1697,Ingredients!$A$1:$A$5013,0))))</f>
        <v>4.8996605630293981</v>
      </c>
      <c r="F1697" s="5" t="str">
        <f>INDEX(Ingredients!J$1:J$265,(MATCH(InterventionCosts!B1697,Ingredients!A$1:A$265,0)))</f>
        <v>per minute</v>
      </c>
      <c r="G1697">
        <f>IF(B1697="","",INDEX(Ingredients!$E$1:$E$238,(MATCH(InterventionCosts!B1697,Ingredients!A$1:A$238,0))))</f>
        <v>2024</v>
      </c>
      <c r="H1697" t="str">
        <f>INDEX(Ingredients!$F$1:$F$318,(MATCH(InterventionCosts!B1697,Ingredients!A$1:A$318,0)))</f>
        <v xml:space="preserve">April 2024 Salary scale </v>
      </c>
      <c r="I1697">
        <f>16*3*(workminutespa/12/5102)</f>
        <v>83.920031360250888</v>
      </c>
      <c r="J1697" t="s">
        <v>460</v>
      </c>
      <c r="K1697" s="85">
        <f t="shared" si="43"/>
        <v>411.17966810401163</v>
      </c>
      <c r="L1697" s="85" t="s">
        <v>1094</v>
      </c>
    </row>
    <row r="1698" spans="1:14">
      <c r="A1698" t="s">
        <v>886</v>
      </c>
      <c r="B1698" t="s">
        <v>286</v>
      </c>
      <c r="C1698" t="s">
        <v>460</v>
      </c>
      <c r="D1698" t="s">
        <v>48</v>
      </c>
      <c r="E1698" s="70">
        <f>IF(B1698="","",INDEX(Ingredients!$I$1:$I$5013,(MATCH(InterventionCosts!B1698,Ingredients!$A$1:$A$5013,0))))</f>
        <v>3.2392279521674139</v>
      </c>
      <c r="F1698" s="5" t="str">
        <f>INDEX(Ingredients!J$1:J$265,(MATCH(InterventionCosts!B1698,Ingredients!A$1:A$265,0)))</f>
        <v>per minute</v>
      </c>
      <c r="G1698">
        <f>IF(B1698="","",INDEX(Ingredients!$E$1:$E$238,(MATCH(InterventionCosts!B1698,Ingredients!A$1:A$238,0))))</f>
        <v>2024</v>
      </c>
      <c r="H1698" t="str">
        <f>INDEX(Ingredients!$F$1:$F$318,(MATCH(InterventionCosts!B1698,Ingredients!A$1:A$318,0)))</f>
        <v xml:space="preserve">April 2024 Salary scale </v>
      </c>
      <c r="I1698">
        <f>4*3*(workminutespa/12/5102)</f>
        <v>20.980007840062722</v>
      </c>
      <c r="J1698" t="s">
        <v>460</v>
      </c>
      <c r="K1698" s="85">
        <f t="shared" si="43"/>
        <v>67.95902783222266</v>
      </c>
      <c r="L1698" s="85" t="s">
        <v>1091</v>
      </c>
    </row>
    <row r="1699" spans="1:14">
      <c r="A1699" t="s">
        <v>886</v>
      </c>
      <c r="B1699" t="s">
        <v>1072</v>
      </c>
      <c r="C1699" t="s">
        <v>460</v>
      </c>
      <c r="D1699" t="s">
        <v>48</v>
      </c>
      <c r="E1699" s="70">
        <f>IF(B1699="","",INDEX(Ingredients!$I$1:$I$5013,(MATCH(InterventionCosts!B1699,Ingredients!$A$1:$A$5013,0))))</f>
        <v>2.5530496387643251</v>
      </c>
      <c r="F1699" s="5" t="str">
        <f>INDEX(Ingredients!J$1:J$265,(MATCH(InterventionCosts!B1699,Ingredients!A$1:A$265,0)))</f>
        <v>per minute</v>
      </c>
      <c r="G1699">
        <f>IF(B1699="","",INDEX(Ingredients!$E$1:$E$238,(MATCH(InterventionCosts!B1699,Ingredients!A$1:A$238,0))))</f>
        <v>2024</v>
      </c>
      <c r="H1699" t="str">
        <f>INDEX(Ingredients!$F$1:$F$318,(MATCH(InterventionCosts!B1699,Ingredients!A$1:A$318,0)))</f>
        <v xml:space="preserve">April 2024 Salary scale </v>
      </c>
      <c r="I1699">
        <f>1*3*(workminutespa/12/5102)</f>
        <v>5.2450019600156805</v>
      </c>
      <c r="J1699" t="s">
        <v>460</v>
      </c>
      <c r="K1699" s="85">
        <f t="shared" si="43"/>
        <v>13.390750359336211</v>
      </c>
      <c r="L1699" s="85" t="s">
        <v>1092</v>
      </c>
    </row>
    <row r="1700" spans="1:14">
      <c r="A1700" t="s">
        <v>886</v>
      </c>
      <c r="B1700" t="s">
        <v>1074</v>
      </c>
      <c r="C1700" t="s">
        <v>460</v>
      </c>
      <c r="D1700" t="s">
        <v>48</v>
      </c>
      <c r="E1700" s="70">
        <f>IF(B1700="","",INDEX(Ingredients!$I$1:$I$5013,(MATCH(InterventionCosts!B1700,Ingredients!$A$1:$A$5013,0))))</f>
        <v>2076.8733333333334</v>
      </c>
      <c r="F1700" s="5" t="str">
        <f>INDEX(Ingredients!J$1:J$265,(MATCH(InterventionCosts!B1700,Ingredients!A$1:A$265,0)))</f>
        <v>per month</v>
      </c>
      <c r="G1700">
        <f>IF(B1700="","",INDEX(Ingredients!$E$1:$E$238,(MATCH(InterventionCosts!B1700,Ingredients!A$1:A$238,0))))</f>
        <v>2024</v>
      </c>
      <c r="H1700" t="str">
        <f>INDEX(Ingredients!$F$1:$F$318,(MATCH(InterventionCosts!B1700,Ingredients!A$1:A$318,0)))</f>
        <v>https://www.gov.za/speeches/minister-thulas-nxesi-hikes-minimum-wage-farmworkers-and-domestic-workers-22-feb-2023-0000</v>
      </c>
      <c r="I1700">
        <f>13*3*(1/5102)</f>
        <v>7.6440611524892198E-3</v>
      </c>
      <c r="J1700" t="s">
        <v>460</v>
      </c>
      <c r="K1700" s="85">
        <f t="shared" si="43"/>
        <v>15.875746765974128</v>
      </c>
      <c r="L1700" s="85" t="s">
        <v>1095</v>
      </c>
    </row>
    <row r="1701" spans="1:14">
      <c r="A1701" t="s">
        <v>886</v>
      </c>
      <c r="B1701" t="s">
        <v>60</v>
      </c>
      <c r="C1701" t="s">
        <v>460</v>
      </c>
      <c r="D1701" t="s">
        <v>48</v>
      </c>
      <c r="E1701" s="70">
        <f>IF(B1701="","",INDEX(Ingredients!$I$1:$I$5013,(MATCH(InterventionCosts!B1701,Ingredients!$A$1:$A$5013,0))))</f>
        <v>9.1192801756352768</v>
      </c>
      <c r="F1701" s="5" t="str">
        <f>INDEX(Ingredients!J$1:J$265,(MATCH(InterventionCosts!B1701,Ingredients!A$1:A$265,0)))</f>
        <v>per minute</v>
      </c>
      <c r="G1701">
        <f>IF(B1701="","",INDEX(Ingredients!$E$1:$E$238,(MATCH(InterventionCosts!B1701,Ingredients!A$1:A$238,0))))</f>
        <v>2024</v>
      </c>
      <c r="H1701" t="str">
        <f>INDEX(Ingredients!$F$1:$F$318,(MATCH(InterventionCosts!B1701,Ingredients!A$1:A$318,0)))</f>
        <v xml:space="preserve">April 2024 Salary scale </v>
      </c>
      <c r="I1701">
        <f>1*3*(workminutespa/12/5102)</f>
        <v>5.2450019600156805</v>
      </c>
      <c r="J1701" t="s">
        <v>460</v>
      </c>
      <c r="K1701" s="85">
        <f t="shared" si="43"/>
        <v>47.830642395139165</v>
      </c>
      <c r="L1701" s="85" t="s">
        <v>1092</v>
      </c>
    </row>
    <row r="1702" spans="1:14">
      <c r="A1702" t="s">
        <v>886</v>
      </c>
      <c r="B1702" t="s">
        <v>1077</v>
      </c>
      <c r="C1702" t="s">
        <v>460</v>
      </c>
      <c r="D1702" t="s">
        <v>48</v>
      </c>
      <c r="E1702" s="70">
        <f>IF(B1702="","",INDEX(Ingredients!$I$1:$I$5013,(MATCH(InterventionCosts!B1702,Ingredients!$A$1:$A$5013,0))))</f>
        <v>2.1347303967364222</v>
      </c>
      <c r="F1702" s="5" t="str">
        <f>INDEX(Ingredients!J$1:J$265,(MATCH(InterventionCosts!B1702,Ingredients!A$1:A$265,0)))</f>
        <v>per minute</v>
      </c>
      <c r="G1702">
        <f>IF(B1702="","",INDEX(Ingredients!$E$1:$E$238,(MATCH(InterventionCosts!B1702,Ingredients!A$1:A$238,0))))</f>
        <v>2024</v>
      </c>
      <c r="H1702" t="str">
        <f>INDEX(Ingredients!$F$1:$F$318,(MATCH(InterventionCosts!B1702,Ingredients!A$1:A$318,0)))</f>
        <v xml:space="preserve">April 2024 Salary scale </v>
      </c>
      <c r="I1702">
        <f>4*3*(workminutespa/12/5102)</f>
        <v>20.980007840062722</v>
      </c>
      <c r="J1702" t="s">
        <v>460</v>
      </c>
      <c r="K1702" s="85">
        <f t="shared" si="43"/>
        <v>44.78666045995034</v>
      </c>
      <c r="L1702" s="85" t="s">
        <v>1091</v>
      </c>
    </row>
    <row r="1703" spans="1:14">
      <c r="A1703" t="s">
        <v>886</v>
      </c>
      <c r="B1703" t="s">
        <v>1078</v>
      </c>
      <c r="C1703" t="s">
        <v>460</v>
      </c>
      <c r="D1703" t="s">
        <v>48</v>
      </c>
      <c r="E1703" s="70">
        <f>IF(B1703="","",INDEX(Ingredients!$I$1:$I$5013,(MATCH(InterventionCosts!B1703,Ingredients!$A$1:$A$5013,0))))</f>
        <v>13.503224277528648</v>
      </c>
      <c r="F1703" s="5" t="str">
        <f>INDEX(Ingredients!J$1:J$265,(MATCH(InterventionCosts!B1703,Ingredients!A$1:A$265,0)))</f>
        <v>per minute</v>
      </c>
      <c r="G1703">
        <f>IF(B1703="","",INDEX(Ingredients!$E$1:$E$238,(MATCH(InterventionCosts!B1703,Ingredients!A$1:A$238,0))))</f>
        <v>2024</v>
      </c>
      <c r="H1703" t="str">
        <f>INDEX(Ingredients!$F$1:$F$318,(MATCH(InterventionCosts!B1703,Ingredients!A$1:A$318,0)))</f>
        <v xml:space="preserve">April 2024 Salary scale </v>
      </c>
      <c r="I1703">
        <f>2*3*(workminutespa/12/5102)</f>
        <v>10.490003920031361</v>
      </c>
      <c r="J1703" t="s">
        <v>460</v>
      </c>
      <c r="K1703" s="85">
        <f t="shared" si="43"/>
        <v>141.64887560433817</v>
      </c>
      <c r="L1703" s="85" t="s">
        <v>1096</v>
      </c>
    </row>
    <row r="1704" spans="1:14">
      <c r="A1704" t="s">
        <v>886</v>
      </c>
      <c r="B1704" t="s">
        <v>477</v>
      </c>
      <c r="C1704" t="s">
        <v>406</v>
      </c>
      <c r="D1704" t="s">
        <v>81</v>
      </c>
      <c r="E1704" s="70">
        <f>IF(B1704="","",INDEX(Ingredients!$I$1:$I$5013,(MATCH(InterventionCosts!B1704,Ingredients!$A$1:$A$5013,0))))</f>
        <v>88.256346376062865</v>
      </c>
      <c r="F1704" s="5" t="str">
        <f>INDEX(Ingredients!J$1:J$265,(MATCH(InterventionCosts!B1704,Ingredients!A$1:A$265,0)))</f>
        <v>per visit</v>
      </c>
      <c r="G1704">
        <f>IF(B1704="","",INDEX(Ingredients!$E$1:$E$238,(MATCH(InterventionCosts!B1704,Ingredients!A$1:A$238,0))))</f>
        <v>2019</v>
      </c>
      <c r="H1704" t="str">
        <f>INDEX(Ingredients!$F$1:$F$318,(MATCH(InterventionCosts!B1704,Ingredients!A$1:A$318,0)))</f>
        <v xml:space="preserve">Long L, Girdwood S, Govender K, Meyer-Rath G, Miot J: Cost and outcomes of routine HIV care and treatment: A comparison of public and private delivery models covering low-income earners in South Africa. Preprint available under DOI: https://doi.org/10.21203/rs.3.rs-960517/v1    </v>
      </c>
      <c r="I1704">
        <v>3</v>
      </c>
      <c r="J1704" t="s">
        <v>485</v>
      </c>
      <c r="K1704" s="85">
        <f t="shared" si="43"/>
        <v>264.76903912818858</v>
      </c>
    </row>
    <row r="1705" spans="1:14" s="89" customFormat="1">
      <c r="A1705" s="4" t="s">
        <v>886</v>
      </c>
      <c r="F1705" s="89" t="s">
        <v>1164</v>
      </c>
      <c r="K1705" s="90"/>
      <c r="L1705" s="90">
        <f>SUM(K1689:K1704)</f>
        <v>1770.7361626239906</v>
      </c>
      <c r="M1705" s="92"/>
      <c r="N1705" s="4"/>
    </row>
    <row r="1706" spans="1:14" s="89" customFormat="1">
      <c r="A1706" s="4" t="s">
        <v>886</v>
      </c>
      <c r="F1706" s="89" t="s">
        <v>117</v>
      </c>
      <c r="K1706" s="90"/>
      <c r="L1706" s="90" t="s">
        <v>937</v>
      </c>
    </row>
    <row r="1708" spans="1:14">
      <c r="A1708" t="s">
        <v>1452</v>
      </c>
      <c r="B1708" t="s">
        <v>887</v>
      </c>
      <c r="C1708" t="s">
        <v>459</v>
      </c>
      <c r="D1708" t="s">
        <v>70</v>
      </c>
      <c r="E1708" s="70">
        <f>IF(B1708="","",INDEX(Ingredients!$I$1:$I$5013,(MATCH(InterventionCosts!B1708,Ingredients!$A$1:$A$5013,0))))</f>
        <v>4.4934500333117597</v>
      </c>
      <c r="F1708" s="5" t="str">
        <f>INDEX(Ingredients!J$1:J$265,(MATCH(InterventionCosts!B1708,Ingredients!A$1:A$265,0)))</f>
        <v>per day</v>
      </c>
      <c r="G1708">
        <f>IF(B1708="","",INDEX(Ingredients!$E$1:$E$238,(MATCH(InterventionCosts!B1708,Ingredients!A$1:A$238,0))))</f>
        <v>2024</v>
      </c>
      <c r="H1708" t="str">
        <f>INDEX(Ingredients!$F$1:$F$318,(MATCH(InterventionCosts!B1708,Ingredients!A$1:A$318,0)))</f>
        <v>Master Procurement Circular May 2024</v>
      </c>
      <c r="I1708" s="161">
        <f>30*11*'ART kids distribution'!$B$12</f>
        <v>97.058823529411768</v>
      </c>
      <c r="J1708" t="s">
        <v>1183</v>
      </c>
      <c r="K1708" s="85">
        <f t="shared" ref="K1708:K1725" si="44">I1708*E1708</f>
        <v>436.12897382143552</v>
      </c>
      <c r="L1708" t="s">
        <v>482</v>
      </c>
    </row>
    <row r="1709" spans="1:14">
      <c r="A1709" t="s">
        <v>1452</v>
      </c>
      <c r="B1709" t="s">
        <v>481</v>
      </c>
      <c r="C1709" t="s">
        <v>459</v>
      </c>
      <c r="D1709" t="s">
        <v>70</v>
      </c>
      <c r="E1709" s="70">
        <f>IF(B1709="","",INDEX(Ingredients!$I$1:$I$5013,(MATCH(InterventionCosts!B1709,Ingredients!$A$1:$A$5013,0))))</f>
        <v>6.5477000379236046</v>
      </c>
      <c r="F1709" s="5" t="str">
        <f>INDEX(Ingredients!J$1:J$265,(MATCH(InterventionCosts!B1709,Ingredients!A$1:A$265,0)))</f>
        <v>per day</v>
      </c>
      <c r="G1709">
        <f>IF(B1709="","",INDEX(Ingredients!$E$1:$E$238,(MATCH(InterventionCosts!B1709,Ingredients!A$1:A$238,0))))</f>
        <v>2024</v>
      </c>
      <c r="H1709" t="str">
        <f>INDEX(Ingredients!$F$1:$F$318,(MATCH(InterventionCosts!B1709,Ingredients!A$1:A$318,0)))</f>
        <v>Master Procurement Circular May 2024</v>
      </c>
      <c r="I1709" s="161">
        <f>30*11*'ART kids distribution'!$C$12</f>
        <v>194.11764705882354</v>
      </c>
      <c r="J1709" t="s">
        <v>1183</v>
      </c>
      <c r="K1709" s="85">
        <f t="shared" si="44"/>
        <v>1271.0241250086997</v>
      </c>
      <c r="L1709" t="s">
        <v>482</v>
      </c>
    </row>
    <row r="1710" spans="1:14">
      <c r="A1710" t="s">
        <v>1452</v>
      </c>
      <c r="B1710" t="s">
        <v>890</v>
      </c>
      <c r="C1710" t="s">
        <v>459</v>
      </c>
      <c r="D1710" t="s">
        <v>70</v>
      </c>
      <c r="E1710" s="70">
        <f>IF(B1710="","",INDEX(Ingredients!$I$1:$I$5013,(MATCH(InterventionCosts!B1710,Ingredients!$A$1:$A$5013,0))))</f>
        <v>10.331700037923603</v>
      </c>
      <c r="F1710" s="5" t="str">
        <f>INDEX(Ingredients!J$1:J$265,(MATCH(InterventionCosts!B1710,Ingredients!A$1:A$265,0)))</f>
        <v>per day</v>
      </c>
      <c r="G1710">
        <f>IF(B1710="","",INDEX(Ingredients!$E$1:$E$238,(MATCH(InterventionCosts!B1710,Ingredients!A$1:A$238,0))))</f>
        <v>2024</v>
      </c>
      <c r="H1710" t="str">
        <f>INDEX(Ingredients!$F$1:$F$318,(MATCH(InterventionCosts!B1710,Ingredients!A$1:A$318,0)))</f>
        <v>Master Procurement Circular May 2024</v>
      </c>
      <c r="I1710" s="161">
        <f>30*11*'ART kids distribution'!$F$12</f>
        <v>38.823529411764703</v>
      </c>
      <c r="J1710" t="s">
        <v>1183</v>
      </c>
      <c r="K1710" s="85">
        <f t="shared" si="44"/>
        <v>401.11306029585751</v>
      </c>
      <c r="L1710" t="s">
        <v>482</v>
      </c>
    </row>
    <row r="1711" spans="1:14">
      <c r="A1711" t="s">
        <v>1452</v>
      </c>
      <c r="B1711" t="s">
        <v>858</v>
      </c>
      <c r="C1711" t="s">
        <v>459</v>
      </c>
      <c r="D1711" t="s">
        <v>75</v>
      </c>
      <c r="E1711" s="70">
        <f>IF(B1711="","",INDEX(Ingredients!$I$1:$I$5013,(MATCH(InterventionCosts!B1711,Ingredients!$A$1:$A$5013,0))))</f>
        <v>495.08531887209995</v>
      </c>
      <c r="F1711" s="5" t="str">
        <f>INDEX(Ingredients!J$1:J$265,(MATCH(InterventionCosts!B1711,Ingredients!A$1:A$265,0)))</f>
        <v>per test</v>
      </c>
      <c r="G1711">
        <f>IF(B1711="","",INDEX(Ingredients!$E$1:$E$238,(MATCH(InterventionCosts!B1711,Ingredients!A$1:A$238,0))))</f>
        <v>2021</v>
      </c>
      <c r="H1711" t="str">
        <f>INDEX(Ingredients!$F$1:$F$318,(MATCH(InterventionCosts!B1711,Ingredients!A$1:A$318,0)))</f>
        <v>NHLS 2021 price-list</v>
      </c>
      <c r="I1711">
        <v>1</v>
      </c>
      <c r="J1711" t="s">
        <v>459</v>
      </c>
      <c r="K1711" s="85">
        <f t="shared" si="44"/>
        <v>495.08531887209995</v>
      </c>
    </row>
    <row r="1712" spans="1:14">
      <c r="A1712" t="s">
        <v>1452</v>
      </c>
      <c r="B1712" t="s">
        <v>458</v>
      </c>
      <c r="C1712" t="s">
        <v>459</v>
      </c>
      <c r="D1712" t="s">
        <v>75</v>
      </c>
      <c r="E1712" s="70">
        <f>IF(B1712="","",INDEX(Ingredients!$I$1:$I$5013,(MATCH(InterventionCosts!B1712,Ingredients!$A$1:$A$5013,0))))</f>
        <v>86.59037211495</v>
      </c>
      <c r="F1712" s="5" t="str">
        <f>INDEX(Ingredients!J$1:J$265,(MATCH(InterventionCosts!B1712,Ingredients!A$1:A$265,0)))</f>
        <v>per test</v>
      </c>
      <c r="G1712">
        <f>IF(B1712="","",INDEX(Ingredients!$E$1:$E$238,(MATCH(InterventionCosts!B1712,Ingredients!A$1:A$238,0))))</f>
        <v>2021</v>
      </c>
      <c r="H1712" t="str">
        <f>INDEX(Ingredients!$F$1:$F$318,(MATCH(InterventionCosts!B1712,Ingredients!A$1:A$318,0)))</f>
        <v>NHLS 2021 price-list</v>
      </c>
      <c r="I1712">
        <v>1</v>
      </c>
      <c r="J1712" t="s">
        <v>459</v>
      </c>
      <c r="K1712" s="85">
        <f t="shared" si="44"/>
        <v>86.59037211495</v>
      </c>
    </row>
    <row r="1713" spans="1:14">
      <c r="A1713" t="s">
        <v>1452</v>
      </c>
      <c r="B1713" t="s">
        <v>52</v>
      </c>
      <c r="C1713" t="s">
        <v>460</v>
      </c>
      <c r="D1713" t="s">
        <v>48</v>
      </c>
      <c r="E1713" s="70">
        <f>IF(B1713="","",INDEX(Ingredients!$I$1:$I$5013,(MATCH(InterventionCosts!B1713,Ingredients!$A$1:$A$5013,0))))</f>
        <v>1.8019482436472347</v>
      </c>
      <c r="F1713" s="5" t="str">
        <f>INDEX(Ingredients!J$1:J$265,(MATCH(InterventionCosts!B1713,Ingredients!A$1:A$265,0)))</f>
        <v>per minute</v>
      </c>
      <c r="G1713">
        <f>IF(B1713="","",INDEX(Ingredients!$E$1:$E$238,(MATCH(InterventionCosts!B1713,Ingredients!A$1:A$238,0))))</f>
        <v>2024</v>
      </c>
      <c r="H1713" t="str">
        <f>INDEX(Ingredients!$F$1:$F$318,(MATCH(InterventionCosts!B1713,Ingredients!A$1:A$318,0)))</f>
        <v xml:space="preserve">April 2024 Salary scale </v>
      </c>
      <c r="I1713">
        <f>4*7.54*(workminutespa/12/5102)</f>
        <v>52.729753038024306</v>
      </c>
      <c r="J1713" t="s">
        <v>460</v>
      </c>
      <c r="K1713" s="85">
        <f t="shared" si="44"/>
        <v>95.01628587482034</v>
      </c>
      <c r="L1713" s="85" t="s">
        <v>1097</v>
      </c>
    </row>
    <row r="1714" spans="1:14">
      <c r="A1714" t="s">
        <v>1452</v>
      </c>
      <c r="B1714" t="s">
        <v>55</v>
      </c>
      <c r="C1714" t="s">
        <v>460</v>
      </c>
      <c r="D1714" t="s">
        <v>48</v>
      </c>
      <c r="E1714" s="70">
        <f>IF(B1714="","",INDEX(Ingredients!$I$1:$I$5013,(MATCH(InterventionCosts!B1714,Ingredients!$A$1:$A$5013,0))))</f>
        <v>1.8549350710014947</v>
      </c>
      <c r="F1714" s="5" t="str">
        <f>INDEX(Ingredients!J$1:J$265,(MATCH(InterventionCosts!B1714,Ingredients!A$1:A$265,0)))</f>
        <v>per minute</v>
      </c>
      <c r="G1714">
        <f>IF(B1714="","",INDEX(Ingredients!$E$1:$E$238,(MATCH(InterventionCosts!B1714,Ingredients!A$1:A$238,0))))</f>
        <v>2024</v>
      </c>
      <c r="H1714" t="str">
        <f>INDEX(Ingredients!$F$1:$F$318,(MATCH(InterventionCosts!B1714,Ingredients!A$1:A$318,0)))</f>
        <v xml:space="preserve">April 2024 Salary scale </v>
      </c>
      <c r="I1714">
        <f>4*7.54*(workminutespa/12/5102)</f>
        <v>52.729753038024306</v>
      </c>
      <c r="J1714" t="s">
        <v>460</v>
      </c>
      <c r="K1714" s="85">
        <f t="shared" si="44"/>
        <v>97.810268195478898</v>
      </c>
      <c r="L1714" s="85" t="s">
        <v>1097</v>
      </c>
    </row>
    <row r="1715" spans="1:14">
      <c r="A1715" t="s">
        <v>1452</v>
      </c>
      <c r="B1715" t="s">
        <v>1070</v>
      </c>
      <c r="C1715" t="s">
        <v>460</v>
      </c>
      <c r="D1715" t="s">
        <v>48</v>
      </c>
      <c r="E1715" s="70">
        <f>IF(B1715="","",INDEX(Ingredients!$I$1:$I$5013,(MATCH(InterventionCosts!B1715,Ingredients!$A$1:$A$5013,0))))</f>
        <v>2.443981128550075</v>
      </c>
      <c r="F1715" s="5" t="str">
        <f>INDEX(Ingredients!J$1:J$265,(MATCH(InterventionCosts!B1715,Ingredients!A$1:A$265,0)))</f>
        <v>per minute</v>
      </c>
      <c r="G1715">
        <f>IF(B1715="","",INDEX(Ingredients!$E$1:$E$238,(MATCH(InterventionCosts!B1715,Ingredients!A$1:A$238,0))))</f>
        <v>2024</v>
      </c>
      <c r="H1715" t="str">
        <f>INDEX(Ingredients!$F$1:$F$318,(MATCH(InterventionCosts!B1715,Ingredients!A$1:A$318,0)))</f>
        <v xml:space="preserve">April 2024 Salary scale </v>
      </c>
      <c r="I1715">
        <f>1*7.54*(workminutespa/12/5102)</f>
        <v>13.182438259506077</v>
      </c>
      <c r="J1715" t="s">
        <v>460</v>
      </c>
      <c r="K1715" s="85">
        <f t="shared" si="44"/>
        <v>32.217630334509344</v>
      </c>
      <c r="L1715" s="85" t="s">
        <v>1098</v>
      </c>
    </row>
    <row r="1716" spans="1:14">
      <c r="A1716" t="s">
        <v>1452</v>
      </c>
      <c r="B1716" t="s">
        <v>51</v>
      </c>
      <c r="C1716" t="s">
        <v>460</v>
      </c>
      <c r="D1716" t="s">
        <v>48</v>
      </c>
      <c r="E1716" s="70">
        <f>IF(B1716="","",INDEX(Ingredients!$I$1:$I$5013,(MATCH(InterventionCosts!B1716,Ingredients!$A$1:$A$5013,0))))</f>
        <v>4100.2266666666665</v>
      </c>
      <c r="F1716" s="5" t="str">
        <f>INDEX(Ingredients!J$1:J$265,(MATCH(InterventionCosts!B1716,Ingredients!A$1:A$265,0)))</f>
        <v>per month</v>
      </c>
      <c r="G1716">
        <f>IF(B1716="","",INDEX(Ingredients!$E$1:$E$238,(MATCH(InterventionCosts!B1716,Ingredients!A$1:A$238,0))))</f>
        <v>2024</v>
      </c>
      <c r="H1716" t="str">
        <f>INDEX(Ingredients!$F$1:$F$318,(MATCH(InterventionCosts!B1716,Ingredients!A$1:A$318,0)))</f>
        <v>https://www.gov.za/news/media-statements/government-activities/minister-thulas-nxesi-announces-national-minimum-wage</v>
      </c>
      <c r="I1716">
        <f>1*7.54*(1/5102)</f>
        <v>1.4778518228145826E-3</v>
      </c>
      <c r="J1716" t="s">
        <v>460</v>
      </c>
      <c r="K1716" s="85">
        <f t="shared" si="44"/>
        <v>6.0595274532862931</v>
      </c>
      <c r="L1716" s="85" t="s">
        <v>1098</v>
      </c>
    </row>
    <row r="1717" spans="1:14">
      <c r="A1717" t="s">
        <v>1452</v>
      </c>
      <c r="B1717" t="s">
        <v>54</v>
      </c>
      <c r="C1717" t="s">
        <v>460</v>
      </c>
      <c r="D1717" t="s">
        <v>48</v>
      </c>
      <c r="E1717" s="70">
        <f>IF(B1717="","",INDEX(Ingredients!$I$1:$I$5013,(MATCH(InterventionCosts!B1717,Ingredients!$A$1:$A$5013,0))))</f>
        <v>1.2444366591928251</v>
      </c>
      <c r="F1717" s="5" t="str">
        <f>INDEX(Ingredients!J$1:J$265,(MATCH(InterventionCosts!B1717,Ingredients!A$1:A$265,0)))</f>
        <v>per minute</v>
      </c>
      <c r="G1717">
        <f>IF(B1717="","",INDEX(Ingredients!$E$1:$E$238,(MATCH(InterventionCosts!B1717,Ingredients!A$1:A$238,0))))</f>
        <v>2024</v>
      </c>
      <c r="H1717" t="str">
        <f>INDEX(Ingredients!$F$1:$F$318,(MATCH(InterventionCosts!B1717,Ingredients!A$1:A$318,0)))</f>
        <v xml:space="preserve">April 2024 Salary scale </v>
      </c>
      <c r="I1717">
        <f>8*7.54*(workminutespa/12/5102)</f>
        <v>105.45950607604861</v>
      </c>
      <c r="J1717" t="s">
        <v>460</v>
      </c>
      <c r="K1717" s="85">
        <f t="shared" si="44"/>
        <v>131.23767542140337</v>
      </c>
      <c r="L1717" s="85" t="s">
        <v>1099</v>
      </c>
    </row>
    <row r="1718" spans="1:14">
      <c r="A1718" t="s">
        <v>1452</v>
      </c>
      <c r="B1718" t="s">
        <v>354</v>
      </c>
      <c r="C1718" t="s">
        <v>460</v>
      </c>
      <c r="D1718" t="s">
        <v>48</v>
      </c>
      <c r="E1718" s="70">
        <f>IF(B1718="","",INDEX(Ingredients!$I$1:$I$5013,(MATCH(InterventionCosts!B1718,Ingredients!$A$1:$A$5013,0))))</f>
        <v>4.8996605630293981</v>
      </c>
      <c r="F1718" s="5" t="str">
        <f>INDEX(Ingredients!J$1:J$265,(MATCH(InterventionCosts!B1718,Ingredients!A$1:A$265,0)))</f>
        <v>per minute</v>
      </c>
      <c r="G1718">
        <f>IF(B1718="","",INDEX(Ingredients!$E$1:$E$238,(MATCH(InterventionCosts!B1718,Ingredients!A$1:A$238,0))))</f>
        <v>2024</v>
      </c>
      <c r="H1718" t="str">
        <f>INDEX(Ingredients!$F$1:$F$318,(MATCH(InterventionCosts!B1718,Ingredients!A$1:A$318,0)))</f>
        <v xml:space="preserve">April 2024 Salary scale </v>
      </c>
      <c r="I1718">
        <f>16*7.54*(workminutespa/12/5102)</f>
        <v>210.91901215209722</v>
      </c>
      <c r="J1718" t="s">
        <v>460</v>
      </c>
      <c r="K1718" s="85">
        <f t="shared" si="44"/>
        <v>1033.4315658347491</v>
      </c>
      <c r="L1718" s="85" t="s">
        <v>1100</v>
      </c>
    </row>
    <row r="1719" spans="1:14">
      <c r="A1719" t="s">
        <v>1452</v>
      </c>
      <c r="B1719" t="s">
        <v>286</v>
      </c>
      <c r="C1719" t="s">
        <v>460</v>
      </c>
      <c r="D1719" t="s">
        <v>48</v>
      </c>
      <c r="E1719" s="70">
        <f>IF(B1719="","",INDEX(Ingredients!$I$1:$I$5013,(MATCH(InterventionCosts!B1719,Ingredients!$A$1:$A$5013,0))))</f>
        <v>3.2392279521674139</v>
      </c>
      <c r="F1719" s="5" t="str">
        <f>INDEX(Ingredients!J$1:J$265,(MATCH(InterventionCosts!B1719,Ingredients!A$1:A$265,0)))</f>
        <v>per minute</v>
      </c>
      <c r="G1719">
        <f>IF(B1719="","",INDEX(Ingredients!$E$1:$E$238,(MATCH(InterventionCosts!B1719,Ingredients!A$1:A$238,0))))</f>
        <v>2024</v>
      </c>
      <c r="H1719" t="str">
        <f>INDEX(Ingredients!$F$1:$F$318,(MATCH(InterventionCosts!B1719,Ingredients!A$1:A$318,0)))</f>
        <v xml:space="preserve">April 2024 Salary scale </v>
      </c>
      <c r="I1719">
        <f>4*7.54*(workminutespa/12/5102)</f>
        <v>52.729753038024306</v>
      </c>
      <c r="J1719" t="s">
        <v>460</v>
      </c>
      <c r="K1719" s="85">
        <f t="shared" si="44"/>
        <v>170.80368995165296</v>
      </c>
      <c r="L1719" s="85" t="s">
        <v>1097</v>
      </c>
    </row>
    <row r="1720" spans="1:14">
      <c r="A1720" t="s">
        <v>1452</v>
      </c>
      <c r="B1720" t="s">
        <v>1072</v>
      </c>
      <c r="C1720" t="s">
        <v>460</v>
      </c>
      <c r="D1720" t="s">
        <v>48</v>
      </c>
      <c r="E1720" s="70">
        <f>IF(B1720="","",INDEX(Ingredients!$I$1:$I$5013,(MATCH(InterventionCosts!B1720,Ingredients!$A$1:$A$5013,0))))</f>
        <v>2.5530496387643251</v>
      </c>
      <c r="F1720" s="5" t="str">
        <f>INDEX(Ingredients!J$1:J$265,(MATCH(InterventionCosts!B1720,Ingredients!A$1:A$265,0)))</f>
        <v>per minute</v>
      </c>
      <c r="G1720">
        <f>IF(B1720="","",INDEX(Ingredients!$E$1:$E$238,(MATCH(InterventionCosts!B1720,Ingredients!A$1:A$238,0))))</f>
        <v>2024</v>
      </c>
      <c r="H1720" t="str">
        <f>INDEX(Ingredients!$F$1:$F$318,(MATCH(InterventionCosts!B1720,Ingredients!A$1:A$318,0)))</f>
        <v xml:space="preserve">April 2024 Salary scale </v>
      </c>
      <c r="I1720">
        <f>1*7.54*(workminutespa/12/5102)</f>
        <v>13.182438259506077</v>
      </c>
      <c r="J1720" t="s">
        <v>460</v>
      </c>
      <c r="K1720" s="85">
        <f t="shared" si="44"/>
        <v>33.655419236465008</v>
      </c>
      <c r="L1720" s="85" t="s">
        <v>1098</v>
      </c>
    </row>
    <row r="1721" spans="1:14">
      <c r="A1721" t="s">
        <v>1452</v>
      </c>
      <c r="B1721" t="s">
        <v>1074</v>
      </c>
      <c r="C1721" t="s">
        <v>460</v>
      </c>
      <c r="D1721" t="s">
        <v>48</v>
      </c>
      <c r="E1721" s="70">
        <f>IF(B1721="","",INDEX(Ingredients!$I$1:$I$5013,(MATCH(InterventionCosts!B1721,Ingredients!$A$1:$A$5013,0))))</f>
        <v>2076.8733333333334</v>
      </c>
      <c r="F1721" s="5" t="str">
        <f>INDEX(Ingredients!J$1:J$265,(MATCH(InterventionCosts!B1721,Ingredients!A$1:A$265,0)))</f>
        <v>per month</v>
      </c>
      <c r="G1721">
        <f>IF(B1721="","",INDEX(Ingredients!$E$1:$E$238,(MATCH(InterventionCosts!B1721,Ingredients!A$1:A$238,0))))</f>
        <v>2024</v>
      </c>
      <c r="H1721" t="str">
        <f>INDEX(Ingredients!$F$1:$F$318,(MATCH(InterventionCosts!B1721,Ingredients!A$1:A$318,0)))</f>
        <v>https://www.gov.za/speeches/minister-thulas-nxesi-hikes-minimum-wage-farmworkers-and-domestic-workers-22-feb-2023-0000</v>
      </c>
      <c r="I1721">
        <f>13*7.54*(1/5102)</f>
        <v>1.921207369658957E-2</v>
      </c>
      <c r="J1721" t="s">
        <v>460</v>
      </c>
      <c r="K1721" s="85">
        <f t="shared" si="44"/>
        <v>39.901043538481638</v>
      </c>
      <c r="L1721" s="85" t="s">
        <v>1101</v>
      </c>
    </row>
    <row r="1722" spans="1:14">
      <c r="A1722" t="s">
        <v>1452</v>
      </c>
      <c r="B1722" t="s">
        <v>60</v>
      </c>
      <c r="C1722" t="s">
        <v>460</v>
      </c>
      <c r="D1722" t="s">
        <v>48</v>
      </c>
      <c r="E1722" s="70">
        <f>IF(B1722="","",INDEX(Ingredients!$I$1:$I$5013,(MATCH(InterventionCosts!B1722,Ingredients!$A$1:$A$5013,0))))</f>
        <v>9.1192801756352768</v>
      </c>
      <c r="F1722" s="5" t="str">
        <f>INDEX(Ingredients!J$1:J$265,(MATCH(InterventionCosts!B1722,Ingredients!A$1:A$265,0)))</f>
        <v>per minute</v>
      </c>
      <c r="G1722">
        <f>IF(B1722="","",INDEX(Ingredients!$E$1:$E$238,(MATCH(InterventionCosts!B1722,Ingredients!A$1:A$238,0))))</f>
        <v>2024</v>
      </c>
      <c r="H1722" t="str">
        <f>INDEX(Ingredients!$F$1:$F$318,(MATCH(InterventionCosts!B1722,Ingredients!A$1:A$318,0)))</f>
        <v xml:space="preserve">April 2024 Salary scale </v>
      </c>
      <c r="I1722">
        <f>1*7.54*(workminutespa/12/5102)</f>
        <v>13.182438259506077</v>
      </c>
      <c r="J1722" t="s">
        <v>460</v>
      </c>
      <c r="K1722" s="85">
        <f t="shared" si="44"/>
        <v>120.21434788644977</v>
      </c>
      <c r="L1722" s="85" t="s">
        <v>1098</v>
      </c>
    </row>
    <row r="1723" spans="1:14">
      <c r="A1723" t="s">
        <v>1452</v>
      </c>
      <c r="B1723" t="s">
        <v>1077</v>
      </c>
      <c r="C1723" t="s">
        <v>460</v>
      </c>
      <c r="D1723" t="s">
        <v>48</v>
      </c>
      <c r="E1723" s="70">
        <f>IF(B1723="","",INDEX(Ingredients!$I$1:$I$5013,(MATCH(InterventionCosts!B1723,Ingredients!$A$1:$A$5013,0))))</f>
        <v>2.1347303967364222</v>
      </c>
      <c r="F1723" s="5" t="str">
        <f>INDEX(Ingredients!J$1:J$265,(MATCH(InterventionCosts!B1723,Ingredients!A$1:A$265,0)))</f>
        <v>per minute</v>
      </c>
      <c r="G1723">
        <f>IF(B1723="","",INDEX(Ingredients!$E$1:$E$238,(MATCH(InterventionCosts!B1723,Ingredients!A$1:A$238,0))))</f>
        <v>2024</v>
      </c>
      <c r="H1723" t="str">
        <f>INDEX(Ingredients!$F$1:$F$318,(MATCH(InterventionCosts!B1723,Ingredients!A$1:A$318,0)))</f>
        <v xml:space="preserve">April 2024 Salary scale </v>
      </c>
      <c r="I1723">
        <f>4*7.54*(workminutespa/12/5102)</f>
        <v>52.729753038024306</v>
      </c>
      <c r="J1723" t="s">
        <v>460</v>
      </c>
      <c r="K1723" s="85">
        <f t="shared" si="44"/>
        <v>112.56380662267519</v>
      </c>
      <c r="L1723" s="85" t="s">
        <v>1097</v>
      </c>
    </row>
    <row r="1724" spans="1:14">
      <c r="A1724" t="s">
        <v>1452</v>
      </c>
      <c r="B1724" t="s">
        <v>1078</v>
      </c>
      <c r="C1724" t="s">
        <v>460</v>
      </c>
      <c r="D1724" t="s">
        <v>48</v>
      </c>
      <c r="E1724" s="70">
        <f>IF(B1724="","",INDEX(Ingredients!$I$1:$I$5013,(MATCH(InterventionCosts!B1724,Ingredients!$A$1:$A$5013,0))))</f>
        <v>13.503224277528648</v>
      </c>
      <c r="F1724" s="5" t="str">
        <f>INDEX(Ingredients!J$1:J$265,(MATCH(InterventionCosts!B1724,Ingredients!A$1:A$265,0)))</f>
        <v>per minute</v>
      </c>
      <c r="G1724">
        <f>IF(B1724="","",INDEX(Ingredients!$E$1:$E$238,(MATCH(InterventionCosts!B1724,Ingredients!A$1:A$238,0))))</f>
        <v>2024</v>
      </c>
      <c r="H1724" t="str">
        <f>INDEX(Ingredients!$F$1:$F$318,(MATCH(InterventionCosts!B1724,Ingredients!A$1:A$318,0)))</f>
        <v xml:space="preserve">April 2024 Salary scale </v>
      </c>
      <c r="I1724">
        <f>2*7.54*(workminutespa/12/5102)</f>
        <v>26.364876519012153</v>
      </c>
      <c r="J1724" t="s">
        <v>460</v>
      </c>
      <c r="K1724" s="85">
        <f t="shared" si="44"/>
        <v>356.01084068556992</v>
      </c>
      <c r="L1724" s="85" t="s">
        <v>1102</v>
      </c>
    </row>
    <row r="1725" spans="1:14">
      <c r="A1725" t="s">
        <v>1452</v>
      </c>
      <c r="B1725" t="s">
        <v>477</v>
      </c>
      <c r="C1725" t="s">
        <v>406</v>
      </c>
      <c r="D1725" t="s">
        <v>81</v>
      </c>
      <c r="E1725" s="70">
        <f>IF(B1725="","",INDEX(Ingredients!$I$1:$I$5013,(MATCH(InterventionCosts!B1725,Ingredients!$A$1:$A$5013,0))))</f>
        <v>88.256346376062865</v>
      </c>
      <c r="F1725" s="5" t="str">
        <f>INDEX(Ingredients!J$1:J$265,(MATCH(InterventionCosts!B1725,Ingredients!A$1:A$265,0)))</f>
        <v>per visit</v>
      </c>
      <c r="G1725">
        <f>IF(B1725="","",INDEX(Ingredients!$E$1:$E$238,(MATCH(InterventionCosts!B1725,Ingredients!A$1:A$238,0))))</f>
        <v>2019</v>
      </c>
      <c r="H1725" t="str">
        <f>INDEX(Ingredients!$F$1:$F$318,(MATCH(InterventionCosts!B1725,Ingredients!A$1:A$318,0)))</f>
        <v xml:space="preserve">Long L, Girdwood S, Govender K, Meyer-Rath G, Miot J: Cost and outcomes of routine HIV care and treatment: A comparison of public and private delivery models covering low-income earners in South Africa. Preprint available under DOI: https://doi.org/10.21203/rs.3.rs-960517/v1    </v>
      </c>
      <c r="I1725">
        <f>PPPvisitperpt</f>
        <v>7.54</v>
      </c>
      <c r="J1725" t="s">
        <v>485</v>
      </c>
      <c r="K1725" s="85">
        <f t="shared" si="44"/>
        <v>665.45285167551401</v>
      </c>
    </row>
    <row r="1726" spans="1:14" s="89" customFormat="1">
      <c r="A1726" s="4" t="s">
        <v>1452</v>
      </c>
      <c r="F1726" s="89" t="s">
        <v>1164</v>
      </c>
      <c r="K1726" s="90"/>
      <c r="L1726" s="90">
        <f>SUM(K1708:K1725)</f>
        <v>5584.316802824098</v>
      </c>
      <c r="M1726" s="92"/>
      <c r="N1726" s="4"/>
    </row>
    <row r="1727" spans="1:14" s="89" customFormat="1">
      <c r="A1727" s="4" t="s">
        <v>1452</v>
      </c>
      <c r="F1727" s="89" t="s">
        <v>117</v>
      </c>
      <c r="K1727" s="90"/>
      <c r="L1727" s="90" t="s">
        <v>937</v>
      </c>
    </row>
    <row r="1729" spans="1:12">
      <c r="A1729" t="s">
        <v>1453</v>
      </c>
      <c r="B1729" t="s">
        <v>867</v>
      </c>
      <c r="C1729" t="s">
        <v>459</v>
      </c>
      <c r="D1729" t="s">
        <v>70</v>
      </c>
      <c r="E1729" s="70">
        <f>IF(B1729="","",INDEX(Ingredients!$I$1:$I$5013,(MATCH(InterventionCosts!B1729,Ingredients!$A$1:$A$5013,0))))</f>
        <v>10.377400075847209</v>
      </c>
      <c r="F1729" s="5" t="str">
        <f>INDEX(Ingredients!J$1:J$265,(MATCH(InterventionCosts!B1729,Ingredients!A$1:A$265,0)))</f>
        <v>per day</v>
      </c>
      <c r="G1729">
        <f>IF(B1729="","",INDEX(Ingredients!$E$1:$E$238,(MATCH(InterventionCosts!B1729,Ingredients!A$1:A$238,0))))</f>
        <v>2024</v>
      </c>
      <c r="H1729" t="str">
        <f>INDEX(Ingredients!$F$1:$F$318,(MATCH(InterventionCosts!B1729,Ingredients!A$1:A$318,0)))</f>
        <v>Master Procurement Circular May 2024</v>
      </c>
      <c r="I1729">
        <f>12*30*'ART kids distribution'!$C$13</f>
        <v>283.63636363636363</v>
      </c>
      <c r="J1729" t="s">
        <v>1183</v>
      </c>
      <c r="K1729" s="85">
        <f t="shared" ref="K1729:K1745" si="45">I1729*E1729</f>
        <v>2943.4080215130266</v>
      </c>
    </row>
    <row r="1730" spans="1:12">
      <c r="A1730" t="s">
        <v>1453</v>
      </c>
      <c r="B1730" t="s">
        <v>892</v>
      </c>
      <c r="C1730" t="s">
        <v>459</v>
      </c>
      <c r="D1730" t="s">
        <v>70</v>
      </c>
      <c r="E1730" s="70">
        <f>IF(B1730="","",INDEX(Ingredients!$I$1:$I$5013,(MATCH(InterventionCosts!B1730,Ingredients!$A$1:$A$5013,0))))</f>
        <v>14.161400075847208</v>
      </c>
      <c r="F1730" s="5" t="str">
        <f>INDEX(Ingredients!J$1:J$265,(MATCH(InterventionCosts!B1730,Ingredients!A$1:A$265,0)))</f>
        <v>per day</v>
      </c>
      <c r="G1730">
        <f>IF(B1730="","",INDEX(Ingredients!$E$1:$E$238,(MATCH(InterventionCosts!B1730,Ingredients!A$1:A$238,0))))</f>
        <v>2024</v>
      </c>
      <c r="H1730" t="str">
        <f>INDEX(Ingredients!$F$1:$F$318,(MATCH(InterventionCosts!B1730,Ingredients!A$1:A$318,0)))</f>
        <v>Master Procurement Circular May 2024</v>
      </c>
      <c r="I1730">
        <f>12*30*'ART kids distribution'!$F$13</f>
        <v>76.36363636363636</v>
      </c>
      <c r="J1730" t="s">
        <v>1183</v>
      </c>
      <c r="K1730" s="85">
        <f t="shared" si="45"/>
        <v>1081.4160057919685</v>
      </c>
    </row>
    <row r="1731" spans="1:12">
      <c r="A1731" t="s">
        <v>1453</v>
      </c>
      <c r="B1731" t="s">
        <v>858</v>
      </c>
      <c r="C1731" t="s">
        <v>459</v>
      </c>
      <c r="D1731" t="s">
        <v>75</v>
      </c>
      <c r="E1731" s="70">
        <f>IF(B1731="","",INDEX(Ingredients!$I$1:$I$5013,(MATCH(InterventionCosts!B1731,Ingredients!$A$1:$A$5013,0))))</f>
        <v>495.08531887209995</v>
      </c>
      <c r="F1731" s="5" t="str">
        <f>INDEX(Ingredients!J$1:J$265,(MATCH(InterventionCosts!B1731,Ingredients!A$1:A$265,0)))</f>
        <v>per test</v>
      </c>
      <c r="G1731">
        <f>IF(B1731="","",INDEX(Ingredients!$E$1:$E$238,(MATCH(InterventionCosts!B1731,Ingredients!A$1:A$238,0))))</f>
        <v>2021</v>
      </c>
      <c r="H1731" t="str">
        <f>INDEX(Ingredients!$F$1:$F$318,(MATCH(InterventionCosts!B1731,Ingredients!A$1:A$318,0)))</f>
        <v>NHLS 2021 price-list</v>
      </c>
      <c r="I1731">
        <v>2</v>
      </c>
      <c r="J1731" t="s">
        <v>459</v>
      </c>
      <c r="K1731" s="85">
        <f t="shared" si="45"/>
        <v>990.17063774419989</v>
      </c>
    </row>
    <row r="1732" spans="1:12">
      <c r="A1732" t="s">
        <v>1453</v>
      </c>
      <c r="B1732" t="s">
        <v>458</v>
      </c>
      <c r="C1732" t="s">
        <v>459</v>
      </c>
      <c r="D1732" t="s">
        <v>75</v>
      </c>
      <c r="E1732" s="70">
        <f>IF(B1732="","",INDEX(Ingredients!$I$1:$I$5013,(MATCH(InterventionCosts!B1732,Ingredients!$A$1:$A$5013,0))))</f>
        <v>86.59037211495</v>
      </c>
      <c r="F1732" s="5" t="str">
        <f>INDEX(Ingredients!J$1:J$265,(MATCH(InterventionCosts!B1732,Ingredients!A$1:A$265,0)))</f>
        <v>per test</v>
      </c>
      <c r="G1732">
        <f>IF(B1732="","",INDEX(Ingredients!$E$1:$E$238,(MATCH(InterventionCosts!B1732,Ingredients!A$1:A$238,0))))</f>
        <v>2021</v>
      </c>
      <c r="H1732" t="str">
        <f>INDEX(Ingredients!$F$1:$F$318,(MATCH(InterventionCosts!B1732,Ingredients!A$1:A$318,0)))</f>
        <v>NHLS 2021 price-list</v>
      </c>
      <c r="I1732">
        <v>1</v>
      </c>
      <c r="J1732" t="s">
        <v>459</v>
      </c>
      <c r="K1732" s="85">
        <f t="shared" si="45"/>
        <v>86.59037211495</v>
      </c>
    </row>
    <row r="1733" spans="1:12">
      <c r="A1733" t="s">
        <v>1453</v>
      </c>
      <c r="B1733" t="s">
        <v>52</v>
      </c>
      <c r="C1733" t="s">
        <v>460</v>
      </c>
      <c r="D1733" t="s">
        <v>48</v>
      </c>
      <c r="E1733" s="70">
        <f>IF(B1733="","",INDEX(Ingredients!$I$1:$I$5013,(MATCH(InterventionCosts!B1733,Ingredients!$A$1:$A$5013,0))))</f>
        <v>1.8019482436472347</v>
      </c>
      <c r="F1733" s="5" t="str">
        <f>INDEX(Ingredients!J$1:J$265,(MATCH(InterventionCosts!B1733,Ingredients!A$1:A$265,0)))</f>
        <v>per minute</v>
      </c>
      <c r="G1733">
        <f>IF(B1733="","",INDEX(Ingredients!$E$1:$E$238,(MATCH(InterventionCosts!B1733,Ingredients!A$1:A$238,0))))</f>
        <v>2024</v>
      </c>
      <c r="H1733" t="str">
        <f>INDEX(Ingredients!$F$1:$F$318,(MATCH(InterventionCosts!B1733,Ingredients!A$1:A$318,0)))</f>
        <v xml:space="preserve">April 2024 Salary scale </v>
      </c>
      <c r="I1733">
        <f>4*7.54*(workminutespa/12/5102)</f>
        <v>52.729753038024306</v>
      </c>
      <c r="J1733" t="s">
        <v>460</v>
      </c>
      <c r="K1733" s="85">
        <f t="shared" si="45"/>
        <v>95.01628587482034</v>
      </c>
      <c r="L1733" s="85" t="s">
        <v>1097</v>
      </c>
    </row>
    <row r="1734" spans="1:12">
      <c r="A1734" t="s">
        <v>1453</v>
      </c>
      <c r="B1734" t="s">
        <v>55</v>
      </c>
      <c r="C1734" t="s">
        <v>460</v>
      </c>
      <c r="D1734" t="s">
        <v>48</v>
      </c>
      <c r="E1734" s="70">
        <f>IF(B1734="","",INDEX(Ingredients!$I$1:$I$5013,(MATCH(InterventionCosts!B1734,Ingredients!$A$1:$A$5013,0))))</f>
        <v>1.8549350710014947</v>
      </c>
      <c r="F1734" s="5" t="str">
        <f>INDEX(Ingredients!J$1:J$265,(MATCH(InterventionCosts!B1734,Ingredients!A$1:A$265,0)))</f>
        <v>per minute</v>
      </c>
      <c r="G1734">
        <f>IF(B1734="","",INDEX(Ingredients!$E$1:$E$238,(MATCH(InterventionCosts!B1734,Ingredients!A$1:A$238,0))))</f>
        <v>2024</v>
      </c>
      <c r="H1734" t="str">
        <f>INDEX(Ingredients!$F$1:$F$318,(MATCH(InterventionCosts!B1734,Ingredients!A$1:A$318,0)))</f>
        <v xml:space="preserve">April 2024 Salary scale </v>
      </c>
      <c r="I1734">
        <f>4*7.54*(workminutespa/12/5102)</f>
        <v>52.729753038024306</v>
      </c>
      <c r="J1734" t="s">
        <v>460</v>
      </c>
      <c r="K1734" s="85">
        <f t="shared" si="45"/>
        <v>97.810268195478898</v>
      </c>
      <c r="L1734" s="85" t="s">
        <v>1097</v>
      </c>
    </row>
    <row r="1735" spans="1:12">
      <c r="A1735" t="s">
        <v>1453</v>
      </c>
      <c r="B1735" t="s">
        <v>1070</v>
      </c>
      <c r="C1735" t="s">
        <v>460</v>
      </c>
      <c r="D1735" t="s">
        <v>48</v>
      </c>
      <c r="E1735" s="70">
        <f>IF(B1735="","",INDEX(Ingredients!$I$1:$I$5013,(MATCH(InterventionCosts!B1735,Ingredients!$A$1:$A$5013,0))))</f>
        <v>2.443981128550075</v>
      </c>
      <c r="F1735" s="5" t="str">
        <f>INDEX(Ingredients!J$1:J$265,(MATCH(InterventionCosts!B1735,Ingredients!A$1:A$265,0)))</f>
        <v>per minute</v>
      </c>
      <c r="G1735">
        <f>IF(B1735="","",INDEX(Ingredients!$E$1:$E$238,(MATCH(InterventionCosts!B1735,Ingredients!A$1:A$238,0))))</f>
        <v>2024</v>
      </c>
      <c r="H1735" t="str">
        <f>INDEX(Ingredients!$F$1:$F$318,(MATCH(InterventionCosts!B1735,Ingredients!A$1:A$318,0)))</f>
        <v xml:space="preserve">April 2024 Salary scale </v>
      </c>
      <c r="I1735">
        <f>1*7.54*(workminutespa/12/5102)</f>
        <v>13.182438259506077</v>
      </c>
      <c r="J1735" t="s">
        <v>460</v>
      </c>
      <c r="K1735" s="85">
        <f t="shared" si="45"/>
        <v>32.217630334509344</v>
      </c>
      <c r="L1735" s="85" t="s">
        <v>1098</v>
      </c>
    </row>
    <row r="1736" spans="1:12">
      <c r="A1736" t="s">
        <v>1453</v>
      </c>
      <c r="B1736" t="s">
        <v>51</v>
      </c>
      <c r="C1736" t="s">
        <v>460</v>
      </c>
      <c r="D1736" t="s">
        <v>48</v>
      </c>
      <c r="E1736" s="70">
        <f>IF(B1736="","",INDEX(Ingredients!$I$1:$I$5013,(MATCH(InterventionCosts!B1736,Ingredients!$A$1:$A$5013,0))))</f>
        <v>4100.2266666666665</v>
      </c>
      <c r="F1736" s="5" t="str">
        <f>INDEX(Ingredients!J$1:J$265,(MATCH(InterventionCosts!B1736,Ingredients!A$1:A$265,0)))</f>
        <v>per month</v>
      </c>
      <c r="G1736">
        <f>IF(B1736="","",INDEX(Ingredients!$E$1:$E$238,(MATCH(InterventionCosts!B1736,Ingredients!A$1:A$238,0))))</f>
        <v>2024</v>
      </c>
      <c r="H1736" t="str">
        <f>INDEX(Ingredients!$F$1:$F$318,(MATCH(InterventionCosts!B1736,Ingredients!A$1:A$318,0)))</f>
        <v>https://www.gov.za/news/media-statements/government-activities/minister-thulas-nxesi-announces-national-minimum-wage</v>
      </c>
      <c r="I1736">
        <f>1*7.54*(1/5102)</f>
        <v>1.4778518228145826E-3</v>
      </c>
      <c r="J1736" t="s">
        <v>460</v>
      </c>
      <c r="K1736" s="85">
        <f t="shared" si="45"/>
        <v>6.0595274532862931</v>
      </c>
      <c r="L1736" s="85" t="s">
        <v>1098</v>
      </c>
    </row>
    <row r="1737" spans="1:12">
      <c r="A1737" t="s">
        <v>1453</v>
      </c>
      <c r="B1737" t="s">
        <v>54</v>
      </c>
      <c r="C1737" t="s">
        <v>460</v>
      </c>
      <c r="D1737" t="s">
        <v>48</v>
      </c>
      <c r="E1737" s="70">
        <f>IF(B1737="","",INDEX(Ingredients!$I$1:$I$5013,(MATCH(InterventionCosts!B1737,Ingredients!$A$1:$A$5013,0))))</f>
        <v>1.2444366591928251</v>
      </c>
      <c r="F1737" s="5" t="str">
        <f>INDEX(Ingredients!J$1:J$265,(MATCH(InterventionCosts!B1737,Ingredients!A$1:A$265,0)))</f>
        <v>per minute</v>
      </c>
      <c r="G1737">
        <f>IF(B1737="","",INDEX(Ingredients!$E$1:$E$238,(MATCH(InterventionCosts!B1737,Ingredients!A$1:A$238,0))))</f>
        <v>2024</v>
      </c>
      <c r="H1737" t="str">
        <f>INDEX(Ingredients!$F$1:$F$318,(MATCH(InterventionCosts!B1737,Ingredients!A$1:A$318,0)))</f>
        <v xml:space="preserve">April 2024 Salary scale </v>
      </c>
      <c r="I1737">
        <f>8*7.54*(workminutespa/12/5102)</f>
        <v>105.45950607604861</v>
      </c>
      <c r="J1737" t="s">
        <v>460</v>
      </c>
      <c r="K1737" s="85">
        <f t="shared" si="45"/>
        <v>131.23767542140337</v>
      </c>
      <c r="L1737" s="85" t="s">
        <v>1099</v>
      </c>
    </row>
    <row r="1738" spans="1:12">
      <c r="A1738" t="s">
        <v>1453</v>
      </c>
      <c r="B1738" t="s">
        <v>354</v>
      </c>
      <c r="C1738" t="s">
        <v>460</v>
      </c>
      <c r="D1738" t="s">
        <v>48</v>
      </c>
      <c r="E1738" s="70">
        <f>IF(B1738="","",INDEX(Ingredients!$I$1:$I$5013,(MATCH(InterventionCosts!B1738,Ingredients!$A$1:$A$5013,0))))</f>
        <v>4.8996605630293981</v>
      </c>
      <c r="F1738" s="5" t="str">
        <f>INDEX(Ingredients!J$1:J$265,(MATCH(InterventionCosts!B1738,Ingredients!A$1:A$265,0)))</f>
        <v>per minute</v>
      </c>
      <c r="G1738">
        <f>IF(B1738="","",INDEX(Ingredients!$E$1:$E$238,(MATCH(InterventionCosts!B1738,Ingredients!A$1:A$238,0))))</f>
        <v>2024</v>
      </c>
      <c r="H1738" t="str">
        <f>INDEX(Ingredients!$F$1:$F$318,(MATCH(InterventionCosts!B1738,Ingredients!A$1:A$318,0)))</f>
        <v xml:space="preserve">April 2024 Salary scale </v>
      </c>
      <c r="I1738">
        <f>16*7.54*(workminutespa/12/5102)</f>
        <v>210.91901215209722</v>
      </c>
      <c r="J1738" t="s">
        <v>460</v>
      </c>
      <c r="K1738" s="85">
        <f t="shared" si="45"/>
        <v>1033.4315658347491</v>
      </c>
      <c r="L1738" s="85" t="s">
        <v>1100</v>
      </c>
    </row>
    <row r="1739" spans="1:12">
      <c r="A1739" t="s">
        <v>1453</v>
      </c>
      <c r="B1739" t="s">
        <v>286</v>
      </c>
      <c r="C1739" t="s">
        <v>460</v>
      </c>
      <c r="D1739" t="s">
        <v>48</v>
      </c>
      <c r="E1739" s="70">
        <f>IF(B1739="","",INDEX(Ingredients!$I$1:$I$5013,(MATCH(InterventionCosts!B1739,Ingredients!$A$1:$A$5013,0))))</f>
        <v>3.2392279521674139</v>
      </c>
      <c r="F1739" s="5" t="str">
        <f>INDEX(Ingredients!J$1:J$265,(MATCH(InterventionCosts!B1739,Ingredients!A$1:A$265,0)))</f>
        <v>per minute</v>
      </c>
      <c r="G1739">
        <f>IF(B1739="","",INDEX(Ingredients!$E$1:$E$238,(MATCH(InterventionCosts!B1739,Ingredients!A$1:A$238,0))))</f>
        <v>2024</v>
      </c>
      <c r="H1739" t="str">
        <f>INDEX(Ingredients!$F$1:$F$318,(MATCH(InterventionCosts!B1739,Ingredients!A$1:A$318,0)))</f>
        <v xml:space="preserve">April 2024 Salary scale </v>
      </c>
      <c r="I1739">
        <f>4*7.54*(workminutespa/12/5102)</f>
        <v>52.729753038024306</v>
      </c>
      <c r="J1739" t="s">
        <v>460</v>
      </c>
      <c r="K1739" s="85">
        <f t="shared" si="45"/>
        <v>170.80368995165296</v>
      </c>
      <c r="L1739" s="85" t="s">
        <v>1097</v>
      </c>
    </row>
    <row r="1740" spans="1:12">
      <c r="A1740" t="s">
        <v>1453</v>
      </c>
      <c r="B1740" t="s">
        <v>1072</v>
      </c>
      <c r="C1740" t="s">
        <v>460</v>
      </c>
      <c r="D1740" t="s">
        <v>48</v>
      </c>
      <c r="E1740" s="70">
        <f>IF(B1740="","",INDEX(Ingredients!$I$1:$I$5013,(MATCH(InterventionCosts!B1740,Ingredients!$A$1:$A$5013,0))))</f>
        <v>2.5530496387643251</v>
      </c>
      <c r="F1740" s="5" t="str">
        <f>INDEX(Ingredients!J$1:J$265,(MATCH(InterventionCosts!B1740,Ingredients!A$1:A$265,0)))</f>
        <v>per minute</v>
      </c>
      <c r="G1740">
        <f>IF(B1740="","",INDEX(Ingredients!$E$1:$E$238,(MATCH(InterventionCosts!B1740,Ingredients!A$1:A$238,0))))</f>
        <v>2024</v>
      </c>
      <c r="H1740" t="str">
        <f>INDEX(Ingredients!$F$1:$F$318,(MATCH(InterventionCosts!B1740,Ingredients!A$1:A$318,0)))</f>
        <v xml:space="preserve">April 2024 Salary scale </v>
      </c>
      <c r="I1740">
        <f>1*7.54*(workminutespa/12/5102)</f>
        <v>13.182438259506077</v>
      </c>
      <c r="J1740" t="s">
        <v>460</v>
      </c>
      <c r="K1740" s="85">
        <f t="shared" si="45"/>
        <v>33.655419236465008</v>
      </c>
      <c r="L1740" s="85" t="s">
        <v>1098</v>
      </c>
    </row>
    <row r="1741" spans="1:12">
      <c r="A1741" t="s">
        <v>1453</v>
      </c>
      <c r="B1741" t="s">
        <v>1074</v>
      </c>
      <c r="C1741" t="s">
        <v>460</v>
      </c>
      <c r="D1741" t="s">
        <v>48</v>
      </c>
      <c r="E1741" s="70">
        <f>IF(B1741="","",INDEX(Ingredients!$I$1:$I$5013,(MATCH(InterventionCosts!B1741,Ingredients!$A$1:$A$5013,0))))</f>
        <v>2076.8733333333334</v>
      </c>
      <c r="F1741" s="5" t="str">
        <f>INDEX(Ingredients!J$1:J$265,(MATCH(InterventionCosts!B1741,Ingredients!A$1:A$265,0)))</f>
        <v>per month</v>
      </c>
      <c r="G1741">
        <f>IF(B1741="","",INDEX(Ingredients!$E$1:$E$238,(MATCH(InterventionCosts!B1741,Ingredients!A$1:A$238,0))))</f>
        <v>2024</v>
      </c>
      <c r="H1741" t="str">
        <f>INDEX(Ingredients!$F$1:$F$318,(MATCH(InterventionCosts!B1741,Ingredients!A$1:A$318,0)))</f>
        <v>https://www.gov.za/speeches/minister-thulas-nxesi-hikes-minimum-wage-farmworkers-and-domestic-workers-22-feb-2023-0000</v>
      </c>
      <c r="I1741">
        <f>13*7.54*(1/5102)</f>
        <v>1.921207369658957E-2</v>
      </c>
      <c r="J1741" t="s">
        <v>460</v>
      </c>
      <c r="K1741" s="85">
        <f t="shared" si="45"/>
        <v>39.901043538481638</v>
      </c>
      <c r="L1741" s="85" t="s">
        <v>1101</v>
      </c>
    </row>
    <row r="1742" spans="1:12">
      <c r="A1742" t="s">
        <v>1453</v>
      </c>
      <c r="B1742" t="s">
        <v>60</v>
      </c>
      <c r="C1742" t="s">
        <v>460</v>
      </c>
      <c r="D1742" t="s">
        <v>48</v>
      </c>
      <c r="E1742" s="70">
        <f>IF(B1742="","",INDEX(Ingredients!$I$1:$I$5013,(MATCH(InterventionCosts!B1742,Ingredients!$A$1:$A$5013,0))))</f>
        <v>9.1192801756352768</v>
      </c>
      <c r="F1742" s="5" t="str">
        <f>INDEX(Ingredients!J$1:J$265,(MATCH(InterventionCosts!B1742,Ingredients!A$1:A$265,0)))</f>
        <v>per minute</v>
      </c>
      <c r="G1742">
        <f>IF(B1742="","",INDEX(Ingredients!$E$1:$E$238,(MATCH(InterventionCosts!B1742,Ingredients!A$1:A$238,0))))</f>
        <v>2024</v>
      </c>
      <c r="H1742" t="str">
        <f>INDEX(Ingredients!$F$1:$F$318,(MATCH(InterventionCosts!B1742,Ingredients!A$1:A$318,0)))</f>
        <v xml:space="preserve">April 2024 Salary scale </v>
      </c>
      <c r="I1742">
        <f>1*7.54*(workminutespa/12/5102)</f>
        <v>13.182438259506077</v>
      </c>
      <c r="J1742" t="s">
        <v>460</v>
      </c>
      <c r="K1742" s="85">
        <f t="shared" si="45"/>
        <v>120.21434788644977</v>
      </c>
      <c r="L1742" s="85" t="s">
        <v>1098</v>
      </c>
    </row>
    <row r="1743" spans="1:12">
      <c r="A1743" t="s">
        <v>1453</v>
      </c>
      <c r="B1743" t="s">
        <v>1077</v>
      </c>
      <c r="C1743" t="s">
        <v>460</v>
      </c>
      <c r="D1743" t="s">
        <v>48</v>
      </c>
      <c r="E1743" s="70">
        <f>IF(B1743="","",INDEX(Ingredients!$I$1:$I$5013,(MATCH(InterventionCosts!B1743,Ingredients!$A$1:$A$5013,0))))</f>
        <v>2.1347303967364222</v>
      </c>
      <c r="F1743" s="5" t="str">
        <f>INDEX(Ingredients!J$1:J$265,(MATCH(InterventionCosts!B1743,Ingredients!A$1:A$265,0)))</f>
        <v>per minute</v>
      </c>
      <c r="G1743">
        <f>IF(B1743="","",INDEX(Ingredients!$E$1:$E$238,(MATCH(InterventionCosts!B1743,Ingredients!A$1:A$238,0))))</f>
        <v>2024</v>
      </c>
      <c r="H1743" t="str">
        <f>INDEX(Ingredients!$F$1:$F$318,(MATCH(InterventionCosts!B1743,Ingredients!A$1:A$318,0)))</f>
        <v xml:space="preserve">April 2024 Salary scale </v>
      </c>
      <c r="I1743">
        <f>4*7.54*(workminutespa/12/5102)</f>
        <v>52.729753038024306</v>
      </c>
      <c r="J1743" t="s">
        <v>460</v>
      </c>
      <c r="K1743" s="85">
        <f t="shared" si="45"/>
        <v>112.56380662267519</v>
      </c>
      <c r="L1743" s="85" t="s">
        <v>1097</v>
      </c>
    </row>
    <row r="1744" spans="1:12">
      <c r="A1744" t="s">
        <v>1453</v>
      </c>
      <c r="B1744" t="s">
        <v>1078</v>
      </c>
      <c r="C1744" t="s">
        <v>460</v>
      </c>
      <c r="D1744" t="s">
        <v>48</v>
      </c>
      <c r="E1744" s="70">
        <f>IF(B1744="","",INDEX(Ingredients!$I$1:$I$5013,(MATCH(InterventionCosts!B1744,Ingredients!$A$1:$A$5013,0))))</f>
        <v>13.503224277528648</v>
      </c>
      <c r="F1744" s="5" t="str">
        <f>INDEX(Ingredients!J$1:J$265,(MATCH(InterventionCosts!B1744,Ingredients!A$1:A$265,0)))</f>
        <v>per minute</v>
      </c>
      <c r="G1744">
        <f>IF(B1744="","",INDEX(Ingredients!$E$1:$E$238,(MATCH(InterventionCosts!B1744,Ingredients!A$1:A$238,0))))</f>
        <v>2024</v>
      </c>
      <c r="H1744" t="str">
        <f>INDEX(Ingredients!$F$1:$F$318,(MATCH(InterventionCosts!B1744,Ingredients!A$1:A$318,0)))</f>
        <v xml:space="preserve">April 2024 Salary scale </v>
      </c>
      <c r="I1744">
        <f>2*7.54*(workminutespa/12/5102)</f>
        <v>26.364876519012153</v>
      </c>
      <c r="J1744" t="s">
        <v>460</v>
      </c>
      <c r="K1744" s="85">
        <f t="shared" si="45"/>
        <v>356.01084068556992</v>
      </c>
      <c r="L1744" s="85" t="s">
        <v>1102</v>
      </c>
    </row>
    <row r="1745" spans="1:14">
      <c r="A1745" t="s">
        <v>1453</v>
      </c>
      <c r="B1745" t="s">
        <v>477</v>
      </c>
      <c r="C1745" t="s">
        <v>406</v>
      </c>
      <c r="D1745" t="s">
        <v>81</v>
      </c>
      <c r="E1745" s="70">
        <f>IF(B1745="","",INDEX(Ingredients!$I$1:$I$5013,(MATCH(InterventionCosts!B1745,Ingredients!$A$1:$A$5013,0))))</f>
        <v>88.256346376062865</v>
      </c>
      <c r="F1745" s="5" t="str">
        <f>INDEX(Ingredients!J$1:J$265,(MATCH(InterventionCosts!B1745,Ingredients!A$1:A$265,0)))</f>
        <v>per visit</v>
      </c>
      <c r="G1745">
        <f>IF(B1745="","",INDEX(Ingredients!$E$1:$E$238,(MATCH(InterventionCosts!B1745,Ingredients!A$1:A$238,0))))</f>
        <v>2019</v>
      </c>
      <c r="H1745" t="str">
        <f>INDEX(Ingredients!$F$1:$F$318,(MATCH(InterventionCosts!B1745,Ingredients!A$1:A$318,0)))</f>
        <v xml:space="preserve">Long L, Girdwood S, Govender K, Meyer-Rath G, Miot J: Cost and outcomes of routine HIV care and treatment: A comparison of public and private delivery models covering low-income earners in South Africa. Preprint available under DOI: https://doi.org/10.21203/rs.3.rs-960517/v1    </v>
      </c>
      <c r="I1745">
        <f>PPPvisitperpt</f>
        <v>7.54</v>
      </c>
      <c r="J1745" t="s">
        <v>485</v>
      </c>
      <c r="K1745" s="85">
        <f t="shared" si="45"/>
        <v>665.45285167551401</v>
      </c>
    </row>
    <row r="1746" spans="1:14" s="89" customFormat="1">
      <c r="A1746" s="4" t="s">
        <v>1453</v>
      </c>
      <c r="F1746" s="89" t="s">
        <v>1164</v>
      </c>
      <c r="K1746" s="90"/>
      <c r="L1746" s="90">
        <f>SUM(K1729:K1745)</f>
        <v>7995.9599898751985</v>
      </c>
      <c r="M1746" s="92"/>
      <c r="N1746" s="4"/>
    </row>
    <row r="1747" spans="1:14" s="89" customFormat="1">
      <c r="A1747" s="4" t="s">
        <v>1453</v>
      </c>
      <c r="F1747" s="89" t="s">
        <v>117</v>
      </c>
      <c r="K1747" s="90"/>
      <c r="L1747" s="90" t="s">
        <v>937</v>
      </c>
    </row>
    <row r="1749" spans="1:14">
      <c r="A1749" t="s">
        <v>1454</v>
      </c>
      <c r="B1749" t="s">
        <v>867</v>
      </c>
      <c r="C1749" t="s">
        <v>459</v>
      </c>
      <c r="D1749" t="s">
        <v>70</v>
      </c>
      <c r="E1749" s="70">
        <f>IF(B1749="","",INDEX(Ingredients!$I$1:$I$5013,(MATCH(InterventionCosts!B1749,Ingredients!$A$1:$A$5013,0))))</f>
        <v>10.377400075847209</v>
      </c>
      <c r="F1749" s="5" t="str">
        <f>INDEX(Ingredients!J$1:J$265,(MATCH(InterventionCosts!B1749,Ingredients!A$1:A$265,0)))</f>
        <v>per day</v>
      </c>
      <c r="G1749">
        <f>IF(B1749="","",INDEX(Ingredients!$E$1:$E$238,(MATCH(InterventionCosts!B1749,Ingredients!A$1:A$238,0))))</f>
        <v>2024</v>
      </c>
      <c r="H1749" t="str">
        <f>INDEX(Ingredients!$F$1:$F$318,(MATCH(InterventionCosts!B1749,Ingredients!A$1:A$318,0)))</f>
        <v>Master Procurement Circular May 2024</v>
      </c>
      <c r="I1749">
        <f>12*30*'ART kids distribution'!$C$13</f>
        <v>283.63636363636363</v>
      </c>
      <c r="J1749" t="s">
        <v>406</v>
      </c>
      <c r="K1749" s="85">
        <f t="shared" ref="K1749:K1765" si="46">I1749*E1749</f>
        <v>2943.4080215130266</v>
      </c>
    </row>
    <row r="1750" spans="1:14">
      <c r="A1750" t="s">
        <v>1454</v>
      </c>
      <c r="B1750" t="s">
        <v>892</v>
      </c>
      <c r="C1750" t="s">
        <v>459</v>
      </c>
      <c r="D1750" t="s">
        <v>70</v>
      </c>
      <c r="E1750" s="70">
        <f>IF(B1750="","",INDEX(Ingredients!$I$1:$I$5013,(MATCH(InterventionCosts!B1750,Ingredients!$A$1:$A$5013,0))))</f>
        <v>14.161400075847208</v>
      </c>
      <c r="F1750" s="5" t="str">
        <f>INDEX(Ingredients!J$1:J$265,(MATCH(InterventionCosts!B1750,Ingredients!A$1:A$265,0)))</f>
        <v>per day</v>
      </c>
      <c r="G1750">
        <f>IF(B1750="","",INDEX(Ingredients!$E$1:$E$238,(MATCH(InterventionCosts!B1750,Ingredients!A$1:A$238,0))))</f>
        <v>2024</v>
      </c>
      <c r="H1750" t="str">
        <f>INDEX(Ingredients!$F$1:$F$318,(MATCH(InterventionCosts!B1750,Ingredients!A$1:A$318,0)))</f>
        <v>Master Procurement Circular May 2024</v>
      </c>
      <c r="I1750">
        <f>12*30*'ART kids distribution'!$F$13</f>
        <v>76.36363636363636</v>
      </c>
      <c r="J1750" t="s">
        <v>406</v>
      </c>
      <c r="K1750" s="85">
        <f t="shared" si="46"/>
        <v>1081.4160057919685</v>
      </c>
    </row>
    <row r="1751" spans="1:14">
      <c r="A1751" t="s">
        <v>1454</v>
      </c>
      <c r="B1751" t="s">
        <v>858</v>
      </c>
      <c r="C1751" t="s">
        <v>459</v>
      </c>
      <c r="D1751" t="s">
        <v>75</v>
      </c>
      <c r="E1751" s="70">
        <f>IF(B1751="","",INDEX(Ingredients!$I$1:$I$5013,(MATCH(InterventionCosts!B1751,Ingredients!$A$1:$A$5013,0))))</f>
        <v>495.08531887209995</v>
      </c>
      <c r="F1751" s="5" t="str">
        <f>INDEX(Ingredients!J$1:J$265,(MATCH(InterventionCosts!B1751,Ingredients!A$1:A$265,0)))</f>
        <v>per test</v>
      </c>
      <c r="G1751">
        <f>IF(B1751="","",INDEX(Ingredients!$E$1:$E$238,(MATCH(InterventionCosts!B1751,Ingredients!A$1:A$238,0))))</f>
        <v>2021</v>
      </c>
      <c r="H1751" t="str">
        <f>INDEX(Ingredients!$F$1:$F$318,(MATCH(InterventionCosts!B1751,Ingredients!A$1:A$318,0)))</f>
        <v>NHLS 2021 price-list</v>
      </c>
      <c r="I1751">
        <v>1</v>
      </c>
      <c r="J1751" t="s">
        <v>459</v>
      </c>
      <c r="K1751" s="85">
        <f t="shared" si="46"/>
        <v>495.08531887209995</v>
      </c>
    </row>
    <row r="1752" spans="1:14">
      <c r="A1752" t="s">
        <v>1454</v>
      </c>
      <c r="B1752" t="s">
        <v>458</v>
      </c>
      <c r="C1752" t="s">
        <v>459</v>
      </c>
      <c r="D1752" t="s">
        <v>75</v>
      </c>
      <c r="E1752" s="70">
        <f>IF(B1752="","",INDEX(Ingredients!$I$1:$I$5013,(MATCH(InterventionCosts!B1752,Ingredients!$A$1:$A$5013,0))))</f>
        <v>86.59037211495</v>
      </c>
      <c r="F1752" s="5" t="str">
        <f>INDEX(Ingredients!J$1:J$265,(MATCH(InterventionCosts!B1752,Ingredients!A$1:A$265,0)))</f>
        <v>per test</v>
      </c>
      <c r="G1752">
        <f>IF(B1752="","",INDEX(Ingredients!$E$1:$E$238,(MATCH(InterventionCosts!B1752,Ingredients!A$1:A$238,0))))</f>
        <v>2021</v>
      </c>
      <c r="H1752" t="str">
        <f>INDEX(Ingredients!$F$1:$F$318,(MATCH(InterventionCosts!B1752,Ingredients!A$1:A$318,0)))</f>
        <v>NHLS 2021 price-list</v>
      </c>
      <c r="I1752">
        <v>1</v>
      </c>
      <c r="J1752" t="s">
        <v>459</v>
      </c>
      <c r="K1752" s="85">
        <f t="shared" si="46"/>
        <v>86.59037211495</v>
      </c>
    </row>
    <row r="1753" spans="1:14">
      <c r="A1753" t="s">
        <v>1454</v>
      </c>
      <c r="B1753" t="s">
        <v>52</v>
      </c>
      <c r="C1753" t="s">
        <v>460</v>
      </c>
      <c r="D1753" t="s">
        <v>48</v>
      </c>
      <c r="E1753" s="70">
        <f>IF(B1753="","",INDEX(Ingredients!$I$1:$I$5013,(MATCH(InterventionCosts!B1753,Ingredients!$A$1:$A$5013,0))))</f>
        <v>1.8019482436472347</v>
      </c>
      <c r="F1753" s="5" t="str">
        <f>INDEX(Ingredients!J$1:J$265,(MATCH(InterventionCosts!B1753,Ingredients!A$1:A$265,0)))</f>
        <v>per minute</v>
      </c>
      <c r="G1753">
        <f>IF(B1753="","",INDEX(Ingredients!$E$1:$E$238,(MATCH(InterventionCosts!B1753,Ingredients!A$1:A$238,0))))</f>
        <v>2024</v>
      </c>
      <c r="H1753" t="str">
        <f>INDEX(Ingredients!$F$1:$F$318,(MATCH(InterventionCosts!B1753,Ingredients!A$1:A$318,0)))</f>
        <v xml:space="preserve">April 2024 Salary scale </v>
      </c>
      <c r="I1753">
        <f>4*4*(workminutespa/12/5102)</f>
        <v>27.973343786750295</v>
      </c>
      <c r="J1753" t="s">
        <v>460</v>
      </c>
      <c r="K1753" s="85">
        <f t="shared" si="46"/>
        <v>50.406517705474982</v>
      </c>
      <c r="L1753" s="85" t="s">
        <v>1079</v>
      </c>
    </row>
    <row r="1754" spans="1:14">
      <c r="A1754" t="s">
        <v>1454</v>
      </c>
      <c r="B1754" t="s">
        <v>55</v>
      </c>
      <c r="C1754" t="s">
        <v>460</v>
      </c>
      <c r="D1754" t="s">
        <v>48</v>
      </c>
      <c r="E1754" s="70">
        <f>IF(B1754="","",INDEX(Ingredients!$I$1:$I$5013,(MATCH(InterventionCosts!B1754,Ingredients!$A$1:$A$5013,0))))</f>
        <v>1.8549350710014947</v>
      </c>
      <c r="F1754" s="5" t="str">
        <f>INDEX(Ingredients!J$1:J$265,(MATCH(InterventionCosts!B1754,Ingredients!A$1:A$265,0)))</f>
        <v>per minute</v>
      </c>
      <c r="G1754">
        <f>IF(B1754="","",INDEX(Ingredients!$E$1:$E$238,(MATCH(InterventionCosts!B1754,Ingredients!A$1:A$238,0))))</f>
        <v>2024</v>
      </c>
      <c r="H1754" t="str">
        <f>INDEX(Ingredients!$F$1:$F$318,(MATCH(InterventionCosts!B1754,Ingredients!A$1:A$318,0)))</f>
        <v xml:space="preserve">April 2024 Salary scale </v>
      </c>
      <c r="I1754">
        <f>4*4*(workminutespa/12/5102)</f>
        <v>27.973343786750295</v>
      </c>
      <c r="J1754" t="s">
        <v>460</v>
      </c>
      <c r="K1754" s="85">
        <f t="shared" si="46"/>
        <v>51.888736443224879</v>
      </c>
      <c r="L1754" s="85" t="s">
        <v>1079</v>
      </c>
    </row>
    <row r="1755" spans="1:14">
      <c r="A1755" t="s">
        <v>1454</v>
      </c>
      <c r="B1755" t="s">
        <v>1070</v>
      </c>
      <c r="C1755" t="s">
        <v>460</v>
      </c>
      <c r="D1755" t="s">
        <v>48</v>
      </c>
      <c r="E1755" s="70">
        <f>IF(B1755="","",INDEX(Ingredients!$I$1:$I$5013,(MATCH(InterventionCosts!B1755,Ingredients!$A$1:$A$5013,0))))</f>
        <v>2.443981128550075</v>
      </c>
      <c r="F1755" s="5" t="str">
        <f>INDEX(Ingredients!J$1:J$265,(MATCH(InterventionCosts!B1755,Ingredients!A$1:A$265,0)))</f>
        <v>per minute</v>
      </c>
      <c r="G1755">
        <f>IF(B1755="","",INDEX(Ingredients!$E$1:$E$238,(MATCH(InterventionCosts!B1755,Ingredients!A$1:A$238,0))))</f>
        <v>2024</v>
      </c>
      <c r="H1755" t="str">
        <f>INDEX(Ingredients!$F$1:$F$318,(MATCH(InterventionCosts!B1755,Ingredients!A$1:A$318,0)))</f>
        <v xml:space="preserve">April 2024 Salary scale </v>
      </c>
      <c r="I1755">
        <f>1*4*(workminutespa/12/5102)</f>
        <v>6.9933359466875737</v>
      </c>
      <c r="J1755" t="s">
        <v>460</v>
      </c>
      <c r="K1755" s="85">
        <f t="shared" si="46"/>
        <v>17.091581079315304</v>
      </c>
      <c r="L1755" s="85" t="s">
        <v>1080</v>
      </c>
    </row>
    <row r="1756" spans="1:14">
      <c r="A1756" t="s">
        <v>1454</v>
      </c>
      <c r="B1756" t="s">
        <v>51</v>
      </c>
      <c r="C1756" t="s">
        <v>460</v>
      </c>
      <c r="D1756" t="s">
        <v>48</v>
      </c>
      <c r="E1756" s="70">
        <f>IF(B1756="","",INDEX(Ingredients!$I$1:$I$5013,(MATCH(InterventionCosts!B1756,Ingredients!$A$1:$A$5013,0))))</f>
        <v>4100.2266666666665</v>
      </c>
      <c r="F1756" s="5" t="str">
        <f>INDEX(Ingredients!J$1:J$265,(MATCH(InterventionCosts!B1756,Ingredients!A$1:A$265,0)))</f>
        <v>per month</v>
      </c>
      <c r="G1756">
        <f>IF(B1756="","",INDEX(Ingredients!$E$1:$E$238,(MATCH(InterventionCosts!B1756,Ingredients!A$1:A$238,0))))</f>
        <v>2024</v>
      </c>
      <c r="H1756" t="str">
        <f>INDEX(Ingredients!$F$1:$F$318,(MATCH(InterventionCosts!B1756,Ingredients!A$1:A$318,0)))</f>
        <v>https://www.gov.za/news/media-statements/government-activities/minister-thulas-nxesi-announces-national-minimum-wage</v>
      </c>
      <c r="I1756">
        <f>1*4*(1/5102)</f>
        <v>7.840062720501764E-4</v>
      </c>
      <c r="J1756" t="s">
        <v>460</v>
      </c>
      <c r="K1756" s="85">
        <f t="shared" si="46"/>
        <v>3.2146034234940544</v>
      </c>
      <c r="L1756" s="85" t="s">
        <v>1080</v>
      </c>
    </row>
    <row r="1757" spans="1:14">
      <c r="A1757" t="s">
        <v>1454</v>
      </c>
      <c r="B1757" t="s">
        <v>54</v>
      </c>
      <c r="C1757" t="s">
        <v>460</v>
      </c>
      <c r="D1757" t="s">
        <v>48</v>
      </c>
      <c r="E1757" s="70">
        <f>IF(B1757="","",INDEX(Ingredients!$I$1:$I$5013,(MATCH(InterventionCosts!B1757,Ingredients!$A$1:$A$5013,0))))</f>
        <v>1.2444366591928251</v>
      </c>
      <c r="F1757" s="5" t="str">
        <f>INDEX(Ingredients!J$1:J$265,(MATCH(InterventionCosts!B1757,Ingredients!A$1:A$265,0)))</f>
        <v>per minute</v>
      </c>
      <c r="G1757">
        <f>IF(B1757="","",INDEX(Ingredients!$E$1:$E$238,(MATCH(InterventionCosts!B1757,Ingredients!A$1:A$238,0))))</f>
        <v>2024</v>
      </c>
      <c r="H1757" t="str">
        <f>INDEX(Ingredients!$F$1:$F$318,(MATCH(InterventionCosts!B1757,Ingredients!A$1:A$318,0)))</f>
        <v xml:space="preserve">April 2024 Salary scale </v>
      </c>
      <c r="I1757">
        <f>8*4*(workminutespa/12/5102)</f>
        <v>55.94668757350059</v>
      </c>
      <c r="J1757" t="s">
        <v>460</v>
      </c>
      <c r="K1757" s="85">
        <f t="shared" si="46"/>
        <v>69.622108976871814</v>
      </c>
      <c r="L1757" s="85" t="s">
        <v>1081</v>
      </c>
    </row>
    <row r="1758" spans="1:14">
      <c r="A1758" t="s">
        <v>1454</v>
      </c>
      <c r="B1758" t="s">
        <v>354</v>
      </c>
      <c r="C1758" t="s">
        <v>460</v>
      </c>
      <c r="D1758" t="s">
        <v>48</v>
      </c>
      <c r="E1758" s="70">
        <f>IF(B1758="","",INDEX(Ingredients!$I$1:$I$5013,(MATCH(InterventionCosts!B1758,Ingredients!$A$1:$A$5013,0))))</f>
        <v>4.8996605630293981</v>
      </c>
      <c r="F1758" s="5" t="str">
        <f>INDEX(Ingredients!J$1:J$265,(MATCH(InterventionCosts!B1758,Ingredients!A$1:A$265,0)))</f>
        <v>per minute</v>
      </c>
      <c r="G1758">
        <f>IF(B1758="","",INDEX(Ingredients!$E$1:$E$238,(MATCH(InterventionCosts!B1758,Ingredients!A$1:A$238,0))))</f>
        <v>2024</v>
      </c>
      <c r="H1758" t="str">
        <f>INDEX(Ingredients!$F$1:$F$318,(MATCH(InterventionCosts!B1758,Ingredients!A$1:A$318,0)))</f>
        <v xml:space="preserve">April 2024 Salary scale </v>
      </c>
      <c r="I1758">
        <f>16*4*(workminutespa/12/5102)</f>
        <v>111.89337514700118</v>
      </c>
      <c r="J1758" t="s">
        <v>460</v>
      </c>
      <c r="K1758" s="85">
        <f t="shared" si="46"/>
        <v>548.23955747201546</v>
      </c>
      <c r="L1758" s="85" t="s">
        <v>1082</v>
      </c>
    </row>
    <row r="1759" spans="1:14">
      <c r="A1759" t="s">
        <v>1454</v>
      </c>
      <c r="B1759" t="s">
        <v>286</v>
      </c>
      <c r="C1759" t="s">
        <v>460</v>
      </c>
      <c r="D1759" t="s">
        <v>48</v>
      </c>
      <c r="E1759" s="70">
        <f>IF(B1759="","",INDEX(Ingredients!$I$1:$I$5013,(MATCH(InterventionCosts!B1759,Ingredients!$A$1:$A$5013,0))))</f>
        <v>3.2392279521674139</v>
      </c>
      <c r="F1759" s="5" t="str">
        <f>INDEX(Ingredients!J$1:J$265,(MATCH(InterventionCosts!B1759,Ingredients!A$1:A$265,0)))</f>
        <v>per minute</v>
      </c>
      <c r="G1759">
        <f>IF(B1759="","",INDEX(Ingredients!$E$1:$E$238,(MATCH(InterventionCosts!B1759,Ingredients!A$1:A$238,0))))</f>
        <v>2024</v>
      </c>
      <c r="H1759" t="str">
        <f>INDEX(Ingredients!$F$1:$F$318,(MATCH(InterventionCosts!B1759,Ingredients!A$1:A$318,0)))</f>
        <v xml:space="preserve">April 2024 Salary scale </v>
      </c>
      <c r="I1759">
        <f>4*4*(workminutespa/12/5102)</f>
        <v>27.973343786750295</v>
      </c>
      <c r="J1759" t="s">
        <v>460</v>
      </c>
      <c r="K1759" s="85">
        <f t="shared" si="46"/>
        <v>90.612037109630208</v>
      </c>
      <c r="L1759" s="85" t="s">
        <v>1079</v>
      </c>
    </row>
    <row r="1760" spans="1:14">
      <c r="A1760" t="s">
        <v>1454</v>
      </c>
      <c r="B1760" t="s">
        <v>1072</v>
      </c>
      <c r="C1760" t="s">
        <v>460</v>
      </c>
      <c r="D1760" t="s">
        <v>48</v>
      </c>
      <c r="E1760" s="70">
        <f>IF(B1760="","",INDEX(Ingredients!$I$1:$I$5013,(MATCH(InterventionCosts!B1760,Ingredients!$A$1:$A$5013,0))))</f>
        <v>2.5530496387643251</v>
      </c>
      <c r="F1760" s="5" t="str">
        <f>INDEX(Ingredients!J$1:J$265,(MATCH(InterventionCosts!B1760,Ingredients!A$1:A$265,0)))</f>
        <v>per minute</v>
      </c>
      <c r="G1760">
        <f>IF(B1760="","",INDEX(Ingredients!$E$1:$E$238,(MATCH(InterventionCosts!B1760,Ingredients!A$1:A$238,0))))</f>
        <v>2024</v>
      </c>
      <c r="H1760" t="str">
        <f>INDEX(Ingredients!$F$1:$F$318,(MATCH(InterventionCosts!B1760,Ingredients!A$1:A$318,0)))</f>
        <v xml:space="preserve">April 2024 Salary scale </v>
      </c>
      <c r="I1760">
        <f>1*4*(workminutespa/12/5102)</f>
        <v>6.9933359466875737</v>
      </c>
      <c r="J1760" t="s">
        <v>460</v>
      </c>
      <c r="K1760" s="85">
        <f t="shared" si="46"/>
        <v>17.854333812448278</v>
      </c>
      <c r="L1760" s="85" t="s">
        <v>1080</v>
      </c>
    </row>
    <row r="1761" spans="1:14">
      <c r="A1761" t="s">
        <v>1454</v>
      </c>
      <c r="B1761" t="s">
        <v>1074</v>
      </c>
      <c r="C1761" t="s">
        <v>460</v>
      </c>
      <c r="D1761" t="s">
        <v>48</v>
      </c>
      <c r="E1761" s="70">
        <f>IF(B1761="","",INDEX(Ingredients!$I$1:$I$5013,(MATCH(InterventionCosts!B1761,Ingredients!$A$1:$A$5013,0))))</f>
        <v>2076.8733333333334</v>
      </c>
      <c r="F1761" s="5" t="str">
        <f>INDEX(Ingredients!J$1:J$265,(MATCH(InterventionCosts!B1761,Ingredients!A$1:A$265,0)))</f>
        <v>per month</v>
      </c>
      <c r="G1761">
        <f>IF(B1761="","",INDEX(Ingredients!$E$1:$E$238,(MATCH(InterventionCosts!B1761,Ingredients!A$1:A$238,0))))</f>
        <v>2024</v>
      </c>
      <c r="H1761" t="str">
        <f>INDEX(Ingredients!$F$1:$F$318,(MATCH(InterventionCosts!B1761,Ingredients!A$1:A$318,0)))</f>
        <v>https://www.gov.za/speeches/minister-thulas-nxesi-hikes-minimum-wage-farmworkers-and-domestic-workers-22-feb-2023-0000</v>
      </c>
      <c r="I1761">
        <f>13*4*(1/5102)</f>
        <v>1.0192081536652292E-2</v>
      </c>
      <c r="J1761" t="s">
        <v>460</v>
      </c>
      <c r="K1761" s="85">
        <f t="shared" si="46"/>
        <v>21.167662354632171</v>
      </c>
      <c r="L1761" s="85" t="s">
        <v>1083</v>
      </c>
    </row>
    <row r="1762" spans="1:14">
      <c r="A1762" t="s">
        <v>1454</v>
      </c>
      <c r="B1762" t="s">
        <v>60</v>
      </c>
      <c r="C1762" t="s">
        <v>460</v>
      </c>
      <c r="D1762" t="s">
        <v>48</v>
      </c>
      <c r="E1762" s="70">
        <f>IF(B1762="","",INDEX(Ingredients!$I$1:$I$5013,(MATCH(InterventionCosts!B1762,Ingredients!$A$1:$A$5013,0))))</f>
        <v>9.1192801756352768</v>
      </c>
      <c r="F1762" s="5" t="str">
        <f>INDEX(Ingredients!J$1:J$265,(MATCH(InterventionCosts!B1762,Ingredients!A$1:A$265,0)))</f>
        <v>per minute</v>
      </c>
      <c r="G1762">
        <f>IF(B1762="","",INDEX(Ingredients!$E$1:$E$238,(MATCH(InterventionCosts!B1762,Ingredients!A$1:A$238,0))))</f>
        <v>2024</v>
      </c>
      <c r="H1762" t="str">
        <f>INDEX(Ingredients!$F$1:$F$318,(MATCH(InterventionCosts!B1762,Ingredients!A$1:A$318,0)))</f>
        <v xml:space="preserve">April 2024 Salary scale </v>
      </c>
      <c r="I1762">
        <f>1*4*(workminutespa/12/5102)</f>
        <v>6.9933359466875737</v>
      </c>
      <c r="J1762" t="s">
        <v>460</v>
      </c>
      <c r="K1762" s="85">
        <f t="shared" si="46"/>
        <v>63.774189860185551</v>
      </c>
      <c r="L1762" s="85" t="s">
        <v>1080</v>
      </c>
    </row>
    <row r="1763" spans="1:14">
      <c r="A1763" t="s">
        <v>1454</v>
      </c>
      <c r="B1763" t="s">
        <v>1077</v>
      </c>
      <c r="C1763" t="s">
        <v>460</v>
      </c>
      <c r="D1763" t="s">
        <v>48</v>
      </c>
      <c r="E1763" s="70">
        <f>IF(B1763="","",INDEX(Ingredients!$I$1:$I$5013,(MATCH(InterventionCosts!B1763,Ingredients!$A$1:$A$5013,0))))</f>
        <v>2.1347303967364222</v>
      </c>
      <c r="F1763" s="5" t="str">
        <f>INDEX(Ingredients!J$1:J$265,(MATCH(InterventionCosts!B1763,Ingredients!A$1:A$265,0)))</f>
        <v>per minute</v>
      </c>
      <c r="G1763">
        <f>IF(B1763="","",INDEX(Ingredients!$E$1:$E$238,(MATCH(InterventionCosts!B1763,Ingredients!A$1:A$238,0))))</f>
        <v>2024</v>
      </c>
      <c r="H1763" t="str">
        <f>INDEX(Ingredients!$F$1:$F$318,(MATCH(InterventionCosts!B1763,Ingredients!A$1:A$318,0)))</f>
        <v xml:space="preserve">April 2024 Salary scale </v>
      </c>
      <c r="I1763">
        <f>4*4*(workminutespa/12/5102)</f>
        <v>27.973343786750295</v>
      </c>
      <c r="J1763" t="s">
        <v>460</v>
      </c>
      <c r="K1763" s="85">
        <f t="shared" si="46"/>
        <v>59.715547279933787</v>
      </c>
      <c r="L1763" s="85" t="s">
        <v>1079</v>
      </c>
    </row>
    <row r="1764" spans="1:14">
      <c r="A1764" t="s">
        <v>1454</v>
      </c>
      <c r="B1764" t="s">
        <v>1078</v>
      </c>
      <c r="C1764" t="s">
        <v>460</v>
      </c>
      <c r="D1764" t="s">
        <v>48</v>
      </c>
      <c r="E1764" s="70">
        <f>IF(B1764="","",INDEX(Ingredients!$I$1:$I$5013,(MATCH(InterventionCosts!B1764,Ingredients!$A$1:$A$5013,0))))</f>
        <v>13.503224277528648</v>
      </c>
      <c r="F1764" s="5" t="str">
        <f>INDEX(Ingredients!J$1:J$265,(MATCH(InterventionCosts!B1764,Ingredients!A$1:A$265,0)))</f>
        <v>per minute</v>
      </c>
      <c r="G1764">
        <f>IF(B1764="","",INDEX(Ingredients!$E$1:$E$238,(MATCH(InterventionCosts!B1764,Ingredients!A$1:A$238,0))))</f>
        <v>2024</v>
      </c>
      <c r="H1764" t="str">
        <f>INDEX(Ingredients!$F$1:$F$318,(MATCH(InterventionCosts!B1764,Ingredients!A$1:A$318,0)))</f>
        <v xml:space="preserve">April 2024 Salary scale </v>
      </c>
      <c r="I1764">
        <f>2*4*(workminutespa/12/5102)</f>
        <v>13.986671893375147</v>
      </c>
      <c r="J1764" t="s">
        <v>460</v>
      </c>
      <c r="K1764" s="85">
        <f t="shared" si="46"/>
        <v>188.86516747245088</v>
      </c>
      <c r="L1764" s="85" t="s">
        <v>1084</v>
      </c>
    </row>
    <row r="1765" spans="1:14">
      <c r="A1765" t="s">
        <v>1454</v>
      </c>
      <c r="B1765" t="s">
        <v>477</v>
      </c>
      <c r="C1765" t="s">
        <v>406</v>
      </c>
      <c r="D1765" t="s">
        <v>81</v>
      </c>
      <c r="E1765" s="70">
        <f>IF(B1765="","",INDEX(Ingredients!$I$1:$I$5013,(MATCH(InterventionCosts!B1765,Ingredients!$A$1:$A$5013,0))))</f>
        <v>88.256346376062865</v>
      </c>
      <c r="F1765" s="5" t="str">
        <f>INDEX(Ingredients!J$1:J$265,(MATCH(InterventionCosts!B1765,Ingredients!A$1:A$265,0)))</f>
        <v>per visit</v>
      </c>
      <c r="G1765">
        <f>IF(B1765="","",INDEX(Ingredients!$E$1:$E$238,(MATCH(InterventionCosts!B1765,Ingredients!A$1:A$238,0))))</f>
        <v>2019</v>
      </c>
      <c r="H1765" t="str">
        <f>INDEX(Ingredients!$F$1:$F$318,(MATCH(InterventionCosts!B1765,Ingredients!A$1:A$318,0)))</f>
        <v xml:space="preserve">Long L, Girdwood S, Govender K, Meyer-Rath G, Miot J: Cost and outcomes of routine HIV care and treatment: A comparison of public and private delivery models covering low-income earners in South Africa. Preprint available under DOI: https://doi.org/10.21203/rs.3.rs-960517/v1    </v>
      </c>
      <c r="I1765">
        <v>4</v>
      </c>
      <c r="J1765" t="s">
        <v>485</v>
      </c>
      <c r="K1765" s="85">
        <f t="shared" si="46"/>
        <v>353.02538550425146</v>
      </c>
    </row>
    <row r="1766" spans="1:14" s="89" customFormat="1">
      <c r="A1766" s="4" t="s">
        <v>1454</v>
      </c>
      <c r="F1766" s="89" t="s">
        <v>1164</v>
      </c>
      <c r="K1766" s="90"/>
      <c r="L1766" s="90">
        <f>SUM(K1749:K1765)</f>
        <v>6141.9771467859728</v>
      </c>
      <c r="M1766" s="92"/>
      <c r="N1766" s="4"/>
    </row>
    <row r="1767" spans="1:14" s="89" customFormat="1">
      <c r="A1767" s="4" t="s">
        <v>1454</v>
      </c>
      <c r="F1767" s="89" t="s">
        <v>117</v>
      </c>
      <c r="K1767" s="90"/>
      <c r="L1767" s="90" t="s">
        <v>937</v>
      </c>
    </row>
    <row r="1769" spans="1:14">
      <c r="A1769" t="s">
        <v>1455</v>
      </c>
      <c r="B1769" t="s">
        <v>866</v>
      </c>
      <c r="C1769" t="s">
        <v>459</v>
      </c>
      <c r="D1769" t="s">
        <v>70</v>
      </c>
      <c r="E1769" s="70">
        <f>IF(B1769="","",INDEX(Ingredients!$I$1:$I$5013,(MATCH(InterventionCosts!B1769,Ingredients!$A$1:$A$5013,0))))</f>
        <v>13.383533434462946</v>
      </c>
      <c r="F1769" s="5" t="str">
        <f>INDEX(Ingredients!J$1:J$265,(MATCH(InterventionCosts!B1769,Ingredients!A$1:A$265,0)))</f>
        <v>per day</v>
      </c>
      <c r="G1769">
        <f>IF(B1769="","",INDEX(Ingredients!$E$1:$E$238,(MATCH(InterventionCosts!B1769,Ingredients!A$1:A$238,0))))</f>
        <v>2024</v>
      </c>
      <c r="H1769" t="str">
        <f>INDEX(Ingredients!$F$1:$F$318,(MATCH(InterventionCosts!B1769,Ingredients!A$1:A$318,0)))</f>
        <v>Master Procurement Circular May 2024</v>
      </c>
      <c r="I1769">
        <f>12*30*'ART kids distribution'!$C$14</f>
        <v>294.14634146341461</v>
      </c>
      <c r="J1769" t="s">
        <v>406</v>
      </c>
      <c r="K1769" s="85">
        <f t="shared" ref="K1769:K1786" si="47">I1769*E1769</f>
        <v>3936.7173956005636</v>
      </c>
    </row>
    <row r="1770" spans="1:14">
      <c r="A1770" t="s">
        <v>1455</v>
      </c>
      <c r="B1770" t="s">
        <v>895</v>
      </c>
      <c r="C1770" t="s">
        <v>459</v>
      </c>
      <c r="D1770" t="s">
        <v>70</v>
      </c>
      <c r="E1770" s="70">
        <f>IF(B1770="","",INDEX(Ingredients!$I$1:$I$5013,(MATCH(InterventionCosts!B1770,Ingredients!$A$1:$A$5013,0))))</f>
        <v>9.4072834344629435</v>
      </c>
      <c r="F1770" s="5" t="str">
        <f>INDEX(Ingredients!J$1:J$265,(MATCH(InterventionCosts!B1770,Ingredients!A$1:A$265,0)))</f>
        <v>per day</v>
      </c>
      <c r="G1770">
        <f>IF(B1770="","",INDEX(Ingredients!$E$1:$E$238,(MATCH(InterventionCosts!B1770,Ingredients!A$1:A$238,0))))</f>
        <v>2024</v>
      </c>
      <c r="H1770" t="str">
        <f>INDEX(Ingredients!$F$1:$F$318,(MATCH(InterventionCosts!B1770,Ingredients!A$1:A$318,0)))</f>
        <v>Master Procurement Circular May 2024</v>
      </c>
      <c r="I1770">
        <f>12*30*'ART kids distribution'!$D$14</f>
        <v>8.7804878048780495</v>
      </c>
      <c r="J1770" t="s">
        <v>406</v>
      </c>
      <c r="K1770" s="85">
        <f t="shared" si="47"/>
        <v>82.600537473333162</v>
      </c>
    </row>
    <row r="1771" spans="1:14">
      <c r="A1771" t="s">
        <v>1455</v>
      </c>
      <c r="B1771" t="s">
        <v>894</v>
      </c>
      <c r="C1771" t="s">
        <v>459</v>
      </c>
      <c r="D1771" t="s">
        <v>70</v>
      </c>
      <c r="E1771" s="70">
        <f>IF(B1771="","",INDEX(Ingredients!$I$1:$I$5013,(MATCH(InterventionCosts!B1771,Ingredients!$A$1:$A$5013,0))))</f>
        <v>20.951533434462945</v>
      </c>
      <c r="F1771" s="5" t="str">
        <f>INDEX(Ingredients!J$1:J$265,(MATCH(InterventionCosts!B1771,Ingredients!A$1:A$265,0)))</f>
        <v>per day</v>
      </c>
      <c r="G1771">
        <f>IF(B1771="","",INDEX(Ingredients!$E$1:$E$238,(MATCH(InterventionCosts!B1771,Ingredients!A$1:A$238,0))))</f>
        <v>2024</v>
      </c>
      <c r="H1771" t="str">
        <f>INDEX(Ingredients!$F$1:$F$318,(MATCH(InterventionCosts!B1771,Ingredients!A$1:A$318,0)))</f>
        <v>Master Procurement Circular May 2024</v>
      </c>
      <c r="I1771">
        <f>12*30*'ART kids distribution'!$F$14</f>
        <v>57.073170731707314</v>
      </c>
      <c r="J1771" t="s">
        <v>406</v>
      </c>
      <c r="K1771" s="85">
        <f t="shared" si="47"/>
        <v>1195.7704447961778</v>
      </c>
    </row>
    <row r="1772" spans="1:14">
      <c r="A1772" t="s">
        <v>1455</v>
      </c>
      <c r="B1772" t="s">
        <v>858</v>
      </c>
      <c r="C1772" t="s">
        <v>459</v>
      </c>
      <c r="D1772" t="s">
        <v>75</v>
      </c>
      <c r="E1772" s="70">
        <f>IF(B1772="","",INDEX(Ingredients!$I$1:$I$5013,(MATCH(InterventionCosts!B1772,Ingredients!$A$1:$A$5013,0))))</f>
        <v>495.08531887209995</v>
      </c>
      <c r="F1772" s="5" t="str">
        <f>INDEX(Ingredients!J$1:J$265,(MATCH(InterventionCosts!B1772,Ingredients!A$1:A$265,0)))</f>
        <v>per test</v>
      </c>
      <c r="G1772">
        <f>IF(B1772="","",INDEX(Ingredients!$E$1:$E$238,(MATCH(InterventionCosts!B1772,Ingredients!A$1:A$238,0))))</f>
        <v>2021</v>
      </c>
      <c r="H1772" t="str">
        <f>INDEX(Ingredients!$F$1:$F$318,(MATCH(InterventionCosts!B1772,Ingredients!A$1:A$318,0)))</f>
        <v>NHLS 2021 price-list</v>
      </c>
      <c r="I1772">
        <v>2</v>
      </c>
      <c r="J1772" t="s">
        <v>459</v>
      </c>
      <c r="K1772" s="85">
        <f t="shared" si="47"/>
        <v>990.17063774419989</v>
      </c>
    </row>
    <row r="1773" spans="1:14">
      <c r="A1773" t="s">
        <v>1455</v>
      </c>
      <c r="B1773" t="s">
        <v>458</v>
      </c>
      <c r="C1773" t="s">
        <v>459</v>
      </c>
      <c r="D1773" t="s">
        <v>75</v>
      </c>
      <c r="E1773" s="70">
        <f>IF(B1773="","",INDEX(Ingredients!$I$1:$I$5013,(MATCH(InterventionCosts!B1773,Ingredients!$A$1:$A$5013,0))))</f>
        <v>86.59037211495</v>
      </c>
      <c r="F1773" s="5" t="str">
        <f>INDEX(Ingredients!J$1:J$265,(MATCH(InterventionCosts!B1773,Ingredients!A$1:A$265,0)))</f>
        <v>per test</v>
      </c>
      <c r="G1773">
        <f>IF(B1773="","",INDEX(Ingredients!$E$1:$E$238,(MATCH(InterventionCosts!B1773,Ingredients!A$1:A$238,0))))</f>
        <v>2021</v>
      </c>
      <c r="H1773" t="str">
        <f>INDEX(Ingredients!$F$1:$F$318,(MATCH(InterventionCosts!B1773,Ingredients!A$1:A$318,0)))</f>
        <v>NHLS 2021 price-list</v>
      </c>
      <c r="I1773">
        <v>1</v>
      </c>
      <c r="J1773" t="s">
        <v>459</v>
      </c>
      <c r="K1773" s="85">
        <f t="shared" si="47"/>
        <v>86.59037211495</v>
      </c>
    </row>
    <row r="1774" spans="1:14">
      <c r="A1774" t="s">
        <v>1455</v>
      </c>
      <c r="B1774" t="s">
        <v>52</v>
      </c>
      <c r="C1774" t="s">
        <v>460</v>
      </c>
      <c r="D1774" t="s">
        <v>48</v>
      </c>
      <c r="E1774" s="70">
        <f>IF(B1774="","",INDEX(Ingredients!$I$1:$I$5013,(MATCH(InterventionCosts!B1774,Ingredients!$A$1:$A$5013,0))))</f>
        <v>1.8019482436472347</v>
      </c>
      <c r="F1774" s="5" t="str">
        <f>INDEX(Ingredients!J$1:J$265,(MATCH(InterventionCosts!B1774,Ingredients!A$1:A$265,0)))</f>
        <v>per minute</v>
      </c>
      <c r="G1774">
        <f>IF(B1774="","",INDEX(Ingredients!$E$1:$E$238,(MATCH(InterventionCosts!B1774,Ingredients!A$1:A$238,0))))</f>
        <v>2024</v>
      </c>
      <c r="H1774" t="str">
        <f>INDEX(Ingredients!$F$1:$F$318,(MATCH(InterventionCosts!B1774,Ingredients!A$1:A$318,0)))</f>
        <v xml:space="preserve">April 2024 Salary scale </v>
      </c>
      <c r="I1774">
        <f>4*7.54*(workminutespa/12/5102)</f>
        <v>52.729753038024306</v>
      </c>
      <c r="J1774" t="s">
        <v>460</v>
      </c>
      <c r="K1774" s="85">
        <f t="shared" si="47"/>
        <v>95.01628587482034</v>
      </c>
      <c r="L1774" s="85" t="s">
        <v>1097</v>
      </c>
    </row>
    <row r="1775" spans="1:14">
      <c r="A1775" t="s">
        <v>1455</v>
      </c>
      <c r="B1775" t="s">
        <v>55</v>
      </c>
      <c r="C1775" t="s">
        <v>460</v>
      </c>
      <c r="D1775" t="s">
        <v>48</v>
      </c>
      <c r="E1775" s="70">
        <f>IF(B1775="","",INDEX(Ingredients!$I$1:$I$5013,(MATCH(InterventionCosts!B1775,Ingredients!$A$1:$A$5013,0))))</f>
        <v>1.8549350710014947</v>
      </c>
      <c r="F1775" s="5" t="str">
        <f>INDEX(Ingredients!J$1:J$265,(MATCH(InterventionCosts!B1775,Ingredients!A$1:A$265,0)))</f>
        <v>per minute</v>
      </c>
      <c r="G1775">
        <f>IF(B1775="","",INDEX(Ingredients!$E$1:$E$238,(MATCH(InterventionCosts!B1775,Ingredients!A$1:A$238,0))))</f>
        <v>2024</v>
      </c>
      <c r="H1775" t="str">
        <f>INDEX(Ingredients!$F$1:$F$318,(MATCH(InterventionCosts!B1775,Ingredients!A$1:A$318,0)))</f>
        <v xml:space="preserve">April 2024 Salary scale </v>
      </c>
      <c r="I1775">
        <f>4*7.54*(workminutespa/12/5102)</f>
        <v>52.729753038024306</v>
      </c>
      <c r="J1775" t="s">
        <v>460</v>
      </c>
      <c r="K1775" s="85">
        <f t="shared" si="47"/>
        <v>97.810268195478898</v>
      </c>
      <c r="L1775" s="85" t="s">
        <v>1097</v>
      </c>
    </row>
    <row r="1776" spans="1:14">
      <c r="A1776" t="s">
        <v>1455</v>
      </c>
      <c r="B1776" t="s">
        <v>1070</v>
      </c>
      <c r="C1776" t="s">
        <v>460</v>
      </c>
      <c r="D1776" t="s">
        <v>48</v>
      </c>
      <c r="E1776" s="70">
        <f>IF(B1776="","",INDEX(Ingredients!$I$1:$I$5013,(MATCH(InterventionCosts!B1776,Ingredients!$A$1:$A$5013,0))))</f>
        <v>2.443981128550075</v>
      </c>
      <c r="F1776" s="5" t="str">
        <f>INDEX(Ingredients!J$1:J$265,(MATCH(InterventionCosts!B1776,Ingredients!A$1:A$265,0)))</f>
        <v>per minute</v>
      </c>
      <c r="G1776">
        <f>IF(B1776="","",INDEX(Ingredients!$E$1:$E$238,(MATCH(InterventionCosts!B1776,Ingredients!A$1:A$238,0))))</f>
        <v>2024</v>
      </c>
      <c r="H1776" t="str">
        <f>INDEX(Ingredients!$F$1:$F$318,(MATCH(InterventionCosts!B1776,Ingredients!A$1:A$318,0)))</f>
        <v xml:space="preserve">April 2024 Salary scale </v>
      </c>
      <c r="I1776">
        <f>1*7.54*(workminutespa/12/5102)</f>
        <v>13.182438259506077</v>
      </c>
      <c r="J1776" t="s">
        <v>460</v>
      </c>
      <c r="K1776" s="85">
        <f t="shared" si="47"/>
        <v>32.217630334509344</v>
      </c>
      <c r="L1776" s="85" t="s">
        <v>1098</v>
      </c>
    </row>
    <row r="1777" spans="1:14">
      <c r="A1777" t="s">
        <v>1455</v>
      </c>
      <c r="B1777" t="s">
        <v>51</v>
      </c>
      <c r="C1777" t="s">
        <v>460</v>
      </c>
      <c r="D1777" t="s">
        <v>48</v>
      </c>
      <c r="E1777" s="70">
        <f>IF(B1777="","",INDEX(Ingredients!$I$1:$I$5013,(MATCH(InterventionCosts!B1777,Ingredients!$A$1:$A$5013,0))))</f>
        <v>4100.2266666666665</v>
      </c>
      <c r="F1777" s="5" t="str">
        <f>INDEX(Ingredients!J$1:J$265,(MATCH(InterventionCosts!B1777,Ingredients!A$1:A$265,0)))</f>
        <v>per month</v>
      </c>
      <c r="G1777">
        <f>IF(B1777="","",INDEX(Ingredients!$E$1:$E$238,(MATCH(InterventionCosts!B1777,Ingredients!A$1:A$238,0))))</f>
        <v>2024</v>
      </c>
      <c r="H1777" t="str">
        <f>INDEX(Ingredients!$F$1:$F$318,(MATCH(InterventionCosts!B1777,Ingredients!A$1:A$318,0)))</f>
        <v>https://www.gov.za/news/media-statements/government-activities/minister-thulas-nxesi-announces-national-minimum-wage</v>
      </c>
      <c r="I1777">
        <f>1*7.54*(1/5102)</f>
        <v>1.4778518228145826E-3</v>
      </c>
      <c r="J1777" t="s">
        <v>460</v>
      </c>
      <c r="K1777" s="85">
        <f t="shared" si="47"/>
        <v>6.0595274532862931</v>
      </c>
      <c r="L1777" s="85" t="s">
        <v>1098</v>
      </c>
    </row>
    <row r="1778" spans="1:14">
      <c r="A1778" t="s">
        <v>1455</v>
      </c>
      <c r="B1778" t="s">
        <v>54</v>
      </c>
      <c r="C1778" t="s">
        <v>460</v>
      </c>
      <c r="D1778" t="s">
        <v>48</v>
      </c>
      <c r="E1778" s="70">
        <f>IF(B1778="","",INDEX(Ingredients!$I$1:$I$5013,(MATCH(InterventionCosts!B1778,Ingredients!$A$1:$A$5013,0))))</f>
        <v>1.2444366591928251</v>
      </c>
      <c r="F1778" s="5" t="str">
        <f>INDEX(Ingredients!J$1:J$265,(MATCH(InterventionCosts!B1778,Ingredients!A$1:A$265,0)))</f>
        <v>per minute</v>
      </c>
      <c r="G1778">
        <f>IF(B1778="","",INDEX(Ingredients!$E$1:$E$238,(MATCH(InterventionCosts!B1778,Ingredients!A$1:A$238,0))))</f>
        <v>2024</v>
      </c>
      <c r="H1778" t="str">
        <f>INDEX(Ingredients!$F$1:$F$318,(MATCH(InterventionCosts!B1778,Ingredients!A$1:A$318,0)))</f>
        <v xml:space="preserve">April 2024 Salary scale </v>
      </c>
      <c r="I1778">
        <f>8*7.54*(workminutespa/12/5102)</f>
        <v>105.45950607604861</v>
      </c>
      <c r="J1778" t="s">
        <v>460</v>
      </c>
      <c r="K1778" s="85">
        <f t="shared" si="47"/>
        <v>131.23767542140337</v>
      </c>
      <c r="L1778" s="85" t="s">
        <v>1099</v>
      </c>
    </row>
    <row r="1779" spans="1:14">
      <c r="A1779" t="s">
        <v>1455</v>
      </c>
      <c r="B1779" t="s">
        <v>354</v>
      </c>
      <c r="C1779" t="s">
        <v>460</v>
      </c>
      <c r="D1779" t="s">
        <v>48</v>
      </c>
      <c r="E1779" s="70">
        <f>IF(B1779="","",INDEX(Ingredients!$I$1:$I$5013,(MATCH(InterventionCosts!B1779,Ingredients!$A$1:$A$5013,0))))</f>
        <v>4.8996605630293981</v>
      </c>
      <c r="F1779" s="5" t="str">
        <f>INDEX(Ingredients!J$1:J$265,(MATCH(InterventionCosts!B1779,Ingredients!A$1:A$265,0)))</f>
        <v>per minute</v>
      </c>
      <c r="G1779">
        <f>IF(B1779="","",INDEX(Ingredients!$E$1:$E$238,(MATCH(InterventionCosts!B1779,Ingredients!A$1:A$238,0))))</f>
        <v>2024</v>
      </c>
      <c r="H1779" t="str">
        <f>INDEX(Ingredients!$F$1:$F$318,(MATCH(InterventionCosts!B1779,Ingredients!A$1:A$318,0)))</f>
        <v xml:space="preserve">April 2024 Salary scale </v>
      </c>
      <c r="I1779">
        <f>16*7.54*(workminutespa/12/5102)</f>
        <v>210.91901215209722</v>
      </c>
      <c r="J1779" t="s">
        <v>460</v>
      </c>
      <c r="K1779" s="85">
        <f t="shared" si="47"/>
        <v>1033.4315658347491</v>
      </c>
      <c r="L1779" s="85" t="s">
        <v>1100</v>
      </c>
    </row>
    <row r="1780" spans="1:14">
      <c r="A1780" t="s">
        <v>1455</v>
      </c>
      <c r="B1780" t="s">
        <v>286</v>
      </c>
      <c r="C1780" t="s">
        <v>460</v>
      </c>
      <c r="D1780" t="s">
        <v>48</v>
      </c>
      <c r="E1780" s="70">
        <f>IF(B1780="","",INDEX(Ingredients!$I$1:$I$5013,(MATCH(InterventionCosts!B1780,Ingredients!$A$1:$A$5013,0))))</f>
        <v>3.2392279521674139</v>
      </c>
      <c r="F1780" s="5" t="str">
        <f>INDEX(Ingredients!J$1:J$265,(MATCH(InterventionCosts!B1780,Ingredients!A$1:A$265,0)))</f>
        <v>per minute</v>
      </c>
      <c r="G1780">
        <f>IF(B1780="","",INDEX(Ingredients!$E$1:$E$238,(MATCH(InterventionCosts!B1780,Ingredients!A$1:A$238,0))))</f>
        <v>2024</v>
      </c>
      <c r="H1780" t="str">
        <f>INDEX(Ingredients!$F$1:$F$318,(MATCH(InterventionCosts!B1780,Ingredients!A$1:A$318,0)))</f>
        <v xml:space="preserve">April 2024 Salary scale </v>
      </c>
      <c r="I1780">
        <f>4*7.54*(workminutespa/12/5102)</f>
        <v>52.729753038024306</v>
      </c>
      <c r="J1780" t="s">
        <v>460</v>
      </c>
      <c r="K1780" s="85">
        <f t="shared" si="47"/>
        <v>170.80368995165296</v>
      </c>
      <c r="L1780" s="85" t="s">
        <v>1097</v>
      </c>
    </row>
    <row r="1781" spans="1:14">
      <c r="A1781" t="s">
        <v>1455</v>
      </c>
      <c r="B1781" t="s">
        <v>1072</v>
      </c>
      <c r="C1781" t="s">
        <v>460</v>
      </c>
      <c r="D1781" t="s">
        <v>48</v>
      </c>
      <c r="E1781" s="70">
        <f>IF(B1781="","",INDEX(Ingredients!$I$1:$I$5013,(MATCH(InterventionCosts!B1781,Ingredients!$A$1:$A$5013,0))))</f>
        <v>2.5530496387643251</v>
      </c>
      <c r="F1781" s="5" t="str">
        <f>INDEX(Ingredients!J$1:J$265,(MATCH(InterventionCosts!B1781,Ingredients!A$1:A$265,0)))</f>
        <v>per minute</v>
      </c>
      <c r="G1781">
        <f>IF(B1781="","",INDEX(Ingredients!$E$1:$E$238,(MATCH(InterventionCosts!B1781,Ingredients!A$1:A$238,0))))</f>
        <v>2024</v>
      </c>
      <c r="H1781" t="str">
        <f>INDEX(Ingredients!$F$1:$F$318,(MATCH(InterventionCosts!B1781,Ingredients!A$1:A$318,0)))</f>
        <v xml:space="preserve">April 2024 Salary scale </v>
      </c>
      <c r="I1781">
        <f>1*7.54*(workminutespa/12/5102)</f>
        <v>13.182438259506077</v>
      </c>
      <c r="J1781" t="s">
        <v>460</v>
      </c>
      <c r="K1781" s="85">
        <f t="shared" si="47"/>
        <v>33.655419236465008</v>
      </c>
      <c r="L1781" s="85" t="s">
        <v>1098</v>
      </c>
    </row>
    <row r="1782" spans="1:14">
      <c r="A1782" t="s">
        <v>1455</v>
      </c>
      <c r="B1782" t="s">
        <v>1074</v>
      </c>
      <c r="C1782" t="s">
        <v>460</v>
      </c>
      <c r="D1782" t="s">
        <v>48</v>
      </c>
      <c r="E1782" s="70">
        <f>IF(B1782="","",INDEX(Ingredients!$I$1:$I$5013,(MATCH(InterventionCosts!B1782,Ingredients!$A$1:$A$5013,0))))</f>
        <v>2076.8733333333334</v>
      </c>
      <c r="F1782" s="5" t="str">
        <f>INDEX(Ingredients!J$1:J$265,(MATCH(InterventionCosts!B1782,Ingredients!A$1:A$265,0)))</f>
        <v>per month</v>
      </c>
      <c r="G1782">
        <f>IF(B1782="","",INDEX(Ingredients!$E$1:$E$238,(MATCH(InterventionCosts!B1782,Ingredients!A$1:A$238,0))))</f>
        <v>2024</v>
      </c>
      <c r="H1782" t="str">
        <f>INDEX(Ingredients!$F$1:$F$318,(MATCH(InterventionCosts!B1782,Ingredients!A$1:A$318,0)))</f>
        <v>https://www.gov.za/speeches/minister-thulas-nxesi-hikes-minimum-wage-farmworkers-and-domestic-workers-22-feb-2023-0000</v>
      </c>
      <c r="I1782">
        <f>13*7.54*(1/5102)</f>
        <v>1.921207369658957E-2</v>
      </c>
      <c r="J1782" t="s">
        <v>460</v>
      </c>
      <c r="K1782" s="85">
        <f t="shared" si="47"/>
        <v>39.901043538481638</v>
      </c>
      <c r="L1782" s="85" t="s">
        <v>1101</v>
      </c>
    </row>
    <row r="1783" spans="1:14">
      <c r="A1783" t="s">
        <v>1455</v>
      </c>
      <c r="B1783" t="s">
        <v>60</v>
      </c>
      <c r="C1783" t="s">
        <v>460</v>
      </c>
      <c r="D1783" t="s">
        <v>48</v>
      </c>
      <c r="E1783" s="70">
        <f>IF(B1783="","",INDEX(Ingredients!$I$1:$I$5013,(MATCH(InterventionCosts!B1783,Ingredients!$A$1:$A$5013,0))))</f>
        <v>9.1192801756352768</v>
      </c>
      <c r="F1783" s="5" t="str">
        <f>INDEX(Ingredients!J$1:J$265,(MATCH(InterventionCosts!B1783,Ingredients!A$1:A$265,0)))</f>
        <v>per minute</v>
      </c>
      <c r="G1783">
        <f>IF(B1783="","",INDEX(Ingredients!$E$1:$E$238,(MATCH(InterventionCosts!B1783,Ingredients!A$1:A$238,0))))</f>
        <v>2024</v>
      </c>
      <c r="H1783" t="str">
        <f>INDEX(Ingredients!$F$1:$F$318,(MATCH(InterventionCosts!B1783,Ingredients!A$1:A$318,0)))</f>
        <v xml:space="preserve">April 2024 Salary scale </v>
      </c>
      <c r="I1783">
        <f>1*7.54*(workminutespa/12/5102)</f>
        <v>13.182438259506077</v>
      </c>
      <c r="J1783" t="s">
        <v>460</v>
      </c>
      <c r="K1783" s="85">
        <f t="shared" si="47"/>
        <v>120.21434788644977</v>
      </c>
      <c r="L1783" s="85" t="s">
        <v>1098</v>
      </c>
    </row>
    <row r="1784" spans="1:14">
      <c r="A1784" t="s">
        <v>1455</v>
      </c>
      <c r="B1784" t="s">
        <v>1077</v>
      </c>
      <c r="C1784" t="s">
        <v>460</v>
      </c>
      <c r="D1784" t="s">
        <v>48</v>
      </c>
      <c r="E1784" s="70">
        <f>IF(B1784="","",INDEX(Ingredients!$I$1:$I$5013,(MATCH(InterventionCosts!B1784,Ingredients!$A$1:$A$5013,0))))</f>
        <v>2.1347303967364222</v>
      </c>
      <c r="F1784" s="5" t="str">
        <f>INDEX(Ingredients!J$1:J$265,(MATCH(InterventionCosts!B1784,Ingredients!A$1:A$265,0)))</f>
        <v>per minute</v>
      </c>
      <c r="G1784">
        <f>IF(B1784="","",INDEX(Ingredients!$E$1:$E$238,(MATCH(InterventionCosts!B1784,Ingredients!A$1:A$238,0))))</f>
        <v>2024</v>
      </c>
      <c r="H1784" t="str">
        <f>INDEX(Ingredients!$F$1:$F$318,(MATCH(InterventionCosts!B1784,Ingredients!A$1:A$318,0)))</f>
        <v xml:space="preserve">April 2024 Salary scale </v>
      </c>
      <c r="I1784">
        <f>4*7.54*(workminutespa/12/5102)</f>
        <v>52.729753038024306</v>
      </c>
      <c r="J1784" t="s">
        <v>460</v>
      </c>
      <c r="K1784" s="85">
        <f t="shared" si="47"/>
        <v>112.56380662267519</v>
      </c>
      <c r="L1784" s="85" t="s">
        <v>1097</v>
      </c>
    </row>
    <row r="1785" spans="1:14">
      <c r="A1785" t="s">
        <v>1455</v>
      </c>
      <c r="B1785" t="s">
        <v>1078</v>
      </c>
      <c r="C1785" t="s">
        <v>460</v>
      </c>
      <c r="D1785" t="s">
        <v>48</v>
      </c>
      <c r="E1785" s="70">
        <f>IF(B1785="","",INDEX(Ingredients!$I$1:$I$5013,(MATCH(InterventionCosts!B1785,Ingredients!$A$1:$A$5013,0))))</f>
        <v>13.503224277528648</v>
      </c>
      <c r="F1785" s="5" t="str">
        <f>INDEX(Ingredients!J$1:J$265,(MATCH(InterventionCosts!B1785,Ingredients!A$1:A$265,0)))</f>
        <v>per minute</v>
      </c>
      <c r="G1785">
        <f>IF(B1785="","",INDEX(Ingredients!$E$1:$E$238,(MATCH(InterventionCosts!B1785,Ingredients!A$1:A$238,0))))</f>
        <v>2024</v>
      </c>
      <c r="H1785" t="str">
        <f>INDEX(Ingredients!$F$1:$F$318,(MATCH(InterventionCosts!B1785,Ingredients!A$1:A$318,0)))</f>
        <v xml:space="preserve">April 2024 Salary scale </v>
      </c>
      <c r="I1785">
        <f>2*7.54*(workminutespa/12/5102)</f>
        <v>26.364876519012153</v>
      </c>
      <c r="J1785" t="s">
        <v>460</v>
      </c>
      <c r="K1785" s="85">
        <f t="shared" si="47"/>
        <v>356.01084068556992</v>
      </c>
      <c r="L1785" s="85" t="s">
        <v>1102</v>
      </c>
    </row>
    <row r="1786" spans="1:14">
      <c r="A1786" t="s">
        <v>1455</v>
      </c>
      <c r="B1786" t="s">
        <v>477</v>
      </c>
      <c r="C1786" t="s">
        <v>406</v>
      </c>
      <c r="D1786" t="s">
        <v>81</v>
      </c>
      <c r="E1786" s="70">
        <f>IF(B1786="","",INDEX(Ingredients!$I$1:$I$5013,(MATCH(InterventionCosts!B1786,Ingredients!$A$1:$A$5013,0))))</f>
        <v>88.256346376062865</v>
      </c>
      <c r="F1786" s="5" t="str">
        <f>INDEX(Ingredients!J$1:J$265,(MATCH(InterventionCosts!B1786,Ingredients!A$1:A$265,0)))</f>
        <v>per visit</v>
      </c>
      <c r="G1786">
        <f>IF(B1786="","",INDEX(Ingredients!$E$1:$E$238,(MATCH(InterventionCosts!B1786,Ingredients!A$1:A$238,0))))</f>
        <v>2019</v>
      </c>
      <c r="H1786" t="str">
        <f>INDEX(Ingredients!$F$1:$F$318,(MATCH(InterventionCosts!B1786,Ingredients!A$1:A$318,0)))</f>
        <v xml:space="preserve">Long L, Girdwood S, Govender K, Meyer-Rath G, Miot J: Cost and outcomes of routine HIV care and treatment: A comparison of public and private delivery models covering low-income earners in South Africa. Preprint available under DOI: https://doi.org/10.21203/rs.3.rs-960517/v1    </v>
      </c>
      <c r="I1786">
        <f>PPPvisitperpt</f>
        <v>7.54</v>
      </c>
      <c r="J1786" t="s">
        <v>485</v>
      </c>
      <c r="K1786" s="85">
        <f t="shared" si="47"/>
        <v>665.45285167551401</v>
      </c>
    </row>
    <row r="1787" spans="1:14" s="89" customFormat="1">
      <c r="A1787" s="4" t="s">
        <v>1455</v>
      </c>
      <c r="F1787" s="89" t="s">
        <v>1164</v>
      </c>
      <c r="K1787" s="90"/>
      <c r="L1787" s="90">
        <f>SUM(K1769:K1786)</f>
        <v>9186.2243404402798</v>
      </c>
      <c r="M1787" s="92"/>
      <c r="N1787" s="4"/>
    </row>
    <row r="1788" spans="1:14" s="89" customFormat="1">
      <c r="A1788" s="4" t="s">
        <v>1455</v>
      </c>
      <c r="F1788" s="89" t="s">
        <v>117</v>
      </c>
      <c r="K1788" s="90"/>
      <c r="L1788" s="90" t="s">
        <v>937</v>
      </c>
    </row>
    <row r="1790" spans="1:14">
      <c r="A1790" t="s">
        <v>1456</v>
      </c>
      <c r="B1790" t="s">
        <v>866</v>
      </c>
      <c r="C1790" t="s">
        <v>459</v>
      </c>
      <c r="D1790" t="s">
        <v>70</v>
      </c>
      <c r="E1790" s="70">
        <f>IF(B1790="","",INDEX(Ingredients!$I$1:$I$5013,(MATCH(InterventionCosts!B1790,Ingredients!$A$1:$A$5013,0))))</f>
        <v>13.383533434462946</v>
      </c>
      <c r="F1790" s="5" t="str">
        <f>INDEX(Ingredients!J$1:J$265,(MATCH(InterventionCosts!B1790,Ingredients!A$1:A$265,0)))</f>
        <v>per day</v>
      </c>
      <c r="G1790">
        <f>IF(B1790="","",INDEX(Ingredients!$E$1:$E$238,(MATCH(InterventionCosts!B1790,Ingredients!A$1:A$238,0))))</f>
        <v>2024</v>
      </c>
      <c r="H1790" t="str">
        <f>INDEX(Ingredients!$F$1:$F$318,(MATCH(InterventionCosts!B1790,Ingredients!A$1:A$318,0)))</f>
        <v>Master Procurement Circular May 2024</v>
      </c>
      <c r="I1790">
        <f>12*30*'ART kids distribution'!$C$14</f>
        <v>294.14634146341461</v>
      </c>
      <c r="J1790" t="s">
        <v>406</v>
      </c>
      <c r="K1790" s="85">
        <f t="shared" ref="K1790:K1807" si="48">I1790*E1790</f>
        <v>3936.7173956005636</v>
      </c>
    </row>
    <row r="1791" spans="1:14">
      <c r="A1791" t="s">
        <v>1456</v>
      </c>
      <c r="B1791" t="s">
        <v>895</v>
      </c>
      <c r="C1791" t="s">
        <v>459</v>
      </c>
      <c r="D1791" t="s">
        <v>70</v>
      </c>
      <c r="E1791" s="70">
        <f>IF(B1791="","",INDEX(Ingredients!$I$1:$I$5013,(MATCH(InterventionCosts!B1791,Ingredients!$A$1:$A$5013,0))))</f>
        <v>9.4072834344629435</v>
      </c>
      <c r="F1791" s="5" t="str">
        <f>INDEX(Ingredients!J$1:J$265,(MATCH(InterventionCosts!B1791,Ingredients!A$1:A$265,0)))</f>
        <v>per day</v>
      </c>
      <c r="G1791">
        <f>IF(B1791="","",INDEX(Ingredients!$E$1:$E$238,(MATCH(InterventionCosts!B1791,Ingredients!A$1:A$238,0))))</f>
        <v>2024</v>
      </c>
      <c r="H1791" t="str">
        <f>INDEX(Ingredients!$F$1:$F$318,(MATCH(InterventionCosts!B1791,Ingredients!A$1:A$318,0)))</f>
        <v>Master Procurement Circular May 2024</v>
      </c>
      <c r="I1791">
        <f>12*30*'ART kids distribution'!$D$14</f>
        <v>8.7804878048780495</v>
      </c>
      <c r="J1791" t="s">
        <v>406</v>
      </c>
      <c r="K1791" s="85">
        <f t="shared" si="48"/>
        <v>82.600537473333162</v>
      </c>
    </row>
    <row r="1792" spans="1:14">
      <c r="A1792" t="s">
        <v>1456</v>
      </c>
      <c r="B1792" t="s">
        <v>894</v>
      </c>
      <c r="C1792" t="s">
        <v>459</v>
      </c>
      <c r="D1792" t="s">
        <v>70</v>
      </c>
      <c r="E1792" s="70">
        <f>IF(B1792="","",INDEX(Ingredients!$I$1:$I$5013,(MATCH(InterventionCosts!B1792,Ingredients!$A$1:$A$5013,0))))</f>
        <v>20.951533434462945</v>
      </c>
      <c r="F1792" s="5" t="str">
        <f>INDEX(Ingredients!J$1:J$265,(MATCH(InterventionCosts!B1792,Ingredients!A$1:A$265,0)))</f>
        <v>per day</v>
      </c>
      <c r="G1792">
        <f>IF(B1792="","",INDEX(Ingredients!$E$1:$E$238,(MATCH(InterventionCosts!B1792,Ingredients!A$1:A$238,0))))</f>
        <v>2024</v>
      </c>
      <c r="H1792" t="str">
        <f>INDEX(Ingredients!$F$1:$F$318,(MATCH(InterventionCosts!B1792,Ingredients!A$1:A$318,0)))</f>
        <v>Master Procurement Circular May 2024</v>
      </c>
      <c r="I1792">
        <f>12*30*'ART kids distribution'!$F$14</f>
        <v>57.073170731707314</v>
      </c>
      <c r="J1792" t="s">
        <v>406</v>
      </c>
      <c r="K1792" s="85">
        <f t="shared" si="48"/>
        <v>1195.7704447961778</v>
      </c>
    </row>
    <row r="1793" spans="1:14">
      <c r="A1793" t="s">
        <v>1456</v>
      </c>
      <c r="B1793" t="s">
        <v>858</v>
      </c>
      <c r="C1793" t="s">
        <v>459</v>
      </c>
      <c r="D1793" t="s">
        <v>75</v>
      </c>
      <c r="E1793" s="70">
        <f>IF(B1793="","",INDEX(Ingredients!$I$1:$I$5013,(MATCH(InterventionCosts!B1793,Ingredients!$A$1:$A$5013,0))))</f>
        <v>495.08531887209995</v>
      </c>
      <c r="F1793" s="5" t="str">
        <f>INDEX(Ingredients!J$1:J$265,(MATCH(InterventionCosts!B1793,Ingredients!A$1:A$265,0)))</f>
        <v>per test</v>
      </c>
      <c r="G1793">
        <f>IF(B1793="","",INDEX(Ingredients!$E$1:$E$238,(MATCH(InterventionCosts!B1793,Ingredients!A$1:A$238,0))))</f>
        <v>2021</v>
      </c>
      <c r="H1793" t="str">
        <f>INDEX(Ingredients!$F$1:$F$318,(MATCH(InterventionCosts!B1793,Ingredients!A$1:A$318,0)))</f>
        <v>NHLS 2021 price-list</v>
      </c>
      <c r="I1793">
        <v>1</v>
      </c>
      <c r="J1793" t="s">
        <v>459</v>
      </c>
      <c r="K1793" s="85">
        <f t="shared" si="48"/>
        <v>495.08531887209995</v>
      </c>
    </row>
    <row r="1794" spans="1:14">
      <c r="A1794" t="s">
        <v>1456</v>
      </c>
      <c r="B1794" t="s">
        <v>458</v>
      </c>
      <c r="C1794" t="s">
        <v>459</v>
      </c>
      <c r="D1794" t="s">
        <v>75</v>
      </c>
      <c r="E1794" s="70">
        <f>IF(B1794="","",INDEX(Ingredients!$I$1:$I$5013,(MATCH(InterventionCosts!B1794,Ingredients!$A$1:$A$5013,0))))</f>
        <v>86.59037211495</v>
      </c>
      <c r="F1794" s="5" t="str">
        <f>INDEX(Ingredients!J$1:J$265,(MATCH(InterventionCosts!B1794,Ingredients!A$1:A$265,0)))</f>
        <v>per test</v>
      </c>
      <c r="G1794">
        <f>IF(B1794="","",INDEX(Ingredients!$E$1:$E$238,(MATCH(InterventionCosts!B1794,Ingredients!A$1:A$238,0))))</f>
        <v>2021</v>
      </c>
      <c r="H1794" t="str">
        <f>INDEX(Ingredients!$F$1:$F$318,(MATCH(InterventionCosts!B1794,Ingredients!A$1:A$318,0)))</f>
        <v>NHLS 2021 price-list</v>
      </c>
      <c r="I1794">
        <v>1</v>
      </c>
      <c r="J1794" t="s">
        <v>459</v>
      </c>
      <c r="K1794" s="85">
        <f t="shared" si="48"/>
        <v>86.59037211495</v>
      </c>
    </row>
    <row r="1795" spans="1:14">
      <c r="A1795" t="s">
        <v>1456</v>
      </c>
      <c r="B1795" t="s">
        <v>52</v>
      </c>
      <c r="C1795" t="s">
        <v>460</v>
      </c>
      <c r="D1795" t="s">
        <v>48</v>
      </c>
      <c r="E1795" s="70">
        <f>IF(B1795="","",INDEX(Ingredients!$I$1:$I$5013,(MATCH(InterventionCosts!B1795,Ingredients!$A$1:$A$5013,0))))</f>
        <v>1.8019482436472347</v>
      </c>
      <c r="F1795" s="5" t="str">
        <f>INDEX(Ingredients!J$1:J$265,(MATCH(InterventionCosts!B1795,Ingredients!A$1:A$265,0)))</f>
        <v>per minute</v>
      </c>
      <c r="G1795">
        <f>IF(B1795="","",INDEX(Ingredients!$E$1:$E$238,(MATCH(InterventionCosts!B1795,Ingredients!A$1:A$238,0))))</f>
        <v>2024</v>
      </c>
      <c r="H1795" t="str">
        <f>INDEX(Ingredients!$F$1:$F$318,(MATCH(InterventionCosts!B1795,Ingredients!A$1:A$318,0)))</f>
        <v xml:space="preserve">April 2024 Salary scale </v>
      </c>
      <c r="I1795">
        <f>4*4*(workminutespa/12/5102)</f>
        <v>27.973343786750295</v>
      </c>
      <c r="J1795" t="s">
        <v>460</v>
      </c>
      <c r="K1795" s="85">
        <f t="shared" si="48"/>
        <v>50.406517705474982</v>
      </c>
      <c r="L1795" s="85" t="s">
        <v>1079</v>
      </c>
    </row>
    <row r="1796" spans="1:14">
      <c r="A1796" t="s">
        <v>1456</v>
      </c>
      <c r="B1796" t="s">
        <v>55</v>
      </c>
      <c r="C1796" t="s">
        <v>460</v>
      </c>
      <c r="D1796" t="s">
        <v>48</v>
      </c>
      <c r="E1796" s="70">
        <f>IF(B1796="","",INDEX(Ingredients!$I$1:$I$5013,(MATCH(InterventionCosts!B1796,Ingredients!$A$1:$A$5013,0))))</f>
        <v>1.8549350710014947</v>
      </c>
      <c r="F1796" s="5" t="str">
        <f>INDEX(Ingredients!J$1:J$265,(MATCH(InterventionCosts!B1796,Ingredients!A$1:A$265,0)))</f>
        <v>per minute</v>
      </c>
      <c r="G1796">
        <f>IF(B1796="","",INDEX(Ingredients!$E$1:$E$238,(MATCH(InterventionCosts!B1796,Ingredients!A$1:A$238,0))))</f>
        <v>2024</v>
      </c>
      <c r="H1796" t="str">
        <f>INDEX(Ingredients!$F$1:$F$318,(MATCH(InterventionCosts!B1796,Ingredients!A$1:A$318,0)))</f>
        <v xml:space="preserve">April 2024 Salary scale </v>
      </c>
      <c r="I1796">
        <f>4*4*(workminutespa/12/5102)</f>
        <v>27.973343786750295</v>
      </c>
      <c r="J1796" t="s">
        <v>460</v>
      </c>
      <c r="K1796" s="85">
        <f t="shared" si="48"/>
        <v>51.888736443224879</v>
      </c>
      <c r="L1796" s="85" t="s">
        <v>1079</v>
      </c>
    </row>
    <row r="1797" spans="1:14">
      <c r="A1797" t="s">
        <v>1456</v>
      </c>
      <c r="B1797" t="s">
        <v>1070</v>
      </c>
      <c r="C1797" t="s">
        <v>460</v>
      </c>
      <c r="D1797" t="s">
        <v>48</v>
      </c>
      <c r="E1797" s="70">
        <f>IF(B1797="","",INDEX(Ingredients!$I$1:$I$5013,(MATCH(InterventionCosts!B1797,Ingredients!$A$1:$A$5013,0))))</f>
        <v>2.443981128550075</v>
      </c>
      <c r="F1797" s="5" t="str">
        <f>INDEX(Ingredients!J$1:J$265,(MATCH(InterventionCosts!B1797,Ingredients!A$1:A$265,0)))</f>
        <v>per minute</v>
      </c>
      <c r="G1797">
        <f>IF(B1797="","",INDEX(Ingredients!$E$1:$E$238,(MATCH(InterventionCosts!B1797,Ingredients!A$1:A$238,0))))</f>
        <v>2024</v>
      </c>
      <c r="H1797" t="str">
        <f>INDEX(Ingredients!$F$1:$F$318,(MATCH(InterventionCosts!B1797,Ingredients!A$1:A$318,0)))</f>
        <v xml:space="preserve">April 2024 Salary scale </v>
      </c>
      <c r="I1797">
        <f>1*4*(workminutespa/12/5102)</f>
        <v>6.9933359466875737</v>
      </c>
      <c r="J1797" t="s">
        <v>460</v>
      </c>
      <c r="K1797" s="85">
        <f t="shared" si="48"/>
        <v>17.091581079315304</v>
      </c>
      <c r="L1797" s="85" t="s">
        <v>1080</v>
      </c>
    </row>
    <row r="1798" spans="1:14">
      <c r="A1798" t="s">
        <v>1456</v>
      </c>
      <c r="B1798" t="s">
        <v>51</v>
      </c>
      <c r="C1798" t="s">
        <v>460</v>
      </c>
      <c r="D1798" t="s">
        <v>48</v>
      </c>
      <c r="E1798" s="70">
        <f>IF(B1798="","",INDEX(Ingredients!$I$1:$I$5013,(MATCH(InterventionCosts!B1798,Ingredients!$A$1:$A$5013,0))))</f>
        <v>4100.2266666666665</v>
      </c>
      <c r="F1798" s="5" t="str">
        <f>INDEX(Ingredients!J$1:J$265,(MATCH(InterventionCosts!B1798,Ingredients!A$1:A$265,0)))</f>
        <v>per month</v>
      </c>
      <c r="G1798">
        <f>IF(B1798="","",INDEX(Ingredients!$E$1:$E$238,(MATCH(InterventionCosts!B1798,Ingredients!A$1:A$238,0))))</f>
        <v>2024</v>
      </c>
      <c r="H1798" t="str">
        <f>INDEX(Ingredients!$F$1:$F$318,(MATCH(InterventionCosts!B1798,Ingredients!A$1:A$318,0)))</f>
        <v>https://www.gov.za/news/media-statements/government-activities/minister-thulas-nxesi-announces-national-minimum-wage</v>
      </c>
      <c r="I1798">
        <f>1*4*(1/5102)</f>
        <v>7.840062720501764E-4</v>
      </c>
      <c r="J1798" t="s">
        <v>460</v>
      </c>
      <c r="K1798" s="85">
        <f t="shared" si="48"/>
        <v>3.2146034234940544</v>
      </c>
      <c r="L1798" s="85" t="s">
        <v>1080</v>
      </c>
    </row>
    <row r="1799" spans="1:14">
      <c r="A1799" t="s">
        <v>1456</v>
      </c>
      <c r="B1799" t="s">
        <v>54</v>
      </c>
      <c r="C1799" t="s">
        <v>460</v>
      </c>
      <c r="D1799" t="s">
        <v>48</v>
      </c>
      <c r="E1799" s="70">
        <f>IF(B1799="","",INDEX(Ingredients!$I$1:$I$5013,(MATCH(InterventionCosts!B1799,Ingredients!$A$1:$A$5013,0))))</f>
        <v>1.2444366591928251</v>
      </c>
      <c r="F1799" s="5" t="str">
        <f>INDEX(Ingredients!J$1:J$265,(MATCH(InterventionCosts!B1799,Ingredients!A$1:A$265,0)))</f>
        <v>per minute</v>
      </c>
      <c r="G1799">
        <f>IF(B1799="","",INDEX(Ingredients!$E$1:$E$238,(MATCH(InterventionCosts!B1799,Ingredients!A$1:A$238,0))))</f>
        <v>2024</v>
      </c>
      <c r="H1799" t="str">
        <f>INDEX(Ingredients!$F$1:$F$318,(MATCH(InterventionCosts!B1799,Ingredients!A$1:A$318,0)))</f>
        <v xml:space="preserve">April 2024 Salary scale </v>
      </c>
      <c r="I1799">
        <f>8*4*(workminutespa/12/5102)</f>
        <v>55.94668757350059</v>
      </c>
      <c r="J1799" t="s">
        <v>460</v>
      </c>
      <c r="K1799" s="85">
        <f t="shared" si="48"/>
        <v>69.622108976871814</v>
      </c>
      <c r="L1799" s="85" t="s">
        <v>1081</v>
      </c>
    </row>
    <row r="1800" spans="1:14">
      <c r="A1800" t="s">
        <v>1456</v>
      </c>
      <c r="B1800" t="s">
        <v>354</v>
      </c>
      <c r="C1800" t="s">
        <v>460</v>
      </c>
      <c r="D1800" t="s">
        <v>48</v>
      </c>
      <c r="E1800" s="70">
        <f>IF(B1800="","",INDEX(Ingredients!$I$1:$I$5013,(MATCH(InterventionCosts!B1800,Ingredients!$A$1:$A$5013,0))))</f>
        <v>4.8996605630293981</v>
      </c>
      <c r="F1800" s="5" t="str">
        <f>INDEX(Ingredients!J$1:J$265,(MATCH(InterventionCosts!B1800,Ingredients!A$1:A$265,0)))</f>
        <v>per minute</v>
      </c>
      <c r="G1800">
        <f>IF(B1800="","",INDEX(Ingredients!$E$1:$E$238,(MATCH(InterventionCosts!B1800,Ingredients!A$1:A$238,0))))</f>
        <v>2024</v>
      </c>
      <c r="H1800" t="str">
        <f>INDEX(Ingredients!$F$1:$F$318,(MATCH(InterventionCosts!B1800,Ingredients!A$1:A$318,0)))</f>
        <v xml:space="preserve">April 2024 Salary scale </v>
      </c>
      <c r="I1800">
        <f>16*4*(workminutespa/12/5102)</f>
        <v>111.89337514700118</v>
      </c>
      <c r="J1800" t="s">
        <v>460</v>
      </c>
      <c r="K1800" s="85">
        <f t="shared" si="48"/>
        <v>548.23955747201546</v>
      </c>
      <c r="L1800" s="85" t="s">
        <v>1082</v>
      </c>
    </row>
    <row r="1801" spans="1:14">
      <c r="A1801" t="s">
        <v>1456</v>
      </c>
      <c r="B1801" t="s">
        <v>286</v>
      </c>
      <c r="C1801" t="s">
        <v>460</v>
      </c>
      <c r="D1801" t="s">
        <v>48</v>
      </c>
      <c r="E1801" s="70">
        <f>IF(B1801="","",INDEX(Ingredients!$I$1:$I$5013,(MATCH(InterventionCosts!B1801,Ingredients!$A$1:$A$5013,0))))</f>
        <v>3.2392279521674139</v>
      </c>
      <c r="F1801" s="5" t="str">
        <f>INDEX(Ingredients!J$1:J$265,(MATCH(InterventionCosts!B1801,Ingredients!A$1:A$265,0)))</f>
        <v>per minute</v>
      </c>
      <c r="G1801">
        <f>IF(B1801="","",INDEX(Ingredients!$E$1:$E$238,(MATCH(InterventionCosts!B1801,Ingredients!A$1:A$238,0))))</f>
        <v>2024</v>
      </c>
      <c r="H1801" t="str">
        <f>INDEX(Ingredients!$F$1:$F$318,(MATCH(InterventionCosts!B1801,Ingredients!A$1:A$318,0)))</f>
        <v xml:space="preserve">April 2024 Salary scale </v>
      </c>
      <c r="I1801">
        <f>4*4*(workminutespa/12/5102)</f>
        <v>27.973343786750295</v>
      </c>
      <c r="J1801" t="s">
        <v>460</v>
      </c>
      <c r="K1801" s="85">
        <f t="shared" si="48"/>
        <v>90.612037109630208</v>
      </c>
      <c r="L1801" s="85" t="s">
        <v>1079</v>
      </c>
    </row>
    <row r="1802" spans="1:14">
      <c r="A1802" t="s">
        <v>1456</v>
      </c>
      <c r="B1802" t="s">
        <v>1072</v>
      </c>
      <c r="C1802" t="s">
        <v>460</v>
      </c>
      <c r="D1802" t="s">
        <v>48</v>
      </c>
      <c r="E1802" s="70">
        <f>IF(B1802="","",INDEX(Ingredients!$I$1:$I$5013,(MATCH(InterventionCosts!B1802,Ingredients!$A$1:$A$5013,0))))</f>
        <v>2.5530496387643251</v>
      </c>
      <c r="F1802" s="5" t="str">
        <f>INDEX(Ingredients!J$1:J$265,(MATCH(InterventionCosts!B1802,Ingredients!A$1:A$265,0)))</f>
        <v>per minute</v>
      </c>
      <c r="G1802">
        <f>IF(B1802="","",INDEX(Ingredients!$E$1:$E$238,(MATCH(InterventionCosts!B1802,Ingredients!A$1:A$238,0))))</f>
        <v>2024</v>
      </c>
      <c r="H1802" t="str">
        <f>INDEX(Ingredients!$F$1:$F$318,(MATCH(InterventionCosts!B1802,Ingredients!A$1:A$318,0)))</f>
        <v xml:space="preserve">April 2024 Salary scale </v>
      </c>
      <c r="I1802">
        <f>1*4*(workminutespa/12/5102)</f>
        <v>6.9933359466875737</v>
      </c>
      <c r="J1802" t="s">
        <v>460</v>
      </c>
      <c r="K1802" s="85">
        <f t="shared" si="48"/>
        <v>17.854333812448278</v>
      </c>
      <c r="L1802" s="85" t="s">
        <v>1080</v>
      </c>
    </row>
    <row r="1803" spans="1:14">
      <c r="A1803" t="s">
        <v>1456</v>
      </c>
      <c r="B1803" t="s">
        <v>1074</v>
      </c>
      <c r="C1803" t="s">
        <v>460</v>
      </c>
      <c r="D1803" t="s">
        <v>48</v>
      </c>
      <c r="E1803" s="70">
        <f>IF(B1803="","",INDEX(Ingredients!$I$1:$I$5013,(MATCH(InterventionCosts!B1803,Ingredients!$A$1:$A$5013,0))))</f>
        <v>2076.8733333333334</v>
      </c>
      <c r="F1803" s="5" t="str">
        <f>INDEX(Ingredients!J$1:J$265,(MATCH(InterventionCosts!B1803,Ingredients!A$1:A$265,0)))</f>
        <v>per month</v>
      </c>
      <c r="G1803">
        <f>IF(B1803="","",INDEX(Ingredients!$E$1:$E$238,(MATCH(InterventionCosts!B1803,Ingredients!A$1:A$238,0))))</f>
        <v>2024</v>
      </c>
      <c r="H1803" t="str">
        <f>INDEX(Ingredients!$F$1:$F$318,(MATCH(InterventionCosts!B1803,Ingredients!A$1:A$318,0)))</f>
        <v>https://www.gov.za/speeches/minister-thulas-nxesi-hikes-minimum-wage-farmworkers-and-domestic-workers-22-feb-2023-0000</v>
      </c>
      <c r="I1803">
        <f>13*4*(1/5102)</f>
        <v>1.0192081536652292E-2</v>
      </c>
      <c r="J1803" t="s">
        <v>460</v>
      </c>
      <c r="K1803" s="85">
        <f t="shared" si="48"/>
        <v>21.167662354632171</v>
      </c>
      <c r="L1803" s="85" t="s">
        <v>1083</v>
      </c>
    </row>
    <row r="1804" spans="1:14">
      <c r="A1804" t="s">
        <v>1456</v>
      </c>
      <c r="B1804" t="s">
        <v>60</v>
      </c>
      <c r="C1804" t="s">
        <v>460</v>
      </c>
      <c r="D1804" t="s">
        <v>48</v>
      </c>
      <c r="E1804" s="70">
        <f>IF(B1804="","",INDEX(Ingredients!$I$1:$I$5013,(MATCH(InterventionCosts!B1804,Ingredients!$A$1:$A$5013,0))))</f>
        <v>9.1192801756352768</v>
      </c>
      <c r="F1804" s="5" t="str">
        <f>INDEX(Ingredients!J$1:J$265,(MATCH(InterventionCosts!B1804,Ingredients!A$1:A$265,0)))</f>
        <v>per minute</v>
      </c>
      <c r="G1804">
        <f>IF(B1804="","",INDEX(Ingredients!$E$1:$E$238,(MATCH(InterventionCosts!B1804,Ingredients!A$1:A$238,0))))</f>
        <v>2024</v>
      </c>
      <c r="H1804" t="str">
        <f>INDEX(Ingredients!$F$1:$F$318,(MATCH(InterventionCosts!B1804,Ingredients!A$1:A$318,0)))</f>
        <v xml:space="preserve">April 2024 Salary scale </v>
      </c>
      <c r="I1804">
        <f>1*4*(workminutespa/12/5102)</f>
        <v>6.9933359466875737</v>
      </c>
      <c r="J1804" t="s">
        <v>460</v>
      </c>
      <c r="K1804" s="85">
        <f t="shared" si="48"/>
        <v>63.774189860185551</v>
      </c>
      <c r="L1804" s="85" t="s">
        <v>1080</v>
      </c>
    </row>
    <row r="1805" spans="1:14">
      <c r="A1805" t="s">
        <v>1456</v>
      </c>
      <c r="B1805" t="s">
        <v>1077</v>
      </c>
      <c r="C1805" t="s">
        <v>460</v>
      </c>
      <c r="D1805" t="s">
        <v>48</v>
      </c>
      <c r="E1805" s="70">
        <f>IF(B1805="","",INDEX(Ingredients!$I$1:$I$5013,(MATCH(InterventionCosts!B1805,Ingredients!$A$1:$A$5013,0))))</f>
        <v>2.1347303967364222</v>
      </c>
      <c r="F1805" s="5" t="str">
        <f>INDEX(Ingredients!J$1:J$265,(MATCH(InterventionCosts!B1805,Ingredients!A$1:A$265,0)))</f>
        <v>per minute</v>
      </c>
      <c r="G1805">
        <f>IF(B1805="","",INDEX(Ingredients!$E$1:$E$238,(MATCH(InterventionCosts!B1805,Ingredients!A$1:A$238,0))))</f>
        <v>2024</v>
      </c>
      <c r="H1805" t="str">
        <f>INDEX(Ingredients!$F$1:$F$318,(MATCH(InterventionCosts!B1805,Ingredients!A$1:A$318,0)))</f>
        <v xml:space="preserve">April 2024 Salary scale </v>
      </c>
      <c r="I1805">
        <f>4*4*(workminutespa/12/5102)</f>
        <v>27.973343786750295</v>
      </c>
      <c r="J1805" t="s">
        <v>460</v>
      </c>
      <c r="K1805" s="85">
        <f t="shared" si="48"/>
        <v>59.715547279933787</v>
      </c>
      <c r="L1805" s="85" t="s">
        <v>1079</v>
      </c>
    </row>
    <row r="1806" spans="1:14">
      <c r="A1806" t="s">
        <v>1456</v>
      </c>
      <c r="B1806" t="s">
        <v>1078</v>
      </c>
      <c r="C1806" t="s">
        <v>460</v>
      </c>
      <c r="D1806" t="s">
        <v>48</v>
      </c>
      <c r="E1806" s="70">
        <f>IF(B1806="","",INDEX(Ingredients!$I$1:$I$5013,(MATCH(InterventionCosts!B1806,Ingredients!$A$1:$A$5013,0))))</f>
        <v>13.503224277528648</v>
      </c>
      <c r="F1806" s="5" t="str">
        <f>INDEX(Ingredients!J$1:J$265,(MATCH(InterventionCosts!B1806,Ingredients!A$1:A$265,0)))</f>
        <v>per minute</v>
      </c>
      <c r="G1806">
        <f>IF(B1806="","",INDEX(Ingredients!$E$1:$E$238,(MATCH(InterventionCosts!B1806,Ingredients!A$1:A$238,0))))</f>
        <v>2024</v>
      </c>
      <c r="H1806" t="str">
        <f>INDEX(Ingredients!$F$1:$F$318,(MATCH(InterventionCosts!B1806,Ingredients!A$1:A$318,0)))</f>
        <v xml:space="preserve">April 2024 Salary scale </v>
      </c>
      <c r="I1806">
        <f>2*4*(workminutespa/12/5102)</f>
        <v>13.986671893375147</v>
      </c>
      <c r="J1806" t="s">
        <v>460</v>
      </c>
      <c r="K1806" s="85">
        <f t="shared" si="48"/>
        <v>188.86516747245088</v>
      </c>
      <c r="L1806" s="85" t="s">
        <v>1084</v>
      </c>
    </row>
    <row r="1807" spans="1:14">
      <c r="A1807" t="s">
        <v>1456</v>
      </c>
      <c r="B1807" t="s">
        <v>477</v>
      </c>
      <c r="C1807" t="s">
        <v>406</v>
      </c>
      <c r="D1807" t="s">
        <v>81</v>
      </c>
      <c r="E1807" s="70">
        <f>IF(B1807="","",INDEX(Ingredients!$I$1:$I$5013,(MATCH(InterventionCosts!B1807,Ingredients!$A$1:$A$5013,0))))</f>
        <v>88.256346376062865</v>
      </c>
      <c r="F1807" s="5" t="str">
        <f>INDEX(Ingredients!J$1:J$265,(MATCH(InterventionCosts!B1807,Ingredients!A$1:A$265,0)))</f>
        <v>per visit</v>
      </c>
      <c r="G1807">
        <f>IF(B1807="","",INDEX(Ingredients!$E$1:$E$238,(MATCH(InterventionCosts!B1807,Ingredients!A$1:A$238,0))))</f>
        <v>2019</v>
      </c>
      <c r="H1807" t="str">
        <f>INDEX(Ingredients!$F$1:$F$318,(MATCH(InterventionCosts!B1807,Ingredients!A$1:A$318,0)))</f>
        <v xml:space="preserve">Long L, Girdwood S, Govender K, Meyer-Rath G, Miot J: Cost and outcomes of routine HIV care and treatment: A comparison of public and private delivery models covering low-income earners in South Africa. Preprint available under DOI: https://doi.org/10.21203/rs.3.rs-960517/v1    </v>
      </c>
      <c r="I1807">
        <v>4</v>
      </c>
      <c r="J1807" t="s">
        <v>485</v>
      </c>
      <c r="K1807" s="85">
        <f t="shared" si="48"/>
        <v>353.02538550425146</v>
      </c>
    </row>
    <row r="1808" spans="1:14" s="89" customFormat="1">
      <c r="A1808" s="4" t="s">
        <v>1456</v>
      </c>
      <c r="F1808" s="89" t="s">
        <v>1164</v>
      </c>
      <c r="K1808" s="90"/>
      <c r="L1808" s="90">
        <f>SUM(K1790:K1807)</f>
        <v>7332.2414973510522</v>
      </c>
      <c r="M1808" s="92"/>
      <c r="N1808" s="4"/>
    </row>
    <row r="1809" spans="1:12" s="89" customFormat="1">
      <c r="A1809" s="4" t="s">
        <v>1456</v>
      </c>
      <c r="F1809" s="89" t="s">
        <v>117</v>
      </c>
      <c r="K1809" s="90"/>
      <c r="L1809" s="90" t="s">
        <v>937</v>
      </c>
    </row>
    <row r="1811" spans="1:12">
      <c r="A1811" t="s">
        <v>1457</v>
      </c>
      <c r="B1811" t="s">
        <v>871</v>
      </c>
      <c r="C1811" t="s">
        <v>459</v>
      </c>
      <c r="D1811" t="s">
        <v>70</v>
      </c>
      <c r="E1811" s="70">
        <f>IF(B1811="","",INDEX(Ingredients!$I$1:$I$5013,(MATCH(InterventionCosts!B1811,Ingredients!$A$1:$A$5013,0))))</f>
        <v>7.7632142857142856</v>
      </c>
      <c r="F1811" s="5" t="str">
        <f>INDEX(Ingredients!J$1:J$265,(MATCH(InterventionCosts!B1811,Ingredients!A$1:A$265,0)))</f>
        <v>per day</v>
      </c>
      <c r="G1811">
        <f>IF(B1811="","",INDEX(Ingredients!$E$1:$E$238,(MATCH(InterventionCosts!B1811,Ingredients!A$1:A$238,0))))</f>
        <v>2024</v>
      </c>
      <c r="H1811" t="str">
        <f>INDEX(Ingredients!$F$1:$F$318,(MATCH(InterventionCosts!B1811,Ingredients!A$1:A$318,0)))</f>
        <v>Master Procurement Circular May 2024</v>
      </c>
      <c r="I1811">
        <f>360*'ART kids distribution'!$D$15</f>
        <v>240</v>
      </c>
      <c r="J1811" t="s">
        <v>406</v>
      </c>
      <c r="K1811" s="85">
        <f t="shared" ref="K1811:K1828" si="49">I1811*E1811</f>
        <v>1863.1714285714286</v>
      </c>
    </row>
    <row r="1812" spans="1:12">
      <c r="A1812" t="s">
        <v>1457</v>
      </c>
      <c r="B1812" t="s">
        <v>898</v>
      </c>
      <c r="C1812" t="s">
        <v>459</v>
      </c>
      <c r="D1812" t="s">
        <v>70</v>
      </c>
      <c r="E1812" s="70">
        <f>IF(B1812="","",INDEX(Ingredients!$I$1:$I$5013,(MATCH(InterventionCosts!B1812,Ingredients!$A$1:$A$5013,0))))</f>
        <v>6.5117261591768205</v>
      </c>
      <c r="F1812" s="5" t="str">
        <f>INDEX(Ingredients!J$1:J$265,(MATCH(InterventionCosts!B1812,Ingredients!A$1:A$265,0)))</f>
        <v>per day</v>
      </c>
      <c r="G1812">
        <f>IF(B1812="","",INDEX(Ingredients!$E$1:$E$238,(MATCH(InterventionCosts!B1812,Ingredients!A$1:A$238,0))))</f>
        <v>2024</v>
      </c>
      <c r="H1812" t="str">
        <f>INDEX(Ingredients!$F$1:$F$318,(MATCH(InterventionCosts!B1812,Ingredients!A$1:A$318,0)))</f>
        <v>Master Procurement Circular May 2024</v>
      </c>
      <c r="I1812">
        <f>360*'ART kids distribution'!$C$15</f>
        <v>94</v>
      </c>
      <c r="J1812" t="s">
        <v>406</v>
      </c>
      <c r="K1812" s="85">
        <f t="shared" si="49"/>
        <v>612.10225896262114</v>
      </c>
    </row>
    <row r="1813" spans="1:12">
      <c r="A1813" t="s">
        <v>1457</v>
      </c>
      <c r="B1813" t="s">
        <v>899</v>
      </c>
      <c r="C1813" t="s">
        <v>459</v>
      </c>
      <c r="D1813" t="s">
        <v>70</v>
      </c>
      <c r="E1813" s="70">
        <f>IF(B1813="","",INDEX(Ingredients!$I$1:$I$5013,(MATCH(InterventionCosts!B1813,Ingredients!$A$1:$A$5013,0))))</f>
        <v>14.07972615917682</v>
      </c>
      <c r="F1813" s="5" t="str">
        <f>INDEX(Ingredients!J$1:J$265,(MATCH(InterventionCosts!B1813,Ingredients!A$1:A$265,0)))</f>
        <v>per day</v>
      </c>
      <c r="G1813">
        <f>IF(B1813="","",INDEX(Ingredients!$E$1:$E$238,(MATCH(InterventionCosts!B1813,Ingredients!A$1:A$238,0))))</f>
        <v>2024</v>
      </c>
      <c r="H1813" t="str">
        <f>INDEX(Ingredients!$F$1:$F$318,(MATCH(InterventionCosts!B1813,Ingredients!A$1:A$318,0)))</f>
        <v>Master Procurement Circular May 2024</v>
      </c>
      <c r="I1813">
        <f>360*'ART kids distribution'!$F$15</f>
        <v>25.999999999999996</v>
      </c>
      <c r="J1813" t="s">
        <v>406</v>
      </c>
      <c r="K1813" s="85">
        <f t="shared" si="49"/>
        <v>366.07288013859727</v>
      </c>
    </row>
    <row r="1814" spans="1:12">
      <c r="A1814" t="s">
        <v>1457</v>
      </c>
      <c r="B1814" t="s">
        <v>858</v>
      </c>
      <c r="C1814" t="s">
        <v>459</v>
      </c>
      <c r="D1814" t="s">
        <v>75</v>
      </c>
      <c r="E1814" s="70">
        <f>IF(B1814="","",INDEX(Ingredients!$I$1:$I$5013,(MATCH(InterventionCosts!B1814,Ingredients!$A$1:$A$5013,0))))</f>
        <v>495.08531887209995</v>
      </c>
      <c r="F1814" s="5" t="str">
        <f>INDEX(Ingredients!J$1:J$265,(MATCH(InterventionCosts!B1814,Ingredients!A$1:A$265,0)))</f>
        <v>per test</v>
      </c>
      <c r="G1814">
        <f>IF(B1814="","",INDEX(Ingredients!$E$1:$E$238,(MATCH(InterventionCosts!B1814,Ingredients!A$1:A$238,0))))</f>
        <v>2021</v>
      </c>
      <c r="H1814" t="str">
        <f>INDEX(Ingredients!$F$1:$F$318,(MATCH(InterventionCosts!B1814,Ingredients!A$1:A$318,0)))</f>
        <v>NHLS 2021 price-list</v>
      </c>
      <c r="I1814">
        <v>2</v>
      </c>
      <c r="J1814" t="s">
        <v>459</v>
      </c>
      <c r="K1814" s="85">
        <f t="shared" si="49"/>
        <v>990.17063774419989</v>
      </c>
    </row>
    <row r="1815" spans="1:12">
      <c r="A1815" t="s">
        <v>1457</v>
      </c>
      <c r="B1815" t="s">
        <v>458</v>
      </c>
      <c r="C1815" t="s">
        <v>459</v>
      </c>
      <c r="D1815" t="s">
        <v>75</v>
      </c>
      <c r="E1815" s="70">
        <f>IF(B1815="","",INDEX(Ingredients!$I$1:$I$5013,(MATCH(InterventionCosts!B1815,Ingredients!$A$1:$A$5013,0))))</f>
        <v>86.59037211495</v>
      </c>
      <c r="F1815" s="5" t="str">
        <f>INDEX(Ingredients!J$1:J$265,(MATCH(InterventionCosts!B1815,Ingredients!A$1:A$265,0)))</f>
        <v>per test</v>
      </c>
      <c r="G1815">
        <f>IF(B1815="","",INDEX(Ingredients!$E$1:$E$238,(MATCH(InterventionCosts!B1815,Ingredients!A$1:A$238,0))))</f>
        <v>2021</v>
      </c>
      <c r="H1815" t="str">
        <f>INDEX(Ingredients!$F$1:$F$318,(MATCH(InterventionCosts!B1815,Ingredients!A$1:A$318,0)))</f>
        <v>NHLS 2021 price-list</v>
      </c>
      <c r="I1815">
        <v>1</v>
      </c>
      <c r="J1815" t="s">
        <v>459</v>
      </c>
      <c r="K1815" s="85">
        <f t="shared" si="49"/>
        <v>86.59037211495</v>
      </c>
    </row>
    <row r="1816" spans="1:12">
      <c r="A1816" t="s">
        <v>1457</v>
      </c>
      <c r="B1816" t="s">
        <v>52</v>
      </c>
      <c r="C1816" t="s">
        <v>460</v>
      </c>
      <c r="D1816" t="s">
        <v>48</v>
      </c>
      <c r="E1816" s="70">
        <f>IF(B1816="","",INDEX(Ingredients!$I$1:$I$5013,(MATCH(InterventionCosts!B1816,Ingredients!$A$1:$A$5013,0))))</f>
        <v>1.8019482436472347</v>
      </c>
      <c r="F1816" s="5" t="str">
        <f>INDEX(Ingredients!J$1:J$265,(MATCH(InterventionCosts!B1816,Ingredients!A$1:A$265,0)))</f>
        <v>per minute</v>
      </c>
      <c r="G1816">
        <f>IF(B1816="","",INDEX(Ingredients!$E$1:$E$238,(MATCH(InterventionCosts!B1816,Ingredients!A$1:A$238,0))))</f>
        <v>2024</v>
      </c>
      <c r="H1816" t="str">
        <f>INDEX(Ingredients!$F$1:$F$318,(MATCH(InterventionCosts!B1816,Ingredients!A$1:A$318,0)))</f>
        <v xml:space="preserve">April 2024 Salary scale </v>
      </c>
      <c r="I1816">
        <f>4*7.54*(workminutespa/12/5102)</f>
        <v>52.729753038024306</v>
      </c>
      <c r="J1816" t="s">
        <v>460</v>
      </c>
      <c r="K1816" s="85">
        <f t="shared" si="49"/>
        <v>95.01628587482034</v>
      </c>
      <c r="L1816" s="85" t="s">
        <v>1097</v>
      </c>
    </row>
    <row r="1817" spans="1:12">
      <c r="A1817" t="s">
        <v>1457</v>
      </c>
      <c r="B1817" t="s">
        <v>55</v>
      </c>
      <c r="C1817" t="s">
        <v>460</v>
      </c>
      <c r="D1817" t="s">
        <v>48</v>
      </c>
      <c r="E1817" s="70">
        <f>IF(B1817="","",INDEX(Ingredients!$I$1:$I$5013,(MATCH(InterventionCosts!B1817,Ingredients!$A$1:$A$5013,0))))</f>
        <v>1.8549350710014947</v>
      </c>
      <c r="F1817" s="5" t="str">
        <f>INDEX(Ingredients!J$1:J$265,(MATCH(InterventionCosts!B1817,Ingredients!A$1:A$265,0)))</f>
        <v>per minute</v>
      </c>
      <c r="G1817">
        <f>IF(B1817="","",INDEX(Ingredients!$E$1:$E$238,(MATCH(InterventionCosts!B1817,Ingredients!A$1:A$238,0))))</f>
        <v>2024</v>
      </c>
      <c r="H1817" t="str">
        <f>INDEX(Ingredients!$F$1:$F$318,(MATCH(InterventionCosts!B1817,Ingredients!A$1:A$318,0)))</f>
        <v xml:space="preserve">April 2024 Salary scale </v>
      </c>
      <c r="I1817">
        <f>4*7.54*(workminutespa/12/5102)</f>
        <v>52.729753038024306</v>
      </c>
      <c r="J1817" t="s">
        <v>460</v>
      </c>
      <c r="K1817" s="85">
        <f t="shared" si="49"/>
        <v>97.810268195478898</v>
      </c>
      <c r="L1817" s="85" t="s">
        <v>1097</v>
      </c>
    </row>
    <row r="1818" spans="1:12">
      <c r="A1818" t="s">
        <v>1457</v>
      </c>
      <c r="B1818" t="s">
        <v>1070</v>
      </c>
      <c r="C1818" t="s">
        <v>460</v>
      </c>
      <c r="D1818" t="s">
        <v>48</v>
      </c>
      <c r="E1818" s="70">
        <f>IF(B1818="","",INDEX(Ingredients!$I$1:$I$5013,(MATCH(InterventionCosts!B1818,Ingredients!$A$1:$A$5013,0))))</f>
        <v>2.443981128550075</v>
      </c>
      <c r="F1818" s="5" t="str">
        <f>INDEX(Ingredients!J$1:J$265,(MATCH(InterventionCosts!B1818,Ingredients!A$1:A$265,0)))</f>
        <v>per minute</v>
      </c>
      <c r="G1818">
        <f>IF(B1818="","",INDEX(Ingredients!$E$1:$E$238,(MATCH(InterventionCosts!B1818,Ingredients!A$1:A$238,0))))</f>
        <v>2024</v>
      </c>
      <c r="H1818" t="str">
        <f>INDEX(Ingredients!$F$1:$F$318,(MATCH(InterventionCosts!B1818,Ingredients!A$1:A$318,0)))</f>
        <v xml:space="preserve">April 2024 Salary scale </v>
      </c>
      <c r="I1818">
        <f>1*7.54*(workminutespa/12/5102)</f>
        <v>13.182438259506077</v>
      </c>
      <c r="J1818" t="s">
        <v>460</v>
      </c>
      <c r="K1818" s="85">
        <f t="shared" si="49"/>
        <v>32.217630334509344</v>
      </c>
      <c r="L1818" s="85" t="s">
        <v>1098</v>
      </c>
    </row>
    <row r="1819" spans="1:12">
      <c r="A1819" t="s">
        <v>1457</v>
      </c>
      <c r="B1819" t="s">
        <v>51</v>
      </c>
      <c r="C1819" t="s">
        <v>460</v>
      </c>
      <c r="D1819" t="s">
        <v>48</v>
      </c>
      <c r="E1819" s="70">
        <f>IF(B1819="","",INDEX(Ingredients!$I$1:$I$5013,(MATCH(InterventionCosts!B1819,Ingredients!$A$1:$A$5013,0))))</f>
        <v>4100.2266666666665</v>
      </c>
      <c r="F1819" s="5" t="str">
        <f>INDEX(Ingredients!J$1:J$265,(MATCH(InterventionCosts!B1819,Ingredients!A$1:A$265,0)))</f>
        <v>per month</v>
      </c>
      <c r="G1819">
        <f>IF(B1819="","",INDEX(Ingredients!$E$1:$E$238,(MATCH(InterventionCosts!B1819,Ingredients!A$1:A$238,0))))</f>
        <v>2024</v>
      </c>
      <c r="H1819" t="str">
        <f>INDEX(Ingredients!$F$1:$F$318,(MATCH(InterventionCosts!B1819,Ingredients!A$1:A$318,0)))</f>
        <v>https://www.gov.za/news/media-statements/government-activities/minister-thulas-nxesi-announces-national-minimum-wage</v>
      </c>
      <c r="I1819">
        <f>1*7.54*(1/5102)</f>
        <v>1.4778518228145826E-3</v>
      </c>
      <c r="J1819" t="s">
        <v>460</v>
      </c>
      <c r="K1819" s="85">
        <f t="shared" si="49"/>
        <v>6.0595274532862931</v>
      </c>
      <c r="L1819" s="85" t="s">
        <v>1098</v>
      </c>
    </row>
    <row r="1820" spans="1:12">
      <c r="A1820" t="s">
        <v>1457</v>
      </c>
      <c r="B1820" t="s">
        <v>54</v>
      </c>
      <c r="C1820" t="s">
        <v>460</v>
      </c>
      <c r="D1820" t="s">
        <v>48</v>
      </c>
      <c r="E1820" s="70">
        <f>IF(B1820="","",INDEX(Ingredients!$I$1:$I$5013,(MATCH(InterventionCosts!B1820,Ingredients!$A$1:$A$5013,0))))</f>
        <v>1.2444366591928251</v>
      </c>
      <c r="F1820" s="5" t="str">
        <f>INDEX(Ingredients!J$1:J$265,(MATCH(InterventionCosts!B1820,Ingredients!A$1:A$265,0)))</f>
        <v>per minute</v>
      </c>
      <c r="G1820">
        <f>IF(B1820="","",INDEX(Ingredients!$E$1:$E$238,(MATCH(InterventionCosts!B1820,Ingredients!A$1:A$238,0))))</f>
        <v>2024</v>
      </c>
      <c r="H1820" t="str">
        <f>INDEX(Ingredients!$F$1:$F$318,(MATCH(InterventionCosts!B1820,Ingredients!A$1:A$318,0)))</f>
        <v xml:space="preserve">April 2024 Salary scale </v>
      </c>
      <c r="I1820">
        <f>8*7.54*(workminutespa/12/5102)</f>
        <v>105.45950607604861</v>
      </c>
      <c r="J1820" t="s">
        <v>460</v>
      </c>
      <c r="K1820" s="85">
        <f t="shared" si="49"/>
        <v>131.23767542140337</v>
      </c>
      <c r="L1820" s="85" t="s">
        <v>1099</v>
      </c>
    </row>
    <row r="1821" spans="1:12">
      <c r="A1821" t="s">
        <v>1457</v>
      </c>
      <c r="B1821" t="s">
        <v>354</v>
      </c>
      <c r="C1821" t="s">
        <v>460</v>
      </c>
      <c r="D1821" t="s">
        <v>48</v>
      </c>
      <c r="E1821" s="70">
        <f>IF(B1821="","",INDEX(Ingredients!$I$1:$I$5013,(MATCH(InterventionCosts!B1821,Ingredients!$A$1:$A$5013,0))))</f>
        <v>4.8996605630293981</v>
      </c>
      <c r="F1821" s="5" t="str">
        <f>INDEX(Ingredients!J$1:J$265,(MATCH(InterventionCosts!B1821,Ingredients!A$1:A$265,0)))</f>
        <v>per minute</v>
      </c>
      <c r="G1821">
        <f>IF(B1821="","",INDEX(Ingredients!$E$1:$E$238,(MATCH(InterventionCosts!B1821,Ingredients!A$1:A$238,0))))</f>
        <v>2024</v>
      </c>
      <c r="H1821" t="str">
        <f>INDEX(Ingredients!$F$1:$F$318,(MATCH(InterventionCosts!B1821,Ingredients!A$1:A$318,0)))</f>
        <v xml:space="preserve">April 2024 Salary scale </v>
      </c>
      <c r="I1821">
        <f>16*7.54*(workminutespa/12/5102)</f>
        <v>210.91901215209722</v>
      </c>
      <c r="J1821" t="s">
        <v>460</v>
      </c>
      <c r="K1821" s="85">
        <f t="shared" si="49"/>
        <v>1033.4315658347491</v>
      </c>
      <c r="L1821" s="85" t="s">
        <v>1100</v>
      </c>
    </row>
    <row r="1822" spans="1:12">
      <c r="A1822" t="s">
        <v>1457</v>
      </c>
      <c r="B1822" t="s">
        <v>286</v>
      </c>
      <c r="C1822" t="s">
        <v>460</v>
      </c>
      <c r="D1822" t="s">
        <v>48</v>
      </c>
      <c r="E1822" s="70">
        <f>IF(B1822="","",INDEX(Ingredients!$I$1:$I$5013,(MATCH(InterventionCosts!B1822,Ingredients!$A$1:$A$5013,0))))</f>
        <v>3.2392279521674139</v>
      </c>
      <c r="F1822" s="5" t="str">
        <f>INDEX(Ingredients!J$1:J$265,(MATCH(InterventionCosts!B1822,Ingredients!A$1:A$265,0)))</f>
        <v>per minute</v>
      </c>
      <c r="G1822">
        <f>IF(B1822="","",INDEX(Ingredients!$E$1:$E$238,(MATCH(InterventionCosts!B1822,Ingredients!A$1:A$238,0))))</f>
        <v>2024</v>
      </c>
      <c r="H1822" t="str">
        <f>INDEX(Ingredients!$F$1:$F$318,(MATCH(InterventionCosts!B1822,Ingredients!A$1:A$318,0)))</f>
        <v xml:space="preserve">April 2024 Salary scale </v>
      </c>
      <c r="I1822">
        <f>4*7.54*(workminutespa/12/5102)</f>
        <v>52.729753038024306</v>
      </c>
      <c r="J1822" t="s">
        <v>460</v>
      </c>
      <c r="K1822" s="85">
        <f t="shared" si="49"/>
        <v>170.80368995165296</v>
      </c>
      <c r="L1822" s="85" t="s">
        <v>1097</v>
      </c>
    </row>
    <row r="1823" spans="1:12">
      <c r="A1823" t="s">
        <v>1457</v>
      </c>
      <c r="B1823" t="s">
        <v>1072</v>
      </c>
      <c r="C1823" t="s">
        <v>460</v>
      </c>
      <c r="D1823" t="s">
        <v>48</v>
      </c>
      <c r="E1823" s="70">
        <f>IF(B1823="","",INDEX(Ingredients!$I$1:$I$5013,(MATCH(InterventionCosts!B1823,Ingredients!$A$1:$A$5013,0))))</f>
        <v>2.5530496387643251</v>
      </c>
      <c r="F1823" s="5" t="str">
        <f>INDEX(Ingredients!J$1:J$265,(MATCH(InterventionCosts!B1823,Ingredients!A$1:A$265,0)))</f>
        <v>per minute</v>
      </c>
      <c r="G1823">
        <f>IF(B1823="","",INDEX(Ingredients!$E$1:$E$238,(MATCH(InterventionCosts!B1823,Ingredients!A$1:A$238,0))))</f>
        <v>2024</v>
      </c>
      <c r="H1823" t="str">
        <f>INDEX(Ingredients!$F$1:$F$318,(MATCH(InterventionCosts!B1823,Ingredients!A$1:A$318,0)))</f>
        <v xml:space="preserve">April 2024 Salary scale </v>
      </c>
      <c r="I1823">
        <f>1*7.54*(workminutespa/12/5102)</f>
        <v>13.182438259506077</v>
      </c>
      <c r="J1823" t="s">
        <v>460</v>
      </c>
      <c r="K1823" s="85">
        <f t="shared" si="49"/>
        <v>33.655419236465008</v>
      </c>
      <c r="L1823" s="85" t="s">
        <v>1098</v>
      </c>
    </row>
    <row r="1824" spans="1:12">
      <c r="A1824" t="s">
        <v>1457</v>
      </c>
      <c r="B1824" t="s">
        <v>1074</v>
      </c>
      <c r="C1824" t="s">
        <v>460</v>
      </c>
      <c r="D1824" t="s">
        <v>48</v>
      </c>
      <c r="E1824" s="70">
        <f>IF(B1824="","",INDEX(Ingredients!$I$1:$I$5013,(MATCH(InterventionCosts!B1824,Ingredients!$A$1:$A$5013,0))))</f>
        <v>2076.8733333333334</v>
      </c>
      <c r="F1824" s="5" t="str">
        <f>INDEX(Ingredients!J$1:J$265,(MATCH(InterventionCosts!B1824,Ingredients!A$1:A$265,0)))</f>
        <v>per month</v>
      </c>
      <c r="G1824">
        <f>IF(B1824="","",INDEX(Ingredients!$E$1:$E$238,(MATCH(InterventionCosts!B1824,Ingredients!A$1:A$238,0))))</f>
        <v>2024</v>
      </c>
      <c r="H1824" t="str">
        <f>INDEX(Ingredients!$F$1:$F$318,(MATCH(InterventionCosts!B1824,Ingredients!A$1:A$318,0)))</f>
        <v>https://www.gov.za/speeches/minister-thulas-nxesi-hikes-minimum-wage-farmworkers-and-domestic-workers-22-feb-2023-0000</v>
      </c>
      <c r="I1824">
        <f>13*7.54*(1/5102)</f>
        <v>1.921207369658957E-2</v>
      </c>
      <c r="J1824" t="s">
        <v>460</v>
      </c>
      <c r="K1824" s="85">
        <f t="shared" si="49"/>
        <v>39.901043538481638</v>
      </c>
      <c r="L1824" s="85" t="s">
        <v>1101</v>
      </c>
    </row>
    <row r="1825" spans="1:14">
      <c r="A1825" t="s">
        <v>1457</v>
      </c>
      <c r="B1825" t="s">
        <v>60</v>
      </c>
      <c r="C1825" t="s">
        <v>460</v>
      </c>
      <c r="D1825" t="s">
        <v>48</v>
      </c>
      <c r="E1825" s="70">
        <f>IF(B1825="","",INDEX(Ingredients!$I$1:$I$5013,(MATCH(InterventionCosts!B1825,Ingredients!$A$1:$A$5013,0))))</f>
        <v>9.1192801756352768</v>
      </c>
      <c r="F1825" s="5" t="str">
        <f>INDEX(Ingredients!J$1:J$265,(MATCH(InterventionCosts!B1825,Ingredients!A$1:A$265,0)))</f>
        <v>per minute</v>
      </c>
      <c r="G1825">
        <f>IF(B1825="","",INDEX(Ingredients!$E$1:$E$238,(MATCH(InterventionCosts!B1825,Ingredients!A$1:A$238,0))))</f>
        <v>2024</v>
      </c>
      <c r="H1825" t="str">
        <f>INDEX(Ingredients!$F$1:$F$318,(MATCH(InterventionCosts!B1825,Ingredients!A$1:A$318,0)))</f>
        <v xml:space="preserve">April 2024 Salary scale </v>
      </c>
      <c r="I1825">
        <f>1*7.54*(workminutespa/12/5102)</f>
        <v>13.182438259506077</v>
      </c>
      <c r="J1825" t="s">
        <v>460</v>
      </c>
      <c r="K1825" s="85">
        <f t="shared" si="49"/>
        <v>120.21434788644977</v>
      </c>
      <c r="L1825" s="85" t="s">
        <v>1098</v>
      </c>
    </row>
    <row r="1826" spans="1:14">
      <c r="A1826" t="s">
        <v>1457</v>
      </c>
      <c r="B1826" t="s">
        <v>1077</v>
      </c>
      <c r="C1826" t="s">
        <v>460</v>
      </c>
      <c r="D1826" t="s">
        <v>48</v>
      </c>
      <c r="E1826" s="70">
        <f>IF(B1826="","",INDEX(Ingredients!$I$1:$I$5013,(MATCH(InterventionCosts!B1826,Ingredients!$A$1:$A$5013,0))))</f>
        <v>2.1347303967364222</v>
      </c>
      <c r="F1826" s="5" t="str">
        <f>INDEX(Ingredients!J$1:J$265,(MATCH(InterventionCosts!B1826,Ingredients!A$1:A$265,0)))</f>
        <v>per minute</v>
      </c>
      <c r="G1826">
        <f>IF(B1826="","",INDEX(Ingredients!$E$1:$E$238,(MATCH(InterventionCosts!B1826,Ingredients!A$1:A$238,0))))</f>
        <v>2024</v>
      </c>
      <c r="H1826" t="str">
        <f>INDEX(Ingredients!$F$1:$F$318,(MATCH(InterventionCosts!B1826,Ingredients!A$1:A$318,0)))</f>
        <v xml:space="preserve">April 2024 Salary scale </v>
      </c>
      <c r="I1826">
        <f>4*7.54*(workminutespa/12/5102)</f>
        <v>52.729753038024306</v>
      </c>
      <c r="J1826" t="s">
        <v>460</v>
      </c>
      <c r="K1826" s="85">
        <f t="shared" si="49"/>
        <v>112.56380662267519</v>
      </c>
      <c r="L1826" s="85" t="s">
        <v>1097</v>
      </c>
    </row>
    <row r="1827" spans="1:14">
      <c r="A1827" t="s">
        <v>1457</v>
      </c>
      <c r="B1827" t="s">
        <v>1078</v>
      </c>
      <c r="C1827" t="s">
        <v>460</v>
      </c>
      <c r="D1827" t="s">
        <v>48</v>
      </c>
      <c r="E1827" s="70">
        <f>IF(B1827="","",INDEX(Ingredients!$I$1:$I$5013,(MATCH(InterventionCosts!B1827,Ingredients!$A$1:$A$5013,0))))</f>
        <v>13.503224277528648</v>
      </c>
      <c r="F1827" s="5" t="str">
        <f>INDEX(Ingredients!J$1:J$265,(MATCH(InterventionCosts!B1827,Ingredients!A$1:A$265,0)))</f>
        <v>per minute</v>
      </c>
      <c r="G1827">
        <f>IF(B1827="","",INDEX(Ingredients!$E$1:$E$238,(MATCH(InterventionCosts!B1827,Ingredients!A$1:A$238,0))))</f>
        <v>2024</v>
      </c>
      <c r="H1827" t="str">
        <f>INDEX(Ingredients!$F$1:$F$318,(MATCH(InterventionCosts!B1827,Ingredients!A$1:A$318,0)))</f>
        <v xml:space="preserve">April 2024 Salary scale </v>
      </c>
      <c r="I1827">
        <f>2*7.54*(workminutespa/12/5102)</f>
        <v>26.364876519012153</v>
      </c>
      <c r="J1827" t="s">
        <v>460</v>
      </c>
      <c r="K1827" s="85">
        <f t="shared" si="49"/>
        <v>356.01084068556992</v>
      </c>
      <c r="L1827" s="85" t="s">
        <v>1102</v>
      </c>
    </row>
    <row r="1828" spans="1:14">
      <c r="A1828" t="s">
        <v>1457</v>
      </c>
      <c r="B1828" t="s">
        <v>477</v>
      </c>
      <c r="C1828" t="s">
        <v>406</v>
      </c>
      <c r="D1828" t="s">
        <v>81</v>
      </c>
      <c r="E1828" s="70">
        <f>IF(B1828="","",INDEX(Ingredients!$I$1:$I$5013,(MATCH(InterventionCosts!B1828,Ingredients!$A$1:$A$5013,0))))</f>
        <v>88.256346376062865</v>
      </c>
      <c r="F1828" s="5" t="str">
        <f>INDEX(Ingredients!J$1:J$265,(MATCH(InterventionCosts!B1828,Ingredients!A$1:A$265,0)))</f>
        <v>per visit</v>
      </c>
      <c r="G1828">
        <f>IF(B1828="","",INDEX(Ingredients!$E$1:$E$238,(MATCH(InterventionCosts!B1828,Ingredients!A$1:A$238,0))))</f>
        <v>2019</v>
      </c>
      <c r="H1828" t="str">
        <f>INDEX(Ingredients!$F$1:$F$318,(MATCH(InterventionCosts!B1828,Ingredients!A$1:A$318,0)))</f>
        <v xml:space="preserve">Long L, Girdwood S, Govender K, Meyer-Rath G, Miot J: Cost and outcomes of routine HIV care and treatment: A comparison of public and private delivery models covering low-income earners in South Africa. Preprint available under DOI: https://doi.org/10.21203/rs.3.rs-960517/v1    </v>
      </c>
      <c r="I1828">
        <v>7.54</v>
      </c>
      <c r="J1828" t="s">
        <v>485</v>
      </c>
      <c r="K1828" s="85">
        <f t="shared" si="49"/>
        <v>665.45285167551401</v>
      </c>
    </row>
    <row r="1829" spans="1:14" s="89" customFormat="1">
      <c r="A1829" s="4" t="s">
        <v>1457</v>
      </c>
      <c r="F1829" s="89" t="s">
        <v>1164</v>
      </c>
      <c r="K1829" s="90"/>
      <c r="L1829" s="90">
        <f>SUM(K1811:K1828)</f>
        <v>6812.4825302428526</v>
      </c>
      <c r="M1829" s="92"/>
      <c r="N1829" s="4"/>
    </row>
    <row r="1830" spans="1:14" s="89" customFormat="1">
      <c r="A1830" s="4" t="s">
        <v>1457</v>
      </c>
      <c r="F1830" s="89" t="s">
        <v>117</v>
      </c>
      <c r="K1830" s="90"/>
      <c r="L1830" s="90" t="s">
        <v>937</v>
      </c>
    </row>
    <row r="1832" spans="1:14">
      <c r="A1832" t="s">
        <v>1458</v>
      </c>
      <c r="B1832" t="s">
        <v>871</v>
      </c>
      <c r="C1832" t="s">
        <v>459</v>
      </c>
      <c r="D1832" t="s">
        <v>70</v>
      </c>
      <c r="E1832" s="70">
        <f>IF(B1832="","",INDEX(Ingredients!$I$1:$I$5013,(MATCH(InterventionCosts!B1832,Ingredients!$A$1:$A$5013,0))))</f>
        <v>7.7632142857142856</v>
      </c>
      <c r="F1832" s="5" t="str">
        <f>INDEX(Ingredients!J$1:J$265,(MATCH(InterventionCosts!B1832,Ingredients!A$1:A$265,0)))</f>
        <v>per day</v>
      </c>
      <c r="G1832">
        <f>IF(B1832="","",INDEX(Ingredients!$E$1:$E$238,(MATCH(InterventionCosts!B1832,Ingredients!A$1:A$238,0))))</f>
        <v>2024</v>
      </c>
      <c r="H1832" t="str">
        <f>INDEX(Ingredients!$F$1:$F$318,(MATCH(InterventionCosts!B1832,Ingredients!A$1:A$318,0)))</f>
        <v>Master Procurement Circular May 2024</v>
      </c>
      <c r="I1832">
        <f>360*'ART kids distribution'!$D$15</f>
        <v>240</v>
      </c>
      <c r="J1832" t="s">
        <v>406</v>
      </c>
      <c r="K1832" s="85">
        <f t="shared" ref="K1832:K1849" si="50">I1832*E1832</f>
        <v>1863.1714285714286</v>
      </c>
    </row>
    <row r="1833" spans="1:14">
      <c r="A1833" t="s">
        <v>1458</v>
      </c>
      <c r="B1833" t="s">
        <v>898</v>
      </c>
      <c r="C1833" t="s">
        <v>459</v>
      </c>
      <c r="D1833" t="s">
        <v>70</v>
      </c>
      <c r="E1833" s="70">
        <f>IF(B1833="","",INDEX(Ingredients!$I$1:$I$5013,(MATCH(InterventionCosts!B1833,Ingredients!$A$1:$A$5013,0))))</f>
        <v>6.5117261591768205</v>
      </c>
      <c r="F1833" s="5" t="str">
        <f>INDEX(Ingredients!J$1:J$265,(MATCH(InterventionCosts!B1833,Ingredients!A$1:A$265,0)))</f>
        <v>per day</v>
      </c>
      <c r="G1833">
        <f>IF(B1833="","",INDEX(Ingredients!$E$1:$E$238,(MATCH(InterventionCosts!B1833,Ingredients!A$1:A$238,0))))</f>
        <v>2024</v>
      </c>
      <c r="H1833" t="str">
        <f>INDEX(Ingredients!$F$1:$F$318,(MATCH(InterventionCosts!B1833,Ingredients!A$1:A$318,0)))</f>
        <v>Master Procurement Circular May 2024</v>
      </c>
      <c r="I1833">
        <f>360*'ART kids distribution'!$C$15</f>
        <v>94</v>
      </c>
      <c r="J1833" t="s">
        <v>406</v>
      </c>
      <c r="K1833" s="85">
        <f t="shared" si="50"/>
        <v>612.10225896262114</v>
      </c>
    </row>
    <row r="1834" spans="1:14">
      <c r="A1834" t="s">
        <v>1458</v>
      </c>
      <c r="B1834" t="s">
        <v>899</v>
      </c>
      <c r="C1834" t="s">
        <v>459</v>
      </c>
      <c r="D1834" t="s">
        <v>70</v>
      </c>
      <c r="E1834" s="70">
        <f>IF(B1834="","",INDEX(Ingredients!$I$1:$I$5013,(MATCH(InterventionCosts!B1834,Ingredients!$A$1:$A$5013,0))))</f>
        <v>14.07972615917682</v>
      </c>
      <c r="F1834" s="5" t="str">
        <f>INDEX(Ingredients!J$1:J$265,(MATCH(InterventionCosts!B1834,Ingredients!A$1:A$265,0)))</f>
        <v>per day</v>
      </c>
      <c r="G1834">
        <f>IF(B1834="","",INDEX(Ingredients!$E$1:$E$238,(MATCH(InterventionCosts!B1834,Ingredients!A$1:A$238,0))))</f>
        <v>2024</v>
      </c>
      <c r="H1834" t="str">
        <f>INDEX(Ingredients!$F$1:$F$318,(MATCH(InterventionCosts!B1834,Ingredients!A$1:A$318,0)))</f>
        <v>Master Procurement Circular May 2024</v>
      </c>
      <c r="I1834">
        <f>360*'ART kids distribution'!$F$15</f>
        <v>25.999999999999996</v>
      </c>
      <c r="J1834" t="s">
        <v>406</v>
      </c>
      <c r="K1834" s="85">
        <f t="shared" si="50"/>
        <v>366.07288013859727</v>
      </c>
    </row>
    <row r="1835" spans="1:14">
      <c r="A1835" t="s">
        <v>1458</v>
      </c>
      <c r="B1835" t="s">
        <v>858</v>
      </c>
      <c r="C1835" t="s">
        <v>459</v>
      </c>
      <c r="D1835" t="s">
        <v>75</v>
      </c>
      <c r="E1835" s="70">
        <f>IF(B1835="","",INDEX(Ingredients!$I$1:$I$5013,(MATCH(InterventionCosts!B1835,Ingredients!$A$1:$A$5013,0))))</f>
        <v>495.08531887209995</v>
      </c>
      <c r="F1835" s="5" t="str">
        <f>INDEX(Ingredients!J$1:J$265,(MATCH(InterventionCosts!B1835,Ingredients!A$1:A$265,0)))</f>
        <v>per test</v>
      </c>
      <c r="G1835">
        <f>IF(B1835="","",INDEX(Ingredients!$E$1:$E$238,(MATCH(InterventionCosts!B1835,Ingredients!A$1:A$238,0))))</f>
        <v>2021</v>
      </c>
      <c r="H1835" t="str">
        <f>INDEX(Ingredients!$F$1:$F$318,(MATCH(InterventionCosts!B1835,Ingredients!A$1:A$318,0)))</f>
        <v>NHLS 2021 price-list</v>
      </c>
      <c r="I1835">
        <v>1</v>
      </c>
      <c r="J1835" t="s">
        <v>459</v>
      </c>
      <c r="K1835" s="85">
        <f t="shared" si="50"/>
        <v>495.08531887209995</v>
      </c>
    </row>
    <row r="1836" spans="1:14">
      <c r="A1836" t="s">
        <v>1458</v>
      </c>
      <c r="B1836" t="s">
        <v>458</v>
      </c>
      <c r="C1836" t="s">
        <v>459</v>
      </c>
      <c r="D1836" t="s">
        <v>75</v>
      </c>
      <c r="E1836" s="70">
        <f>IF(B1836="","",INDEX(Ingredients!$I$1:$I$5013,(MATCH(InterventionCosts!B1836,Ingredients!$A$1:$A$5013,0))))</f>
        <v>86.59037211495</v>
      </c>
      <c r="F1836" s="5" t="str">
        <f>INDEX(Ingredients!J$1:J$265,(MATCH(InterventionCosts!B1836,Ingredients!A$1:A$265,0)))</f>
        <v>per test</v>
      </c>
      <c r="G1836">
        <f>IF(B1836="","",INDEX(Ingredients!$E$1:$E$238,(MATCH(InterventionCosts!B1836,Ingredients!A$1:A$238,0))))</f>
        <v>2021</v>
      </c>
      <c r="H1836" t="str">
        <f>INDEX(Ingredients!$F$1:$F$318,(MATCH(InterventionCosts!B1836,Ingredients!A$1:A$318,0)))</f>
        <v>NHLS 2021 price-list</v>
      </c>
      <c r="I1836">
        <v>1</v>
      </c>
      <c r="J1836" t="s">
        <v>459</v>
      </c>
      <c r="K1836" s="85">
        <f t="shared" si="50"/>
        <v>86.59037211495</v>
      </c>
    </row>
    <row r="1837" spans="1:14">
      <c r="A1837" t="s">
        <v>1458</v>
      </c>
      <c r="B1837" t="s">
        <v>52</v>
      </c>
      <c r="C1837" t="s">
        <v>460</v>
      </c>
      <c r="D1837" t="s">
        <v>48</v>
      </c>
      <c r="E1837" s="70">
        <f>IF(B1837="","",INDEX(Ingredients!$I$1:$I$5013,(MATCH(InterventionCosts!B1837,Ingredients!$A$1:$A$5013,0))))</f>
        <v>1.8019482436472347</v>
      </c>
      <c r="F1837" s="5" t="str">
        <f>INDEX(Ingredients!J$1:J$265,(MATCH(InterventionCosts!B1837,Ingredients!A$1:A$265,0)))</f>
        <v>per minute</v>
      </c>
      <c r="G1837">
        <f>IF(B1837="","",INDEX(Ingredients!$E$1:$E$238,(MATCH(InterventionCosts!B1837,Ingredients!A$1:A$238,0))))</f>
        <v>2024</v>
      </c>
      <c r="H1837" t="str">
        <f>INDEX(Ingredients!$F$1:$F$318,(MATCH(InterventionCosts!B1837,Ingredients!A$1:A$318,0)))</f>
        <v xml:space="preserve">April 2024 Salary scale </v>
      </c>
      <c r="I1837">
        <f>4*4*(workminutespa/12/5102)</f>
        <v>27.973343786750295</v>
      </c>
      <c r="J1837" t="s">
        <v>460</v>
      </c>
      <c r="K1837" s="85">
        <f t="shared" si="50"/>
        <v>50.406517705474982</v>
      </c>
      <c r="L1837" s="85" t="s">
        <v>1079</v>
      </c>
    </row>
    <row r="1838" spans="1:14">
      <c r="A1838" t="s">
        <v>1458</v>
      </c>
      <c r="B1838" t="s">
        <v>55</v>
      </c>
      <c r="C1838" t="s">
        <v>460</v>
      </c>
      <c r="D1838" t="s">
        <v>48</v>
      </c>
      <c r="E1838" s="70">
        <f>IF(B1838="","",INDEX(Ingredients!$I$1:$I$5013,(MATCH(InterventionCosts!B1838,Ingredients!$A$1:$A$5013,0))))</f>
        <v>1.8549350710014947</v>
      </c>
      <c r="F1838" s="5" t="str">
        <f>INDEX(Ingredients!J$1:J$265,(MATCH(InterventionCosts!B1838,Ingredients!A$1:A$265,0)))</f>
        <v>per minute</v>
      </c>
      <c r="G1838">
        <f>IF(B1838="","",INDEX(Ingredients!$E$1:$E$238,(MATCH(InterventionCosts!B1838,Ingredients!A$1:A$238,0))))</f>
        <v>2024</v>
      </c>
      <c r="H1838" t="str">
        <f>INDEX(Ingredients!$F$1:$F$318,(MATCH(InterventionCosts!B1838,Ingredients!A$1:A$318,0)))</f>
        <v xml:space="preserve">April 2024 Salary scale </v>
      </c>
      <c r="I1838">
        <f>4*4*(workminutespa/12/5102)</f>
        <v>27.973343786750295</v>
      </c>
      <c r="J1838" t="s">
        <v>460</v>
      </c>
      <c r="K1838" s="85">
        <f t="shared" si="50"/>
        <v>51.888736443224879</v>
      </c>
      <c r="L1838" s="85" t="s">
        <v>1079</v>
      </c>
    </row>
    <row r="1839" spans="1:14">
      <c r="A1839" t="s">
        <v>1458</v>
      </c>
      <c r="B1839" t="s">
        <v>1070</v>
      </c>
      <c r="C1839" t="s">
        <v>460</v>
      </c>
      <c r="D1839" t="s">
        <v>48</v>
      </c>
      <c r="E1839" s="70">
        <f>IF(B1839="","",INDEX(Ingredients!$I$1:$I$5013,(MATCH(InterventionCosts!B1839,Ingredients!$A$1:$A$5013,0))))</f>
        <v>2.443981128550075</v>
      </c>
      <c r="F1839" s="5" t="str">
        <f>INDEX(Ingredients!J$1:J$265,(MATCH(InterventionCosts!B1839,Ingredients!A$1:A$265,0)))</f>
        <v>per minute</v>
      </c>
      <c r="G1839">
        <f>IF(B1839="","",INDEX(Ingredients!$E$1:$E$238,(MATCH(InterventionCosts!B1839,Ingredients!A$1:A$238,0))))</f>
        <v>2024</v>
      </c>
      <c r="H1839" t="str">
        <f>INDEX(Ingredients!$F$1:$F$318,(MATCH(InterventionCosts!B1839,Ingredients!A$1:A$318,0)))</f>
        <v xml:space="preserve">April 2024 Salary scale </v>
      </c>
      <c r="I1839">
        <f>1*4*(workminutespa/12/5102)</f>
        <v>6.9933359466875737</v>
      </c>
      <c r="J1839" t="s">
        <v>460</v>
      </c>
      <c r="K1839" s="85">
        <f t="shared" si="50"/>
        <v>17.091581079315304</v>
      </c>
      <c r="L1839" s="85" t="s">
        <v>1080</v>
      </c>
    </row>
    <row r="1840" spans="1:14">
      <c r="A1840" t="s">
        <v>1458</v>
      </c>
      <c r="B1840" t="s">
        <v>51</v>
      </c>
      <c r="C1840" t="s">
        <v>460</v>
      </c>
      <c r="D1840" t="s">
        <v>48</v>
      </c>
      <c r="E1840" s="70">
        <f>IF(B1840="","",INDEX(Ingredients!$I$1:$I$5013,(MATCH(InterventionCosts!B1840,Ingredients!$A$1:$A$5013,0))))</f>
        <v>4100.2266666666665</v>
      </c>
      <c r="F1840" s="5" t="str">
        <f>INDEX(Ingredients!J$1:J$265,(MATCH(InterventionCosts!B1840,Ingredients!A$1:A$265,0)))</f>
        <v>per month</v>
      </c>
      <c r="G1840">
        <f>IF(B1840="","",INDEX(Ingredients!$E$1:$E$238,(MATCH(InterventionCosts!B1840,Ingredients!A$1:A$238,0))))</f>
        <v>2024</v>
      </c>
      <c r="H1840" t="str">
        <f>INDEX(Ingredients!$F$1:$F$318,(MATCH(InterventionCosts!B1840,Ingredients!A$1:A$318,0)))</f>
        <v>https://www.gov.za/news/media-statements/government-activities/minister-thulas-nxesi-announces-national-minimum-wage</v>
      </c>
      <c r="I1840">
        <f>1*4*(1/5102)</f>
        <v>7.840062720501764E-4</v>
      </c>
      <c r="J1840" t="s">
        <v>460</v>
      </c>
      <c r="K1840" s="85">
        <f t="shared" si="50"/>
        <v>3.2146034234940544</v>
      </c>
      <c r="L1840" s="85" t="s">
        <v>1080</v>
      </c>
    </row>
    <row r="1841" spans="1:14">
      <c r="A1841" t="s">
        <v>1458</v>
      </c>
      <c r="B1841" t="s">
        <v>54</v>
      </c>
      <c r="C1841" t="s">
        <v>460</v>
      </c>
      <c r="D1841" t="s">
        <v>48</v>
      </c>
      <c r="E1841" s="70">
        <f>IF(B1841="","",INDEX(Ingredients!$I$1:$I$5013,(MATCH(InterventionCosts!B1841,Ingredients!$A$1:$A$5013,0))))</f>
        <v>1.2444366591928251</v>
      </c>
      <c r="F1841" s="5" t="str">
        <f>INDEX(Ingredients!J$1:J$265,(MATCH(InterventionCosts!B1841,Ingredients!A$1:A$265,0)))</f>
        <v>per minute</v>
      </c>
      <c r="G1841">
        <f>IF(B1841="","",INDEX(Ingredients!$E$1:$E$238,(MATCH(InterventionCosts!B1841,Ingredients!A$1:A$238,0))))</f>
        <v>2024</v>
      </c>
      <c r="H1841" t="str">
        <f>INDEX(Ingredients!$F$1:$F$318,(MATCH(InterventionCosts!B1841,Ingredients!A$1:A$318,0)))</f>
        <v xml:space="preserve">April 2024 Salary scale </v>
      </c>
      <c r="I1841">
        <f>8*4*(workminutespa/12/5102)</f>
        <v>55.94668757350059</v>
      </c>
      <c r="J1841" t="s">
        <v>460</v>
      </c>
      <c r="K1841" s="85">
        <f t="shared" si="50"/>
        <v>69.622108976871814</v>
      </c>
      <c r="L1841" s="85" t="s">
        <v>1081</v>
      </c>
    </row>
    <row r="1842" spans="1:14">
      <c r="A1842" t="s">
        <v>1458</v>
      </c>
      <c r="B1842" t="s">
        <v>354</v>
      </c>
      <c r="C1842" t="s">
        <v>460</v>
      </c>
      <c r="D1842" t="s">
        <v>48</v>
      </c>
      <c r="E1842" s="70">
        <f>IF(B1842="","",INDEX(Ingredients!$I$1:$I$5013,(MATCH(InterventionCosts!B1842,Ingredients!$A$1:$A$5013,0))))</f>
        <v>4.8996605630293981</v>
      </c>
      <c r="F1842" s="5" t="str">
        <f>INDEX(Ingredients!J$1:J$265,(MATCH(InterventionCosts!B1842,Ingredients!A$1:A$265,0)))</f>
        <v>per minute</v>
      </c>
      <c r="G1842">
        <f>IF(B1842="","",INDEX(Ingredients!$E$1:$E$238,(MATCH(InterventionCosts!B1842,Ingredients!A$1:A$238,0))))</f>
        <v>2024</v>
      </c>
      <c r="H1842" t="str">
        <f>INDEX(Ingredients!$F$1:$F$318,(MATCH(InterventionCosts!B1842,Ingredients!A$1:A$318,0)))</f>
        <v xml:space="preserve">April 2024 Salary scale </v>
      </c>
      <c r="I1842">
        <f>16*4*(workminutespa/12/5102)</f>
        <v>111.89337514700118</v>
      </c>
      <c r="J1842" t="s">
        <v>460</v>
      </c>
      <c r="K1842" s="85">
        <f t="shared" si="50"/>
        <v>548.23955747201546</v>
      </c>
      <c r="L1842" s="85" t="s">
        <v>1082</v>
      </c>
    </row>
    <row r="1843" spans="1:14">
      <c r="A1843" t="s">
        <v>1458</v>
      </c>
      <c r="B1843" t="s">
        <v>286</v>
      </c>
      <c r="C1843" t="s">
        <v>460</v>
      </c>
      <c r="D1843" t="s">
        <v>48</v>
      </c>
      <c r="E1843" s="70">
        <f>IF(B1843="","",INDEX(Ingredients!$I$1:$I$5013,(MATCH(InterventionCosts!B1843,Ingredients!$A$1:$A$5013,0))))</f>
        <v>3.2392279521674139</v>
      </c>
      <c r="F1843" s="5" t="str">
        <f>INDEX(Ingredients!J$1:J$265,(MATCH(InterventionCosts!B1843,Ingredients!A$1:A$265,0)))</f>
        <v>per minute</v>
      </c>
      <c r="G1843">
        <f>IF(B1843="","",INDEX(Ingredients!$E$1:$E$238,(MATCH(InterventionCosts!B1843,Ingredients!A$1:A$238,0))))</f>
        <v>2024</v>
      </c>
      <c r="H1843" t="str">
        <f>INDEX(Ingredients!$F$1:$F$318,(MATCH(InterventionCosts!B1843,Ingredients!A$1:A$318,0)))</f>
        <v xml:space="preserve">April 2024 Salary scale </v>
      </c>
      <c r="I1843">
        <f>4*4*(workminutespa/12/5102)</f>
        <v>27.973343786750295</v>
      </c>
      <c r="J1843" t="s">
        <v>460</v>
      </c>
      <c r="K1843" s="85">
        <f t="shared" si="50"/>
        <v>90.612037109630208</v>
      </c>
      <c r="L1843" s="85" t="s">
        <v>1079</v>
      </c>
    </row>
    <row r="1844" spans="1:14">
      <c r="A1844" t="s">
        <v>1458</v>
      </c>
      <c r="B1844" t="s">
        <v>1072</v>
      </c>
      <c r="C1844" t="s">
        <v>460</v>
      </c>
      <c r="D1844" t="s">
        <v>48</v>
      </c>
      <c r="E1844" s="70">
        <f>IF(B1844="","",INDEX(Ingredients!$I$1:$I$5013,(MATCH(InterventionCosts!B1844,Ingredients!$A$1:$A$5013,0))))</f>
        <v>2.5530496387643251</v>
      </c>
      <c r="F1844" s="5" t="str">
        <f>INDEX(Ingredients!J$1:J$265,(MATCH(InterventionCosts!B1844,Ingredients!A$1:A$265,0)))</f>
        <v>per minute</v>
      </c>
      <c r="G1844">
        <f>IF(B1844="","",INDEX(Ingredients!$E$1:$E$238,(MATCH(InterventionCosts!B1844,Ingredients!A$1:A$238,0))))</f>
        <v>2024</v>
      </c>
      <c r="H1844" t="str">
        <f>INDEX(Ingredients!$F$1:$F$318,(MATCH(InterventionCosts!B1844,Ingredients!A$1:A$318,0)))</f>
        <v xml:space="preserve">April 2024 Salary scale </v>
      </c>
      <c r="I1844">
        <f>1*4*(workminutespa/12/5102)</f>
        <v>6.9933359466875737</v>
      </c>
      <c r="J1844" t="s">
        <v>460</v>
      </c>
      <c r="K1844" s="85">
        <f t="shared" si="50"/>
        <v>17.854333812448278</v>
      </c>
      <c r="L1844" s="85" t="s">
        <v>1080</v>
      </c>
    </row>
    <row r="1845" spans="1:14">
      <c r="A1845" t="s">
        <v>1458</v>
      </c>
      <c r="B1845" t="s">
        <v>1074</v>
      </c>
      <c r="C1845" t="s">
        <v>460</v>
      </c>
      <c r="D1845" t="s">
        <v>48</v>
      </c>
      <c r="E1845" s="70">
        <f>IF(B1845="","",INDEX(Ingredients!$I$1:$I$5013,(MATCH(InterventionCosts!B1845,Ingredients!$A$1:$A$5013,0))))</f>
        <v>2076.8733333333334</v>
      </c>
      <c r="F1845" s="5" t="str">
        <f>INDEX(Ingredients!J$1:J$265,(MATCH(InterventionCosts!B1845,Ingredients!A$1:A$265,0)))</f>
        <v>per month</v>
      </c>
      <c r="G1845">
        <f>IF(B1845="","",INDEX(Ingredients!$E$1:$E$238,(MATCH(InterventionCosts!B1845,Ingredients!A$1:A$238,0))))</f>
        <v>2024</v>
      </c>
      <c r="H1845" t="str">
        <f>INDEX(Ingredients!$F$1:$F$318,(MATCH(InterventionCosts!B1845,Ingredients!A$1:A$318,0)))</f>
        <v>https://www.gov.za/speeches/minister-thulas-nxesi-hikes-minimum-wage-farmworkers-and-domestic-workers-22-feb-2023-0000</v>
      </c>
      <c r="I1845">
        <f>13*4*(1/5102)</f>
        <v>1.0192081536652292E-2</v>
      </c>
      <c r="J1845" t="s">
        <v>460</v>
      </c>
      <c r="K1845" s="85">
        <f t="shared" si="50"/>
        <v>21.167662354632171</v>
      </c>
      <c r="L1845" s="85" t="s">
        <v>1083</v>
      </c>
    </row>
    <row r="1846" spans="1:14">
      <c r="A1846" t="s">
        <v>1458</v>
      </c>
      <c r="B1846" t="s">
        <v>60</v>
      </c>
      <c r="C1846" t="s">
        <v>460</v>
      </c>
      <c r="D1846" t="s">
        <v>48</v>
      </c>
      <c r="E1846" s="70">
        <f>IF(B1846="","",INDEX(Ingredients!$I$1:$I$5013,(MATCH(InterventionCosts!B1846,Ingredients!$A$1:$A$5013,0))))</f>
        <v>9.1192801756352768</v>
      </c>
      <c r="F1846" s="5" t="str">
        <f>INDEX(Ingredients!J$1:J$265,(MATCH(InterventionCosts!B1846,Ingredients!A$1:A$265,0)))</f>
        <v>per minute</v>
      </c>
      <c r="G1846">
        <f>IF(B1846="","",INDEX(Ingredients!$E$1:$E$238,(MATCH(InterventionCosts!B1846,Ingredients!A$1:A$238,0))))</f>
        <v>2024</v>
      </c>
      <c r="H1846" t="str">
        <f>INDEX(Ingredients!$F$1:$F$318,(MATCH(InterventionCosts!B1846,Ingredients!A$1:A$318,0)))</f>
        <v xml:space="preserve">April 2024 Salary scale </v>
      </c>
      <c r="I1846">
        <f>1*4*(workminutespa/12/5102)</f>
        <v>6.9933359466875737</v>
      </c>
      <c r="J1846" t="s">
        <v>460</v>
      </c>
      <c r="K1846" s="85">
        <f t="shared" si="50"/>
        <v>63.774189860185551</v>
      </c>
      <c r="L1846" s="85" t="s">
        <v>1080</v>
      </c>
    </row>
    <row r="1847" spans="1:14">
      <c r="A1847" t="s">
        <v>1458</v>
      </c>
      <c r="B1847" t="s">
        <v>1077</v>
      </c>
      <c r="C1847" t="s">
        <v>460</v>
      </c>
      <c r="D1847" t="s">
        <v>48</v>
      </c>
      <c r="E1847" s="70">
        <f>IF(B1847="","",INDEX(Ingredients!$I$1:$I$5013,(MATCH(InterventionCosts!B1847,Ingredients!$A$1:$A$5013,0))))</f>
        <v>2.1347303967364222</v>
      </c>
      <c r="F1847" s="5" t="str">
        <f>INDEX(Ingredients!J$1:J$265,(MATCH(InterventionCosts!B1847,Ingredients!A$1:A$265,0)))</f>
        <v>per minute</v>
      </c>
      <c r="G1847">
        <f>IF(B1847="","",INDEX(Ingredients!$E$1:$E$238,(MATCH(InterventionCosts!B1847,Ingredients!A$1:A$238,0))))</f>
        <v>2024</v>
      </c>
      <c r="H1847" t="str">
        <f>INDEX(Ingredients!$F$1:$F$318,(MATCH(InterventionCosts!B1847,Ingredients!A$1:A$318,0)))</f>
        <v xml:space="preserve">April 2024 Salary scale </v>
      </c>
      <c r="I1847">
        <f>4*4*(workminutespa/12/5102)</f>
        <v>27.973343786750295</v>
      </c>
      <c r="J1847" t="s">
        <v>460</v>
      </c>
      <c r="K1847" s="85">
        <f t="shared" si="50"/>
        <v>59.715547279933787</v>
      </c>
      <c r="L1847" s="85" t="s">
        <v>1079</v>
      </c>
    </row>
    <row r="1848" spans="1:14">
      <c r="A1848" t="s">
        <v>1458</v>
      </c>
      <c r="B1848" t="s">
        <v>1078</v>
      </c>
      <c r="C1848" t="s">
        <v>460</v>
      </c>
      <c r="D1848" t="s">
        <v>48</v>
      </c>
      <c r="E1848" s="70">
        <f>IF(B1848="","",INDEX(Ingredients!$I$1:$I$5013,(MATCH(InterventionCosts!B1848,Ingredients!$A$1:$A$5013,0))))</f>
        <v>13.503224277528648</v>
      </c>
      <c r="F1848" s="5" t="str">
        <f>INDEX(Ingredients!J$1:J$265,(MATCH(InterventionCosts!B1848,Ingredients!A$1:A$265,0)))</f>
        <v>per minute</v>
      </c>
      <c r="G1848">
        <f>IF(B1848="","",INDEX(Ingredients!$E$1:$E$238,(MATCH(InterventionCosts!B1848,Ingredients!A$1:A$238,0))))</f>
        <v>2024</v>
      </c>
      <c r="H1848" t="str">
        <f>INDEX(Ingredients!$F$1:$F$318,(MATCH(InterventionCosts!B1848,Ingredients!A$1:A$318,0)))</f>
        <v xml:space="preserve">April 2024 Salary scale </v>
      </c>
      <c r="I1848">
        <f>2*4*(workminutespa/12/5102)</f>
        <v>13.986671893375147</v>
      </c>
      <c r="J1848" t="s">
        <v>460</v>
      </c>
      <c r="K1848" s="85">
        <f t="shared" si="50"/>
        <v>188.86516747245088</v>
      </c>
      <c r="L1848" s="85" t="s">
        <v>1084</v>
      </c>
    </row>
    <row r="1849" spans="1:14">
      <c r="A1849" t="s">
        <v>1458</v>
      </c>
      <c r="B1849" t="s">
        <v>477</v>
      </c>
      <c r="C1849" t="s">
        <v>406</v>
      </c>
      <c r="D1849" t="s">
        <v>81</v>
      </c>
      <c r="E1849" s="70">
        <f>IF(B1849="","",INDEX(Ingredients!$I$1:$I$5013,(MATCH(InterventionCosts!B1849,Ingredients!$A$1:$A$5013,0))))</f>
        <v>88.256346376062865</v>
      </c>
      <c r="F1849" s="5" t="str">
        <f>INDEX(Ingredients!J$1:J$265,(MATCH(InterventionCosts!B1849,Ingredients!A$1:A$265,0)))</f>
        <v>per visit</v>
      </c>
      <c r="G1849">
        <f>IF(B1849="","",INDEX(Ingredients!$E$1:$E$238,(MATCH(InterventionCosts!B1849,Ingredients!A$1:A$238,0))))</f>
        <v>2019</v>
      </c>
      <c r="H1849" t="str">
        <f>INDEX(Ingredients!$F$1:$F$318,(MATCH(InterventionCosts!B1849,Ingredients!A$1:A$318,0)))</f>
        <v xml:space="preserve">Long L, Girdwood S, Govender K, Meyer-Rath G, Miot J: Cost and outcomes of routine HIV care and treatment: A comparison of public and private delivery models covering low-income earners in South Africa. Preprint available under DOI: https://doi.org/10.21203/rs.3.rs-960517/v1    </v>
      </c>
      <c r="I1849">
        <v>4</v>
      </c>
      <c r="J1849" t="s">
        <v>485</v>
      </c>
      <c r="K1849" s="85">
        <f t="shared" si="50"/>
        <v>353.02538550425146</v>
      </c>
    </row>
    <row r="1850" spans="1:14" s="89" customFormat="1">
      <c r="A1850" s="4" t="s">
        <v>1458</v>
      </c>
      <c r="F1850" s="89" t="s">
        <v>1164</v>
      </c>
      <c r="K1850" s="90"/>
      <c r="L1850" s="90">
        <f>SUM(K1832:K1849)</f>
        <v>4958.4996871536241</v>
      </c>
      <c r="M1850" s="92"/>
      <c r="N1850" s="4"/>
    </row>
    <row r="1851" spans="1:14" s="89" customFormat="1">
      <c r="A1851" s="4" t="s">
        <v>1458</v>
      </c>
      <c r="F1851" s="89" t="s">
        <v>117</v>
      </c>
      <c r="K1851" s="90"/>
      <c r="L1851" s="90" t="s">
        <v>937</v>
      </c>
    </row>
    <row r="1853" spans="1:14">
      <c r="A1853" t="s">
        <v>1459</v>
      </c>
      <c r="B1853" s="5" t="s">
        <v>1367</v>
      </c>
      <c r="C1853" t="s">
        <v>459</v>
      </c>
      <c r="D1853" t="s">
        <v>70</v>
      </c>
      <c r="E1853" s="70">
        <f>IF(B1853="","",INDEX(Ingredients!$I$1:$I$5013,(MATCH(InterventionCosts!B1853,Ingredients!$A$1:$A$5013,0))))</f>
        <v>2.952048897020477</v>
      </c>
      <c r="F1853" s="5" t="str">
        <f>INDEX(Ingredients!J$1:J$265,(MATCH(InterventionCosts!B1853,Ingredients!A$1:A$265,0)))</f>
        <v>per day</v>
      </c>
      <c r="G1853">
        <f>IF(B1853="","",INDEX(Ingredients!$E$1:$E$238,(MATCH(InterventionCosts!B1853,Ingredients!A$1:A$238,0))))</f>
        <v>2024</v>
      </c>
      <c r="H1853" t="str">
        <f>INDEX(Ingredients!$F$1:$F$318,(MATCH(InterventionCosts!B1853,Ingredients!A$1:A$318,0)))</f>
        <v>Master Procurement Circular May 2024</v>
      </c>
      <c r="I1853">
        <f>360*'ART kids distribution'!$E$16</f>
        <v>246.91642651296831</v>
      </c>
      <c r="J1853" t="s">
        <v>406</v>
      </c>
      <c r="K1853" s="85">
        <f t="shared" ref="K1853:K1870" si="51">I1853*E1853</f>
        <v>728.90936454384575</v>
      </c>
    </row>
    <row r="1854" spans="1:14">
      <c r="A1854" t="s">
        <v>1459</v>
      </c>
      <c r="B1854" t="s">
        <v>1334</v>
      </c>
      <c r="C1854" t="s">
        <v>459</v>
      </c>
      <c r="D1854" t="s">
        <v>70</v>
      </c>
      <c r="E1854" s="70">
        <f>IF(B1854="","",INDEX(Ingredients!$I$1:$I$5013,(MATCH(InterventionCosts!B1854,Ingredients!$A$1:$A$5013,0))))</f>
        <v>7.7632142857142856</v>
      </c>
      <c r="F1854" s="5" t="str">
        <f>INDEX(Ingredients!J$1:J$265,(MATCH(InterventionCosts!B1854,Ingredients!A$1:A$265,0)))</f>
        <v>per day</v>
      </c>
      <c r="G1854">
        <f>IF(B1854="","",INDEX(Ingredients!$E$1:$E$238,(MATCH(InterventionCosts!B1854,Ingredients!A$1:A$238,0))))</f>
        <v>2024</v>
      </c>
      <c r="H1854" t="str">
        <f>INDEX(Ingredients!$F$1:$F$318,(MATCH(InterventionCosts!B1854,Ingredients!A$1:A$318,0)))</f>
        <v>Master Procurement Circular May 2024</v>
      </c>
      <c r="I1854">
        <f>360*'ART kids distribution'!$D$16</f>
        <v>104.78386167146974</v>
      </c>
      <c r="J1854" t="s">
        <v>406</v>
      </c>
      <c r="K1854" s="85">
        <f t="shared" si="51"/>
        <v>813.45957184026349</v>
      </c>
    </row>
    <row r="1855" spans="1:14">
      <c r="A1855" t="s">
        <v>1459</v>
      </c>
      <c r="B1855" t="s">
        <v>1335</v>
      </c>
      <c r="C1855" t="s">
        <v>459</v>
      </c>
      <c r="D1855" t="s">
        <v>70</v>
      </c>
      <c r="E1855" s="70">
        <f>IF(B1855="","",INDEX(Ingredients!$I$1:$I$5013,(MATCH(InterventionCosts!B1855,Ingredients!$A$1:$A$5013,0))))</f>
        <v>9.8100000073501299</v>
      </c>
      <c r="F1855" s="5" t="str">
        <f>INDEX(Ingredients!J$1:J$265,(MATCH(InterventionCosts!B1855,Ingredients!A$1:A$265,0)))</f>
        <v>per day</v>
      </c>
      <c r="G1855">
        <f>IF(B1855="","",INDEX(Ingredients!$E$1:$E$238,(MATCH(InterventionCosts!B1855,Ingredients!A$1:A$238,0))))</f>
        <v>2024</v>
      </c>
      <c r="H1855" t="str">
        <f>INDEX(Ingredients!$F$1:$F$318,(MATCH(InterventionCosts!B1855,Ingredients!A$1:A$318,0)))</f>
        <v>Master Procurement Circular May 2024</v>
      </c>
      <c r="I1855">
        <f>360*'ART kids distribution'!$C$16</f>
        <v>7.2622478386167151</v>
      </c>
      <c r="J1855" t="s">
        <v>406</v>
      </c>
      <c r="K1855" s="85">
        <f t="shared" si="51"/>
        <v>71.242651350208433</v>
      </c>
    </row>
    <row r="1856" spans="1:14">
      <c r="A1856" t="s">
        <v>1459</v>
      </c>
      <c r="B1856" t="s">
        <v>858</v>
      </c>
      <c r="C1856" t="s">
        <v>459</v>
      </c>
      <c r="D1856" t="s">
        <v>75</v>
      </c>
      <c r="E1856" s="70">
        <f>IF(B1856="","",INDEX(Ingredients!$I$1:$I$5013,(MATCH(InterventionCosts!B1856,Ingredients!$A$1:$A$5013,0))))</f>
        <v>495.08531887209995</v>
      </c>
      <c r="F1856" s="5" t="str">
        <f>INDEX(Ingredients!J$1:J$265,(MATCH(InterventionCosts!B1856,Ingredients!A$1:A$265,0)))</f>
        <v>per test</v>
      </c>
      <c r="G1856">
        <f>IF(B1856="","",INDEX(Ingredients!$E$1:$E$238,(MATCH(InterventionCosts!B1856,Ingredients!A$1:A$238,0))))</f>
        <v>2021</v>
      </c>
      <c r="H1856" t="str">
        <f>INDEX(Ingredients!$F$1:$F$318,(MATCH(InterventionCosts!B1856,Ingredients!A$1:A$318,0)))</f>
        <v>NHLS 2021 price-list</v>
      </c>
      <c r="I1856">
        <v>2</v>
      </c>
      <c r="J1856" t="s">
        <v>459</v>
      </c>
      <c r="K1856" s="85">
        <f t="shared" si="51"/>
        <v>990.17063774419989</v>
      </c>
    </row>
    <row r="1857" spans="1:14">
      <c r="A1857" t="s">
        <v>1459</v>
      </c>
      <c r="B1857" t="s">
        <v>458</v>
      </c>
      <c r="C1857" t="s">
        <v>459</v>
      </c>
      <c r="D1857" t="s">
        <v>75</v>
      </c>
      <c r="E1857" s="70">
        <f>IF(B1857="","",INDEX(Ingredients!$I$1:$I$5013,(MATCH(InterventionCosts!B1857,Ingredients!$A$1:$A$5013,0))))</f>
        <v>86.59037211495</v>
      </c>
      <c r="F1857" s="5" t="str">
        <f>INDEX(Ingredients!J$1:J$265,(MATCH(InterventionCosts!B1857,Ingredients!A$1:A$265,0)))</f>
        <v>per test</v>
      </c>
      <c r="G1857">
        <f>IF(B1857="","",INDEX(Ingredients!$E$1:$E$238,(MATCH(InterventionCosts!B1857,Ingredients!A$1:A$238,0))))</f>
        <v>2021</v>
      </c>
      <c r="H1857" t="str">
        <f>INDEX(Ingredients!$F$1:$F$318,(MATCH(InterventionCosts!B1857,Ingredients!A$1:A$318,0)))</f>
        <v>NHLS 2021 price-list</v>
      </c>
      <c r="I1857">
        <v>1</v>
      </c>
      <c r="J1857" t="s">
        <v>459</v>
      </c>
      <c r="K1857" s="85">
        <f t="shared" si="51"/>
        <v>86.59037211495</v>
      </c>
    </row>
    <row r="1858" spans="1:14">
      <c r="A1858" t="s">
        <v>1459</v>
      </c>
      <c r="B1858" t="s">
        <v>52</v>
      </c>
      <c r="C1858" t="s">
        <v>460</v>
      </c>
      <c r="D1858" t="s">
        <v>48</v>
      </c>
      <c r="E1858" s="70">
        <f>IF(B1858="","",INDEX(Ingredients!$I$1:$I$5013,(MATCH(InterventionCosts!B1858,Ingredients!$A$1:$A$5013,0))))</f>
        <v>1.8019482436472347</v>
      </c>
      <c r="F1858" s="5" t="str">
        <f>INDEX(Ingredients!J$1:J$265,(MATCH(InterventionCosts!B1858,Ingredients!A$1:A$265,0)))</f>
        <v>per minute</v>
      </c>
      <c r="G1858">
        <f>IF(B1858="","",INDEX(Ingredients!$E$1:$E$238,(MATCH(InterventionCosts!B1858,Ingredients!A$1:A$238,0))))</f>
        <v>2024</v>
      </c>
      <c r="H1858" t="str">
        <f>INDEX(Ingredients!$F$1:$F$318,(MATCH(InterventionCosts!B1858,Ingredients!A$1:A$318,0)))</f>
        <v xml:space="preserve">April 2024 Salary scale </v>
      </c>
      <c r="I1858">
        <f>4*7.54*(workminutespa/12/5102)</f>
        <v>52.729753038024306</v>
      </c>
      <c r="J1858" t="s">
        <v>460</v>
      </c>
      <c r="K1858" s="85">
        <f t="shared" si="51"/>
        <v>95.01628587482034</v>
      </c>
      <c r="L1858" s="85" t="s">
        <v>1097</v>
      </c>
    </row>
    <row r="1859" spans="1:14">
      <c r="A1859" t="s">
        <v>1459</v>
      </c>
      <c r="B1859" t="s">
        <v>55</v>
      </c>
      <c r="C1859" t="s">
        <v>460</v>
      </c>
      <c r="D1859" t="s">
        <v>48</v>
      </c>
      <c r="E1859" s="70">
        <f>IF(B1859="","",INDEX(Ingredients!$I$1:$I$5013,(MATCH(InterventionCosts!B1859,Ingredients!$A$1:$A$5013,0))))</f>
        <v>1.8549350710014947</v>
      </c>
      <c r="F1859" s="5" t="str">
        <f>INDEX(Ingredients!J$1:J$265,(MATCH(InterventionCosts!B1859,Ingredients!A$1:A$265,0)))</f>
        <v>per minute</v>
      </c>
      <c r="G1859">
        <f>IF(B1859="","",INDEX(Ingredients!$E$1:$E$238,(MATCH(InterventionCosts!B1859,Ingredients!A$1:A$238,0))))</f>
        <v>2024</v>
      </c>
      <c r="H1859" t="str">
        <f>INDEX(Ingredients!$F$1:$F$318,(MATCH(InterventionCosts!B1859,Ingredients!A$1:A$318,0)))</f>
        <v xml:space="preserve">April 2024 Salary scale </v>
      </c>
      <c r="I1859">
        <f>4*7.54*(workminutespa/12/5102)</f>
        <v>52.729753038024306</v>
      </c>
      <c r="J1859" t="s">
        <v>460</v>
      </c>
      <c r="K1859" s="85">
        <f t="shared" si="51"/>
        <v>97.810268195478898</v>
      </c>
      <c r="L1859" s="85" t="s">
        <v>1097</v>
      </c>
    </row>
    <row r="1860" spans="1:14">
      <c r="A1860" t="s">
        <v>1459</v>
      </c>
      <c r="B1860" t="s">
        <v>1070</v>
      </c>
      <c r="C1860" t="s">
        <v>460</v>
      </c>
      <c r="D1860" t="s">
        <v>48</v>
      </c>
      <c r="E1860" s="70">
        <f>IF(B1860="","",INDEX(Ingredients!$I$1:$I$5013,(MATCH(InterventionCosts!B1860,Ingredients!$A$1:$A$5013,0))))</f>
        <v>2.443981128550075</v>
      </c>
      <c r="F1860" s="5" t="str">
        <f>INDEX(Ingredients!J$1:J$265,(MATCH(InterventionCosts!B1860,Ingredients!A$1:A$265,0)))</f>
        <v>per minute</v>
      </c>
      <c r="G1860">
        <f>IF(B1860="","",INDEX(Ingredients!$E$1:$E$238,(MATCH(InterventionCosts!B1860,Ingredients!A$1:A$238,0))))</f>
        <v>2024</v>
      </c>
      <c r="H1860" t="str">
        <f>INDEX(Ingredients!$F$1:$F$318,(MATCH(InterventionCosts!B1860,Ingredients!A$1:A$318,0)))</f>
        <v xml:space="preserve">April 2024 Salary scale </v>
      </c>
      <c r="I1860">
        <f>1*7.54*(workminutespa/12/5102)</f>
        <v>13.182438259506077</v>
      </c>
      <c r="J1860" t="s">
        <v>460</v>
      </c>
      <c r="K1860" s="85">
        <f t="shared" si="51"/>
        <v>32.217630334509344</v>
      </c>
      <c r="L1860" s="85" t="s">
        <v>1098</v>
      </c>
    </row>
    <row r="1861" spans="1:14">
      <c r="A1861" t="s">
        <v>1459</v>
      </c>
      <c r="B1861" t="s">
        <v>51</v>
      </c>
      <c r="C1861" t="s">
        <v>460</v>
      </c>
      <c r="D1861" t="s">
        <v>48</v>
      </c>
      <c r="E1861" s="70">
        <f>IF(B1861="","",INDEX(Ingredients!$I$1:$I$5013,(MATCH(InterventionCosts!B1861,Ingredients!$A$1:$A$5013,0))))</f>
        <v>4100.2266666666665</v>
      </c>
      <c r="F1861" s="5" t="str">
        <f>INDEX(Ingredients!J$1:J$265,(MATCH(InterventionCosts!B1861,Ingredients!A$1:A$265,0)))</f>
        <v>per month</v>
      </c>
      <c r="G1861">
        <f>IF(B1861="","",INDEX(Ingredients!$E$1:$E$238,(MATCH(InterventionCosts!B1861,Ingredients!A$1:A$238,0))))</f>
        <v>2024</v>
      </c>
      <c r="H1861" t="str">
        <f>INDEX(Ingredients!$F$1:$F$318,(MATCH(InterventionCosts!B1861,Ingredients!A$1:A$318,0)))</f>
        <v>https://www.gov.za/news/media-statements/government-activities/minister-thulas-nxesi-announces-national-minimum-wage</v>
      </c>
      <c r="I1861">
        <f>1*7.54*(1/5102)</f>
        <v>1.4778518228145826E-3</v>
      </c>
      <c r="J1861" t="s">
        <v>460</v>
      </c>
      <c r="K1861" s="85">
        <f t="shared" si="51"/>
        <v>6.0595274532862931</v>
      </c>
      <c r="L1861" s="85" t="s">
        <v>1098</v>
      </c>
    </row>
    <row r="1862" spans="1:14">
      <c r="A1862" t="s">
        <v>1459</v>
      </c>
      <c r="B1862" t="s">
        <v>54</v>
      </c>
      <c r="C1862" t="s">
        <v>460</v>
      </c>
      <c r="D1862" t="s">
        <v>48</v>
      </c>
      <c r="E1862" s="70">
        <f>IF(B1862="","",INDEX(Ingredients!$I$1:$I$5013,(MATCH(InterventionCosts!B1862,Ingredients!$A$1:$A$5013,0))))</f>
        <v>1.2444366591928251</v>
      </c>
      <c r="F1862" s="5" t="str">
        <f>INDEX(Ingredients!J$1:J$265,(MATCH(InterventionCosts!B1862,Ingredients!A$1:A$265,0)))</f>
        <v>per minute</v>
      </c>
      <c r="G1862">
        <f>IF(B1862="","",INDEX(Ingredients!$E$1:$E$238,(MATCH(InterventionCosts!B1862,Ingredients!A$1:A$238,0))))</f>
        <v>2024</v>
      </c>
      <c r="H1862" t="str">
        <f>INDEX(Ingredients!$F$1:$F$318,(MATCH(InterventionCosts!B1862,Ingredients!A$1:A$318,0)))</f>
        <v xml:space="preserve">April 2024 Salary scale </v>
      </c>
      <c r="I1862">
        <f>8*7.54*(workminutespa/12/5102)</f>
        <v>105.45950607604861</v>
      </c>
      <c r="J1862" t="s">
        <v>460</v>
      </c>
      <c r="K1862" s="85">
        <f t="shared" si="51"/>
        <v>131.23767542140337</v>
      </c>
      <c r="L1862" s="85" t="s">
        <v>1099</v>
      </c>
    </row>
    <row r="1863" spans="1:14">
      <c r="A1863" t="s">
        <v>1459</v>
      </c>
      <c r="B1863" t="s">
        <v>354</v>
      </c>
      <c r="C1863" t="s">
        <v>460</v>
      </c>
      <c r="D1863" t="s">
        <v>48</v>
      </c>
      <c r="E1863" s="70">
        <f>IF(B1863="","",INDEX(Ingredients!$I$1:$I$5013,(MATCH(InterventionCosts!B1863,Ingredients!$A$1:$A$5013,0))))</f>
        <v>4.8996605630293981</v>
      </c>
      <c r="F1863" s="5" t="str">
        <f>INDEX(Ingredients!J$1:J$265,(MATCH(InterventionCosts!B1863,Ingredients!A$1:A$265,0)))</f>
        <v>per minute</v>
      </c>
      <c r="G1863">
        <f>IF(B1863="","",INDEX(Ingredients!$E$1:$E$238,(MATCH(InterventionCosts!B1863,Ingredients!A$1:A$238,0))))</f>
        <v>2024</v>
      </c>
      <c r="H1863" t="str">
        <f>INDEX(Ingredients!$F$1:$F$318,(MATCH(InterventionCosts!B1863,Ingredients!A$1:A$318,0)))</f>
        <v xml:space="preserve">April 2024 Salary scale </v>
      </c>
      <c r="I1863">
        <f>16*7.54*(workminutespa/12/5102)</f>
        <v>210.91901215209722</v>
      </c>
      <c r="J1863" t="s">
        <v>460</v>
      </c>
      <c r="K1863" s="85">
        <f t="shared" si="51"/>
        <v>1033.4315658347491</v>
      </c>
      <c r="L1863" s="85" t="s">
        <v>1100</v>
      </c>
    </row>
    <row r="1864" spans="1:14">
      <c r="A1864" t="s">
        <v>1459</v>
      </c>
      <c r="B1864" t="s">
        <v>286</v>
      </c>
      <c r="C1864" t="s">
        <v>460</v>
      </c>
      <c r="D1864" t="s">
        <v>48</v>
      </c>
      <c r="E1864" s="70">
        <f>IF(B1864="","",INDEX(Ingredients!$I$1:$I$5013,(MATCH(InterventionCosts!B1864,Ingredients!$A$1:$A$5013,0))))</f>
        <v>3.2392279521674139</v>
      </c>
      <c r="F1864" s="5" t="str">
        <f>INDEX(Ingredients!J$1:J$265,(MATCH(InterventionCosts!B1864,Ingredients!A$1:A$265,0)))</f>
        <v>per minute</v>
      </c>
      <c r="G1864">
        <f>IF(B1864="","",INDEX(Ingredients!$E$1:$E$238,(MATCH(InterventionCosts!B1864,Ingredients!A$1:A$238,0))))</f>
        <v>2024</v>
      </c>
      <c r="H1864" t="str">
        <f>INDEX(Ingredients!$F$1:$F$318,(MATCH(InterventionCosts!B1864,Ingredients!A$1:A$318,0)))</f>
        <v xml:space="preserve">April 2024 Salary scale </v>
      </c>
      <c r="I1864">
        <f>4*7.54*(workminutespa/12/5102)</f>
        <v>52.729753038024306</v>
      </c>
      <c r="J1864" t="s">
        <v>460</v>
      </c>
      <c r="K1864" s="85">
        <f t="shared" si="51"/>
        <v>170.80368995165296</v>
      </c>
      <c r="L1864" s="85" t="s">
        <v>1097</v>
      </c>
    </row>
    <row r="1865" spans="1:14">
      <c r="A1865" t="s">
        <v>1459</v>
      </c>
      <c r="B1865" t="s">
        <v>1072</v>
      </c>
      <c r="C1865" t="s">
        <v>460</v>
      </c>
      <c r="D1865" t="s">
        <v>48</v>
      </c>
      <c r="E1865" s="70">
        <f>IF(B1865="","",INDEX(Ingredients!$I$1:$I$5013,(MATCH(InterventionCosts!B1865,Ingredients!$A$1:$A$5013,0))))</f>
        <v>2.5530496387643251</v>
      </c>
      <c r="F1865" s="5" t="str">
        <f>INDEX(Ingredients!J$1:J$265,(MATCH(InterventionCosts!B1865,Ingredients!A$1:A$265,0)))</f>
        <v>per minute</v>
      </c>
      <c r="G1865">
        <f>IF(B1865="","",INDEX(Ingredients!$E$1:$E$238,(MATCH(InterventionCosts!B1865,Ingredients!A$1:A$238,0))))</f>
        <v>2024</v>
      </c>
      <c r="H1865" t="str">
        <f>INDEX(Ingredients!$F$1:$F$318,(MATCH(InterventionCosts!B1865,Ingredients!A$1:A$318,0)))</f>
        <v xml:space="preserve">April 2024 Salary scale </v>
      </c>
      <c r="I1865">
        <f>1*7.54*(workminutespa/12/5102)</f>
        <v>13.182438259506077</v>
      </c>
      <c r="J1865" t="s">
        <v>460</v>
      </c>
      <c r="K1865" s="85">
        <f t="shared" si="51"/>
        <v>33.655419236465008</v>
      </c>
      <c r="L1865" s="85" t="s">
        <v>1098</v>
      </c>
    </row>
    <row r="1866" spans="1:14">
      <c r="A1866" t="s">
        <v>1459</v>
      </c>
      <c r="B1866" t="s">
        <v>1074</v>
      </c>
      <c r="C1866" t="s">
        <v>460</v>
      </c>
      <c r="D1866" t="s">
        <v>48</v>
      </c>
      <c r="E1866" s="70">
        <f>IF(B1866="","",INDEX(Ingredients!$I$1:$I$5013,(MATCH(InterventionCosts!B1866,Ingredients!$A$1:$A$5013,0))))</f>
        <v>2076.8733333333334</v>
      </c>
      <c r="F1866" s="5" t="str">
        <f>INDEX(Ingredients!J$1:J$265,(MATCH(InterventionCosts!B1866,Ingredients!A$1:A$265,0)))</f>
        <v>per month</v>
      </c>
      <c r="G1866">
        <f>IF(B1866="","",INDEX(Ingredients!$E$1:$E$238,(MATCH(InterventionCosts!B1866,Ingredients!A$1:A$238,0))))</f>
        <v>2024</v>
      </c>
      <c r="H1866" t="str">
        <f>INDEX(Ingredients!$F$1:$F$318,(MATCH(InterventionCosts!B1866,Ingredients!A$1:A$318,0)))</f>
        <v>https://www.gov.za/speeches/minister-thulas-nxesi-hikes-minimum-wage-farmworkers-and-domestic-workers-22-feb-2023-0000</v>
      </c>
      <c r="I1866">
        <f>13*7.54*(1/5102)</f>
        <v>1.921207369658957E-2</v>
      </c>
      <c r="J1866" t="s">
        <v>460</v>
      </c>
      <c r="K1866" s="85">
        <f t="shared" si="51"/>
        <v>39.901043538481638</v>
      </c>
      <c r="L1866" s="85" t="s">
        <v>1101</v>
      </c>
    </row>
    <row r="1867" spans="1:14">
      <c r="A1867" t="s">
        <v>1459</v>
      </c>
      <c r="B1867" t="s">
        <v>60</v>
      </c>
      <c r="C1867" t="s">
        <v>460</v>
      </c>
      <c r="D1867" t="s">
        <v>48</v>
      </c>
      <c r="E1867" s="70">
        <f>IF(B1867="","",INDEX(Ingredients!$I$1:$I$5013,(MATCH(InterventionCosts!B1867,Ingredients!$A$1:$A$5013,0))))</f>
        <v>9.1192801756352768</v>
      </c>
      <c r="F1867" s="5" t="str">
        <f>INDEX(Ingredients!J$1:J$265,(MATCH(InterventionCosts!B1867,Ingredients!A$1:A$265,0)))</f>
        <v>per minute</v>
      </c>
      <c r="G1867">
        <f>IF(B1867="","",INDEX(Ingredients!$E$1:$E$238,(MATCH(InterventionCosts!B1867,Ingredients!A$1:A$238,0))))</f>
        <v>2024</v>
      </c>
      <c r="H1867" t="str">
        <f>INDEX(Ingredients!$F$1:$F$318,(MATCH(InterventionCosts!B1867,Ingredients!A$1:A$318,0)))</f>
        <v xml:space="preserve">April 2024 Salary scale </v>
      </c>
      <c r="I1867">
        <f>1*7.54*(workminutespa/12/5102)</f>
        <v>13.182438259506077</v>
      </c>
      <c r="J1867" t="s">
        <v>460</v>
      </c>
      <c r="K1867" s="85">
        <f t="shared" si="51"/>
        <v>120.21434788644977</v>
      </c>
      <c r="L1867" s="85" t="s">
        <v>1098</v>
      </c>
    </row>
    <row r="1868" spans="1:14">
      <c r="A1868" t="s">
        <v>1459</v>
      </c>
      <c r="B1868" t="s">
        <v>1077</v>
      </c>
      <c r="C1868" t="s">
        <v>460</v>
      </c>
      <c r="D1868" t="s">
        <v>48</v>
      </c>
      <c r="E1868" s="70">
        <f>IF(B1868="","",INDEX(Ingredients!$I$1:$I$5013,(MATCH(InterventionCosts!B1868,Ingredients!$A$1:$A$5013,0))))</f>
        <v>2.1347303967364222</v>
      </c>
      <c r="F1868" s="5" t="str">
        <f>INDEX(Ingredients!J$1:J$265,(MATCH(InterventionCosts!B1868,Ingredients!A$1:A$265,0)))</f>
        <v>per minute</v>
      </c>
      <c r="G1868">
        <f>IF(B1868="","",INDEX(Ingredients!$E$1:$E$238,(MATCH(InterventionCosts!B1868,Ingredients!A$1:A$238,0))))</f>
        <v>2024</v>
      </c>
      <c r="H1868" t="str">
        <f>INDEX(Ingredients!$F$1:$F$318,(MATCH(InterventionCosts!B1868,Ingredients!A$1:A$318,0)))</f>
        <v xml:space="preserve">April 2024 Salary scale </v>
      </c>
      <c r="I1868">
        <f>4*7.54*(workminutespa/12/5102)</f>
        <v>52.729753038024306</v>
      </c>
      <c r="J1868" t="s">
        <v>460</v>
      </c>
      <c r="K1868" s="85">
        <f t="shared" si="51"/>
        <v>112.56380662267519</v>
      </c>
      <c r="L1868" s="85" t="s">
        <v>1097</v>
      </c>
    </row>
    <row r="1869" spans="1:14">
      <c r="A1869" t="s">
        <v>1459</v>
      </c>
      <c r="B1869" t="s">
        <v>1078</v>
      </c>
      <c r="C1869" t="s">
        <v>460</v>
      </c>
      <c r="D1869" t="s">
        <v>48</v>
      </c>
      <c r="E1869" s="70">
        <f>IF(B1869="","",INDEX(Ingredients!$I$1:$I$5013,(MATCH(InterventionCosts!B1869,Ingredients!$A$1:$A$5013,0))))</f>
        <v>13.503224277528648</v>
      </c>
      <c r="F1869" s="5" t="str">
        <f>INDEX(Ingredients!J$1:J$265,(MATCH(InterventionCosts!B1869,Ingredients!A$1:A$265,0)))</f>
        <v>per minute</v>
      </c>
      <c r="G1869">
        <f>IF(B1869="","",INDEX(Ingredients!$E$1:$E$238,(MATCH(InterventionCosts!B1869,Ingredients!A$1:A$238,0))))</f>
        <v>2024</v>
      </c>
      <c r="H1869" t="str">
        <f>INDEX(Ingredients!$F$1:$F$318,(MATCH(InterventionCosts!B1869,Ingredients!A$1:A$318,0)))</f>
        <v xml:space="preserve">April 2024 Salary scale </v>
      </c>
      <c r="I1869">
        <f>2*7.54*(workminutespa/12/5102)</f>
        <v>26.364876519012153</v>
      </c>
      <c r="J1869" t="s">
        <v>460</v>
      </c>
      <c r="K1869" s="85">
        <f t="shared" si="51"/>
        <v>356.01084068556992</v>
      </c>
      <c r="L1869" s="85" t="s">
        <v>1102</v>
      </c>
    </row>
    <row r="1870" spans="1:14">
      <c r="A1870" t="s">
        <v>1459</v>
      </c>
      <c r="B1870" t="s">
        <v>477</v>
      </c>
      <c r="C1870" t="s">
        <v>406</v>
      </c>
      <c r="D1870" t="s">
        <v>81</v>
      </c>
      <c r="E1870" s="70">
        <f>IF(B1870="","",INDEX(Ingredients!$I$1:$I$5013,(MATCH(InterventionCosts!B1870,Ingredients!$A$1:$A$5013,0))))</f>
        <v>88.256346376062865</v>
      </c>
      <c r="F1870" s="5" t="str">
        <f>INDEX(Ingredients!J$1:J$265,(MATCH(InterventionCosts!B1870,Ingredients!A$1:A$265,0)))</f>
        <v>per visit</v>
      </c>
      <c r="G1870">
        <f>IF(B1870="","",INDEX(Ingredients!$E$1:$E$238,(MATCH(InterventionCosts!B1870,Ingredients!A$1:A$238,0))))</f>
        <v>2019</v>
      </c>
      <c r="H1870" t="str">
        <f>INDEX(Ingredients!$F$1:$F$318,(MATCH(InterventionCosts!B1870,Ingredients!A$1:A$318,0)))</f>
        <v xml:space="preserve">Long L, Girdwood S, Govender K, Meyer-Rath G, Miot J: Cost and outcomes of routine HIV care and treatment: A comparison of public and private delivery models covering low-income earners in South Africa. Preprint available under DOI: https://doi.org/10.21203/rs.3.rs-960517/v1    </v>
      </c>
      <c r="I1870">
        <v>7.54</v>
      </c>
      <c r="J1870" t="s">
        <v>485</v>
      </c>
      <c r="K1870" s="85">
        <f t="shared" si="51"/>
        <v>665.45285167551401</v>
      </c>
    </row>
    <row r="1871" spans="1:14" s="89" customFormat="1">
      <c r="A1871" s="4" t="s">
        <v>1459</v>
      </c>
      <c r="F1871" s="89" t="s">
        <v>1164</v>
      </c>
      <c r="K1871" s="90"/>
      <c r="L1871" s="90">
        <f>SUM(K1853:K1870)</f>
        <v>5584.7475503045225</v>
      </c>
      <c r="M1871" s="92"/>
      <c r="N1871" s="4"/>
    </row>
    <row r="1872" spans="1:14" s="89" customFormat="1">
      <c r="A1872" s="4" t="s">
        <v>1459</v>
      </c>
      <c r="F1872" s="89" t="s">
        <v>117</v>
      </c>
      <c r="K1872" s="90"/>
      <c r="L1872" s="90" t="s">
        <v>937</v>
      </c>
    </row>
    <row r="1874" spans="1:12">
      <c r="A1874" t="s">
        <v>1460</v>
      </c>
      <c r="B1874" s="5" t="s">
        <v>1367</v>
      </c>
      <c r="C1874" t="s">
        <v>459</v>
      </c>
      <c r="D1874" t="s">
        <v>70</v>
      </c>
      <c r="E1874" s="70">
        <f>IF(B1874="","",INDEX(Ingredients!$I$1:$I$5013,(MATCH(InterventionCosts!B1874,Ingredients!$A$1:$A$5013,0))))</f>
        <v>2.952048897020477</v>
      </c>
      <c r="F1874" s="5" t="str">
        <f>INDEX(Ingredients!J$1:J$265,(MATCH(InterventionCosts!B1874,Ingredients!A$1:A$265,0)))</f>
        <v>per day</v>
      </c>
      <c r="G1874">
        <f>IF(B1874="","",INDEX(Ingredients!$E$1:$E$238,(MATCH(InterventionCosts!B1874,Ingredients!A$1:A$238,0))))</f>
        <v>2024</v>
      </c>
      <c r="H1874" t="str">
        <f>INDEX(Ingredients!$F$1:$F$318,(MATCH(InterventionCosts!B1874,Ingredients!A$1:A$318,0)))</f>
        <v>Master Procurement Circular May 2024</v>
      </c>
      <c r="I1874">
        <f>360*'ART kids distribution'!$E$16</f>
        <v>246.91642651296831</v>
      </c>
      <c r="J1874" t="s">
        <v>406</v>
      </c>
      <c r="K1874" s="85">
        <f t="shared" ref="K1874:K1891" si="52">I1874*E1874</f>
        <v>728.90936454384575</v>
      </c>
    </row>
    <row r="1875" spans="1:12">
      <c r="A1875" t="s">
        <v>1460</v>
      </c>
      <c r="B1875" t="s">
        <v>1334</v>
      </c>
      <c r="C1875" t="s">
        <v>459</v>
      </c>
      <c r="D1875" t="s">
        <v>70</v>
      </c>
      <c r="E1875" s="70">
        <f>IF(B1875="","",INDEX(Ingredients!$I$1:$I$5013,(MATCH(InterventionCosts!B1875,Ingredients!$A$1:$A$5013,0))))</f>
        <v>7.7632142857142856</v>
      </c>
      <c r="F1875" s="5" t="str">
        <f>INDEX(Ingredients!J$1:J$265,(MATCH(InterventionCosts!B1875,Ingredients!A$1:A$265,0)))</f>
        <v>per day</v>
      </c>
      <c r="G1875">
        <f>IF(B1875="","",INDEX(Ingredients!$E$1:$E$238,(MATCH(InterventionCosts!B1875,Ingredients!A$1:A$238,0))))</f>
        <v>2024</v>
      </c>
      <c r="H1875" t="str">
        <f>INDEX(Ingredients!$F$1:$F$318,(MATCH(InterventionCosts!B1875,Ingredients!A$1:A$318,0)))</f>
        <v>Master Procurement Circular May 2024</v>
      </c>
      <c r="I1875">
        <f>360*'ART kids distribution'!$D$16</f>
        <v>104.78386167146974</v>
      </c>
      <c r="J1875" t="s">
        <v>406</v>
      </c>
      <c r="K1875" s="85">
        <f t="shared" si="52"/>
        <v>813.45957184026349</v>
      </c>
    </row>
    <row r="1876" spans="1:12">
      <c r="A1876" t="s">
        <v>1460</v>
      </c>
      <c r="B1876" t="s">
        <v>1335</v>
      </c>
      <c r="C1876" t="s">
        <v>459</v>
      </c>
      <c r="D1876" t="s">
        <v>70</v>
      </c>
      <c r="E1876" s="70">
        <f>IF(B1876="","",INDEX(Ingredients!$I$1:$I$5013,(MATCH(InterventionCosts!B1876,Ingredients!$A$1:$A$5013,0))))</f>
        <v>9.8100000073501299</v>
      </c>
      <c r="F1876" s="5" t="str">
        <f>INDEX(Ingredients!J$1:J$265,(MATCH(InterventionCosts!B1876,Ingredients!A$1:A$265,0)))</f>
        <v>per day</v>
      </c>
      <c r="G1876">
        <f>IF(B1876="","",INDEX(Ingredients!$E$1:$E$238,(MATCH(InterventionCosts!B1876,Ingredients!A$1:A$238,0))))</f>
        <v>2024</v>
      </c>
      <c r="H1876" t="str">
        <f>INDEX(Ingredients!$F$1:$F$318,(MATCH(InterventionCosts!B1876,Ingredients!A$1:A$318,0)))</f>
        <v>Master Procurement Circular May 2024</v>
      </c>
      <c r="I1876">
        <f>360*'ART kids distribution'!$C$16</f>
        <v>7.2622478386167151</v>
      </c>
      <c r="J1876" t="s">
        <v>406</v>
      </c>
      <c r="K1876" s="85">
        <f t="shared" si="52"/>
        <v>71.242651350208433</v>
      </c>
    </row>
    <row r="1877" spans="1:12">
      <c r="A1877" t="s">
        <v>1460</v>
      </c>
      <c r="B1877" t="s">
        <v>858</v>
      </c>
      <c r="C1877" t="s">
        <v>459</v>
      </c>
      <c r="D1877" t="s">
        <v>75</v>
      </c>
      <c r="E1877" s="70">
        <f>IF(B1877="","",INDEX(Ingredients!$I$1:$I$5013,(MATCH(InterventionCosts!B1877,Ingredients!$A$1:$A$5013,0))))</f>
        <v>495.08531887209995</v>
      </c>
      <c r="F1877" s="5" t="str">
        <f>INDEX(Ingredients!J$1:J$265,(MATCH(InterventionCosts!B1877,Ingredients!A$1:A$265,0)))</f>
        <v>per test</v>
      </c>
      <c r="G1877">
        <f>IF(B1877="","",INDEX(Ingredients!$E$1:$E$238,(MATCH(InterventionCosts!B1877,Ingredients!A$1:A$238,0))))</f>
        <v>2021</v>
      </c>
      <c r="H1877" t="str">
        <f>INDEX(Ingredients!$F$1:$F$318,(MATCH(InterventionCosts!B1877,Ingredients!A$1:A$318,0)))</f>
        <v>NHLS 2021 price-list</v>
      </c>
      <c r="I1877">
        <v>1</v>
      </c>
      <c r="J1877" t="s">
        <v>459</v>
      </c>
      <c r="K1877" s="85">
        <f t="shared" si="52"/>
        <v>495.08531887209995</v>
      </c>
    </row>
    <row r="1878" spans="1:12">
      <c r="A1878" t="s">
        <v>1460</v>
      </c>
      <c r="B1878" t="s">
        <v>458</v>
      </c>
      <c r="C1878" t="s">
        <v>459</v>
      </c>
      <c r="D1878" t="s">
        <v>75</v>
      </c>
      <c r="E1878" s="70">
        <f>IF(B1878="","",INDEX(Ingredients!$I$1:$I$5013,(MATCH(InterventionCosts!B1878,Ingredients!$A$1:$A$5013,0))))</f>
        <v>86.59037211495</v>
      </c>
      <c r="F1878" s="5" t="str">
        <f>INDEX(Ingredients!J$1:J$265,(MATCH(InterventionCosts!B1878,Ingredients!A$1:A$265,0)))</f>
        <v>per test</v>
      </c>
      <c r="G1878">
        <f>IF(B1878="","",INDEX(Ingredients!$E$1:$E$238,(MATCH(InterventionCosts!B1878,Ingredients!A$1:A$238,0))))</f>
        <v>2021</v>
      </c>
      <c r="H1878" t="str">
        <f>INDEX(Ingredients!$F$1:$F$318,(MATCH(InterventionCosts!B1878,Ingredients!A$1:A$318,0)))</f>
        <v>NHLS 2021 price-list</v>
      </c>
      <c r="I1878">
        <v>1</v>
      </c>
      <c r="J1878" t="s">
        <v>459</v>
      </c>
      <c r="K1878" s="85">
        <f t="shared" si="52"/>
        <v>86.59037211495</v>
      </c>
    </row>
    <row r="1879" spans="1:12">
      <c r="A1879" t="s">
        <v>1460</v>
      </c>
      <c r="B1879" t="s">
        <v>52</v>
      </c>
      <c r="C1879" t="s">
        <v>460</v>
      </c>
      <c r="D1879" t="s">
        <v>48</v>
      </c>
      <c r="E1879" s="70">
        <f>IF(B1879="","",INDEX(Ingredients!$I$1:$I$5013,(MATCH(InterventionCosts!B1879,Ingredients!$A$1:$A$5013,0))))</f>
        <v>1.8019482436472347</v>
      </c>
      <c r="F1879" s="5" t="str">
        <f>INDEX(Ingredients!J$1:J$265,(MATCH(InterventionCosts!B1879,Ingredients!A$1:A$265,0)))</f>
        <v>per minute</v>
      </c>
      <c r="G1879">
        <f>IF(B1879="","",INDEX(Ingredients!$E$1:$E$238,(MATCH(InterventionCosts!B1879,Ingredients!A$1:A$238,0))))</f>
        <v>2024</v>
      </c>
      <c r="H1879" t="str">
        <f>INDEX(Ingredients!$F$1:$F$318,(MATCH(InterventionCosts!B1879,Ingredients!A$1:A$318,0)))</f>
        <v xml:space="preserve">April 2024 Salary scale </v>
      </c>
      <c r="I1879">
        <f>4*4*(workminutespa/12/5102)</f>
        <v>27.973343786750295</v>
      </c>
      <c r="J1879" t="s">
        <v>460</v>
      </c>
      <c r="K1879" s="85">
        <f t="shared" si="52"/>
        <v>50.406517705474982</v>
      </c>
      <c r="L1879" s="85" t="s">
        <v>1079</v>
      </c>
    </row>
    <row r="1880" spans="1:12">
      <c r="A1880" t="s">
        <v>1460</v>
      </c>
      <c r="B1880" t="s">
        <v>55</v>
      </c>
      <c r="C1880" t="s">
        <v>460</v>
      </c>
      <c r="D1880" t="s">
        <v>48</v>
      </c>
      <c r="E1880" s="70">
        <f>IF(B1880="","",INDEX(Ingredients!$I$1:$I$5013,(MATCH(InterventionCosts!B1880,Ingredients!$A$1:$A$5013,0))))</f>
        <v>1.8549350710014947</v>
      </c>
      <c r="F1880" s="5" t="str">
        <f>INDEX(Ingredients!J$1:J$265,(MATCH(InterventionCosts!B1880,Ingredients!A$1:A$265,0)))</f>
        <v>per minute</v>
      </c>
      <c r="G1880">
        <f>IF(B1880="","",INDEX(Ingredients!$E$1:$E$238,(MATCH(InterventionCosts!B1880,Ingredients!A$1:A$238,0))))</f>
        <v>2024</v>
      </c>
      <c r="H1880" t="str">
        <f>INDEX(Ingredients!$F$1:$F$318,(MATCH(InterventionCosts!B1880,Ingredients!A$1:A$318,0)))</f>
        <v xml:space="preserve">April 2024 Salary scale </v>
      </c>
      <c r="I1880">
        <f>4*4*(workminutespa/12/5102)</f>
        <v>27.973343786750295</v>
      </c>
      <c r="J1880" t="s">
        <v>460</v>
      </c>
      <c r="K1880" s="85">
        <f t="shared" si="52"/>
        <v>51.888736443224879</v>
      </c>
      <c r="L1880" s="85" t="s">
        <v>1079</v>
      </c>
    </row>
    <row r="1881" spans="1:12">
      <c r="A1881" t="s">
        <v>1460</v>
      </c>
      <c r="B1881" t="s">
        <v>1070</v>
      </c>
      <c r="C1881" t="s">
        <v>460</v>
      </c>
      <c r="D1881" t="s">
        <v>48</v>
      </c>
      <c r="E1881" s="70">
        <f>IF(B1881="","",INDEX(Ingredients!$I$1:$I$5013,(MATCH(InterventionCosts!B1881,Ingredients!$A$1:$A$5013,0))))</f>
        <v>2.443981128550075</v>
      </c>
      <c r="F1881" s="5" t="str">
        <f>INDEX(Ingredients!J$1:J$265,(MATCH(InterventionCosts!B1881,Ingredients!A$1:A$265,0)))</f>
        <v>per minute</v>
      </c>
      <c r="G1881">
        <f>IF(B1881="","",INDEX(Ingredients!$E$1:$E$238,(MATCH(InterventionCosts!B1881,Ingredients!A$1:A$238,0))))</f>
        <v>2024</v>
      </c>
      <c r="H1881" t="str">
        <f>INDEX(Ingredients!$F$1:$F$318,(MATCH(InterventionCosts!B1881,Ingredients!A$1:A$318,0)))</f>
        <v xml:space="preserve">April 2024 Salary scale </v>
      </c>
      <c r="I1881">
        <f>1*4*(workminutespa/12/5102)</f>
        <v>6.9933359466875737</v>
      </c>
      <c r="J1881" t="s">
        <v>460</v>
      </c>
      <c r="K1881" s="85">
        <f t="shared" si="52"/>
        <v>17.091581079315304</v>
      </c>
      <c r="L1881" s="85" t="s">
        <v>1080</v>
      </c>
    </row>
    <row r="1882" spans="1:12">
      <c r="A1882" t="s">
        <v>1460</v>
      </c>
      <c r="B1882" t="s">
        <v>51</v>
      </c>
      <c r="C1882" t="s">
        <v>460</v>
      </c>
      <c r="D1882" t="s">
        <v>48</v>
      </c>
      <c r="E1882" s="70">
        <f>IF(B1882="","",INDEX(Ingredients!$I$1:$I$5013,(MATCH(InterventionCosts!B1882,Ingredients!$A$1:$A$5013,0))))</f>
        <v>4100.2266666666665</v>
      </c>
      <c r="F1882" s="5" t="str">
        <f>INDEX(Ingredients!J$1:J$265,(MATCH(InterventionCosts!B1882,Ingredients!A$1:A$265,0)))</f>
        <v>per month</v>
      </c>
      <c r="G1882">
        <f>IF(B1882="","",INDEX(Ingredients!$E$1:$E$238,(MATCH(InterventionCosts!B1882,Ingredients!A$1:A$238,0))))</f>
        <v>2024</v>
      </c>
      <c r="H1882" t="str">
        <f>INDEX(Ingredients!$F$1:$F$318,(MATCH(InterventionCosts!B1882,Ingredients!A$1:A$318,0)))</f>
        <v>https://www.gov.za/news/media-statements/government-activities/minister-thulas-nxesi-announces-national-minimum-wage</v>
      </c>
      <c r="I1882">
        <f>1*4*(1/5102)</f>
        <v>7.840062720501764E-4</v>
      </c>
      <c r="J1882" t="s">
        <v>460</v>
      </c>
      <c r="K1882" s="85">
        <f t="shared" si="52"/>
        <v>3.2146034234940544</v>
      </c>
      <c r="L1882" s="85" t="s">
        <v>1080</v>
      </c>
    </row>
    <row r="1883" spans="1:12">
      <c r="A1883" t="s">
        <v>1460</v>
      </c>
      <c r="B1883" t="s">
        <v>54</v>
      </c>
      <c r="C1883" t="s">
        <v>460</v>
      </c>
      <c r="D1883" t="s">
        <v>48</v>
      </c>
      <c r="E1883" s="70">
        <f>IF(B1883="","",INDEX(Ingredients!$I$1:$I$5013,(MATCH(InterventionCosts!B1883,Ingredients!$A$1:$A$5013,0))))</f>
        <v>1.2444366591928251</v>
      </c>
      <c r="F1883" s="5" t="str">
        <f>INDEX(Ingredients!J$1:J$265,(MATCH(InterventionCosts!B1883,Ingredients!A$1:A$265,0)))</f>
        <v>per minute</v>
      </c>
      <c r="G1883">
        <f>IF(B1883="","",INDEX(Ingredients!$E$1:$E$238,(MATCH(InterventionCosts!B1883,Ingredients!A$1:A$238,0))))</f>
        <v>2024</v>
      </c>
      <c r="H1883" t="str">
        <f>INDEX(Ingredients!$F$1:$F$318,(MATCH(InterventionCosts!B1883,Ingredients!A$1:A$318,0)))</f>
        <v xml:space="preserve">April 2024 Salary scale </v>
      </c>
      <c r="I1883">
        <f>8*4*(workminutespa/12/5102)</f>
        <v>55.94668757350059</v>
      </c>
      <c r="J1883" t="s">
        <v>460</v>
      </c>
      <c r="K1883" s="85">
        <f t="shared" si="52"/>
        <v>69.622108976871814</v>
      </c>
      <c r="L1883" s="85" t="s">
        <v>1081</v>
      </c>
    </row>
    <row r="1884" spans="1:12">
      <c r="A1884" t="s">
        <v>1460</v>
      </c>
      <c r="B1884" t="s">
        <v>354</v>
      </c>
      <c r="C1884" t="s">
        <v>460</v>
      </c>
      <c r="D1884" t="s">
        <v>48</v>
      </c>
      <c r="E1884" s="70">
        <f>IF(B1884="","",INDEX(Ingredients!$I$1:$I$5013,(MATCH(InterventionCosts!B1884,Ingredients!$A$1:$A$5013,0))))</f>
        <v>4.8996605630293981</v>
      </c>
      <c r="F1884" s="5" t="str">
        <f>INDEX(Ingredients!J$1:J$265,(MATCH(InterventionCosts!B1884,Ingredients!A$1:A$265,0)))</f>
        <v>per minute</v>
      </c>
      <c r="G1884">
        <f>IF(B1884="","",INDEX(Ingredients!$E$1:$E$238,(MATCH(InterventionCosts!B1884,Ingredients!A$1:A$238,0))))</f>
        <v>2024</v>
      </c>
      <c r="H1884" t="str">
        <f>INDEX(Ingredients!$F$1:$F$318,(MATCH(InterventionCosts!B1884,Ingredients!A$1:A$318,0)))</f>
        <v xml:space="preserve">April 2024 Salary scale </v>
      </c>
      <c r="I1884">
        <f>16*4*(workminutespa/12/5102)</f>
        <v>111.89337514700118</v>
      </c>
      <c r="J1884" t="s">
        <v>460</v>
      </c>
      <c r="K1884" s="85">
        <f t="shared" si="52"/>
        <v>548.23955747201546</v>
      </c>
      <c r="L1884" s="85" t="s">
        <v>1082</v>
      </c>
    </row>
    <row r="1885" spans="1:12">
      <c r="A1885" t="s">
        <v>1460</v>
      </c>
      <c r="B1885" t="s">
        <v>286</v>
      </c>
      <c r="C1885" t="s">
        <v>460</v>
      </c>
      <c r="D1885" t="s">
        <v>48</v>
      </c>
      <c r="E1885" s="70">
        <f>IF(B1885="","",INDEX(Ingredients!$I$1:$I$5013,(MATCH(InterventionCosts!B1885,Ingredients!$A$1:$A$5013,0))))</f>
        <v>3.2392279521674139</v>
      </c>
      <c r="F1885" s="5" t="str">
        <f>INDEX(Ingredients!J$1:J$265,(MATCH(InterventionCosts!B1885,Ingredients!A$1:A$265,0)))</f>
        <v>per minute</v>
      </c>
      <c r="G1885">
        <f>IF(B1885="","",INDEX(Ingredients!$E$1:$E$238,(MATCH(InterventionCosts!B1885,Ingredients!A$1:A$238,0))))</f>
        <v>2024</v>
      </c>
      <c r="H1885" t="str">
        <f>INDEX(Ingredients!$F$1:$F$318,(MATCH(InterventionCosts!B1885,Ingredients!A$1:A$318,0)))</f>
        <v xml:space="preserve">April 2024 Salary scale </v>
      </c>
      <c r="I1885">
        <f>4*4*(workminutespa/12/5102)</f>
        <v>27.973343786750295</v>
      </c>
      <c r="J1885" t="s">
        <v>460</v>
      </c>
      <c r="K1885" s="85">
        <f t="shared" si="52"/>
        <v>90.612037109630208</v>
      </c>
      <c r="L1885" s="85" t="s">
        <v>1079</v>
      </c>
    </row>
    <row r="1886" spans="1:12">
      <c r="A1886" t="s">
        <v>1460</v>
      </c>
      <c r="B1886" t="s">
        <v>1072</v>
      </c>
      <c r="C1886" t="s">
        <v>460</v>
      </c>
      <c r="D1886" t="s">
        <v>48</v>
      </c>
      <c r="E1886" s="70">
        <f>IF(B1886="","",INDEX(Ingredients!$I$1:$I$5013,(MATCH(InterventionCosts!B1886,Ingredients!$A$1:$A$5013,0))))</f>
        <v>2.5530496387643251</v>
      </c>
      <c r="F1886" s="5" t="str">
        <f>INDEX(Ingredients!J$1:J$265,(MATCH(InterventionCosts!B1886,Ingredients!A$1:A$265,0)))</f>
        <v>per minute</v>
      </c>
      <c r="G1886">
        <f>IF(B1886="","",INDEX(Ingredients!$E$1:$E$238,(MATCH(InterventionCosts!B1886,Ingredients!A$1:A$238,0))))</f>
        <v>2024</v>
      </c>
      <c r="H1886" t="str">
        <f>INDEX(Ingredients!$F$1:$F$318,(MATCH(InterventionCosts!B1886,Ingredients!A$1:A$318,0)))</f>
        <v xml:space="preserve">April 2024 Salary scale </v>
      </c>
      <c r="I1886">
        <f>1*4*(workminutespa/12/5102)</f>
        <v>6.9933359466875737</v>
      </c>
      <c r="J1886" t="s">
        <v>460</v>
      </c>
      <c r="K1886" s="85">
        <f t="shared" si="52"/>
        <v>17.854333812448278</v>
      </c>
      <c r="L1886" s="85" t="s">
        <v>1080</v>
      </c>
    </row>
    <row r="1887" spans="1:12">
      <c r="A1887" t="s">
        <v>1460</v>
      </c>
      <c r="B1887" t="s">
        <v>1074</v>
      </c>
      <c r="C1887" t="s">
        <v>460</v>
      </c>
      <c r="D1887" t="s">
        <v>48</v>
      </c>
      <c r="E1887" s="70">
        <f>IF(B1887="","",INDEX(Ingredients!$I$1:$I$5013,(MATCH(InterventionCosts!B1887,Ingredients!$A$1:$A$5013,0))))</f>
        <v>2076.8733333333334</v>
      </c>
      <c r="F1887" s="5" t="str">
        <f>INDEX(Ingredients!J$1:J$265,(MATCH(InterventionCosts!B1887,Ingredients!A$1:A$265,0)))</f>
        <v>per month</v>
      </c>
      <c r="G1887">
        <f>IF(B1887="","",INDEX(Ingredients!$E$1:$E$238,(MATCH(InterventionCosts!B1887,Ingredients!A$1:A$238,0))))</f>
        <v>2024</v>
      </c>
      <c r="H1887" t="str">
        <f>INDEX(Ingredients!$F$1:$F$318,(MATCH(InterventionCosts!B1887,Ingredients!A$1:A$318,0)))</f>
        <v>https://www.gov.za/speeches/minister-thulas-nxesi-hikes-minimum-wage-farmworkers-and-domestic-workers-22-feb-2023-0000</v>
      </c>
      <c r="I1887">
        <f>13*4*(1/5102)</f>
        <v>1.0192081536652292E-2</v>
      </c>
      <c r="J1887" t="s">
        <v>460</v>
      </c>
      <c r="K1887" s="85">
        <f t="shared" si="52"/>
        <v>21.167662354632171</v>
      </c>
      <c r="L1887" s="85" t="s">
        <v>1083</v>
      </c>
    </row>
    <row r="1888" spans="1:12">
      <c r="A1888" t="s">
        <v>1460</v>
      </c>
      <c r="B1888" t="s">
        <v>60</v>
      </c>
      <c r="C1888" t="s">
        <v>460</v>
      </c>
      <c r="D1888" t="s">
        <v>48</v>
      </c>
      <c r="E1888" s="70">
        <f>IF(B1888="","",INDEX(Ingredients!$I$1:$I$5013,(MATCH(InterventionCosts!B1888,Ingredients!$A$1:$A$5013,0))))</f>
        <v>9.1192801756352768</v>
      </c>
      <c r="F1888" s="5" t="str">
        <f>INDEX(Ingredients!J$1:J$265,(MATCH(InterventionCosts!B1888,Ingredients!A$1:A$265,0)))</f>
        <v>per minute</v>
      </c>
      <c r="G1888">
        <f>IF(B1888="","",INDEX(Ingredients!$E$1:$E$238,(MATCH(InterventionCosts!B1888,Ingredients!A$1:A$238,0))))</f>
        <v>2024</v>
      </c>
      <c r="H1888" t="str">
        <f>INDEX(Ingredients!$F$1:$F$318,(MATCH(InterventionCosts!B1888,Ingredients!A$1:A$318,0)))</f>
        <v xml:space="preserve">April 2024 Salary scale </v>
      </c>
      <c r="I1888">
        <f>1*4*(workminutespa/12/5102)</f>
        <v>6.9933359466875737</v>
      </c>
      <c r="J1888" t="s">
        <v>460</v>
      </c>
      <c r="K1888" s="85">
        <f t="shared" si="52"/>
        <v>63.774189860185551</v>
      </c>
      <c r="L1888" s="85" t="s">
        <v>1080</v>
      </c>
    </row>
    <row r="1889" spans="1:14">
      <c r="A1889" t="s">
        <v>1460</v>
      </c>
      <c r="B1889" t="s">
        <v>1077</v>
      </c>
      <c r="C1889" t="s">
        <v>460</v>
      </c>
      <c r="D1889" t="s">
        <v>48</v>
      </c>
      <c r="E1889" s="70">
        <f>IF(B1889="","",INDEX(Ingredients!$I$1:$I$5013,(MATCH(InterventionCosts!B1889,Ingredients!$A$1:$A$5013,0))))</f>
        <v>2.1347303967364222</v>
      </c>
      <c r="F1889" s="5" t="str">
        <f>INDEX(Ingredients!J$1:J$265,(MATCH(InterventionCosts!B1889,Ingredients!A$1:A$265,0)))</f>
        <v>per minute</v>
      </c>
      <c r="G1889">
        <f>IF(B1889="","",INDEX(Ingredients!$E$1:$E$238,(MATCH(InterventionCosts!B1889,Ingredients!A$1:A$238,0))))</f>
        <v>2024</v>
      </c>
      <c r="H1889" t="str">
        <f>INDEX(Ingredients!$F$1:$F$318,(MATCH(InterventionCosts!B1889,Ingredients!A$1:A$318,0)))</f>
        <v xml:space="preserve">April 2024 Salary scale </v>
      </c>
      <c r="I1889">
        <f>4*4*(workminutespa/12/5102)</f>
        <v>27.973343786750295</v>
      </c>
      <c r="J1889" t="s">
        <v>460</v>
      </c>
      <c r="K1889" s="85">
        <f t="shared" si="52"/>
        <v>59.715547279933787</v>
      </c>
      <c r="L1889" s="85" t="s">
        <v>1079</v>
      </c>
    </row>
    <row r="1890" spans="1:14">
      <c r="A1890" t="s">
        <v>1460</v>
      </c>
      <c r="B1890" t="s">
        <v>1078</v>
      </c>
      <c r="C1890" t="s">
        <v>460</v>
      </c>
      <c r="D1890" t="s">
        <v>48</v>
      </c>
      <c r="E1890" s="70">
        <f>IF(B1890="","",INDEX(Ingredients!$I$1:$I$5013,(MATCH(InterventionCosts!B1890,Ingredients!$A$1:$A$5013,0))))</f>
        <v>13.503224277528648</v>
      </c>
      <c r="F1890" s="5" t="str">
        <f>INDEX(Ingredients!J$1:J$265,(MATCH(InterventionCosts!B1890,Ingredients!A$1:A$265,0)))</f>
        <v>per minute</v>
      </c>
      <c r="G1890">
        <f>IF(B1890="","",INDEX(Ingredients!$E$1:$E$238,(MATCH(InterventionCosts!B1890,Ingredients!A$1:A$238,0))))</f>
        <v>2024</v>
      </c>
      <c r="H1890" t="str">
        <f>INDEX(Ingredients!$F$1:$F$318,(MATCH(InterventionCosts!B1890,Ingredients!A$1:A$318,0)))</f>
        <v xml:space="preserve">April 2024 Salary scale </v>
      </c>
      <c r="I1890">
        <f>2*4*(workminutespa/12/5102)</f>
        <v>13.986671893375147</v>
      </c>
      <c r="J1890" t="s">
        <v>460</v>
      </c>
      <c r="K1890" s="85">
        <f t="shared" si="52"/>
        <v>188.86516747245088</v>
      </c>
      <c r="L1890" s="85" t="s">
        <v>1084</v>
      </c>
    </row>
    <row r="1891" spans="1:14">
      <c r="A1891" t="s">
        <v>1460</v>
      </c>
      <c r="B1891" t="s">
        <v>477</v>
      </c>
      <c r="C1891" t="s">
        <v>406</v>
      </c>
      <c r="D1891" t="s">
        <v>81</v>
      </c>
      <c r="E1891" s="70">
        <f>IF(B1891="","",INDEX(Ingredients!$I$1:$I$5013,(MATCH(InterventionCosts!B1891,Ingredients!$A$1:$A$5013,0))))</f>
        <v>88.256346376062865</v>
      </c>
      <c r="F1891" s="5" t="str">
        <f>INDEX(Ingredients!J$1:J$265,(MATCH(InterventionCosts!B1891,Ingredients!A$1:A$265,0)))</f>
        <v>per visit</v>
      </c>
      <c r="G1891">
        <f>IF(B1891="","",INDEX(Ingredients!$E$1:$E$238,(MATCH(InterventionCosts!B1891,Ingredients!A$1:A$238,0))))</f>
        <v>2019</v>
      </c>
      <c r="H1891" t="str">
        <f>INDEX(Ingredients!$F$1:$F$318,(MATCH(InterventionCosts!B1891,Ingredients!A$1:A$318,0)))</f>
        <v xml:space="preserve">Long L, Girdwood S, Govender K, Meyer-Rath G, Miot J: Cost and outcomes of routine HIV care and treatment: A comparison of public and private delivery models covering low-income earners in South Africa. Preprint available under DOI: https://doi.org/10.21203/rs.3.rs-960517/v1    </v>
      </c>
      <c r="I1891">
        <v>4</v>
      </c>
      <c r="J1891" t="s">
        <v>485</v>
      </c>
      <c r="K1891" s="85">
        <f t="shared" si="52"/>
        <v>353.02538550425146</v>
      </c>
    </row>
    <row r="1892" spans="1:14" s="89" customFormat="1">
      <c r="A1892" s="4" t="s">
        <v>1460</v>
      </c>
      <c r="F1892" s="89" t="s">
        <v>1164</v>
      </c>
      <c r="K1892" s="90"/>
      <c r="L1892" s="90">
        <f>SUM(K1874:K1891)</f>
        <v>3730.7647072152963</v>
      </c>
      <c r="M1892" s="92"/>
      <c r="N1892" s="4"/>
    </row>
    <row r="1893" spans="1:14" s="89" customFormat="1">
      <c r="A1893" s="4" t="s">
        <v>1460</v>
      </c>
      <c r="F1893" s="89" t="s">
        <v>117</v>
      </c>
      <c r="K1893" s="90"/>
      <c r="L1893" s="90" t="s">
        <v>937</v>
      </c>
    </row>
    <row r="1895" spans="1:14">
      <c r="A1895" t="s">
        <v>1435</v>
      </c>
      <c r="B1895" s="273" t="s">
        <v>1147</v>
      </c>
      <c r="C1895" t="s">
        <v>1151</v>
      </c>
      <c r="D1895" t="s">
        <v>67</v>
      </c>
      <c r="E1895" s="70">
        <f>IF(B1895="","",INDEX(Ingredients!$I$1:$I$5013,(MATCH(InterventionCosts!B1895,Ingredients!$A$1:$A$5013,0))))</f>
        <v>96609.835920812693</v>
      </c>
      <c r="F1895" s="5" t="str">
        <f>INDEX(Ingredients!J$1:J$265,(MATCH(InterventionCosts!B1895,Ingredients!A$1:A$265,0)))</f>
        <v>per machine</v>
      </c>
      <c r="G1895">
        <f>IF(B1895="","",INDEX(Ingredients!$E$1:$E$238,(MATCH(InterventionCosts!B1895,Ingredients!A$1:A$238,0))))</f>
        <v>2024</v>
      </c>
      <c r="H1895" t="str">
        <f>INDEX(Ingredients!$F$1:$F$318,(MATCH(InterventionCosts!B1895,Ingredients!A$1:A$318,0)))</f>
        <v>https://www.stoptb.org/sites/default/files/gdf_diagnostics_medical_devices_other_health_products_catalog_0.pdf</v>
      </c>
      <c r="I1895" s="274">
        <f>1/(2300*0.6)*2</f>
        <v>1.4492753623188406E-3</v>
      </c>
      <c r="J1895" s="274" t="s">
        <v>1157</v>
      </c>
      <c r="K1895" s="85">
        <f t="shared" ref="K1895:K1904" si="53">E1895*I1895</f>
        <v>140.01425495769956</v>
      </c>
    </row>
    <row r="1896" spans="1:14">
      <c r="A1896" t="s">
        <v>1435</v>
      </c>
      <c r="B1896" s="273" t="s">
        <v>1148</v>
      </c>
      <c r="C1896" t="s">
        <v>1151</v>
      </c>
      <c r="D1896" t="s">
        <v>21</v>
      </c>
      <c r="E1896" s="70">
        <f>IF(B1896="","",INDEX(Ingredients!$I$1:$I$5013,(MATCH(InterventionCosts!B1896,Ingredients!$A$1:$A$5013,0))))</f>
        <v>319.75037364827585</v>
      </c>
      <c r="F1896" s="5" t="str">
        <f>INDEX(Ingredients!J$1:J$265,(MATCH(InterventionCosts!B1896,Ingredients!A$1:A$265,0)))</f>
        <v>per test</v>
      </c>
      <c r="G1896">
        <f>IF(B1896="","",INDEX(Ingredients!$E$1:$E$238,(MATCH(InterventionCosts!B1896,Ingredients!A$1:A$238,0))))</f>
        <v>2024</v>
      </c>
      <c r="H1896" t="str">
        <f>INDEX(Ingredients!$F$1:$F$318,(MATCH(InterventionCosts!B1896,Ingredients!A$1:A$318,0)))</f>
        <v>https://www.stoptb.org/sites/default/files/gdf_diagnostics_medical_devices_other_health_products_catalog_0.pdf</v>
      </c>
      <c r="I1896" s="274">
        <v>2</v>
      </c>
      <c r="J1896" t="s">
        <v>1151</v>
      </c>
      <c r="K1896" s="85">
        <f t="shared" si="53"/>
        <v>639.50074729655171</v>
      </c>
    </row>
    <row r="1897" spans="1:14">
      <c r="A1897" t="s">
        <v>1435</v>
      </c>
      <c r="B1897" s="273" t="s">
        <v>1149</v>
      </c>
      <c r="C1897" t="s">
        <v>1151</v>
      </c>
      <c r="D1897" t="s">
        <v>81</v>
      </c>
      <c r="E1897" s="70">
        <f>IF(B1897="","",INDEX(Ingredients!$I$1:$I$5013,(MATCH(InterventionCosts!B1897,Ingredients!$A$1:$A$5013,0))))</f>
        <v>34756.611222699823</v>
      </c>
      <c r="F1897" s="5" t="str">
        <f>INDEX(Ingredients!J$1:J$265,(MATCH(InterventionCosts!B1897,Ingredients!A$1:A$265,0)))</f>
        <v>per setup</v>
      </c>
      <c r="G1897">
        <f>IF(B1897="","",INDEX(Ingredients!$E$1:$E$238,(MATCH(InterventionCosts!B1897,Ingredients!A$1:A$238,0))))</f>
        <v>2024</v>
      </c>
      <c r="H1897" t="str">
        <f>INDEX(Ingredients!$F$1:$F$318,(MATCH(InterventionCosts!B1897,Ingredients!A$1:A$318,0)))</f>
        <v>https://www.stoptb.org/sites/default/files/gdf_diagnostics_medical_devices_other_health_products_catalog_0.pdf</v>
      </c>
      <c r="I1897" s="274">
        <f>1/(2300*0.6)*2</f>
        <v>1.4492753623188406E-3</v>
      </c>
      <c r="J1897" s="274" t="s">
        <v>1157</v>
      </c>
      <c r="K1897" s="85">
        <f t="shared" si="53"/>
        <v>50.371900322753369</v>
      </c>
    </row>
    <row r="1898" spans="1:14">
      <c r="A1898" t="s">
        <v>1435</v>
      </c>
      <c r="B1898" s="273" t="s">
        <v>1156</v>
      </c>
      <c r="C1898" t="s">
        <v>1151</v>
      </c>
      <c r="D1898" t="s">
        <v>48</v>
      </c>
      <c r="E1898" s="70">
        <f>IF(B1898="","",INDEX(Ingredients!$I$1:$I$5013,(MATCH(InterventionCosts!B1898,Ingredients!$A$1:$A$5013,0))))</f>
        <v>5619.5309209141369</v>
      </c>
      <c r="F1898" s="5" t="str">
        <f>INDEX(Ingredients!J$1:J$265,(MATCH(InterventionCosts!B1898,Ingredients!A$1:A$265,0)))</f>
        <v>per setup</v>
      </c>
      <c r="G1898">
        <f>IF(B1898="","",INDEX(Ingredients!$E$1:$E$238,(MATCH(InterventionCosts!B1898,Ingredients!A$1:A$238,0))))</f>
        <v>2019</v>
      </c>
      <c r="H1898" t="str">
        <f>INDEX(Ingredients!$F$1:$F$318,(MATCH(InterventionCosts!B1898,Ingredients!A$1:A$318,0)))</f>
        <v>Sarah Girdwood, https://www.ncbi.nlm.nih.gov/pmc/articles/PMC7700965/pdf/main.pdf</v>
      </c>
      <c r="I1898" s="274">
        <f>1/(230000)</f>
        <v>4.3478260869565214E-6</v>
      </c>
      <c r="J1898" t="s">
        <v>1151</v>
      </c>
      <c r="K1898" s="85">
        <f t="shared" si="53"/>
        <v>2.4432743134409289E-2</v>
      </c>
    </row>
    <row r="1899" spans="1:14">
      <c r="A1899" t="s">
        <v>1435</v>
      </c>
      <c r="B1899" s="273" t="s">
        <v>1150</v>
      </c>
      <c r="C1899" t="s">
        <v>1151</v>
      </c>
      <c r="D1899" t="s">
        <v>48</v>
      </c>
      <c r="E1899" s="70">
        <f>IF(B1899="","",INDEX(Ingredients!$I$1:$I$5013,(MATCH(InterventionCosts!B1899,Ingredients!$A$1:$A$5013,0))))</f>
        <v>5690.1603086312934</v>
      </c>
      <c r="F1899" s="5" t="str">
        <f>INDEX(Ingredients!J$1:J$265,(MATCH(InterventionCosts!B1899,Ingredients!A$1:A$265,0)))</f>
        <v>per setup</v>
      </c>
      <c r="G1899">
        <f>IF(B1899="","",INDEX(Ingredients!$E$1:$E$238,(MATCH(InterventionCosts!B1899,Ingredients!A$1:A$238,0))))</f>
        <v>2019</v>
      </c>
      <c r="H1899" t="str">
        <f>INDEX(Ingredients!$F$1:$F$318,(MATCH(InterventionCosts!B1899,Ingredients!A$1:A$318,0)))</f>
        <v>Sarah Girdwood, https://www.ncbi.nlm.nih.gov/pmc/articles/PMC7700965/pdf/main.pdf</v>
      </c>
      <c r="I1899" s="274">
        <f>1/(2300*0.6)*2</f>
        <v>1.4492753623188406E-3</v>
      </c>
      <c r="J1899" t="s">
        <v>1151</v>
      </c>
      <c r="K1899" s="85">
        <f t="shared" si="53"/>
        <v>8.2466091429439032</v>
      </c>
    </row>
    <row r="1900" spans="1:14">
      <c r="A1900" t="s">
        <v>1435</v>
      </c>
      <c r="B1900" s="273" t="s">
        <v>1155</v>
      </c>
      <c r="C1900" t="s">
        <v>1151</v>
      </c>
      <c r="D1900" t="s">
        <v>67</v>
      </c>
      <c r="E1900" s="70">
        <f>IF(B1900="","",INDEX(Ingredients!$I$1:$I$5013,(MATCH(InterventionCosts!B1900,Ingredients!$A$1:$A$5013,0))))</f>
        <v>11917.103963912978</v>
      </c>
      <c r="F1900" s="5" t="str">
        <f>INDEX(Ingredients!J$1:J$265,(MATCH(InterventionCosts!B1900,Ingredients!A$1:A$265,0)))</f>
        <v>per setup</v>
      </c>
      <c r="G1900">
        <f>IF(B1900="","",INDEX(Ingredients!$E$1:$E$238,(MATCH(InterventionCosts!B1900,Ingredients!A$1:A$238,0))))</f>
        <v>2019</v>
      </c>
      <c r="H1900" t="str">
        <f>INDEX(Ingredients!$F$1:$F$318,(MATCH(InterventionCosts!B1900,Ingredients!A$1:A$318,0)))</f>
        <v>Sarah Girdwood, https://www.ncbi.nlm.nih.gov/pmc/articles/PMC7700965/pdf/main.pdf</v>
      </c>
      <c r="I1900" s="274">
        <f>1/(2300*0.6)*2</f>
        <v>1.4492753623188406E-3</v>
      </c>
      <c r="J1900" t="s">
        <v>1151</v>
      </c>
      <c r="K1900" s="85">
        <f t="shared" si="53"/>
        <v>17.271165165091272</v>
      </c>
    </row>
    <row r="1901" spans="1:14">
      <c r="A1901" t="s">
        <v>1435</v>
      </c>
      <c r="B1901" s="273" t="s">
        <v>1154</v>
      </c>
      <c r="C1901" t="s">
        <v>1151</v>
      </c>
      <c r="D1901" t="s">
        <v>81</v>
      </c>
      <c r="E1901" s="70">
        <f>IF(B1901="","",INDEX(Ingredients!$I$1:$I$5013,(MATCH(InterventionCosts!B1901,Ingredients!$A$1:$A$5013,0))))</f>
        <v>8006.8042257540328</v>
      </c>
      <c r="F1901" s="5" t="str">
        <f>INDEX(Ingredients!J$1:J$265,(MATCH(InterventionCosts!B1901,Ingredients!A$1:A$265,0)))</f>
        <v>per setup</v>
      </c>
      <c r="G1901">
        <f>IF(B1901="","",INDEX(Ingredients!$E$1:$E$238,(MATCH(InterventionCosts!B1901,Ingredients!A$1:A$238,0))))</f>
        <v>2019</v>
      </c>
      <c r="H1901" t="str">
        <f>INDEX(Ingredients!$F$1:$F$318,(MATCH(InterventionCosts!B1901,Ingredients!A$1:A$318,0)))</f>
        <v>https://www.ncbi.nlm.nih.gov/pmc/articles/PMC7700965/pdf/main.pdf</v>
      </c>
      <c r="I1901" s="274">
        <f>1/(2300*0.6)*2</f>
        <v>1.4492753623188406E-3</v>
      </c>
      <c r="J1901" t="s">
        <v>1151</v>
      </c>
      <c r="K1901" s="85">
        <f t="shared" si="53"/>
        <v>11.604064095295699</v>
      </c>
    </row>
    <row r="1902" spans="1:14">
      <c r="A1902" t="s">
        <v>1435</v>
      </c>
      <c r="B1902" s="273" t="s">
        <v>1153</v>
      </c>
      <c r="C1902" t="s">
        <v>1151</v>
      </c>
      <c r="D1902" t="s">
        <v>81</v>
      </c>
      <c r="E1902" s="70">
        <f>IF(B1902="","",INDEX(Ingredients!$I$1:$I$5013,(MATCH(InterventionCosts!B1902,Ingredients!$A$1:$A$5013,0))))</f>
        <v>22740.094503552911</v>
      </c>
      <c r="F1902" s="5" t="str">
        <f>INDEX(Ingredients!J$1:J$265,(MATCH(InterventionCosts!B1902,Ingredients!A$1:A$265,0)))</f>
        <v>per setup</v>
      </c>
      <c r="G1902">
        <f>IF(B1902="","",INDEX(Ingredients!$E$1:$E$238,(MATCH(InterventionCosts!B1902,Ingredients!A$1:A$238,0))))</f>
        <v>2019</v>
      </c>
      <c r="H1902" t="str">
        <f>INDEX(Ingredients!$F$1:$F$318,(MATCH(InterventionCosts!B1902,Ingredients!A$1:A$318,0)))</f>
        <v>https://www.ncbi.nlm.nih.gov/pmc/articles/PMC7700965/pdf/main.pdf</v>
      </c>
      <c r="I1902" s="274">
        <f>1/(2300*0.6)*2</f>
        <v>1.4492753623188406E-3</v>
      </c>
      <c r="J1902" t="s">
        <v>1151</v>
      </c>
      <c r="K1902" s="85">
        <f t="shared" si="53"/>
        <v>32.95665870080132</v>
      </c>
    </row>
    <row r="1903" spans="1:14">
      <c r="A1903" t="s">
        <v>1435</v>
      </c>
      <c r="B1903" s="273" t="s">
        <v>1152</v>
      </c>
      <c r="C1903" t="s">
        <v>1151</v>
      </c>
      <c r="D1903" t="s">
        <v>21</v>
      </c>
      <c r="E1903" s="70">
        <f>IF(B1903="","",INDEX(Ingredients!$I$1:$I$5013,(MATCH(InterventionCosts!B1903,Ingredients!$A$1:$A$5013,0))))</f>
        <v>3.608519627003822</v>
      </c>
      <c r="F1903" s="5" t="str">
        <f>INDEX(Ingredients!J$1:J$265,(MATCH(InterventionCosts!B1903,Ingredients!A$1:A$265,0)))</f>
        <v>per test</v>
      </c>
      <c r="G1903">
        <f>IF(B1903="","",INDEX(Ingredients!$E$1:$E$238,(MATCH(InterventionCosts!B1903,Ingredients!A$1:A$238,0))))</f>
        <v>2019</v>
      </c>
      <c r="H1903" t="str">
        <f>INDEX(Ingredients!$F$1:$F$318,(MATCH(InterventionCosts!B1903,Ingredients!A$1:A$318,0)))</f>
        <v>Sarah Girdwood, https://www.ncbi.nlm.nih.gov/pmc/articles/PMC7700965/pdf/main.pdf</v>
      </c>
      <c r="I1903" s="274">
        <v>2</v>
      </c>
      <c r="J1903" t="s">
        <v>1151</v>
      </c>
      <c r="K1903" s="85">
        <f t="shared" si="53"/>
        <v>7.217039254007644</v>
      </c>
    </row>
    <row r="1904" spans="1:14">
      <c r="A1904" t="s">
        <v>1435</v>
      </c>
      <c r="B1904" s="273" t="s">
        <v>286</v>
      </c>
      <c r="C1904" t="s">
        <v>1151</v>
      </c>
      <c r="D1904" t="s">
        <v>48</v>
      </c>
      <c r="E1904" s="70">
        <f>IF(B1904="","",INDEX(Ingredients!$I$1:$I$5013,(MATCH(InterventionCosts!B1904,Ingredients!$A$1:$A$5013,0))))</f>
        <v>3.2392279521674139</v>
      </c>
      <c r="F1904" s="5" t="str">
        <f>INDEX(Ingredients!J$1:J$265,(MATCH(InterventionCosts!B1904,Ingredients!A$1:A$265,0)))</f>
        <v>per minute</v>
      </c>
      <c r="G1904">
        <f>IF(B1904="","",INDEX(Ingredients!$E$1:$E$238,(MATCH(InterventionCosts!B1904,Ingredients!A$1:A$238,0))))</f>
        <v>2024</v>
      </c>
      <c r="H1904" t="str">
        <f>INDEX(Ingredients!$F$1:$F$318,(MATCH(InterventionCosts!B1904,Ingredients!A$1:A$318,0)))</f>
        <v xml:space="preserve">April 2024 Salary scale </v>
      </c>
      <c r="I1904" s="274">
        <f>(5.6+5.4+17.1+5)*2</f>
        <v>66.2</v>
      </c>
      <c r="J1904" t="s">
        <v>1151</v>
      </c>
      <c r="K1904" s="85">
        <f t="shared" si="53"/>
        <v>214.4368904334828</v>
      </c>
    </row>
    <row r="1905" spans="1:12">
      <c r="A1905" t="s">
        <v>1435</v>
      </c>
      <c r="B1905" t="s">
        <v>458</v>
      </c>
      <c r="C1905" t="s">
        <v>459</v>
      </c>
      <c r="D1905" t="s">
        <v>75</v>
      </c>
      <c r="E1905" s="70">
        <f>IF(B1905="","",INDEX(Ingredients!$I$1:$I$5013,(MATCH(InterventionCosts!B1905,Ingredients!$A$1:$A$5013,0))))</f>
        <v>86.59037211495</v>
      </c>
      <c r="F1905" s="5" t="str">
        <f>INDEX(Ingredients!J$1:J$265,(MATCH(InterventionCosts!B1905,Ingredients!A$1:A$265,0)))</f>
        <v>per test</v>
      </c>
      <c r="G1905">
        <f>IF(B1905="","",INDEX(Ingredients!$E$1:$E$238,(MATCH(InterventionCosts!B1905,Ingredients!A$1:A$238,0))))</f>
        <v>2021</v>
      </c>
      <c r="H1905" t="str">
        <f>INDEX(Ingredients!$F$1:$F$318,(MATCH(InterventionCosts!B1905,Ingredients!A$1:A$318,0)))</f>
        <v>NHLS 2021 price-list</v>
      </c>
      <c r="I1905">
        <v>1</v>
      </c>
      <c r="J1905" t="s">
        <v>459</v>
      </c>
      <c r="K1905" s="85">
        <f>I1905*E1905</f>
        <v>86.59037211495</v>
      </c>
    </row>
    <row r="1906" spans="1:12">
      <c r="A1906" t="s">
        <v>1435</v>
      </c>
      <c r="B1906" t="s">
        <v>408</v>
      </c>
      <c r="C1906" t="s">
        <v>459</v>
      </c>
      <c r="D1906" t="s">
        <v>75</v>
      </c>
      <c r="E1906" s="70">
        <f>IF(B1906="","",INDEX(Ingredients!$I$1:$I$5013,(MATCH(InterventionCosts!B1906,Ingredients!$A$1:$A$5013,0))))</f>
        <v>39.539473461949996</v>
      </c>
      <c r="F1906" s="5" t="str">
        <f>INDEX(Ingredients!J$1:J$265,(MATCH(InterventionCosts!B1906,Ingredients!A$1:A$265,0)))</f>
        <v>per test</v>
      </c>
      <c r="G1906">
        <f>IF(B1906="","",INDEX(Ingredients!$E$1:$E$238,(MATCH(InterventionCosts!B1906,Ingredients!A$1:A$238,0))))</f>
        <v>2021</v>
      </c>
      <c r="H1906" t="str">
        <f>INDEX(Ingredients!$F$1:$F$318,(MATCH(InterventionCosts!B1906,Ingredients!A$1:A$318,0)))</f>
        <v>NHLS 2021 price-list</v>
      </c>
      <c r="I1906">
        <v>2</v>
      </c>
      <c r="J1906" t="s">
        <v>459</v>
      </c>
      <c r="K1906" s="85">
        <f>I1906*E1906</f>
        <v>79.078946923899991</v>
      </c>
    </row>
    <row r="1907" spans="1:12">
      <c r="A1907" t="s">
        <v>1435</v>
      </c>
      <c r="B1907" t="s">
        <v>52</v>
      </c>
      <c r="C1907" t="s">
        <v>460</v>
      </c>
      <c r="D1907" t="s">
        <v>48</v>
      </c>
      <c r="E1907" s="70">
        <f>IF(B1907="","",INDEX(Ingredients!$I$1:$I$5013,(MATCH(InterventionCosts!B1907,Ingredients!$A$1:$A$5013,0))))</f>
        <v>1.8019482436472347</v>
      </c>
      <c r="F1907" s="5" t="str">
        <f>INDEX(Ingredients!J$1:J$265,(MATCH(InterventionCosts!B1907,Ingredients!A$1:A$265,0)))</f>
        <v>per minute</v>
      </c>
      <c r="G1907">
        <f>IF(B1907="","",INDEX(Ingredients!$E$1:$E$238,(MATCH(InterventionCosts!B1907,Ingredients!A$1:A$238,0))))</f>
        <v>2024</v>
      </c>
      <c r="H1907" t="str">
        <f>INDEX(Ingredients!$F$1:$F$318,(MATCH(InterventionCosts!B1907,Ingredients!A$1:A$318,0)))</f>
        <v xml:space="preserve">April 2024 Salary scale </v>
      </c>
      <c r="I1907">
        <f>4*7.54*(workminutespa/12/5102)</f>
        <v>52.729753038024306</v>
      </c>
      <c r="J1907" t="s">
        <v>460</v>
      </c>
      <c r="K1907" s="85">
        <f t="shared" ref="K1907:K1918" si="54">E1907*I1907</f>
        <v>95.01628587482034</v>
      </c>
      <c r="L1907" s="85" t="s">
        <v>1097</v>
      </c>
    </row>
    <row r="1908" spans="1:12">
      <c r="A1908" t="s">
        <v>1435</v>
      </c>
      <c r="B1908" t="s">
        <v>55</v>
      </c>
      <c r="C1908" t="s">
        <v>460</v>
      </c>
      <c r="D1908" t="s">
        <v>48</v>
      </c>
      <c r="E1908" s="70">
        <f>IF(B1908="","",INDEX(Ingredients!$I$1:$I$5013,(MATCH(InterventionCosts!B1908,Ingredients!$A$1:$A$5013,0))))</f>
        <v>1.8549350710014947</v>
      </c>
      <c r="F1908" s="5" t="str">
        <f>INDEX(Ingredients!J$1:J$265,(MATCH(InterventionCosts!B1908,Ingredients!A$1:A$265,0)))</f>
        <v>per minute</v>
      </c>
      <c r="G1908">
        <f>IF(B1908="","",INDEX(Ingredients!$E$1:$E$238,(MATCH(InterventionCosts!B1908,Ingredients!A$1:A$238,0))))</f>
        <v>2024</v>
      </c>
      <c r="H1908" t="str">
        <f>INDEX(Ingredients!$F$1:$F$318,(MATCH(InterventionCosts!B1908,Ingredients!A$1:A$318,0)))</f>
        <v xml:space="preserve">April 2024 Salary scale </v>
      </c>
      <c r="I1908">
        <f>4*7.54*(workminutespa/12/5102)</f>
        <v>52.729753038024306</v>
      </c>
      <c r="J1908" t="s">
        <v>460</v>
      </c>
      <c r="K1908" s="85">
        <f t="shared" si="54"/>
        <v>97.810268195478898</v>
      </c>
      <c r="L1908" s="85" t="s">
        <v>1097</v>
      </c>
    </row>
    <row r="1909" spans="1:12">
      <c r="A1909" t="s">
        <v>1435</v>
      </c>
      <c r="B1909" t="s">
        <v>1070</v>
      </c>
      <c r="C1909" t="s">
        <v>460</v>
      </c>
      <c r="D1909" t="s">
        <v>48</v>
      </c>
      <c r="E1909" s="70">
        <f>IF(B1909="","",INDEX(Ingredients!$I$1:$I$5013,(MATCH(InterventionCosts!B1909,Ingredients!$A$1:$A$5013,0))))</f>
        <v>2.443981128550075</v>
      </c>
      <c r="F1909" s="5" t="str">
        <f>INDEX(Ingredients!J$1:J$265,(MATCH(InterventionCosts!B1909,Ingredients!A$1:A$265,0)))</f>
        <v>per minute</v>
      </c>
      <c r="G1909">
        <f>IF(B1909="","",INDEX(Ingredients!$E$1:$E$238,(MATCH(InterventionCosts!B1909,Ingredients!A$1:A$238,0))))</f>
        <v>2024</v>
      </c>
      <c r="H1909" t="str">
        <f>INDEX(Ingredients!$F$1:$F$318,(MATCH(InterventionCosts!B1909,Ingredients!A$1:A$318,0)))</f>
        <v xml:space="preserve">April 2024 Salary scale </v>
      </c>
      <c r="I1909">
        <f>1*7.54*(workminutespa/12/5102)</f>
        <v>13.182438259506077</v>
      </c>
      <c r="J1909" t="s">
        <v>460</v>
      </c>
      <c r="K1909" s="85">
        <f t="shared" si="54"/>
        <v>32.217630334509344</v>
      </c>
      <c r="L1909" s="85" t="s">
        <v>1098</v>
      </c>
    </row>
    <row r="1910" spans="1:12">
      <c r="A1910" t="s">
        <v>1435</v>
      </c>
      <c r="B1910" t="s">
        <v>51</v>
      </c>
      <c r="C1910" t="s">
        <v>460</v>
      </c>
      <c r="D1910" t="s">
        <v>48</v>
      </c>
      <c r="E1910" s="70">
        <f>IF(B1910="","",INDEX(Ingredients!$I$1:$I$5013,(MATCH(InterventionCosts!B1910,Ingredients!$A$1:$A$5013,0))))</f>
        <v>4100.2266666666665</v>
      </c>
      <c r="F1910" s="5" t="str">
        <f>INDEX(Ingredients!J$1:J$265,(MATCH(InterventionCosts!B1910,Ingredients!A$1:A$265,0)))</f>
        <v>per month</v>
      </c>
      <c r="G1910">
        <f>IF(B1910="","",INDEX(Ingredients!$E$1:$E$238,(MATCH(InterventionCosts!B1910,Ingredients!A$1:A$238,0))))</f>
        <v>2024</v>
      </c>
      <c r="H1910" t="str">
        <f>INDEX(Ingredients!$F$1:$F$318,(MATCH(InterventionCosts!B1910,Ingredients!A$1:A$318,0)))</f>
        <v>https://www.gov.za/news/media-statements/government-activities/minister-thulas-nxesi-announces-national-minimum-wage</v>
      </c>
      <c r="I1910">
        <f>1*7.54*(1/5102)</f>
        <v>1.4778518228145826E-3</v>
      </c>
      <c r="J1910" t="s">
        <v>460</v>
      </c>
      <c r="K1910" s="85">
        <f t="shared" si="54"/>
        <v>6.0595274532862931</v>
      </c>
      <c r="L1910" s="85" t="s">
        <v>1098</v>
      </c>
    </row>
    <row r="1911" spans="1:12">
      <c r="A1911" t="s">
        <v>1435</v>
      </c>
      <c r="B1911" t="s">
        <v>54</v>
      </c>
      <c r="C1911" t="s">
        <v>460</v>
      </c>
      <c r="D1911" t="s">
        <v>48</v>
      </c>
      <c r="E1911" s="70">
        <f>IF(B1911="","",INDEX(Ingredients!$I$1:$I$5013,(MATCH(InterventionCosts!B1911,Ingredients!$A$1:$A$5013,0))))</f>
        <v>1.2444366591928251</v>
      </c>
      <c r="F1911" s="5" t="str">
        <f>INDEX(Ingredients!J$1:J$265,(MATCH(InterventionCosts!B1911,Ingredients!A$1:A$265,0)))</f>
        <v>per minute</v>
      </c>
      <c r="G1911">
        <f>IF(B1911="","",INDEX(Ingredients!$E$1:$E$238,(MATCH(InterventionCosts!B1911,Ingredients!A$1:A$238,0))))</f>
        <v>2024</v>
      </c>
      <c r="H1911" t="str">
        <f>INDEX(Ingredients!$F$1:$F$318,(MATCH(InterventionCosts!B1911,Ingredients!A$1:A$318,0)))</f>
        <v xml:space="preserve">April 2024 Salary scale </v>
      </c>
      <c r="I1911">
        <f>8*7.54*(workminutespa/12/5102)</f>
        <v>105.45950607604861</v>
      </c>
      <c r="J1911" t="s">
        <v>460</v>
      </c>
      <c r="K1911" s="85">
        <f t="shared" si="54"/>
        <v>131.23767542140337</v>
      </c>
      <c r="L1911" s="85" t="s">
        <v>1099</v>
      </c>
    </row>
    <row r="1912" spans="1:12">
      <c r="A1912" t="s">
        <v>1435</v>
      </c>
      <c r="B1912" t="s">
        <v>354</v>
      </c>
      <c r="C1912" t="s">
        <v>460</v>
      </c>
      <c r="D1912" t="s">
        <v>48</v>
      </c>
      <c r="E1912" s="70">
        <f>IF(B1912="","",INDEX(Ingredients!$I$1:$I$5013,(MATCH(InterventionCosts!B1912,Ingredients!$A$1:$A$5013,0))))</f>
        <v>4.8996605630293981</v>
      </c>
      <c r="F1912" s="5" t="str">
        <f>INDEX(Ingredients!J$1:J$265,(MATCH(InterventionCosts!B1912,Ingredients!A$1:A$265,0)))</f>
        <v>per minute</v>
      </c>
      <c r="G1912">
        <f>IF(B1912="","",INDEX(Ingredients!$E$1:$E$238,(MATCH(InterventionCosts!B1912,Ingredients!A$1:A$238,0))))</f>
        <v>2024</v>
      </c>
      <c r="H1912" t="str">
        <f>INDEX(Ingredients!$F$1:$F$318,(MATCH(InterventionCosts!B1912,Ingredients!A$1:A$318,0)))</f>
        <v xml:space="preserve">April 2024 Salary scale </v>
      </c>
      <c r="I1912">
        <f>16*7.54*(workminutespa/12/5102)</f>
        <v>210.91901215209722</v>
      </c>
      <c r="J1912" t="s">
        <v>460</v>
      </c>
      <c r="K1912" s="85">
        <f t="shared" si="54"/>
        <v>1033.4315658347491</v>
      </c>
      <c r="L1912" s="85" t="s">
        <v>1100</v>
      </c>
    </row>
    <row r="1913" spans="1:12">
      <c r="A1913" t="s">
        <v>1435</v>
      </c>
      <c r="B1913" t="s">
        <v>286</v>
      </c>
      <c r="C1913" t="s">
        <v>460</v>
      </c>
      <c r="D1913" t="s">
        <v>48</v>
      </c>
      <c r="E1913" s="70">
        <f>IF(B1913="","",INDEX(Ingredients!$I$1:$I$5013,(MATCH(InterventionCosts!B1913,Ingredients!$A$1:$A$5013,0))))</f>
        <v>3.2392279521674139</v>
      </c>
      <c r="F1913" s="5" t="str">
        <f>INDEX(Ingredients!J$1:J$265,(MATCH(InterventionCosts!B1913,Ingredients!A$1:A$265,0)))</f>
        <v>per minute</v>
      </c>
      <c r="G1913">
        <f>IF(B1913="","",INDEX(Ingredients!$E$1:$E$238,(MATCH(InterventionCosts!B1913,Ingredients!A$1:A$238,0))))</f>
        <v>2024</v>
      </c>
      <c r="H1913" t="str">
        <f>INDEX(Ingredients!$F$1:$F$318,(MATCH(InterventionCosts!B1913,Ingredients!A$1:A$318,0)))</f>
        <v xml:space="preserve">April 2024 Salary scale </v>
      </c>
      <c r="I1913">
        <f>4*7.54*(workminutespa/12/5102)</f>
        <v>52.729753038024306</v>
      </c>
      <c r="J1913" t="s">
        <v>460</v>
      </c>
      <c r="K1913" s="85">
        <f t="shared" si="54"/>
        <v>170.80368995165296</v>
      </c>
      <c r="L1913" s="85" t="s">
        <v>1097</v>
      </c>
    </row>
    <row r="1914" spans="1:12">
      <c r="A1914" t="s">
        <v>1435</v>
      </c>
      <c r="B1914" t="s">
        <v>1072</v>
      </c>
      <c r="C1914" t="s">
        <v>460</v>
      </c>
      <c r="D1914" t="s">
        <v>48</v>
      </c>
      <c r="E1914" s="70">
        <f>IF(B1914="","",INDEX(Ingredients!$I$1:$I$5013,(MATCH(InterventionCosts!B1914,Ingredients!$A$1:$A$5013,0))))</f>
        <v>2.5530496387643251</v>
      </c>
      <c r="F1914" s="5" t="str">
        <f>INDEX(Ingredients!J$1:J$265,(MATCH(InterventionCosts!B1914,Ingredients!A$1:A$265,0)))</f>
        <v>per minute</v>
      </c>
      <c r="G1914">
        <f>IF(B1914="","",INDEX(Ingredients!$E$1:$E$238,(MATCH(InterventionCosts!B1914,Ingredients!A$1:A$238,0))))</f>
        <v>2024</v>
      </c>
      <c r="H1914" t="str">
        <f>INDEX(Ingredients!$F$1:$F$318,(MATCH(InterventionCosts!B1914,Ingredients!A$1:A$318,0)))</f>
        <v xml:space="preserve">April 2024 Salary scale </v>
      </c>
      <c r="I1914">
        <f>1*7.54*(workminutespa/12/5102)</f>
        <v>13.182438259506077</v>
      </c>
      <c r="J1914" t="s">
        <v>460</v>
      </c>
      <c r="K1914" s="85">
        <f t="shared" si="54"/>
        <v>33.655419236465008</v>
      </c>
      <c r="L1914" s="85" t="s">
        <v>1098</v>
      </c>
    </row>
    <row r="1915" spans="1:12">
      <c r="A1915" t="s">
        <v>1435</v>
      </c>
      <c r="B1915" t="s">
        <v>1074</v>
      </c>
      <c r="C1915" t="s">
        <v>460</v>
      </c>
      <c r="D1915" t="s">
        <v>48</v>
      </c>
      <c r="E1915" s="70">
        <f>IF(B1915="","",INDEX(Ingredients!$I$1:$I$5013,(MATCH(InterventionCosts!B1915,Ingredients!$A$1:$A$5013,0))))</f>
        <v>2076.8733333333334</v>
      </c>
      <c r="F1915" s="5" t="str">
        <f>INDEX(Ingredients!J$1:J$265,(MATCH(InterventionCosts!B1915,Ingredients!A$1:A$265,0)))</f>
        <v>per month</v>
      </c>
      <c r="G1915">
        <f>IF(B1915="","",INDEX(Ingredients!$E$1:$E$238,(MATCH(InterventionCosts!B1915,Ingredients!A$1:A$238,0))))</f>
        <v>2024</v>
      </c>
      <c r="H1915" t="str">
        <f>INDEX(Ingredients!$F$1:$F$318,(MATCH(InterventionCosts!B1915,Ingredients!A$1:A$318,0)))</f>
        <v>https://www.gov.za/speeches/minister-thulas-nxesi-hikes-minimum-wage-farmworkers-and-domestic-workers-22-feb-2023-0000</v>
      </c>
      <c r="I1915">
        <f>13*7.54*(1/5102)</f>
        <v>1.921207369658957E-2</v>
      </c>
      <c r="J1915" t="s">
        <v>460</v>
      </c>
      <c r="K1915" s="85">
        <f t="shared" si="54"/>
        <v>39.901043538481638</v>
      </c>
      <c r="L1915" s="85" t="s">
        <v>1101</v>
      </c>
    </row>
    <row r="1916" spans="1:12">
      <c r="A1916" t="s">
        <v>1435</v>
      </c>
      <c r="B1916" t="s">
        <v>60</v>
      </c>
      <c r="C1916" t="s">
        <v>460</v>
      </c>
      <c r="D1916" t="s">
        <v>48</v>
      </c>
      <c r="E1916" s="70">
        <f>IF(B1916="","",INDEX(Ingredients!$I$1:$I$5013,(MATCH(InterventionCosts!B1916,Ingredients!$A$1:$A$5013,0))))</f>
        <v>9.1192801756352768</v>
      </c>
      <c r="F1916" s="5" t="str">
        <f>INDEX(Ingredients!J$1:J$265,(MATCH(InterventionCosts!B1916,Ingredients!A$1:A$265,0)))</f>
        <v>per minute</v>
      </c>
      <c r="G1916">
        <f>IF(B1916="","",INDEX(Ingredients!$E$1:$E$238,(MATCH(InterventionCosts!B1916,Ingredients!A$1:A$238,0))))</f>
        <v>2024</v>
      </c>
      <c r="H1916" t="str">
        <f>INDEX(Ingredients!$F$1:$F$318,(MATCH(InterventionCosts!B1916,Ingredients!A$1:A$318,0)))</f>
        <v xml:space="preserve">April 2024 Salary scale </v>
      </c>
      <c r="I1916">
        <f>1*7.54*(workminutespa/12/5102)</f>
        <v>13.182438259506077</v>
      </c>
      <c r="J1916" t="s">
        <v>460</v>
      </c>
      <c r="K1916" s="85">
        <f t="shared" si="54"/>
        <v>120.21434788644977</v>
      </c>
      <c r="L1916" s="85" t="s">
        <v>1098</v>
      </c>
    </row>
    <row r="1917" spans="1:12">
      <c r="A1917" t="s">
        <v>1435</v>
      </c>
      <c r="B1917" t="s">
        <v>1077</v>
      </c>
      <c r="C1917" t="s">
        <v>460</v>
      </c>
      <c r="D1917" t="s">
        <v>48</v>
      </c>
      <c r="E1917" s="70">
        <f>IF(B1917="","",INDEX(Ingredients!$I$1:$I$5013,(MATCH(InterventionCosts!B1917,Ingredients!$A$1:$A$5013,0))))</f>
        <v>2.1347303967364222</v>
      </c>
      <c r="F1917" s="5" t="str">
        <f>INDEX(Ingredients!J$1:J$265,(MATCH(InterventionCosts!B1917,Ingredients!A$1:A$265,0)))</f>
        <v>per minute</v>
      </c>
      <c r="G1917">
        <f>IF(B1917="","",INDEX(Ingredients!$E$1:$E$238,(MATCH(InterventionCosts!B1917,Ingredients!A$1:A$238,0))))</f>
        <v>2024</v>
      </c>
      <c r="H1917" t="str">
        <f>INDEX(Ingredients!$F$1:$F$318,(MATCH(InterventionCosts!B1917,Ingredients!A$1:A$318,0)))</f>
        <v xml:space="preserve">April 2024 Salary scale </v>
      </c>
      <c r="I1917">
        <f>4*7.54*(workminutespa/12/5102)</f>
        <v>52.729753038024306</v>
      </c>
      <c r="J1917" t="s">
        <v>460</v>
      </c>
      <c r="K1917" s="85">
        <f t="shared" si="54"/>
        <v>112.56380662267519</v>
      </c>
      <c r="L1917" s="85" t="s">
        <v>1097</v>
      </c>
    </row>
    <row r="1918" spans="1:12">
      <c r="A1918" t="s">
        <v>1435</v>
      </c>
      <c r="B1918" t="s">
        <v>1078</v>
      </c>
      <c r="C1918" t="s">
        <v>460</v>
      </c>
      <c r="D1918" t="s">
        <v>48</v>
      </c>
      <c r="E1918" s="70">
        <f>IF(B1918="","",INDEX(Ingredients!$I$1:$I$5013,(MATCH(InterventionCosts!B1918,Ingredients!$A$1:$A$5013,0))))</f>
        <v>13.503224277528648</v>
      </c>
      <c r="F1918" s="5" t="str">
        <f>INDEX(Ingredients!J$1:J$265,(MATCH(InterventionCosts!B1918,Ingredients!A$1:A$265,0)))</f>
        <v>per minute</v>
      </c>
      <c r="G1918">
        <f>IF(B1918="","",INDEX(Ingredients!$E$1:$E$238,(MATCH(InterventionCosts!B1918,Ingredients!A$1:A$238,0))))</f>
        <v>2024</v>
      </c>
      <c r="H1918" t="str">
        <f>INDEX(Ingredients!$F$1:$F$318,(MATCH(InterventionCosts!B1918,Ingredients!A$1:A$318,0)))</f>
        <v xml:space="preserve">April 2024 Salary scale </v>
      </c>
      <c r="I1918">
        <f>2*7.54*(workminutespa/12/5102)</f>
        <v>26.364876519012153</v>
      </c>
      <c r="J1918" t="s">
        <v>460</v>
      </c>
      <c r="K1918" s="85">
        <f t="shared" si="54"/>
        <v>356.01084068556992</v>
      </c>
      <c r="L1918" s="85" t="s">
        <v>1102</v>
      </c>
    </row>
    <row r="1919" spans="1:12">
      <c r="A1919" t="s">
        <v>1435</v>
      </c>
      <c r="B1919" t="s">
        <v>477</v>
      </c>
      <c r="C1919" t="s">
        <v>460</v>
      </c>
      <c r="D1919" t="s">
        <v>81</v>
      </c>
      <c r="E1919" s="70">
        <f>IF(B1919="","",INDEX(Ingredients!$I$1:$I$5013,(MATCH(InterventionCosts!B1919,Ingredients!$A$1:$A$5013,0))))</f>
        <v>88.256346376062865</v>
      </c>
      <c r="F1919" s="5" t="str">
        <f>INDEX(Ingredients!J$1:J$265,(MATCH(InterventionCosts!B1919,Ingredients!A$1:A$265,0)))</f>
        <v>per visit</v>
      </c>
      <c r="G1919">
        <f>IF(B1919="","",INDEX(Ingredients!$E$1:$E$238,(MATCH(InterventionCosts!B1919,Ingredients!A$1:A$238,0))))</f>
        <v>2019</v>
      </c>
      <c r="H1919" t="str">
        <f>INDEX(Ingredients!$F$1:$F$318,(MATCH(InterventionCosts!B1919,Ingredients!A$1:A$318,0)))</f>
        <v xml:space="preserve">Long L, Girdwood S, Govender K, Meyer-Rath G, Miot J: Cost and outcomes of routine HIV care and treatment: A comparison of public and private delivery models covering low-income earners in South Africa. Preprint available under DOI: https://doi.org/10.21203/rs.3.rs-960517/v1    </v>
      </c>
      <c r="I1919">
        <f>PPPvisitperpt</f>
        <v>7.54</v>
      </c>
      <c r="J1919" t="s">
        <v>460</v>
      </c>
      <c r="K1919" s="85">
        <f>I1919*E1919</f>
        <v>665.45285167551401</v>
      </c>
    </row>
    <row r="1920" spans="1:12">
      <c r="A1920" t="s">
        <v>1435</v>
      </c>
      <c r="B1920" t="s">
        <v>478</v>
      </c>
      <c r="C1920" t="s">
        <v>460</v>
      </c>
      <c r="D1920" t="s">
        <v>70</v>
      </c>
      <c r="E1920" s="70">
        <f>IF(B1920="","",INDEX(Ingredients!$I$1:$I$5013,(MATCH(InterventionCosts!B1920,Ingredients!$A$1:$A$5013,0))))</f>
        <v>31.786769776357943</v>
      </c>
      <c r="F1920" s="5" t="str">
        <f>INDEX(Ingredients!J$1:J$265,(MATCH(InterventionCosts!B1920,Ingredients!A$1:A$265,0)))</f>
        <v>per visit</v>
      </c>
      <c r="G1920">
        <f>IF(B1920="","",INDEX(Ingredients!$E$1:$E$238,(MATCH(InterventionCosts!B1920,Ingredients!A$1:A$238,0))))</f>
        <v>2023</v>
      </c>
      <c r="H1920" t="str">
        <f>INDEX(Ingredients!$F$1:$F$318,(MATCH(InterventionCosts!B1920,Ingredients!A$1:A$318,0)))</f>
        <v xml:space="preserve">Updated costs for Long L, Girdwood S, Govender K, Meyer-Rath G, Miot J: Cost and outcomes of routine HIV care and treatment: A comparison of public and private delivery models covering low-income earners in South Africa. Preprint available under DOI: https://doi.org/10.21203/rs.3.rs-960517/v1    </v>
      </c>
      <c r="I1920">
        <f>PPPvisitperpt</f>
        <v>7.54</v>
      </c>
      <c r="J1920" t="s">
        <v>460</v>
      </c>
      <c r="K1920" s="85">
        <f>I1920*E1920</f>
        <v>239.67224411373888</v>
      </c>
    </row>
    <row r="1921" spans="1:14">
      <c r="A1921" t="s">
        <v>1435</v>
      </c>
      <c r="B1921" s="5" t="s">
        <v>1367</v>
      </c>
      <c r="C1921" t="s">
        <v>460</v>
      </c>
      <c r="D1921" t="s">
        <v>70</v>
      </c>
      <c r="E1921" s="70">
        <f>IF(B1921="","",INDEX(Ingredients!$I$1:$I$5013,(MATCH(InterventionCosts!B1921,Ingredients!$A$1:$A$5013,0))))</f>
        <v>2.952048897020477</v>
      </c>
      <c r="F1921" s="5" t="str">
        <f>INDEX(Ingredients!J$1:J$265,(MATCH(InterventionCosts!B1921,Ingredients!A$1:A$265,0)))</f>
        <v>per day</v>
      </c>
      <c r="G1921">
        <f>IF(B1921="","",INDEX(Ingredients!$E$1:$E$238,(MATCH(InterventionCosts!B1921,Ingredients!A$1:A$238,0))))</f>
        <v>2024</v>
      </c>
      <c r="H1921" t="str">
        <f>INDEX(Ingredients!$F$1:$F$318,(MATCH(InterventionCosts!B1921,Ingredients!A$1:A$318,0)))</f>
        <v>Master Procurement Circular May 2024</v>
      </c>
      <c r="I1921">
        <v>360</v>
      </c>
      <c r="J1921" t="s">
        <v>406</v>
      </c>
      <c r="K1921" s="85">
        <f>I1921*E1921</f>
        <v>1062.7376029273717</v>
      </c>
    </row>
    <row r="1922" spans="1:14" s="89" customFormat="1">
      <c r="A1922" s="4" t="s">
        <v>1435</v>
      </c>
      <c r="F1922" s="89" t="s">
        <v>1164</v>
      </c>
      <c r="K1922" s="90"/>
      <c r="L1922" s="90">
        <f>SUM(K1895:K1921)</f>
        <v>5484.0978809027783</v>
      </c>
      <c r="M1922" s="92"/>
      <c r="N1922" s="4"/>
    </row>
    <row r="1923" spans="1:14" s="89" customFormat="1">
      <c r="A1923" s="4" t="s">
        <v>1435</v>
      </c>
      <c r="F1923" s="89" t="s">
        <v>117</v>
      </c>
      <c r="K1923" s="90"/>
      <c r="L1923" s="90" t="s">
        <v>937</v>
      </c>
    </row>
    <row r="1925" spans="1:14">
      <c r="A1925" t="s">
        <v>1436</v>
      </c>
      <c r="B1925" s="273" t="s">
        <v>1147</v>
      </c>
      <c r="C1925" t="s">
        <v>1151</v>
      </c>
      <c r="D1925" t="s">
        <v>67</v>
      </c>
      <c r="E1925" s="70">
        <f>IF(B1925="","",INDEX(Ingredients!$I$1:$I$5013,(MATCH(InterventionCosts!B1925,Ingredients!$A$1:$A$5013,0))))</f>
        <v>96609.835920812693</v>
      </c>
      <c r="F1925" s="5" t="str">
        <f>INDEX(Ingredients!J$1:J$265,(MATCH(InterventionCosts!B1925,Ingredients!A$1:A$265,0)))</f>
        <v>per machine</v>
      </c>
      <c r="G1925">
        <f>IF(B1925="","",INDEX(Ingredients!$E$1:$E$238,(MATCH(InterventionCosts!B1925,Ingredients!A$1:A$238,0))))</f>
        <v>2024</v>
      </c>
      <c r="H1925" t="str">
        <f>INDEX(Ingredients!$F$1:$F$318,(MATCH(InterventionCosts!B1925,Ingredients!A$1:A$318,0)))</f>
        <v>https://www.stoptb.org/sites/default/files/gdf_diagnostics_medical_devices_other_health_products_catalog_0.pdf</v>
      </c>
      <c r="I1925" s="274">
        <f>1/(2300*0.6)</f>
        <v>7.246376811594203E-4</v>
      </c>
      <c r="J1925" s="274" t="s">
        <v>1157</v>
      </c>
      <c r="K1925" s="85">
        <f t="shared" ref="K1925:K1934" si="55">E1925*I1925</f>
        <v>70.007127478849782</v>
      </c>
    </row>
    <row r="1926" spans="1:14">
      <c r="A1926" t="s">
        <v>1436</v>
      </c>
      <c r="B1926" s="273" t="s">
        <v>1148</v>
      </c>
      <c r="C1926" t="s">
        <v>1151</v>
      </c>
      <c r="D1926" t="s">
        <v>21</v>
      </c>
      <c r="E1926" s="70">
        <f>IF(B1926="","",INDEX(Ingredients!$I$1:$I$5013,(MATCH(InterventionCosts!B1926,Ingredients!$A$1:$A$5013,0))))</f>
        <v>319.75037364827585</v>
      </c>
      <c r="F1926" s="5" t="str">
        <f>INDEX(Ingredients!J$1:J$265,(MATCH(InterventionCosts!B1926,Ingredients!A$1:A$265,0)))</f>
        <v>per test</v>
      </c>
      <c r="G1926">
        <f>IF(B1926="","",INDEX(Ingredients!$E$1:$E$238,(MATCH(InterventionCosts!B1926,Ingredients!A$1:A$238,0))))</f>
        <v>2024</v>
      </c>
      <c r="H1926" t="str">
        <f>INDEX(Ingredients!$F$1:$F$318,(MATCH(InterventionCosts!B1926,Ingredients!A$1:A$318,0)))</f>
        <v>https://www.stoptb.org/sites/default/files/gdf_diagnostics_medical_devices_other_health_products_catalog_0.pdf</v>
      </c>
      <c r="I1926" s="274">
        <v>1</v>
      </c>
      <c r="J1926" t="s">
        <v>1151</v>
      </c>
      <c r="K1926" s="85">
        <f t="shared" si="55"/>
        <v>319.75037364827585</v>
      </c>
    </row>
    <row r="1927" spans="1:14">
      <c r="A1927" t="s">
        <v>1436</v>
      </c>
      <c r="B1927" s="273" t="s">
        <v>1149</v>
      </c>
      <c r="C1927" t="s">
        <v>1151</v>
      </c>
      <c r="D1927" t="s">
        <v>81</v>
      </c>
      <c r="E1927" s="70">
        <f>IF(B1927="","",INDEX(Ingredients!$I$1:$I$5013,(MATCH(InterventionCosts!B1927,Ingredients!$A$1:$A$5013,0))))</f>
        <v>34756.611222699823</v>
      </c>
      <c r="F1927" s="5" t="str">
        <f>INDEX(Ingredients!J$1:J$265,(MATCH(InterventionCosts!B1927,Ingredients!A$1:A$265,0)))</f>
        <v>per setup</v>
      </c>
      <c r="G1927">
        <f>IF(B1927="","",INDEX(Ingredients!$E$1:$E$238,(MATCH(InterventionCosts!B1927,Ingredients!A$1:A$238,0))))</f>
        <v>2024</v>
      </c>
      <c r="H1927" t="str">
        <f>INDEX(Ingredients!$F$1:$F$318,(MATCH(InterventionCosts!B1927,Ingredients!A$1:A$318,0)))</f>
        <v>https://www.stoptb.org/sites/default/files/gdf_diagnostics_medical_devices_other_health_products_catalog_0.pdf</v>
      </c>
      <c r="I1927" s="274">
        <f>1/(2300*0.6)</f>
        <v>7.246376811594203E-4</v>
      </c>
      <c r="J1927" s="274" t="s">
        <v>1157</v>
      </c>
      <c r="K1927" s="85">
        <f t="shared" si="55"/>
        <v>25.185950161376685</v>
      </c>
    </row>
    <row r="1928" spans="1:14">
      <c r="A1928" t="s">
        <v>1436</v>
      </c>
      <c r="B1928" s="273" t="s">
        <v>1156</v>
      </c>
      <c r="C1928" t="s">
        <v>1151</v>
      </c>
      <c r="D1928" t="s">
        <v>48</v>
      </c>
      <c r="E1928" s="70">
        <f>IF(B1928="","",INDEX(Ingredients!$I$1:$I$5013,(MATCH(InterventionCosts!B1928,Ingredients!$A$1:$A$5013,0))))</f>
        <v>5619.5309209141369</v>
      </c>
      <c r="F1928" s="5" t="str">
        <f>INDEX(Ingredients!J$1:J$265,(MATCH(InterventionCosts!B1928,Ingredients!A$1:A$265,0)))</f>
        <v>per setup</v>
      </c>
      <c r="G1928">
        <f>IF(B1928="","",INDEX(Ingredients!$E$1:$E$238,(MATCH(InterventionCosts!B1928,Ingredients!A$1:A$238,0))))</f>
        <v>2019</v>
      </c>
      <c r="H1928" t="str">
        <f>INDEX(Ingredients!$F$1:$F$318,(MATCH(InterventionCosts!B1928,Ingredients!A$1:A$318,0)))</f>
        <v>Sarah Girdwood, https://www.ncbi.nlm.nih.gov/pmc/articles/PMC7700965/pdf/main.pdf</v>
      </c>
      <c r="I1928" s="274">
        <f t="shared" ref="I1928:I1932" si="56">1/(2300*0.6)</f>
        <v>7.246376811594203E-4</v>
      </c>
      <c r="J1928" t="s">
        <v>1151</v>
      </c>
      <c r="K1928" s="85">
        <f t="shared" si="55"/>
        <v>4.0721238557348816</v>
      </c>
    </row>
    <row r="1929" spans="1:14">
      <c r="A1929" t="s">
        <v>1436</v>
      </c>
      <c r="B1929" s="273" t="s">
        <v>1150</v>
      </c>
      <c r="C1929" t="s">
        <v>1151</v>
      </c>
      <c r="D1929" t="s">
        <v>48</v>
      </c>
      <c r="E1929" s="70">
        <f>IF(B1929="","",INDEX(Ingredients!$I$1:$I$5013,(MATCH(InterventionCosts!B1929,Ingredients!$A$1:$A$5013,0))))</f>
        <v>5690.1603086312934</v>
      </c>
      <c r="F1929" s="5" t="str">
        <f>INDEX(Ingredients!J$1:J$265,(MATCH(InterventionCosts!B1929,Ingredients!A$1:A$265,0)))</f>
        <v>per setup</v>
      </c>
      <c r="G1929">
        <f>IF(B1929="","",INDEX(Ingredients!$E$1:$E$238,(MATCH(InterventionCosts!B1929,Ingredients!A$1:A$238,0))))</f>
        <v>2019</v>
      </c>
      <c r="H1929" t="str">
        <f>INDEX(Ingredients!$F$1:$F$318,(MATCH(InterventionCosts!B1929,Ingredients!A$1:A$318,0)))</f>
        <v>Sarah Girdwood, https://www.ncbi.nlm.nih.gov/pmc/articles/PMC7700965/pdf/main.pdf</v>
      </c>
      <c r="I1929" s="274">
        <f t="shared" si="56"/>
        <v>7.246376811594203E-4</v>
      </c>
      <c r="J1929" t="s">
        <v>1151</v>
      </c>
      <c r="K1929" s="85">
        <f t="shared" si="55"/>
        <v>4.1233045714719516</v>
      </c>
    </row>
    <row r="1930" spans="1:14">
      <c r="A1930" t="s">
        <v>1436</v>
      </c>
      <c r="B1930" s="273" t="s">
        <v>1155</v>
      </c>
      <c r="C1930" t="s">
        <v>1151</v>
      </c>
      <c r="D1930" t="s">
        <v>67</v>
      </c>
      <c r="E1930" s="70">
        <f>IF(B1930="","",INDEX(Ingredients!$I$1:$I$5013,(MATCH(InterventionCosts!B1930,Ingredients!$A$1:$A$5013,0))))</f>
        <v>11917.103963912978</v>
      </c>
      <c r="F1930" s="5" t="str">
        <f>INDEX(Ingredients!J$1:J$265,(MATCH(InterventionCosts!B1930,Ingredients!A$1:A$265,0)))</f>
        <v>per setup</v>
      </c>
      <c r="G1930">
        <f>IF(B1930="","",INDEX(Ingredients!$E$1:$E$238,(MATCH(InterventionCosts!B1930,Ingredients!A$1:A$238,0))))</f>
        <v>2019</v>
      </c>
      <c r="H1930" t="str">
        <f>INDEX(Ingredients!$F$1:$F$318,(MATCH(InterventionCosts!B1930,Ingredients!A$1:A$318,0)))</f>
        <v>Sarah Girdwood, https://www.ncbi.nlm.nih.gov/pmc/articles/PMC7700965/pdf/main.pdf</v>
      </c>
      <c r="I1930" s="274">
        <f t="shared" si="56"/>
        <v>7.246376811594203E-4</v>
      </c>
      <c r="J1930" t="s">
        <v>1151</v>
      </c>
      <c r="K1930" s="85">
        <f t="shared" si="55"/>
        <v>8.635582582545636</v>
      </c>
    </row>
    <row r="1931" spans="1:14">
      <c r="A1931" t="s">
        <v>1436</v>
      </c>
      <c r="B1931" s="273" t="s">
        <v>1154</v>
      </c>
      <c r="C1931" t="s">
        <v>1151</v>
      </c>
      <c r="D1931" t="s">
        <v>81</v>
      </c>
      <c r="E1931" s="70">
        <f>IF(B1931="","",INDEX(Ingredients!$I$1:$I$5013,(MATCH(InterventionCosts!B1931,Ingredients!$A$1:$A$5013,0))))</f>
        <v>8006.8042257540328</v>
      </c>
      <c r="F1931" s="5" t="str">
        <f>INDEX(Ingredients!J$1:J$265,(MATCH(InterventionCosts!B1931,Ingredients!A$1:A$265,0)))</f>
        <v>per setup</v>
      </c>
      <c r="G1931">
        <f>IF(B1931="","",INDEX(Ingredients!$E$1:$E$238,(MATCH(InterventionCosts!B1931,Ingredients!A$1:A$238,0))))</f>
        <v>2019</v>
      </c>
      <c r="H1931" t="str">
        <f>INDEX(Ingredients!$F$1:$F$318,(MATCH(InterventionCosts!B1931,Ingredients!A$1:A$318,0)))</f>
        <v>https://www.ncbi.nlm.nih.gov/pmc/articles/PMC7700965/pdf/main.pdf</v>
      </c>
      <c r="I1931" s="274">
        <f t="shared" si="56"/>
        <v>7.246376811594203E-4</v>
      </c>
      <c r="J1931" t="s">
        <v>1151</v>
      </c>
      <c r="K1931" s="85">
        <f t="shared" si="55"/>
        <v>5.8020320476478497</v>
      </c>
    </row>
    <row r="1932" spans="1:14">
      <c r="A1932" t="s">
        <v>1436</v>
      </c>
      <c r="B1932" s="273" t="s">
        <v>1153</v>
      </c>
      <c r="C1932" t="s">
        <v>1151</v>
      </c>
      <c r="D1932" t="s">
        <v>81</v>
      </c>
      <c r="E1932" s="70">
        <f>IF(B1932="","",INDEX(Ingredients!$I$1:$I$5013,(MATCH(InterventionCosts!B1932,Ingredients!$A$1:$A$5013,0))))</f>
        <v>22740.094503552911</v>
      </c>
      <c r="F1932" s="5" t="str">
        <f>INDEX(Ingredients!J$1:J$265,(MATCH(InterventionCosts!B1932,Ingredients!A$1:A$265,0)))</f>
        <v>per setup</v>
      </c>
      <c r="G1932">
        <f>IF(B1932="","",INDEX(Ingredients!$E$1:$E$238,(MATCH(InterventionCosts!B1932,Ingredients!A$1:A$238,0))))</f>
        <v>2019</v>
      </c>
      <c r="H1932" t="str">
        <f>INDEX(Ingredients!$F$1:$F$318,(MATCH(InterventionCosts!B1932,Ingredients!A$1:A$318,0)))</f>
        <v>https://www.ncbi.nlm.nih.gov/pmc/articles/PMC7700965/pdf/main.pdf</v>
      </c>
      <c r="I1932" s="274">
        <f t="shared" si="56"/>
        <v>7.246376811594203E-4</v>
      </c>
      <c r="J1932" t="s">
        <v>1151</v>
      </c>
      <c r="K1932" s="85">
        <f t="shared" si="55"/>
        <v>16.47832935040066</v>
      </c>
    </row>
    <row r="1933" spans="1:14">
      <c r="A1933" t="s">
        <v>1436</v>
      </c>
      <c r="B1933" s="273" t="s">
        <v>1152</v>
      </c>
      <c r="C1933" t="s">
        <v>1151</v>
      </c>
      <c r="D1933" t="s">
        <v>21</v>
      </c>
      <c r="E1933" s="70">
        <f>IF(B1933="","",INDEX(Ingredients!$I$1:$I$5013,(MATCH(InterventionCosts!B1933,Ingredients!$A$1:$A$5013,0))))</f>
        <v>3.608519627003822</v>
      </c>
      <c r="F1933" s="5" t="str">
        <f>INDEX(Ingredients!J$1:J$265,(MATCH(InterventionCosts!B1933,Ingredients!A$1:A$265,0)))</f>
        <v>per test</v>
      </c>
      <c r="G1933">
        <f>IF(B1933="","",INDEX(Ingredients!$E$1:$E$238,(MATCH(InterventionCosts!B1933,Ingredients!A$1:A$238,0))))</f>
        <v>2019</v>
      </c>
      <c r="H1933" t="str">
        <f>INDEX(Ingredients!$F$1:$F$318,(MATCH(InterventionCosts!B1933,Ingredients!A$1:A$318,0)))</f>
        <v>Sarah Girdwood, https://www.ncbi.nlm.nih.gov/pmc/articles/PMC7700965/pdf/main.pdf</v>
      </c>
      <c r="I1933" s="274">
        <v>1</v>
      </c>
      <c r="J1933" t="s">
        <v>1151</v>
      </c>
      <c r="K1933" s="85">
        <f t="shared" si="55"/>
        <v>3.608519627003822</v>
      </c>
    </row>
    <row r="1934" spans="1:14">
      <c r="A1934" t="s">
        <v>1436</v>
      </c>
      <c r="B1934" s="273" t="s">
        <v>286</v>
      </c>
      <c r="C1934" t="s">
        <v>1151</v>
      </c>
      <c r="D1934" t="s">
        <v>48</v>
      </c>
      <c r="E1934" s="70">
        <f>IF(B1934="","",INDEX(Ingredients!$I$1:$I$5013,(MATCH(InterventionCosts!B1934,Ingredients!$A$1:$A$5013,0))))</f>
        <v>3.2392279521674139</v>
      </c>
      <c r="F1934" s="5" t="str">
        <f>INDEX(Ingredients!J$1:J$265,(MATCH(InterventionCosts!B1934,Ingredients!A$1:A$265,0)))</f>
        <v>per minute</v>
      </c>
      <c r="G1934">
        <f>IF(B1934="","",INDEX(Ingredients!$E$1:$E$238,(MATCH(InterventionCosts!B1934,Ingredients!A$1:A$238,0))))</f>
        <v>2024</v>
      </c>
      <c r="H1934" t="str">
        <f>INDEX(Ingredients!$F$1:$F$318,(MATCH(InterventionCosts!B1934,Ingredients!A$1:A$318,0)))</f>
        <v xml:space="preserve">April 2024 Salary scale </v>
      </c>
      <c r="I1934" s="274">
        <f>5.6+5.4+17.1+5</f>
        <v>33.1</v>
      </c>
      <c r="J1934" t="s">
        <v>1151</v>
      </c>
      <c r="K1934" s="85">
        <f t="shared" si="55"/>
        <v>107.2184452167414</v>
      </c>
    </row>
    <row r="1935" spans="1:14">
      <c r="A1935" t="s">
        <v>1436</v>
      </c>
      <c r="B1935" t="s">
        <v>458</v>
      </c>
      <c r="C1935" t="s">
        <v>459</v>
      </c>
      <c r="D1935" t="s">
        <v>75</v>
      </c>
      <c r="E1935" s="70">
        <f>IF(B1935="","",INDEX(Ingredients!$I$1:$I$5013,(MATCH(InterventionCosts!B1935,Ingredients!$A$1:$A$5013,0))))</f>
        <v>86.59037211495</v>
      </c>
      <c r="F1935" s="5" t="str">
        <f>INDEX(Ingredients!J$1:J$265,(MATCH(InterventionCosts!B1935,Ingredients!A$1:A$265,0)))</f>
        <v>per test</v>
      </c>
      <c r="G1935">
        <f>IF(B1935="","",INDEX(Ingredients!$E$1:$E$238,(MATCH(InterventionCosts!B1935,Ingredients!A$1:A$238,0))))</f>
        <v>2021</v>
      </c>
      <c r="H1935" t="str">
        <f>INDEX(Ingredients!$F$1:$F$318,(MATCH(InterventionCosts!B1935,Ingredients!A$1:A$318,0)))</f>
        <v>NHLS 2021 price-list</v>
      </c>
      <c r="I1935">
        <v>1</v>
      </c>
      <c r="J1935" t="s">
        <v>459</v>
      </c>
      <c r="K1935" s="85">
        <f t="shared" ref="K1935" si="57">I1935*E1935</f>
        <v>86.59037211495</v>
      </c>
    </row>
    <row r="1936" spans="1:14">
      <c r="A1936" t="s">
        <v>1436</v>
      </c>
      <c r="B1936" t="s">
        <v>408</v>
      </c>
      <c r="C1936" t="s">
        <v>459</v>
      </c>
      <c r="D1936" t="s">
        <v>75</v>
      </c>
      <c r="E1936" s="70">
        <f>IF(B1936="","",INDEX(Ingredients!$I$1:$I$5013,(MATCH(InterventionCosts!B1936,Ingredients!$A$1:$A$5013,0))))</f>
        <v>39.539473461949996</v>
      </c>
      <c r="F1936" s="5" t="str">
        <f>INDEX(Ingredients!J$1:J$265,(MATCH(InterventionCosts!B1936,Ingredients!A$1:A$265,0)))</f>
        <v>per test</v>
      </c>
      <c r="G1936">
        <f>IF(B1936="","",INDEX(Ingredients!$E$1:$E$238,(MATCH(InterventionCosts!B1936,Ingredients!A$1:A$238,0))))</f>
        <v>2021</v>
      </c>
      <c r="H1936" t="str">
        <f>INDEX(Ingredients!$F$1:$F$318,(MATCH(InterventionCosts!B1936,Ingredients!A$1:A$318,0)))</f>
        <v>NHLS 2021 price-list</v>
      </c>
      <c r="I1936">
        <v>1</v>
      </c>
      <c r="J1936" t="s">
        <v>459</v>
      </c>
      <c r="K1936" s="85">
        <f>I1936*E1936</f>
        <v>39.539473461949996</v>
      </c>
    </row>
    <row r="1937" spans="1:14">
      <c r="A1937" t="s">
        <v>1436</v>
      </c>
      <c r="B1937" t="s">
        <v>52</v>
      </c>
      <c r="C1937" t="s">
        <v>460</v>
      </c>
      <c r="D1937" t="s">
        <v>48</v>
      </c>
      <c r="E1937" s="70">
        <f>IF(B1937="","",INDEX(Ingredients!$I$1:$I$5013,(MATCH(InterventionCosts!B1937,Ingredients!$A$1:$A$5013,0))))</f>
        <v>1.8019482436472347</v>
      </c>
      <c r="F1937" s="5" t="str">
        <f>INDEX(Ingredients!J$1:J$265,(MATCH(InterventionCosts!B1937,Ingredients!A$1:A$265,0)))</f>
        <v>per minute</v>
      </c>
      <c r="G1937">
        <f>IF(B1937="","",INDEX(Ingredients!$E$1:$E$238,(MATCH(InterventionCosts!B1937,Ingredients!A$1:A$238,0))))</f>
        <v>2024</v>
      </c>
      <c r="H1937" t="str">
        <f>INDEX(Ingredients!$F$1:$F$318,(MATCH(InterventionCosts!B1937,Ingredients!A$1:A$318,0)))</f>
        <v xml:space="preserve">April 2024 Salary scale </v>
      </c>
      <c r="I1937">
        <f>4*4*(workminutespa/12/5102)</f>
        <v>27.973343786750295</v>
      </c>
      <c r="J1937" t="s">
        <v>460</v>
      </c>
      <c r="K1937" s="85">
        <f t="shared" ref="K1937:K1951" si="58">I1937*E1937</f>
        <v>50.406517705474982</v>
      </c>
      <c r="L1937" s="85" t="s">
        <v>1079</v>
      </c>
    </row>
    <row r="1938" spans="1:14">
      <c r="A1938" t="s">
        <v>1436</v>
      </c>
      <c r="B1938" t="s">
        <v>55</v>
      </c>
      <c r="C1938" t="s">
        <v>460</v>
      </c>
      <c r="D1938" t="s">
        <v>48</v>
      </c>
      <c r="E1938" s="70">
        <f>IF(B1938="","",INDEX(Ingredients!$I$1:$I$5013,(MATCH(InterventionCosts!B1938,Ingredients!$A$1:$A$5013,0))))</f>
        <v>1.8549350710014947</v>
      </c>
      <c r="F1938" s="5" t="str">
        <f>INDEX(Ingredients!J$1:J$265,(MATCH(InterventionCosts!B1938,Ingredients!A$1:A$265,0)))</f>
        <v>per minute</v>
      </c>
      <c r="G1938">
        <f>IF(B1938="","",INDEX(Ingredients!$E$1:$E$238,(MATCH(InterventionCosts!B1938,Ingredients!A$1:A$238,0))))</f>
        <v>2024</v>
      </c>
      <c r="H1938" t="str">
        <f>INDEX(Ingredients!$F$1:$F$318,(MATCH(InterventionCosts!B1938,Ingredients!A$1:A$318,0)))</f>
        <v xml:space="preserve">April 2024 Salary scale </v>
      </c>
      <c r="I1938">
        <f>4*4*(workminutespa/12/5102)</f>
        <v>27.973343786750295</v>
      </c>
      <c r="J1938" t="s">
        <v>460</v>
      </c>
      <c r="K1938" s="85">
        <f t="shared" si="58"/>
        <v>51.888736443224879</v>
      </c>
      <c r="L1938" s="85" t="s">
        <v>1079</v>
      </c>
    </row>
    <row r="1939" spans="1:14">
      <c r="A1939" t="s">
        <v>1436</v>
      </c>
      <c r="B1939" t="s">
        <v>1070</v>
      </c>
      <c r="C1939" t="s">
        <v>460</v>
      </c>
      <c r="D1939" t="s">
        <v>48</v>
      </c>
      <c r="E1939" s="70">
        <f>IF(B1939="","",INDEX(Ingredients!$I$1:$I$5013,(MATCH(InterventionCosts!B1939,Ingredients!$A$1:$A$5013,0))))</f>
        <v>2.443981128550075</v>
      </c>
      <c r="F1939" s="5" t="str">
        <f>INDEX(Ingredients!J$1:J$265,(MATCH(InterventionCosts!B1939,Ingredients!A$1:A$265,0)))</f>
        <v>per minute</v>
      </c>
      <c r="G1939">
        <f>IF(B1939="","",INDEX(Ingredients!$E$1:$E$238,(MATCH(InterventionCosts!B1939,Ingredients!A$1:A$238,0))))</f>
        <v>2024</v>
      </c>
      <c r="H1939" t="str">
        <f>INDEX(Ingredients!$F$1:$F$318,(MATCH(InterventionCosts!B1939,Ingredients!A$1:A$318,0)))</f>
        <v xml:space="preserve">April 2024 Salary scale </v>
      </c>
      <c r="I1939">
        <f>1*4*(workminutespa/12/5102)</f>
        <v>6.9933359466875737</v>
      </c>
      <c r="J1939" t="s">
        <v>460</v>
      </c>
      <c r="K1939" s="85">
        <f t="shared" si="58"/>
        <v>17.091581079315304</v>
      </c>
      <c r="L1939" s="85" t="s">
        <v>1080</v>
      </c>
    </row>
    <row r="1940" spans="1:14">
      <c r="A1940" t="s">
        <v>1436</v>
      </c>
      <c r="B1940" t="s">
        <v>51</v>
      </c>
      <c r="C1940" t="s">
        <v>460</v>
      </c>
      <c r="D1940" t="s">
        <v>48</v>
      </c>
      <c r="E1940" s="70">
        <f>IF(B1940="","",INDEX(Ingredients!$I$1:$I$5013,(MATCH(InterventionCosts!B1940,Ingredients!$A$1:$A$5013,0))))</f>
        <v>4100.2266666666665</v>
      </c>
      <c r="F1940" s="5" t="str">
        <f>INDEX(Ingredients!J$1:J$265,(MATCH(InterventionCosts!B1940,Ingredients!A$1:A$265,0)))</f>
        <v>per month</v>
      </c>
      <c r="G1940">
        <f>IF(B1940="","",INDEX(Ingredients!$E$1:$E$238,(MATCH(InterventionCosts!B1940,Ingredients!A$1:A$238,0))))</f>
        <v>2024</v>
      </c>
      <c r="H1940" t="str">
        <f>INDEX(Ingredients!$F$1:$F$318,(MATCH(InterventionCosts!B1940,Ingredients!A$1:A$318,0)))</f>
        <v>https://www.gov.za/news/media-statements/government-activities/minister-thulas-nxesi-announces-national-minimum-wage</v>
      </c>
      <c r="I1940">
        <f>1*4*(1/5102)</f>
        <v>7.840062720501764E-4</v>
      </c>
      <c r="J1940" t="s">
        <v>460</v>
      </c>
      <c r="K1940" s="85">
        <f t="shared" si="58"/>
        <v>3.2146034234940544</v>
      </c>
      <c r="L1940" s="85" t="s">
        <v>1080</v>
      </c>
    </row>
    <row r="1941" spans="1:14">
      <c r="A1941" t="s">
        <v>1436</v>
      </c>
      <c r="B1941" t="s">
        <v>54</v>
      </c>
      <c r="C1941" t="s">
        <v>460</v>
      </c>
      <c r="D1941" t="s">
        <v>48</v>
      </c>
      <c r="E1941" s="70">
        <f>IF(B1941="","",INDEX(Ingredients!$I$1:$I$5013,(MATCH(InterventionCosts!B1941,Ingredients!$A$1:$A$5013,0))))</f>
        <v>1.2444366591928251</v>
      </c>
      <c r="F1941" s="5" t="str">
        <f>INDEX(Ingredients!J$1:J$265,(MATCH(InterventionCosts!B1941,Ingredients!A$1:A$265,0)))</f>
        <v>per minute</v>
      </c>
      <c r="G1941">
        <f>IF(B1941="","",INDEX(Ingredients!$E$1:$E$238,(MATCH(InterventionCosts!B1941,Ingredients!A$1:A$238,0))))</f>
        <v>2024</v>
      </c>
      <c r="H1941" t="str">
        <f>INDEX(Ingredients!$F$1:$F$318,(MATCH(InterventionCosts!B1941,Ingredients!A$1:A$318,0)))</f>
        <v xml:space="preserve">April 2024 Salary scale </v>
      </c>
      <c r="I1941">
        <f>8*4*(workminutespa/12/5102)</f>
        <v>55.94668757350059</v>
      </c>
      <c r="J1941" t="s">
        <v>460</v>
      </c>
      <c r="K1941" s="85">
        <f t="shared" si="58"/>
        <v>69.622108976871814</v>
      </c>
      <c r="L1941" s="85" t="s">
        <v>1081</v>
      </c>
    </row>
    <row r="1942" spans="1:14">
      <c r="A1942" t="s">
        <v>1436</v>
      </c>
      <c r="B1942" t="s">
        <v>354</v>
      </c>
      <c r="C1942" t="s">
        <v>460</v>
      </c>
      <c r="D1942" t="s">
        <v>48</v>
      </c>
      <c r="E1942" s="70">
        <f>IF(B1942="","",INDEX(Ingredients!$I$1:$I$5013,(MATCH(InterventionCosts!B1942,Ingredients!$A$1:$A$5013,0))))</f>
        <v>4.8996605630293981</v>
      </c>
      <c r="F1942" s="5" t="str">
        <f>INDEX(Ingredients!J$1:J$265,(MATCH(InterventionCosts!B1942,Ingredients!A$1:A$265,0)))</f>
        <v>per minute</v>
      </c>
      <c r="G1942">
        <f>IF(B1942="","",INDEX(Ingredients!$E$1:$E$238,(MATCH(InterventionCosts!B1942,Ingredients!A$1:A$238,0))))</f>
        <v>2024</v>
      </c>
      <c r="H1942" t="str">
        <f>INDEX(Ingredients!$F$1:$F$318,(MATCH(InterventionCosts!B1942,Ingredients!A$1:A$318,0)))</f>
        <v xml:space="preserve">April 2024 Salary scale </v>
      </c>
      <c r="I1942">
        <f>16*4*(workminutespa/12/5102)</f>
        <v>111.89337514700118</v>
      </c>
      <c r="J1942" t="s">
        <v>460</v>
      </c>
      <c r="K1942" s="85">
        <f t="shared" si="58"/>
        <v>548.23955747201546</v>
      </c>
      <c r="L1942" s="85" t="s">
        <v>1082</v>
      </c>
    </row>
    <row r="1943" spans="1:14">
      <c r="A1943" t="s">
        <v>1436</v>
      </c>
      <c r="B1943" t="s">
        <v>286</v>
      </c>
      <c r="C1943" t="s">
        <v>460</v>
      </c>
      <c r="D1943" t="s">
        <v>48</v>
      </c>
      <c r="E1943" s="70">
        <f>IF(B1943="","",INDEX(Ingredients!$I$1:$I$5013,(MATCH(InterventionCosts!B1943,Ingredients!$A$1:$A$5013,0))))</f>
        <v>3.2392279521674139</v>
      </c>
      <c r="F1943" s="5" t="str">
        <f>INDEX(Ingredients!J$1:J$265,(MATCH(InterventionCosts!B1943,Ingredients!A$1:A$265,0)))</f>
        <v>per minute</v>
      </c>
      <c r="G1943">
        <f>IF(B1943="","",INDEX(Ingredients!$E$1:$E$238,(MATCH(InterventionCosts!B1943,Ingredients!A$1:A$238,0))))</f>
        <v>2024</v>
      </c>
      <c r="H1943" t="str">
        <f>INDEX(Ingredients!$F$1:$F$318,(MATCH(InterventionCosts!B1943,Ingredients!A$1:A$318,0)))</f>
        <v xml:space="preserve">April 2024 Salary scale </v>
      </c>
      <c r="I1943">
        <f>4*4*(workminutespa/12/5102)</f>
        <v>27.973343786750295</v>
      </c>
      <c r="J1943" t="s">
        <v>460</v>
      </c>
      <c r="K1943" s="85">
        <f t="shared" si="58"/>
        <v>90.612037109630208</v>
      </c>
      <c r="L1943" s="85" t="s">
        <v>1079</v>
      </c>
    </row>
    <row r="1944" spans="1:14">
      <c r="A1944" t="s">
        <v>1436</v>
      </c>
      <c r="B1944" t="s">
        <v>1072</v>
      </c>
      <c r="C1944" t="s">
        <v>460</v>
      </c>
      <c r="D1944" t="s">
        <v>48</v>
      </c>
      <c r="E1944" s="70">
        <f>IF(B1944="","",INDEX(Ingredients!$I$1:$I$5013,(MATCH(InterventionCosts!B1944,Ingredients!$A$1:$A$5013,0))))</f>
        <v>2.5530496387643251</v>
      </c>
      <c r="F1944" s="5" t="str">
        <f>INDEX(Ingredients!J$1:J$265,(MATCH(InterventionCosts!B1944,Ingredients!A$1:A$265,0)))</f>
        <v>per minute</v>
      </c>
      <c r="G1944">
        <f>IF(B1944="","",INDEX(Ingredients!$E$1:$E$238,(MATCH(InterventionCosts!B1944,Ingredients!A$1:A$238,0))))</f>
        <v>2024</v>
      </c>
      <c r="H1944" t="str">
        <f>INDEX(Ingredients!$F$1:$F$318,(MATCH(InterventionCosts!B1944,Ingredients!A$1:A$318,0)))</f>
        <v xml:space="preserve">April 2024 Salary scale </v>
      </c>
      <c r="I1944">
        <f>1*4*(workminutespa/12/5102)</f>
        <v>6.9933359466875737</v>
      </c>
      <c r="J1944" t="s">
        <v>460</v>
      </c>
      <c r="K1944" s="85">
        <f t="shared" si="58"/>
        <v>17.854333812448278</v>
      </c>
      <c r="L1944" s="85" t="s">
        <v>1080</v>
      </c>
    </row>
    <row r="1945" spans="1:14">
      <c r="A1945" t="s">
        <v>1436</v>
      </c>
      <c r="B1945" t="s">
        <v>1074</v>
      </c>
      <c r="C1945" t="s">
        <v>460</v>
      </c>
      <c r="D1945" t="s">
        <v>48</v>
      </c>
      <c r="E1945" s="70">
        <f>IF(B1945="","",INDEX(Ingredients!$I$1:$I$5013,(MATCH(InterventionCosts!B1945,Ingredients!$A$1:$A$5013,0))))</f>
        <v>2076.8733333333334</v>
      </c>
      <c r="F1945" s="5" t="str">
        <f>INDEX(Ingredients!J$1:J$265,(MATCH(InterventionCosts!B1945,Ingredients!A$1:A$265,0)))</f>
        <v>per month</v>
      </c>
      <c r="G1945">
        <f>IF(B1945="","",INDEX(Ingredients!$E$1:$E$238,(MATCH(InterventionCosts!B1945,Ingredients!A$1:A$238,0))))</f>
        <v>2024</v>
      </c>
      <c r="H1945" t="str">
        <f>INDEX(Ingredients!$F$1:$F$318,(MATCH(InterventionCosts!B1945,Ingredients!A$1:A$318,0)))</f>
        <v>https://www.gov.za/speeches/minister-thulas-nxesi-hikes-minimum-wage-farmworkers-and-domestic-workers-22-feb-2023-0000</v>
      </c>
      <c r="I1945">
        <f>13*4*(1/5102)</f>
        <v>1.0192081536652292E-2</v>
      </c>
      <c r="J1945" t="s">
        <v>460</v>
      </c>
      <c r="K1945" s="85">
        <f t="shared" si="58"/>
        <v>21.167662354632171</v>
      </c>
      <c r="L1945" s="85" t="s">
        <v>1083</v>
      </c>
    </row>
    <row r="1946" spans="1:14">
      <c r="A1946" t="s">
        <v>1436</v>
      </c>
      <c r="B1946" t="s">
        <v>60</v>
      </c>
      <c r="C1946" t="s">
        <v>460</v>
      </c>
      <c r="D1946" t="s">
        <v>48</v>
      </c>
      <c r="E1946" s="70">
        <f>IF(B1946="","",INDEX(Ingredients!$I$1:$I$5013,(MATCH(InterventionCosts!B1946,Ingredients!$A$1:$A$5013,0))))</f>
        <v>9.1192801756352768</v>
      </c>
      <c r="F1946" s="5" t="str">
        <f>INDEX(Ingredients!J$1:J$265,(MATCH(InterventionCosts!B1946,Ingredients!A$1:A$265,0)))</f>
        <v>per minute</v>
      </c>
      <c r="G1946">
        <f>IF(B1946="","",INDEX(Ingredients!$E$1:$E$238,(MATCH(InterventionCosts!B1946,Ingredients!A$1:A$238,0))))</f>
        <v>2024</v>
      </c>
      <c r="H1946" t="str">
        <f>INDEX(Ingredients!$F$1:$F$318,(MATCH(InterventionCosts!B1946,Ingredients!A$1:A$318,0)))</f>
        <v xml:space="preserve">April 2024 Salary scale </v>
      </c>
      <c r="I1946">
        <f>1*4*(workminutespa/12/5102)</f>
        <v>6.9933359466875737</v>
      </c>
      <c r="J1946" t="s">
        <v>460</v>
      </c>
      <c r="K1946" s="85">
        <f t="shared" si="58"/>
        <v>63.774189860185551</v>
      </c>
      <c r="L1946" s="85" t="s">
        <v>1080</v>
      </c>
    </row>
    <row r="1947" spans="1:14">
      <c r="A1947" t="s">
        <v>1436</v>
      </c>
      <c r="B1947" t="s">
        <v>1077</v>
      </c>
      <c r="C1947" t="s">
        <v>460</v>
      </c>
      <c r="D1947" t="s">
        <v>48</v>
      </c>
      <c r="E1947" s="70">
        <f>IF(B1947="","",INDEX(Ingredients!$I$1:$I$5013,(MATCH(InterventionCosts!B1947,Ingredients!$A$1:$A$5013,0))))</f>
        <v>2.1347303967364222</v>
      </c>
      <c r="F1947" s="5" t="str">
        <f>INDEX(Ingredients!J$1:J$265,(MATCH(InterventionCosts!B1947,Ingredients!A$1:A$265,0)))</f>
        <v>per minute</v>
      </c>
      <c r="G1947">
        <f>IF(B1947="","",INDEX(Ingredients!$E$1:$E$238,(MATCH(InterventionCosts!B1947,Ingredients!A$1:A$238,0))))</f>
        <v>2024</v>
      </c>
      <c r="H1947" t="str">
        <f>INDEX(Ingredients!$F$1:$F$318,(MATCH(InterventionCosts!B1947,Ingredients!A$1:A$318,0)))</f>
        <v xml:space="preserve">April 2024 Salary scale </v>
      </c>
      <c r="I1947">
        <f>4*4*(workminutespa/12/5102)</f>
        <v>27.973343786750295</v>
      </c>
      <c r="J1947" t="s">
        <v>460</v>
      </c>
      <c r="K1947" s="85">
        <f t="shared" si="58"/>
        <v>59.715547279933787</v>
      </c>
      <c r="L1947" s="85" t="s">
        <v>1079</v>
      </c>
    </row>
    <row r="1948" spans="1:14">
      <c r="A1948" t="s">
        <v>1436</v>
      </c>
      <c r="B1948" t="s">
        <v>1078</v>
      </c>
      <c r="C1948" t="s">
        <v>460</v>
      </c>
      <c r="D1948" t="s">
        <v>48</v>
      </c>
      <c r="E1948" s="70">
        <f>IF(B1948="","",INDEX(Ingredients!$I$1:$I$5013,(MATCH(InterventionCosts!B1948,Ingredients!$A$1:$A$5013,0))))</f>
        <v>13.503224277528648</v>
      </c>
      <c r="F1948" s="5" t="str">
        <f>INDEX(Ingredients!J$1:J$265,(MATCH(InterventionCosts!B1948,Ingredients!A$1:A$265,0)))</f>
        <v>per minute</v>
      </c>
      <c r="G1948">
        <f>IF(B1948="","",INDEX(Ingredients!$E$1:$E$238,(MATCH(InterventionCosts!B1948,Ingredients!A$1:A$238,0))))</f>
        <v>2024</v>
      </c>
      <c r="H1948" t="str">
        <f>INDEX(Ingredients!$F$1:$F$318,(MATCH(InterventionCosts!B1948,Ingredients!A$1:A$318,0)))</f>
        <v xml:space="preserve">April 2024 Salary scale </v>
      </c>
      <c r="I1948">
        <f>2*4*(workminutespa/12/5102)</f>
        <v>13.986671893375147</v>
      </c>
      <c r="J1948" t="s">
        <v>460</v>
      </c>
      <c r="K1948" s="85">
        <f t="shared" si="58"/>
        <v>188.86516747245088</v>
      </c>
      <c r="L1948" s="85" t="s">
        <v>1084</v>
      </c>
    </row>
    <row r="1949" spans="1:14">
      <c r="A1949" t="s">
        <v>1436</v>
      </c>
      <c r="B1949" t="s">
        <v>477</v>
      </c>
      <c r="C1949" t="s">
        <v>459</v>
      </c>
      <c r="D1949" t="s">
        <v>81</v>
      </c>
      <c r="E1949" s="70">
        <f>IF(B1949="","",INDEX(Ingredients!$I$1:$I$5013,(MATCH(InterventionCosts!B1949,Ingredients!$A$1:$A$5013,0))))</f>
        <v>88.256346376062865</v>
      </c>
      <c r="F1949" s="5" t="str">
        <f>INDEX(Ingredients!J$1:J$265,(MATCH(InterventionCosts!B1949,Ingredients!A$1:A$265,0)))</f>
        <v>per visit</v>
      </c>
      <c r="G1949">
        <f>IF(B1949="","",INDEX(Ingredients!$E$1:$E$238,(MATCH(InterventionCosts!B1949,Ingredients!A$1:A$238,0))))</f>
        <v>2019</v>
      </c>
      <c r="H1949" t="str">
        <f>INDEX(Ingredients!$F$1:$F$318,(MATCH(InterventionCosts!B1949,Ingredients!A$1:A$318,0)))</f>
        <v xml:space="preserve">Long L, Girdwood S, Govender K, Meyer-Rath G, Miot J: Cost and outcomes of routine HIV care and treatment: A comparison of public and private delivery models covering low-income earners in South Africa. Preprint available under DOI: https://doi.org/10.21203/rs.3.rs-960517/v1    </v>
      </c>
      <c r="I1949">
        <f>VisitsFUyear</f>
        <v>4</v>
      </c>
      <c r="J1949" t="s">
        <v>459</v>
      </c>
      <c r="K1949" s="85">
        <f t="shared" si="58"/>
        <v>353.02538550425146</v>
      </c>
    </row>
    <row r="1950" spans="1:14">
      <c r="A1950" t="s">
        <v>1436</v>
      </c>
      <c r="B1950" t="s">
        <v>478</v>
      </c>
      <c r="C1950" t="s">
        <v>459</v>
      </c>
      <c r="D1950" t="s">
        <v>70</v>
      </c>
      <c r="E1950" s="70">
        <f>IF(B1950="","",INDEX(Ingredients!$I$1:$I$5013,(MATCH(InterventionCosts!B1950,Ingredients!$A$1:$A$5013,0))))</f>
        <v>31.786769776357943</v>
      </c>
      <c r="F1950" s="5" t="str">
        <f>INDEX(Ingredients!J$1:J$265,(MATCH(InterventionCosts!B1950,Ingredients!A$1:A$265,0)))</f>
        <v>per visit</v>
      </c>
      <c r="G1950">
        <f>IF(B1950="","",INDEX(Ingredients!$E$1:$E$238,(MATCH(InterventionCosts!B1950,Ingredients!A$1:A$238,0))))</f>
        <v>2023</v>
      </c>
      <c r="H1950" t="str">
        <f>INDEX(Ingredients!$F$1:$F$318,(MATCH(InterventionCosts!B1950,Ingredients!A$1:A$318,0)))</f>
        <v xml:space="preserve">Updated costs for Long L, Girdwood S, Govender K, Meyer-Rath G, Miot J: Cost and outcomes of routine HIV care and treatment: A comparison of public and private delivery models covering low-income earners in South Africa. Preprint available under DOI: https://doi.org/10.21203/rs.3.rs-960517/v1    </v>
      </c>
      <c r="I1950">
        <f>VisitsFUyear</f>
        <v>4</v>
      </c>
      <c r="J1950" t="s">
        <v>459</v>
      </c>
      <c r="K1950" s="85">
        <f t="shared" si="58"/>
        <v>127.14707910543177</v>
      </c>
    </row>
    <row r="1951" spans="1:14">
      <c r="A1951" t="s">
        <v>1436</v>
      </c>
      <c r="B1951" s="5" t="s">
        <v>1367</v>
      </c>
      <c r="C1951" t="s">
        <v>459</v>
      </c>
      <c r="D1951" t="s">
        <v>70</v>
      </c>
      <c r="E1951" s="70">
        <f>IF(B1951="","",INDEX(Ingredients!$I$1:$I$5013,(MATCH(InterventionCosts!B1951,Ingredients!$A$1:$A$5013,0))))</f>
        <v>2.952048897020477</v>
      </c>
      <c r="F1951" s="5" t="str">
        <f>INDEX(Ingredients!J$1:J$265,(MATCH(InterventionCosts!B1951,Ingredients!A$1:A$265,0)))</f>
        <v>per day</v>
      </c>
      <c r="G1951">
        <f>IF(B1951="","",INDEX(Ingredients!$E$1:$E$238,(MATCH(InterventionCosts!B1951,Ingredients!A$1:A$238,0))))</f>
        <v>2024</v>
      </c>
      <c r="H1951" t="str">
        <f>INDEX(Ingredients!$F$1:$F$318,(MATCH(InterventionCosts!B1951,Ingredients!A$1:A$318,0)))</f>
        <v>Master Procurement Circular May 2024</v>
      </c>
      <c r="I1951">
        <v>360</v>
      </c>
      <c r="J1951" t="s">
        <v>459</v>
      </c>
      <c r="K1951" s="85">
        <f t="shared" si="58"/>
        <v>1062.7376029273717</v>
      </c>
    </row>
    <row r="1952" spans="1:14" s="89" customFormat="1">
      <c r="A1952" s="4" t="s">
        <v>1436</v>
      </c>
      <c r="F1952" s="89" t="s">
        <v>1164</v>
      </c>
      <c r="K1952" s="90"/>
      <c r="L1952" s="90">
        <f>SUM(K1925:K1951)</f>
        <v>3416.3737446436808</v>
      </c>
      <c r="M1952" s="92"/>
      <c r="N1952" s="4"/>
    </row>
    <row r="1953" spans="1:12" s="89" customFormat="1">
      <c r="A1953" s="4" t="s">
        <v>1436</v>
      </c>
      <c r="F1953" s="89" t="s">
        <v>117</v>
      </c>
      <c r="K1953" s="90"/>
      <c r="L1953" s="90" t="s">
        <v>937</v>
      </c>
    </row>
    <row r="1955" spans="1:12">
      <c r="A1955" t="s">
        <v>1437</v>
      </c>
      <c r="B1955" s="273" t="s">
        <v>1147</v>
      </c>
      <c r="C1955" t="s">
        <v>1151</v>
      </c>
      <c r="D1955" t="s">
        <v>67</v>
      </c>
      <c r="E1955" s="70">
        <f>IF(B1955="","",INDEX(Ingredients!$I$1:$I$5013,(MATCH(InterventionCosts!B1955,Ingredients!$A$1:$A$5013,0))))</f>
        <v>96609.835920812693</v>
      </c>
      <c r="F1955" s="5" t="str">
        <f>INDEX(Ingredients!J$1:J$265,(MATCH(InterventionCosts!B1955,Ingredients!A$1:A$265,0)))</f>
        <v>per machine</v>
      </c>
      <c r="G1955">
        <f>IF(B1955="","",INDEX(Ingredients!$E$1:$E$238,(MATCH(InterventionCosts!B1955,Ingredients!A$1:A$238,0))))</f>
        <v>2024</v>
      </c>
      <c r="H1955" t="str">
        <f>INDEX(Ingredients!$F$1:$F$318,(MATCH(InterventionCosts!B1955,Ingredients!A$1:A$318,0)))</f>
        <v>https://www.stoptb.org/sites/default/files/gdf_diagnostics_medical_devices_other_health_products_catalog_0.pdf</v>
      </c>
      <c r="I1955" s="274">
        <f>1/(2300*0.6)*2</f>
        <v>1.4492753623188406E-3</v>
      </c>
      <c r="J1955" s="274" t="s">
        <v>1157</v>
      </c>
      <c r="K1955" s="85">
        <f t="shared" ref="K1955:K1964" si="59">E1955*I1955</f>
        <v>140.01425495769956</v>
      </c>
    </row>
    <row r="1956" spans="1:12">
      <c r="A1956" t="s">
        <v>1437</v>
      </c>
      <c r="B1956" s="273" t="s">
        <v>1148</v>
      </c>
      <c r="C1956" t="s">
        <v>1151</v>
      </c>
      <c r="D1956" t="s">
        <v>21</v>
      </c>
      <c r="E1956" s="70">
        <f>IF(B1956="","",INDEX(Ingredients!$I$1:$I$5013,(MATCH(InterventionCosts!B1956,Ingredients!$A$1:$A$5013,0))))</f>
        <v>319.75037364827585</v>
      </c>
      <c r="F1956" s="5" t="str">
        <f>INDEX(Ingredients!J$1:J$265,(MATCH(InterventionCosts!B1956,Ingredients!A$1:A$265,0)))</f>
        <v>per test</v>
      </c>
      <c r="G1956">
        <f>IF(B1956="","",INDEX(Ingredients!$E$1:$E$238,(MATCH(InterventionCosts!B1956,Ingredients!A$1:A$238,0))))</f>
        <v>2024</v>
      </c>
      <c r="H1956" t="str">
        <f>INDEX(Ingredients!$F$1:$F$318,(MATCH(InterventionCosts!B1956,Ingredients!A$1:A$318,0)))</f>
        <v>https://www.stoptb.org/sites/default/files/gdf_diagnostics_medical_devices_other_health_products_catalog_0.pdf</v>
      </c>
      <c r="I1956" s="274">
        <v>2</v>
      </c>
      <c r="J1956" t="s">
        <v>1151</v>
      </c>
      <c r="K1956" s="85">
        <f t="shared" si="59"/>
        <v>639.50074729655171</v>
      </c>
    </row>
    <row r="1957" spans="1:12">
      <c r="A1957" t="s">
        <v>1437</v>
      </c>
      <c r="B1957" s="273" t="s">
        <v>1149</v>
      </c>
      <c r="C1957" t="s">
        <v>1151</v>
      </c>
      <c r="D1957" t="s">
        <v>81</v>
      </c>
      <c r="E1957" s="70">
        <f>IF(B1957="","",INDEX(Ingredients!$I$1:$I$5013,(MATCH(InterventionCosts!B1957,Ingredients!$A$1:$A$5013,0))))</f>
        <v>34756.611222699823</v>
      </c>
      <c r="F1957" s="5" t="str">
        <f>INDEX(Ingredients!J$1:J$265,(MATCH(InterventionCosts!B1957,Ingredients!A$1:A$265,0)))</f>
        <v>per setup</v>
      </c>
      <c r="G1957">
        <f>IF(B1957="","",INDEX(Ingredients!$E$1:$E$238,(MATCH(InterventionCosts!B1957,Ingredients!A$1:A$238,0))))</f>
        <v>2024</v>
      </c>
      <c r="H1957" t="str">
        <f>INDEX(Ingredients!$F$1:$F$318,(MATCH(InterventionCosts!B1957,Ingredients!A$1:A$318,0)))</f>
        <v>https://www.stoptb.org/sites/default/files/gdf_diagnostics_medical_devices_other_health_products_catalog_0.pdf</v>
      </c>
      <c r="I1957" s="274">
        <f t="shared" ref="I1957:I1962" si="60">1/(2300*0.6)*2</f>
        <v>1.4492753623188406E-3</v>
      </c>
      <c r="J1957" s="274" t="s">
        <v>1157</v>
      </c>
      <c r="K1957" s="85">
        <f t="shared" si="59"/>
        <v>50.371900322753369</v>
      </c>
    </row>
    <row r="1958" spans="1:12">
      <c r="A1958" t="s">
        <v>1437</v>
      </c>
      <c r="B1958" s="273" t="s">
        <v>1156</v>
      </c>
      <c r="C1958" t="s">
        <v>1151</v>
      </c>
      <c r="D1958" t="s">
        <v>48</v>
      </c>
      <c r="E1958" s="70">
        <f>IF(B1958="","",INDEX(Ingredients!$I$1:$I$5013,(MATCH(InterventionCosts!B1958,Ingredients!$A$1:$A$5013,0))))</f>
        <v>5619.5309209141369</v>
      </c>
      <c r="F1958" s="5" t="str">
        <f>INDEX(Ingredients!J$1:J$265,(MATCH(InterventionCosts!B1958,Ingredients!A$1:A$265,0)))</f>
        <v>per setup</v>
      </c>
      <c r="G1958">
        <f>IF(B1958="","",INDEX(Ingredients!$E$1:$E$238,(MATCH(InterventionCosts!B1958,Ingredients!A$1:A$238,0))))</f>
        <v>2019</v>
      </c>
      <c r="H1958" t="str">
        <f>INDEX(Ingredients!$F$1:$F$318,(MATCH(InterventionCosts!B1958,Ingredients!A$1:A$318,0)))</f>
        <v>Sarah Girdwood, https://www.ncbi.nlm.nih.gov/pmc/articles/PMC7700965/pdf/main.pdf</v>
      </c>
      <c r="I1958" s="274">
        <f t="shared" si="60"/>
        <v>1.4492753623188406E-3</v>
      </c>
      <c r="J1958" t="s">
        <v>1151</v>
      </c>
      <c r="K1958" s="85">
        <f t="shared" si="59"/>
        <v>8.1442477114697631</v>
      </c>
    </row>
    <row r="1959" spans="1:12">
      <c r="A1959" t="s">
        <v>1437</v>
      </c>
      <c r="B1959" s="273" t="s">
        <v>1150</v>
      </c>
      <c r="C1959" t="s">
        <v>1151</v>
      </c>
      <c r="D1959" t="s">
        <v>48</v>
      </c>
      <c r="E1959" s="70">
        <f>IF(B1959="","",INDEX(Ingredients!$I$1:$I$5013,(MATCH(InterventionCosts!B1959,Ingredients!$A$1:$A$5013,0))))</f>
        <v>5690.1603086312934</v>
      </c>
      <c r="F1959" s="5" t="str">
        <f>INDEX(Ingredients!J$1:J$265,(MATCH(InterventionCosts!B1959,Ingredients!A$1:A$265,0)))</f>
        <v>per setup</v>
      </c>
      <c r="G1959">
        <f>IF(B1959="","",INDEX(Ingredients!$E$1:$E$238,(MATCH(InterventionCosts!B1959,Ingredients!A$1:A$238,0))))</f>
        <v>2019</v>
      </c>
      <c r="H1959" t="str">
        <f>INDEX(Ingredients!$F$1:$F$318,(MATCH(InterventionCosts!B1959,Ingredients!A$1:A$318,0)))</f>
        <v>Sarah Girdwood, https://www.ncbi.nlm.nih.gov/pmc/articles/PMC7700965/pdf/main.pdf</v>
      </c>
      <c r="I1959" s="274">
        <f t="shared" si="60"/>
        <v>1.4492753623188406E-3</v>
      </c>
      <c r="J1959" t="s">
        <v>1151</v>
      </c>
      <c r="K1959" s="85">
        <f t="shared" si="59"/>
        <v>8.2466091429439032</v>
      </c>
    </row>
    <row r="1960" spans="1:12">
      <c r="A1960" t="s">
        <v>1437</v>
      </c>
      <c r="B1960" s="273" t="s">
        <v>1155</v>
      </c>
      <c r="C1960" t="s">
        <v>1151</v>
      </c>
      <c r="D1960" t="s">
        <v>67</v>
      </c>
      <c r="E1960" s="70">
        <f>IF(B1960="","",INDEX(Ingredients!$I$1:$I$5013,(MATCH(InterventionCosts!B1960,Ingredients!$A$1:$A$5013,0))))</f>
        <v>11917.103963912978</v>
      </c>
      <c r="F1960" s="5" t="str">
        <f>INDEX(Ingredients!J$1:J$265,(MATCH(InterventionCosts!B1960,Ingredients!A$1:A$265,0)))</f>
        <v>per setup</v>
      </c>
      <c r="G1960">
        <f>IF(B1960="","",INDEX(Ingredients!$E$1:$E$238,(MATCH(InterventionCosts!B1960,Ingredients!A$1:A$238,0))))</f>
        <v>2019</v>
      </c>
      <c r="H1960" t="str">
        <f>INDEX(Ingredients!$F$1:$F$318,(MATCH(InterventionCosts!B1960,Ingredients!A$1:A$318,0)))</f>
        <v>Sarah Girdwood, https://www.ncbi.nlm.nih.gov/pmc/articles/PMC7700965/pdf/main.pdf</v>
      </c>
      <c r="I1960" s="274">
        <f t="shared" si="60"/>
        <v>1.4492753623188406E-3</v>
      </c>
      <c r="J1960" t="s">
        <v>1151</v>
      </c>
      <c r="K1960" s="85">
        <f t="shared" si="59"/>
        <v>17.271165165091272</v>
      </c>
    </row>
    <row r="1961" spans="1:12">
      <c r="A1961" t="s">
        <v>1437</v>
      </c>
      <c r="B1961" s="273" t="s">
        <v>1154</v>
      </c>
      <c r="C1961" t="s">
        <v>1151</v>
      </c>
      <c r="D1961" t="s">
        <v>81</v>
      </c>
      <c r="E1961" s="70">
        <f>IF(B1961="","",INDEX(Ingredients!$I$1:$I$5013,(MATCH(InterventionCosts!B1961,Ingredients!$A$1:$A$5013,0))))</f>
        <v>8006.8042257540328</v>
      </c>
      <c r="F1961" s="5" t="str">
        <f>INDEX(Ingredients!J$1:J$265,(MATCH(InterventionCosts!B1961,Ingredients!A$1:A$265,0)))</f>
        <v>per setup</v>
      </c>
      <c r="G1961">
        <f>IF(B1961="","",INDEX(Ingredients!$E$1:$E$238,(MATCH(InterventionCosts!B1961,Ingredients!A$1:A$238,0))))</f>
        <v>2019</v>
      </c>
      <c r="H1961" t="str">
        <f>INDEX(Ingredients!$F$1:$F$318,(MATCH(InterventionCosts!B1961,Ingredients!A$1:A$318,0)))</f>
        <v>https://www.ncbi.nlm.nih.gov/pmc/articles/PMC7700965/pdf/main.pdf</v>
      </c>
      <c r="I1961" s="274">
        <f t="shared" si="60"/>
        <v>1.4492753623188406E-3</v>
      </c>
      <c r="J1961" t="s">
        <v>1151</v>
      </c>
      <c r="K1961" s="85">
        <f t="shared" si="59"/>
        <v>11.604064095295699</v>
      </c>
    </row>
    <row r="1962" spans="1:12">
      <c r="A1962" t="s">
        <v>1437</v>
      </c>
      <c r="B1962" s="273" t="s">
        <v>1153</v>
      </c>
      <c r="C1962" t="s">
        <v>1151</v>
      </c>
      <c r="D1962" t="s">
        <v>81</v>
      </c>
      <c r="E1962" s="70">
        <f>IF(B1962="","",INDEX(Ingredients!$I$1:$I$5013,(MATCH(InterventionCosts!B1962,Ingredients!$A$1:$A$5013,0))))</f>
        <v>22740.094503552911</v>
      </c>
      <c r="F1962" s="5" t="str">
        <f>INDEX(Ingredients!J$1:J$265,(MATCH(InterventionCosts!B1962,Ingredients!A$1:A$265,0)))</f>
        <v>per setup</v>
      </c>
      <c r="G1962">
        <f>IF(B1962="","",INDEX(Ingredients!$E$1:$E$238,(MATCH(InterventionCosts!B1962,Ingredients!A$1:A$238,0))))</f>
        <v>2019</v>
      </c>
      <c r="H1962" t="str">
        <f>INDEX(Ingredients!$F$1:$F$318,(MATCH(InterventionCosts!B1962,Ingredients!A$1:A$318,0)))</f>
        <v>https://www.ncbi.nlm.nih.gov/pmc/articles/PMC7700965/pdf/main.pdf</v>
      </c>
      <c r="I1962" s="274">
        <f t="shared" si="60"/>
        <v>1.4492753623188406E-3</v>
      </c>
      <c r="J1962" t="s">
        <v>1151</v>
      </c>
      <c r="K1962" s="85">
        <f t="shared" si="59"/>
        <v>32.95665870080132</v>
      </c>
    </row>
    <row r="1963" spans="1:12">
      <c r="A1963" t="s">
        <v>1437</v>
      </c>
      <c r="B1963" s="273" t="s">
        <v>1152</v>
      </c>
      <c r="C1963" t="s">
        <v>1151</v>
      </c>
      <c r="D1963" t="s">
        <v>21</v>
      </c>
      <c r="E1963" s="70">
        <f>IF(B1963="","",INDEX(Ingredients!$I$1:$I$5013,(MATCH(InterventionCosts!B1963,Ingredients!$A$1:$A$5013,0))))</f>
        <v>3.608519627003822</v>
      </c>
      <c r="F1963" s="5" t="str">
        <f>INDEX(Ingredients!J$1:J$265,(MATCH(InterventionCosts!B1963,Ingredients!A$1:A$265,0)))</f>
        <v>per test</v>
      </c>
      <c r="G1963">
        <f>IF(B1963="","",INDEX(Ingredients!$E$1:$E$238,(MATCH(InterventionCosts!B1963,Ingredients!A$1:A$238,0))))</f>
        <v>2019</v>
      </c>
      <c r="H1963" t="str">
        <f>INDEX(Ingredients!$F$1:$F$318,(MATCH(InterventionCosts!B1963,Ingredients!A$1:A$318,0)))</f>
        <v>Sarah Girdwood, https://www.ncbi.nlm.nih.gov/pmc/articles/PMC7700965/pdf/main.pdf</v>
      </c>
      <c r="I1963" s="274">
        <v>2</v>
      </c>
      <c r="J1963" t="s">
        <v>1151</v>
      </c>
      <c r="K1963" s="85">
        <f t="shared" si="59"/>
        <v>7.217039254007644</v>
      </c>
    </row>
    <row r="1964" spans="1:12">
      <c r="A1964" t="s">
        <v>1437</v>
      </c>
      <c r="B1964" s="273" t="s">
        <v>286</v>
      </c>
      <c r="C1964" t="s">
        <v>1151</v>
      </c>
      <c r="D1964" t="s">
        <v>48</v>
      </c>
      <c r="E1964" s="70">
        <f>IF(B1964="","",INDEX(Ingredients!$I$1:$I$5013,(MATCH(InterventionCosts!B1964,Ingredients!$A$1:$A$5013,0))))</f>
        <v>3.2392279521674139</v>
      </c>
      <c r="F1964" s="5" t="str">
        <f>INDEX(Ingredients!J$1:J$265,(MATCH(InterventionCosts!B1964,Ingredients!A$1:A$265,0)))</f>
        <v>per minute</v>
      </c>
      <c r="G1964">
        <f>IF(B1964="","",INDEX(Ingredients!$E$1:$E$238,(MATCH(InterventionCosts!B1964,Ingredients!A$1:A$238,0))))</f>
        <v>2024</v>
      </c>
      <c r="H1964" t="str">
        <f>INDEX(Ingredients!$F$1:$F$318,(MATCH(InterventionCosts!B1964,Ingredients!A$1:A$318,0)))</f>
        <v xml:space="preserve">April 2024 Salary scale </v>
      </c>
      <c r="I1964" s="274">
        <f>(5.6+5.4+17.1+5)*2</f>
        <v>66.2</v>
      </c>
      <c r="J1964" t="s">
        <v>1151</v>
      </c>
      <c r="K1964" s="85">
        <f t="shared" si="59"/>
        <v>214.4368904334828</v>
      </c>
    </row>
    <row r="1965" spans="1:12">
      <c r="A1965" t="s">
        <v>1437</v>
      </c>
      <c r="B1965" t="s">
        <v>458</v>
      </c>
      <c r="C1965" t="s">
        <v>459</v>
      </c>
      <c r="D1965" t="s">
        <v>75</v>
      </c>
      <c r="E1965" s="70">
        <f>IF(B1965="","",INDEX(Ingredients!$I$1:$I$5013,(MATCH(InterventionCosts!B1965,Ingredients!$A$1:$A$5013,0))))</f>
        <v>86.59037211495</v>
      </c>
      <c r="F1965" s="5" t="str">
        <f>INDEX(Ingredients!J$1:J$265,(MATCH(InterventionCosts!B1965,Ingredients!A$1:A$265,0)))</f>
        <v>per test</v>
      </c>
      <c r="G1965">
        <f>IF(B1965="","",INDEX(Ingredients!$E$1:$E$238,(MATCH(InterventionCosts!B1965,Ingredients!A$1:A$238,0))))</f>
        <v>2021</v>
      </c>
      <c r="H1965" t="str">
        <f>INDEX(Ingredients!$F$1:$F$318,(MATCH(InterventionCosts!B1965,Ingredients!A$1:A$318,0)))</f>
        <v>NHLS 2021 price-list</v>
      </c>
      <c r="I1965">
        <v>1</v>
      </c>
      <c r="J1965" t="s">
        <v>459</v>
      </c>
      <c r="K1965" s="85">
        <f t="shared" ref="K1965" si="61">I1965*E1965</f>
        <v>86.59037211495</v>
      </c>
    </row>
    <row r="1966" spans="1:12">
      <c r="A1966" t="s">
        <v>1437</v>
      </c>
      <c r="B1966" t="s">
        <v>408</v>
      </c>
      <c r="C1966" t="s">
        <v>459</v>
      </c>
      <c r="D1966" t="s">
        <v>75</v>
      </c>
      <c r="E1966" s="70">
        <f>IF(B1966="","",INDEX(Ingredients!$I$1:$I$5013,(MATCH(InterventionCosts!B1966,Ingredients!$A$1:$A$5013,0))))</f>
        <v>39.539473461949996</v>
      </c>
      <c r="F1966" s="5" t="str">
        <f>INDEX(Ingredients!J$1:J$265,(MATCH(InterventionCosts!B1966,Ingredients!A$1:A$265,0)))</f>
        <v>per test</v>
      </c>
      <c r="G1966">
        <f>IF(B1966="","",INDEX(Ingredients!$E$1:$E$238,(MATCH(InterventionCosts!B1966,Ingredients!A$1:A$238,0))))</f>
        <v>2021</v>
      </c>
      <c r="H1966" t="str">
        <f>INDEX(Ingredients!$F$1:$F$318,(MATCH(InterventionCosts!B1966,Ingredients!A$1:A$318,0)))</f>
        <v>NHLS 2021 price-list</v>
      </c>
      <c r="I1966">
        <v>1</v>
      </c>
      <c r="J1966" t="s">
        <v>459</v>
      </c>
      <c r="K1966" s="85">
        <f>I1966*E1966</f>
        <v>39.539473461949996</v>
      </c>
    </row>
    <row r="1967" spans="1:12">
      <c r="A1967" t="s">
        <v>1437</v>
      </c>
      <c r="B1967" t="s">
        <v>52</v>
      </c>
      <c r="C1967" t="s">
        <v>460</v>
      </c>
      <c r="D1967" t="s">
        <v>48</v>
      </c>
      <c r="E1967" s="70">
        <f>IF(B1967="","",INDEX(Ingredients!$I$1:$I$5013,(MATCH(InterventionCosts!B1967,Ingredients!$A$1:$A$5013,0))))</f>
        <v>1.8019482436472347</v>
      </c>
      <c r="F1967" s="5" t="str">
        <f>INDEX(Ingredients!J$1:J$265,(MATCH(InterventionCosts!B1967,Ingredients!A$1:A$265,0)))</f>
        <v>per minute</v>
      </c>
      <c r="G1967">
        <f>IF(B1967="","",INDEX(Ingredients!$E$1:$E$238,(MATCH(InterventionCosts!B1967,Ingredients!A$1:A$238,0))))</f>
        <v>2024</v>
      </c>
      <c r="H1967" t="str">
        <f>INDEX(Ingredients!$F$1:$F$318,(MATCH(InterventionCosts!B1967,Ingredients!A$1:A$318,0)))</f>
        <v xml:space="preserve">April 2024 Salary scale </v>
      </c>
      <c r="I1967">
        <f>4*5*(workminutespa/12/5102)</f>
        <v>34.966679733437871</v>
      </c>
      <c r="J1967" t="s">
        <v>460</v>
      </c>
      <c r="K1967" s="85">
        <f t="shared" ref="K1967:K1981" si="62">I1967*E1967</f>
        <v>63.008147131843728</v>
      </c>
      <c r="L1967" s="85" t="s">
        <v>1085</v>
      </c>
    </row>
    <row r="1968" spans="1:12">
      <c r="A1968" t="s">
        <v>1437</v>
      </c>
      <c r="B1968" t="s">
        <v>55</v>
      </c>
      <c r="C1968" t="s">
        <v>460</v>
      </c>
      <c r="D1968" t="s">
        <v>48</v>
      </c>
      <c r="E1968" s="70">
        <f>IF(B1968="","",INDEX(Ingredients!$I$1:$I$5013,(MATCH(InterventionCosts!B1968,Ingredients!$A$1:$A$5013,0))))</f>
        <v>1.8549350710014947</v>
      </c>
      <c r="F1968" s="5" t="str">
        <f>INDEX(Ingredients!J$1:J$265,(MATCH(InterventionCosts!B1968,Ingredients!A$1:A$265,0)))</f>
        <v>per minute</v>
      </c>
      <c r="G1968">
        <f>IF(B1968="","",INDEX(Ingredients!$E$1:$E$238,(MATCH(InterventionCosts!B1968,Ingredients!A$1:A$238,0))))</f>
        <v>2024</v>
      </c>
      <c r="H1968" t="str">
        <f>INDEX(Ingredients!$F$1:$F$318,(MATCH(InterventionCosts!B1968,Ingredients!A$1:A$318,0)))</f>
        <v xml:space="preserve">April 2024 Salary scale </v>
      </c>
      <c r="I1968">
        <f>4*5*(workminutespa/12/5102)</f>
        <v>34.966679733437871</v>
      </c>
      <c r="J1968" t="s">
        <v>460</v>
      </c>
      <c r="K1968" s="85">
        <f t="shared" si="62"/>
        <v>64.860920554031097</v>
      </c>
      <c r="L1968" s="85" t="s">
        <v>1085</v>
      </c>
    </row>
    <row r="1969" spans="1:14">
      <c r="A1969" t="s">
        <v>1437</v>
      </c>
      <c r="B1969" t="s">
        <v>1070</v>
      </c>
      <c r="C1969" t="s">
        <v>460</v>
      </c>
      <c r="D1969" t="s">
        <v>48</v>
      </c>
      <c r="E1969" s="70">
        <f>IF(B1969="","",INDEX(Ingredients!$I$1:$I$5013,(MATCH(InterventionCosts!B1969,Ingredients!$A$1:$A$5013,0))))</f>
        <v>2.443981128550075</v>
      </c>
      <c r="F1969" s="5" t="str">
        <f>INDEX(Ingredients!J$1:J$265,(MATCH(InterventionCosts!B1969,Ingredients!A$1:A$265,0)))</f>
        <v>per minute</v>
      </c>
      <c r="G1969">
        <f>IF(B1969="","",INDEX(Ingredients!$E$1:$E$238,(MATCH(InterventionCosts!B1969,Ingredients!A$1:A$238,0))))</f>
        <v>2024</v>
      </c>
      <c r="H1969" t="str">
        <f>INDEX(Ingredients!$F$1:$F$318,(MATCH(InterventionCosts!B1969,Ingredients!A$1:A$318,0)))</f>
        <v xml:space="preserve">April 2024 Salary scale </v>
      </c>
      <c r="I1969">
        <f>1*5*(workminutespa/12/5102)</f>
        <v>8.7416699333594678</v>
      </c>
      <c r="J1969" t="s">
        <v>460</v>
      </c>
      <c r="K1969" s="85">
        <f t="shared" si="62"/>
        <v>21.36447634914413</v>
      </c>
      <c r="L1969" s="85" t="s">
        <v>1086</v>
      </c>
    </row>
    <row r="1970" spans="1:14">
      <c r="A1970" t="s">
        <v>1437</v>
      </c>
      <c r="B1970" t="s">
        <v>51</v>
      </c>
      <c r="C1970" t="s">
        <v>460</v>
      </c>
      <c r="D1970" t="s">
        <v>48</v>
      </c>
      <c r="E1970" s="70">
        <f>IF(B1970="","",INDEX(Ingredients!$I$1:$I$5013,(MATCH(InterventionCosts!B1970,Ingredients!$A$1:$A$5013,0))))</f>
        <v>4100.2266666666665</v>
      </c>
      <c r="F1970" s="5" t="str">
        <f>INDEX(Ingredients!J$1:J$265,(MATCH(InterventionCosts!B1970,Ingredients!A$1:A$265,0)))</f>
        <v>per month</v>
      </c>
      <c r="G1970">
        <f>IF(B1970="","",INDEX(Ingredients!$E$1:$E$238,(MATCH(InterventionCosts!B1970,Ingredients!A$1:A$238,0))))</f>
        <v>2024</v>
      </c>
      <c r="H1970" t="str">
        <f>INDEX(Ingredients!$F$1:$F$318,(MATCH(InterventionCosts!B1970,Ingredients!A$1:A$318,0)))</f>
        <v>https://www.gov.za/news/media-statements/government-activities/minister-thulas-nxesi-announces-national-minimum-wage</v>
      </c>
      <c r="I1970">
        <f>1*5*(1/5102)</f>
        <v>9.8000784006272053E-4</v>
      </c>
      <c r="J1970" t="s">
        <v>460</v>
      </c>
      <c r="K1970" s="85">
        <f t="shared" si="62"/>
        <v>4.018254279367568</v>
      </c>
      <c r="L1970" s="85" t="s">
        <v>1086</v>
      </c>
    </row>
    <row r="1971" spans="1:14">
      <c r="A1971" t="s">
        <v>1437</v>
      </c>
      <c r="B1971" t="s">
        <v>54</v>
      </c>
      <c r="C1971" t="s">
        <v>460</v>
      </c>
      <c r="D1971" t="s">
        <v>48</v>
      </c>
      <c r="E1971" s="70">
        <f>IF(B1971="","",INDEX(Ingredients!$I$1:$I$5013,(MATCH(InterventionCosts!B1971,Ingredients!$A$1:$A$5013,0))))</f>
        <v>1.2444366591928251</v>
      </c>
      <c r="F1971" s="5" t="str">
        <f>INDEX(Ingredients!J$1:J$265,(MATCH(InterventionCosts!B1971,Ingredients!A$1:A$265,0)))</f>
        <v>per minute</v>
      </c>
      <c r="G1971">
        <f>IF(B1971="","",INDEX(Ingredients!$E$1:$E$238,(MATCH(InterventionCosts!B1971,Ingredients!A$1:A$238,0))))</f>
        <v>2024</v>
      </c>
      <c r="H1971" t="str">
        <f>INDEX(Ingredients!$F$1:$F$318,(MATCH(InterventionCosts!B1971,Ingredients!A$1:A$318,0)))</f>
        <v xml:space="preserve">April 2024 Salary scale </v>
      </c>
      <c r="I1971">
        <f>8*5*(workminutespa/12/5102)</f>
        <v>69.933359466875743</v>
      </c>
      <c r="J1971" t="s">
        <v>460</v>
      </c>
      <c r="K1971" s="85">
        <f t="shared" si="62"/>
        <v>87.027636221089779</v>
      </c>
      <c r="L1971" s="85" t="s">
        <v>1087</v>
      </c>
    </row>
    <row r="1972" spans="1:14">
      <c r="A1972" t="s">
        <v>1437</v>
      </c>
      <c r="B1972" t="s">
        <v>354</v>
      </c>
      <c r="C1972" t="s">
        <v>460</v>
      </c>
      <c r="D1972" t="s">
        <v>48</v>
      </c>
      <c r="E1972" s="70">
        <f>IF(B1972="","",INDEX(Ingredients!$I$1:$I$5013,(MATCH(InterventionCosts!B1972,Ingredients!$A$1:$A$5013,0))))</f>
        <v>4.8996605630293981</v>
      </c>
      <c r="F1972" s="5" t="str">
        <f>INDEX(Ingredients!J$1:J$265,(MATCH(InterventionCosts!B1972,Ingredients!A$1:A$265,0)))</f>
        <v>per minute</v>
      </c>
      <c r="G1972">
        <f>IF(B1972="","",INDEX(Ingredients!$E$1:$E$238,(MATCH(InterventionCosts!B1972,Ingredients!A$1:A$238,0))))</f>
        <v>2024</v>
      </c>
      <c r="H1972" t="str">
        <f>INDEX(Ingredients!$F$1:$F$318,(MATCH(InterventionCosts!B1972,Ingredients!A$1:A$318,0)))</f>
        <v xml:space="preserve">April 2024 Salary scale </v>
      </c>
      <c r="I1972">
        <f>16*5*(workminutespa/12/5102)</f>
        <v>139.86671893375149</v>
      </c>
      <c r="J1972" t="s">
        <v>460</v>
      </c>
      <c r="K1972" s="85">
        <f t="shared" si="62"/>
        <v>685.29944684001941</v>
      </c>
      <c r="L1972" s="85" t="s">
        <v>1088</v>
      </c>
    </row>
    <row r="1973" spans="1:14">
      <c r="A1973" t="s">
        <v>1437</v>
      </c>
      <c r="B1973" t="s">
        <v>286</v>
      </c>
      <c r="C1973" t="s">
        <v>460</v>
      </c>
      <c r="D1973" t="s">
        <v>48</v>
      </c>
      <c r="E1973" s="70">
        <f>IF(B1973="","",INDEX(Ingredients!$I$1:$I$5013,(MATCH(InterventionCosts!B1973,Ingredients!$A$1:$A$5013,0))))</f>
        <v>3.2392279521674139</v>
      </c>
      <c r="F1973" s="5" t="str">
        <f>INDEX(Ingredients!J$1:J$265,(MATCH(InterventionCosts!B1973,Ingredients!A$1:A$265,0)))</f>
        <v>per minute</v>
      </c>
      <c r="G1973">
        <f>IF(B1973="","",INDEX(Ingredients!$E$1:$E$238,(MATCH(InterventionCosts!B1973,Ingredients!A$1:A$238,0))))</f>
        <v>2024</v>
      </c>
      <c r="H1973" t="str">
        <f>INDEX(Ingredients!$F$1:$F$318,(MATCH(InterventionCosts!B1973,Ingredients!A$1:A$318,0)))</f>
        <v xml:space="preserve">April 2024 Salary scale </v>
      </c>
      <c r="I1973">
        <f>4*5*(workminutespa/12/5102)</f>
        <v>34.966679733437871</v>
      </c>
      <c r="J1973" t="s">
        <v>460</v>
      </c>
      <c r="K1973" s="85">
        <f t="shared" si="62"/>
        <v>113.26504638703777</v>
      </c>
      <c r="L1973" s="85" t="s">
        <v>1085</v>
      </c>
    </row>
    <row r="1974" spans="1:14">
      <c r="A1974" t="s">
        <v>1437</v>
      </c>
      <c r="B1974" t="s">
        <v>1072</v>
      </c>
      <c r="C1974" t="s">
        <v>460</v>
      </c>
      <c r="D1974" t="s">
        <v>48</v>
      </c>
      <c r="E1974" s="70">
        <f>IF(B1974="","",INDEX(Ingredients!$I$1:$I$5013,(MATCH(InterventionCosts!B1974,Ingredients!$A$1:$A$5013,0))))</f>
        <v>2.5530496387643251</v>
      </c>
      <c r="F1974" s="5" t="str">
        <f>INDEX(Ingredients!J$1:J$265,(MATCH(InterventionCosts!B1974,Ingredients!A$1:A$265,0)))</f>
        <v>per minute</v>
      </c>
      <c r="G1974">
        <f>IF(B1974="","",INDEX(Ingredients!$E$1:$E$238,(MATCH(InterventionCosts!B1974,Ingredients!A$1:A$238,0))))</f>
        <v>2024</v>
      </c>
      <c r="H1974" t="str">
        <f>INDEX(Ingredients!$F$1:$F$318,(MATCH(InterventionCosts!B1974,Ingredients!A$1:A$318,0)))</f>
        <v xml:space="preserve">April 2024 Salary scale </v>
      </c>
      <c r="I1974">
        <f>1*5*(workminutespa/12/5102)</f>
        <v>8.7416699333594678</v>
      </c>
      <c r="J1974" t="s">
        <v>460</v>
      </c>
      <c r="K1974" s="85">
        <f t="shared" si="62"/>
        <v>22.31791726556035</v>
      </c>
      <c r="L1974" s="85" t="s">
        <v>1086</v>
      </c>
    </row>
    <row r="1975" spans="1:14">
      <c r="A1975" t="s">
        <v>1437</v>
      </c>
      <c r="B1975" t="s">
        <v>1074</v>
      </c>
      <c r="C1975" t="s">
        <v>460</v>
      </c>
      <c r="D1975" t="s">
        <v>48</v>
      </c>
      <c r="E1975" s="70">
        <f>IF(B1975="","",INDEX(Ingredients!$I$1:$I$5013,(MATCH(InterventionCosts!B1975,Ingredients!$A$1:$A$5013,0))))</f>
        <v>2076.8733333333334</v>
      </c>
      <c r="F1975" s="5" t="str">
        <f>INDEX(Ingredients!J$1:J$265,(MATCH(InterventionCosts!B1975,Ingredients!A$1:A$265,0)))</f>
        <v>per month</v>
      </c>
      <c r="G1975">
        <f>IF(B1975="","",INDEX(Ingredients!$E$1:$E$238,(MATCH(InterventionCosts!B1975,Ingredients!A$1:A$238,0))))</f>
        <v>2024</v>
      </c>
      <c r="H1975" t="str">
        <f>INDEX(Ingredients!$F$1:$F$318,(MATCH(InterventionCosts!B1975,Ingredients!A$1:A$318,0)))</f>
        <v>https://www.gov.za/speeches/minister-thulas-nxesi-hikes-minimum-wage-farmworkers-and-domestic-workers-22-feb-2023-0000</v>
      </c>
      <c r="I1975">
        <f>13*5*(1/5102)</f>
        <v>1.2740101920815367E-2</v>
      </c>
      <c r="J1975" t="s">
        <v>460</v>
      </c>
      <c r="K1975" s="85">
        <f t="shared" si="62"/>
        <v>26.459577943290213</v>
      </c>
      <c r="L1975" s="85" t="s">
        <v>1089</v>
      </c>
    </row>
    <row r="1976" spans="1:14">
      <c r="A1976" t="s">
        <v>1437</v>
      </c>
      <c r="B1976" t="s">
        <v>60</v>
      </c>
      <c r="C1976" t="s">
        <v>460</v>
      </c>
      <c r="D1976" t="s">
        <v>48</v>
      </c>
      <c r="E1976" s="70">
        <f>IF(B1976="","",INDEX(Ingredients!$I$1:$I$5013,(MATCH(InterventionCosts!B1976,Ingredients!$A$1:$A$5013,0))))</f>
        <v>9.1192801756352768</v>
      </c>
      <c r="F1976" s="5" t="str">
        <f>INDEX(Ingredients!J$1:J$265,(MATCH(InterventionCosts!B1976,Ingredients!A$1:A$265,0)))</f>
        <v>per minute</v>
      </c>
      <c r="G1976">
        <f>IF(B1976="","",INDEX(Ingredients!$E$1:$E$238,(MATCH(InterventionCosts!B1976,Ingredients!A$1:A$238,0))))</f>
        <v>2024</v>
      </c>
      <c r="H1976" t="str">
        <f>INDEX(Ingredients!$F$1:$F$318,(MATCH(InterventionCosts!B1976,Ingredients!A$1:A$318,0)))</f>
        <v xml:space="preserve">April 2024 Salary scale </v>
      </c>
      <c r="I1976">
        <f>1*5*(workminutespa/12/5102)</f>
        <v>8.7416699333594678</v>
      </c>
      <c r="J1976" t="s">
        <v>460</v>
      </c>
      <c r="K1976" s="85">
        <f t="shared" si="62"/>
        <v>79.717737325231951</v>
      </c>
      <c r="L1976" s="85" t="s">
        <v>1086</v>
      </c>
    </row>
    <row r="1977" spans="1:14">
      <c r="A1977" t="s">
        <v>1437</v>
      </c>
      <c r="B1977" t="s">
        <v>1077</v>
      </c>
      <c r="C1977" t="s">
        <v>460</v>
      </c>
      <c r="D1977" t="s">
        <v>48</v>
      </c>
      <c r="E1977" s="70">
        <f>IF(B1977="","",INDEX(Ingredients!$I$1:$I$5013,(MATCH(InterventionCosts!B1977,Ingredients!$A$1:$A$5013,0))))</f>
        <v>2.1347303967364222</v>
      </c>
      <c r="F1977" s="5" t="str">
        <f>INDEX(Ingredients!J$1:J$265,(MATCH(InterventionCosts!B1977,Ingredients!A$1:A$265,0)))</f>
        <v>per minute</v>
      </c>
      <c r="G1977">
        <f>IF(B1977="","",INDEX(Ingredients!$E$1:$E$238,(MATCH(InterventionCosts!B1977,Ingredients!A$1:A$238,0))))</f>
        <v>2024</v>
      </c>
      <c r="H1977" t="str">
        <f>INDEX(Ingredients!$F$1:$F$318,(MATCH(InterventionCosts!B1977,Ingredients!A$1:A$318,0)))</f>
        <v xml:space="preserve">April 2024 Salary scale </v>
      </c>
      <c r="I1977">
        <f>4*5*(workminutespa/12/5102)</f>
        <v>34.966679733437871</v>
      </c>
      <c r="J1977" t="s">
        <v>460</v>
      </c>
      <c r="K1977" s="85">
        <f t="shared" si="62"/>
        <v>74.644434099917234</v>
      </c>
      <c r="L1977" s="85" t="s">
        <v>1085</v>
      </c>
    </row>
    <row r="1978" spans="1:14">
      <c r="A1978" t="s">
        <v>1437</v>
      </c>
      <c r="B1978" t="s">
        <v>1078</v>
      </c>
      <c r="C1978" t="s">
        <v>460</v>
      </c>
      <c r="D1978" t="s">
        <v>48</v>
      </c>
      <c r="E1978" s="70">
        <f>IF(B1978="","",INDEX(Ingredients!$I$1:$I$5013,(MATCH(InterventionCosts!B1978,Ingredients!$A$1:$A$5013,0))))</f>
        <v>13.503224277528648</v>
      </c>
      <c r="F1978" s="5" t="str">
        <f>INDEX(Ingredients!J$1:J$265,(MATCH(InterventionCosts!B1978,Ingredients!A$1:A$265,0)))</f>
        <v>per minute</v>
      </c>
      <c r="G1978">
        <f>IF(B1978="","",INDEX(Ingredients!$E$1:$E$238,(MATCH(InterventionCosts!B1978,Ingredients!A$1:A$238,0))))</f>
        <v>2024</v>
      </c>
      <c r="H1978" t="str">
        <f>INDEX(Ingredients!$F$1:$F$318,(MATCH(InterventionCosts!B1978,Ingredients!A$1:A$318,0)))</f>
        <v xml:space="preserve">April 2024 Salary scale </v>
      </c>
      <c r="I1978">
        <f>2*5*(workminutespa/12/5102)</f>
        <v>17.483339866718936</v>
      </c>
      <c r="J1978" t="s">
        <v>460</v>
      </c>
      <c r="K1978" s="85">
        <f t="shared" si="62"/>
        <v>236.08145934056361</v>
      </c>
      <c r="L1978" s="85" t="s">
        <v>1090</v>
      </c>
    </row>
    <row r="1979" spans="1:14">
      <c r="A1979" t="s">
        <v>1437</v>
      </c>
      <c r="B1979" t="s">
        <v>477</v>
      </c>
      <c r="C1979" t="s">
        <v>459</v>
      </c>
      <c r="D1979" t="s">
        <v>81</v>
      </c>
      <c r="E1979" s="70">
        <f>IF(B1979="","",INDEX(Ingredients!$I$1:$I$5013,(MATCH(InterventionCosts!B1979,Ingredients!$A$1:$A$5013,0))))</f>
        <v>88.256346376062865</v>
      </c>
      <c r="F1979" s="5" t="str">
        <f>INDEX(Ingredients!J$1:J$265,(MATCH(InterventionCosts!B1979,Ingredients!A$1:A$265,0)))</f>
        <v>per visit</v>
      </c>
      <c r="G1979">
        <f>IF(B1979="","",INDEX(Ingredients!$E$1:$E$238,(MATCH(InterventionCosts!B1979,Ingredients!A$1:A$238,0))))</f>
        <v>2019</v>
      </c>
      <c r="H1979" t="str">
        <f>INDEX(Ingredients!$F$1:$F$318,(MATCH(InterventionCosts!B1979,Ingredients!A$1:A$318,0)))</f>
        <v xml:space="preserve">Long L, Girdwood S, Govender K, Meyer-Rath G, Miot J: Cost and outcomes of routine HIV care and treatment: A comparison of public and private delivery models covering low-income earners in South Africa. Preprint available under DOI: https://doi.org/10.21203/rs.3.rs-960517/v1    </v>
      </c>
      <c r="I1979">
        <f>VisitsFUyear+1</f>
        <v>5</v>
      </c>
      <c r="J1979" t="s">
        <v>459</v>
      </c>
      <c r="K1979" s="85">
        <f t="shared" si="62"/>
        <v>441.28173188031434</v>
      </c>
    </row>
    <row r="1980" spans="1:14">
      <c r="A1980" t="s">
        <v>1437</v>
      </c>
      <c r="B1980" t="s">
        <v>478</v>
      </c>
      <c r="C1980" t="s">
        <v>459</v>
      </c>
      <c r="D1980" t="s">
        <v>70</v>
      </c>
      <c r="E1980" s="70">
        <f>IF(B1980="","",INDEX(Ingredients!$I$1:$I$5013,(MATCH(InterventionCosts!B1980,Ingredients!$A$1:$A$5013,0))))</f>
        <v>31.786769776357943</v>
      </c>
      <c r="F1980" s="5" t="str">
        <f>INDEX(Ingredients!J$1:J$265,(MATCH(InterventionCosts!B1980,Ingredients!A$1:A$265,0)))</f>
        <v>per visit</v>
      </c>
      <c r="G1980">
        <f>IF(B1980="","",INDEX(Ingredients!$E$1:$E$238,(MATCH(InterventionCosts!B1980,Ingredients!A$1:A$238,0))))</f>
        <v>2023</v>
      </c>
      <c r="H1980" t="str">
        <f>INDEX(Ingredients!$F$1:$F$318,(MATCH(InterventionCosts!B1980,Ingredients!A$1:A$318,0)))</f>
        <v xml:space="preserve">Updated costs for Long L, Girdwood S, Govender K, Meyer-Rath G, Miot J: Cost and outcomes of routine HIV care and treatment: A comparison of public and private delivery models covering low-income earners in South Africa. Preprint available under DOI: https://doi.org/10.21203/rs.3.rs-960517/v1    </v>
      </c>
      <c r="I1980">
        <f>VisitsFUyear+1</f>
        <v>5</v>
      </c>
      <c r="J1980" t="s">
        <v>459</v>
      </c>
      <c r="K1980" s="85">
        <f t="shared" si="62"/>
        <v>158.93384888178971</v>
      </c>
    </row>
    <row r="1981" spans="1:14">
      <c r="A1981" t="s">
        <v>1437</v>
      </c>
      <c r="B1981" t="s">
        <v>1336</v>
      </c>
      <c r="C1981" t="s">
        <v>459</v>
      </c>
      <c r="D1981" t="s">
        <v>70</v>
      </c>
      <c r="E1981" s="70">
        <f>IF(B1981="","",INDEX(Ingredients!$I$1:$I$5013,(MATCH(InterventionCosts!B1981,Ingredients!$A$1:$A$5013,0))))</f>
        <v>7.4665000090607867</v>
      </c>
      <c r="F1981" s="5" t="str">
        <f>INDEX(Ingredients!J$1:J$265,(MATCH(InterventionCosts!B1981,Ingredients!A$1:A$265,0)))</f>
        <v>per day</v>
      </c>
      <c r="G1981">
        <f>IF(B1981="","",INDEX(Ingredients!$E$1:$E$238,(MATCH(InterventionCosts!B1981,Ingredients!A$1:A$238,0))))</f>
        <v>2024</v>
      </c>
      <c r="H1981" t="str">
        <f>INDEX(Ingredients!$F$1:$F$318,(MATCH(InterventionCosts!B1981,Ingredients!A$1:A$318,0)))</f>
        <v>Master Procurement Circular May 2024</v>
      </c>
      <c r="I1981">
        <v>360</v>
      </c>
      <c r="J1981" t="s">
        <v>459</v>
      </c>
      <c r="K1981" s="85">
        <f t="shared" si="62"/>
        <v>2687.9400032618832</v>
      </c>
    </row>
    <row r="1982" spans="1:14" s="89" customFormat="1">
      <c r="A1982" s="4" t="s">
        <v>1437</v>
      </c>
      <c r="F1982" s="89" t="s">
        <v>1164</v>
      </c>
      <c r="K1982" s="90"/>
      <c r="L1982" s="90">
        <f>SUM(K1955:K1981)</f>
        <v>6022.1140604180819</v>
      </c>
      <c r="M1982" s="92"/>
      <c r="N1982" s="4"/>
    </row>
    <row r="1983" spans="1:14" s="89" customFormat="1">
      <c r="A1983" s="4" t="s">
        <v>1437</v>
      </c>
      <c r="F1983" s="89" t="s">
        <v>117</v>
      </c>
      <c r="K1983" s="90"/>
      <c r="L1983" s="90" t="s">
        <v>937</v>
      </c>
    </row>
    <row r="1985" spans="1:12">
      <c r="A1985" t="s">
        <v>1461</v>
      </c>
      <c r="B1985" t="s">
        <v>888</v>
      </c>
      <c r="C1985" t="s">
        <v>459</v>
      </c>
      <c r="D1985" t="s">
        <v>70</v>
      </c>
      <c r="E1985" s="70">
        <f>IF(B1985="","",INDEX(Ingredients!$I$1:$I$5013,(MATCH(InterventionCosts!B1985,Ingredients!$A$1:$A$5013,0))))</f>
        <v>1.2484133422164692</v>
      </c>
      <c r="F1985" s="5" t="str">
        <f>INDEX(Ingredients!J$1:J$265,(MATCH(InterventionCosts!B1985,Ingredients!A$1:A$265,0)))</f>
        <v>per day</v>
      </c>
      <c r="G1985">
        <f>IF(B1985="","",INDEX(Ingredients!$E$1:$E$238,(MATCH(InterventionCosts!B1985,Ingredients!A$1:A$238,0))))</f>
        <v>2024</v>
      </c>
      <c r="H1985" t="str">
        <f>INDEX(Ingredients!$F$1:$F$318,(MATCH(InterventionCosts!B1985,Ingredients!A$1:A$318,0)))</f>
        <v>Master Procurement Circular May 2024</v>
      </c>
      <c r="I1985" s="161">
        <f>30</f>
        <v>30</v>
      </c>
      <c r="J1985" t="s">
        <v>483</v>
      </c>
      <c r="K1985" s="85">
        <f t="shared" ref="K1985:K2000" si="63">I1985*E1985</f>
        <v>37.452400266494074</v>
      </c>
      <c r="L1985" t="s">
        <v>483</v>
      </c>
    </row>
    <row r="1986" spans="1:12">
      <c r="A1986" t="s">
        <v>1461</v>
      </c>
      <c r="B1986" t="s">
        <v>78</v>
      </c>
      <c r="C1986" t="s">
        <v>459</v>
      </c>
      <c r="D1986" t="s">
        <v>75</v>
      </c>
      <c r="E1986" s="70">
        <f>IF(B1986="","",INDEX(Ingredients!$I$1:$I$5013,(MATCH(InterventionCosts!B1986,Ingredients!$A$1:$A$5013,0))))</f>
        <v>495.08531887209995</v>
      </c>
      <c r="F1986" s="5" t="str">
        <f>INDEX(Ingredients!J$1:J$265,(MATCH(InterventionCosts!B1986,Ingredients!A$1:A$265,0)))</f>
        <v>per test</v>
      </c>
      <c r="G1986">
        <f>IF(B1986="","",INDEX(Ingredients!$E$1:$E$238,(MATCH(InterventionCosts!B1986,Ingredients!A$1:A$238,0))))</f>
        <v>2021</v>
      </c>
      <c r="H1986" t="str">
        <f>INDEX(Ingredients!$F$1:$F$318,(MATCH(InterventionCosts!B1986,Ingredients!A$1:A$318,0)))</f>
        <v>NHLS 2021 price-list</v>
      </c>
      <c r="I1986">
        <v>1</v>
      </c>
      <c r="J1986" t="s">
        <v>459</v>
      </c>
      <c r="K1986" s="85">
        <f t="shared" si="63"/>
        <v>495.08531887209995</v>
      </c>
    </row>
    <row r="1987" spans="1:12">
      <c r="A1987" t="s">
        <v>1461</v>
      </c>
      <c r="B1987" t="s">
        <v>458</v>
      </c>
      <c r="C1987" t="s">
        <v>459</v>
      </c>
      <c r="D1987" t="s">
        <v>75</v>
      </c>
      <c r="E1987" s="70">
        <f>IF(B1987="","",INDEX(Ingredients!$I$1:$I$5013,(MATCH(InterventionCosts!B1987,Ingredients!$A$1:$A$5013,0))))</f>
        <v>86.59037211495</v>
      </c>
      <c r="F1987" s="5" t="str">
        <f>INDEX(Ingredients!J$1:J$265,(MATCH(InterventionCosts!B1987,Ingredients!A$1:A$265,0)))</f>
        <v>per test</v>
      </c>
      <c r="G1987">
        <f>IF(B1987="","",INDEX(Ingredients!$E$1:$E$238,(MATCH(InterventionCosts!B1987,Ingredients!A$1:A$238,0))))</f>
        <v>2021</v>
      </c>
      <c r="H1987" t="str">
        <f>INDEX(Ingredients!$F$1:$F$318,(MATCH(InterventionCosts!B1987,Ingredients!A$1:A$318,0)))</f>
        <v>NHLS 2021 price-list</v>
      </c>
      <c r="I1987">
        <v>1</v>
      </c>
      <c r="J1987" t="s">
        <v>459</v>
      </c>
      <c r="K1987" s="85">
        <f t="shared" si="63"/>
        <v>86.59037211495</v>
      </c>
    </row>
    <row r="1988" spans="1:12">
      <c r="A1988" t="s">
        <v>1461</v>
      </c>
      <c r="B1988" t="s">
        <v>52</v>
      </c>
      <c r="C1988" t="s">
        <v>460</v>
      </c>
      <c r="D1988" t="s">
        <v>48</v>
      </c>
      <c r="E1988" s="70">
        <f>IF(B1988="","",INDEX(Ingredients!$I$1:$I$5013,(MATCH(InterventionCosts!B1988,Ingredients!$A$1:$A$5013,0))))</f>
        <v>1.8019482436472347</v>
      </c>
      <c r="F1988" s="5" t="str">
        <f>INDEX(Ingredients!J$1:J$265,(MATCH(InterventionCosts!B1988,Ingredients!A$1:A$265,0)))</f>
        <v>per minute</v>
      </c>
      <c r="G1988">
        <f>IF(B1988="","",INDEX(Ingredients!$E$1:$E$238,(MATCH(InterventionCosts!B1988,Ingredients!A$1:A$238,0))))</f>
        <v>2024</v>
      </c>
      <c r="H1988" t="str">
        <f>INDEX(Ingredients!$F$1:$F$318,(MATCH(InterventionCosts!B1988,Ingredients!A$1:A$318,0)))</f>
        <v xml:space="preserve">April 2024 Salary scale </v>
      </c>
      <c r="I1988">
        <f>4*3*(workminutespa/12/5102)</f>
        <v>20.980007840062722</v>
      </c>
      <c r="J1988" t="s">
        <v>460</v>
      </c>
      <c r="K1988" s="85">
        <f t="shared" si="63"/>
        <v>37.804888279106237</v>
      </c>
      <c r="L1988" s="85" t="s">
        <v>1091</v>
      </c>
    </row>
    <row r="1989" spans="1:12">
      <c r="A1989" t="s">
        <v>1461</v>
      </c>
      <c r="B1989" t="s">
        <v>55</v>
      </c>
      <c r="C1989" t="s">
        <v>460</v>
      </c>
      <c r="D1989" t="s">
        <v>48</v>
      </c>
      <c r="E1989" s="70">
        <f>IF(B1989="","",INDEX(Ingredients!$I$1:$I$5013,(MATCH(InterventionCosts!B1989,Ingredients!$A$1:$A$5013,0))))</f>
        <v>1.8549350710014947</v>
      </c>
      <c r="F1989" s="5" t="str">
        <f>INDEX(Ingredients!J$1:J$265,(MATCH(InterventionCosts!B1989,Ingredients!A$1:A$265,0)))</f>
        <v>per minute</v>
      </c>
      <c r="G1989">
        <f>IF(B1989="","",INDEX(Ingredients!$E$1:$E$238,(MATCH(InterventionCosts!B1989,Ingredients!A$1:A$238,0))))</f>
        <v>2024</v>
      </c>
      <c r="H1989" t="str">
        <f>INDEX(Ingredients!$F$1:$F$318,(MATCH(InterventionCosts!B1989,Ingredients!A$1:A$318,0)))</f>
        <v xml:space="preserve">April 2024 Salary scale </v>
      </c>
      <c r="I1989">
        <f>4*3*(workminutespa/12/5102)</f>
        <v>20.980007840062722</v>
      </c>
      <c r="J1989" t="s">
        <v>460</v>
      </c>
      <c r="K1989" s="85">
        <f t="shared" si="63"/>
        <v>38.916552332418661</v>
      </c>
      <c r="L1989" s="85" t="s">
        <v>1091</v>
      </c>
    </row>
    <row r="1990" spans="1:12">
      <c r="A1990" t="s">
        <v>1461</v>
      </c>
      <c r="B1990" t="s">
        <v>1070</v>
      </c>
      <c r="C1990" t="s">
        <v>460</v>
      </c>
      <c r="D1990" t="s">
        <v>48</v>
      </c>
      <c r="E1990" s="70">
        <f>IF(B1990="","",INDEX(Ingredients!$I$1:$I$5013,(MATCH(InterventionCosts!B1990,Ingredients!$A$1:$A$5013,0))))</f>
        <v>2.443981128550075</v>
      </c>
      <c r="F1990" s="5" t="str">
        <f>INDEX(Ingredients!J$1:J$265,(MATCH(InterventionCosts!B1990,Ingredients!A$1:A$265,0)))</f>
        <v>per minute</v>
      </c>
      <c r="G1990">
        <f>IF(B1990="","",INDEX(Ingredients!$E$1:$E$238,(MATCH(InterventionCosts!B1990,Ingredients!A$1:A$238,0))))</f>
        <v>2024</v>
      </c>
      <c r="H1990" t="str">
        <f>INDEX(Ingredients!$F$1:$F$318,(MATCH(InterventionCosts!B1990,Ingredients!A$1:A$318,0)))</f>
        <v xml:space="preserve">April 2024 Salary scale </v>
      </c>
      <c r="I1990">
        <f>1*3*(workminutespa/12/5102)</f>
        <v>5.2450019600156805</v>
      </c>
      <c r="J1990" t="s">
        <v>460</v>
      </c>
      <c r="K1990" s="85">
        <f t="shared" si="63"/>
        <v>12.818685809486478</v>
      </c>
      <c r="L1990" s="85" t="s">
        <v>1092</v>
      </c>
    </row>
    <row r="1991" spans="1:12">
      <c r="A1991" t="s">
        <v>1461</v>
      </c>
      <c r="B1991" t="s">
        <v>51</v>
      </c>
      <c r="C1991" t="s">
        <v>460</v>
      </c>
      <c r="D1991" t="s">
        <v>48</v>
      </c>
      <c r="E1991" s="70">
        <f>IF(B1991="","",INDEX(Ingredients!$I$1:$I$5013,(MATCH(InterventionCosts!B1991,Ingredients!$A$1:$A$5013,0))))</f>
        <v>4100.2266666666665</v>
      </c>
      <c r="F1991" s="5" t="str">
        <f>INDEX(Ingredients!J$1:J$265,(MATCH(InterventionCosts!B1991,Ingredients!A$1:A$265,0)))</f>
        <v>per month</v>
      </c>
      <c r="G1991">
        <f>IF(B1991="","",INDEX(Ingredients!$E$1:$E$238,(MATCH(InterventionCosts!B1991,Ingredients!A$1:A$238,0))))</f>
        <v>2024</v>
      </c>
      <c r="H1991" t="str">
        <f>INDEX(Ingredients!$F$1:$F$318,(MATCH(InterventionCosts!B1991,Ingredients!A$1:A$318,0)))</f>
        <v>https://www.gov.za/news/media-statements/government-activities/minister-thulas-nxesi-announces-national-minimum-wage</v>
      </c>
      <c r="I1991">
        <f>1*3*(1/5102)</f>
        <v>5.8800470403763227E-4</v>
      </c>
      <c r="J1991" t="s">
        <v>460</v>
      </c>
      <c r="K1991" s="85">
        <f t="shared" si="63"/>
        <v>2.4109525676205408</v>
      </c>
      <c r="L1991" s="85" t="s">
        <v>1092</v>
      </c>
    </row>
    <row r="1992" spans="1:12">
      <c r="A1992" t="s">
        <v>1461</v>
      </c>
      <c r="B1992" t="s">
        <v>54</v>
      </c>
      <c r="C1992" t="s">
        <v>460</v>
      </c>
      <c r="D1992" t="s">
        <v>48</v>
      </c>
      <c r="E1992" s="70">
        <f>IF(B1992="","",INDEX(Ingredients!$I$1:$I$5013,(MATCH(InterventionCosts!B1992,Ingredients!$A$1:$A$5013,0))))</f>
        <v>1.2444366591928251</v>
      </c>
      <c r="F1992" s="5" t="str">
        <f>INDEX(Ingredients!J$1:J$265,(MATCH(InterventionCosts!B1992,Ingredients!A$1:A$265,0)))</f>
        <v>per minute</v>
      </c>
      <c r="G1992">
        <f>IF(B1992="","",INDEX(Ingredients!$E$1:$E$238,(MATCH(InterventionCosts!B1992,Ingredients!A$1:A$238,0))))</f>
        <v>2024</v>
      </c>
      <c r="H1992" t="str">
        <f>INDEX(Ingredients!$F$1:$F$318,(MATCH(InterventionCosts!B1992,Ingredients!A$1:A$318,0)))</f>
        <v xml:space="preserve">April 2024 Salary scale </v>
      </c>
      <c r="I1992">
        <f>8*3*(workminutespa/12/5102)</f>
        <v>41.960015680125444</v>
      </c>
      <c r="J1992" t="s">
        <v>460</v>
      </c>
      <c r="K1992" s="85">
        <f t="shared" si="63"/>
        <v>52.216581732653864</v>
      </c>
      <c r="L1992" s="85" t="s">
        <v>1093</v>
      </c>
    </row>
    <row r="1993" spans="1:12">
      <c r="A1993" t="s">
        <v>1461</v>
      </c>
      <c r="B1993" t="s">
        <v>354</v>
      </c>
      <c r="C1993" t="s">
        <v>460</v>
      </c>
      <c r="D1993" t="s">
        <v>48</v>
      </c>
      <c r="E1993" s="70">
        <f>IF(B1993="","",INDEX(Ingredients!$I$1:$I$5013,(MATCH(InterventionCosts!B1993,Ingredients!$A$1:$A$5013,0))))</f>
        <v>4.8996605630293981</v>
      </c>
      <c r="F1993" s="5" t="str">
        <f>INDEX(Ingredients!J$1:J$265,(MATCH(InterventionCosts!B1993,Ingredients!A$1:A$265,0)))</f>
        <v>per minute</v>
      </c>
      <c r="G1993">
        <f>IF(B1993="","",INDEX(Ingredients!$E$1:$E$238,(MATCH(InterventionCosts!B1993,Ingredients!A$1:A$238,0))))</f>
        <v>2024</v>
      </c>
      <c r="H1993" t="str">
        <f>INDEX(Ingredients!$F$1:$F$318,(MATCH(InterventionCosts!B1993,Ingredients!A$1:A$318,0)))</f>
        <v xml:space="preserve">April 2024 Salary scale </v>
      </c>
      <c r="I1993">
        <f>16*3*(workminutespa/12/5102)</f>
        <v>83.920031360250888</v>
      </c>
      <c r="J1993" t="s">
        <v>460</v>
      </c>
      <c r="K1993" s="85">
        <f t="shared" si="63"/>
        <v>411.17966810401163</v>
      </c>
      <c r="L1993" s="85" t="s">
        <v>1094</v>
      </c>
    </row>
    <row r="1994" spans="1:12">
      <c r="A1994" t="s">
        <v>1461</v>
      </c>
      <c r="B1994" t="s">
        <v>286</v>
      </c>
      <c r="C1994" t="s">
        <v>460</v>
      </c>
      <c r="D1994" t="s">
        <v>48</v>
      </c>
      <c r="E1994" s="70">
        <f>IF(B1994="","",INDEX(Ingredients!$I$1:$I$5013,(MATCH(InterventionCosts!B1994,Ingredients!$A$1:$A$5013,0))))</f>
        <v>3.2392279521674139</v>
      </c>
      <c r="F1994" s="5" t="str">
        <f>INDEX(Ingredients!J$1:J$265,(MATCH(InterventionCosts!B1994,Ingredients!A$1:A$265,0)))</f>
        <v>per minute</v>
      </c>
      <c r="G1994">
        <f>IF(B1994="","",INDEX(Ingredients!$E$1:$E$238,(MATCH(InterventionCosts!B1994,Ingredients!A$1:A$238,0))))</f>
        <v>2024</v>
      </c>
      <c r="H1994" t="str">
        <f>INDEX(Ingredients!$F$1:$F$318,(MATCH(InterventionCosts!B1994,Ingredients!A$1:A$318,0)))</f>
        <v xml:space="preserve">April 2024 Salary scale </v>
      </c>
      <c r="I1994">
        <f>4*3*(workminutespa/12/5102)</f>
        <v>20.980007840062722</v>
      </c>
      <c r="J1994" t="s">
        <v>460</v>
      </c>
      <c r="K1994" s="85">
        <f t="shared" si="63"/>
        <v>67.95902783222266</v>
      </c>
      <c r="L1994" s="85" t="s">
        <v>1091</v>
      </c>
    </row>
    <row r="1995" spans="1:12">
      <c r="A1995" t="s">
        <v>1461</v>
      </c>
      <c r="B1995" t="s">
        <v>1072</v>
      </c>
      <c r="C1995" t="s">
        <v>460</v>
      </c>
      <c r="D1995" t="s">
        <v>48</v>
      </c>
      <c r="E1995" s="70">
        <f>IF(B1995="","",INDEX(Ingredients!$I$1:$I$5013,(MATCH(InterventionCosts!B1995,Ingredients!$A$1:$A$5013,0))))</f>
        <v>2.5530496387643251</v>
      </c>
      <c r="F1995" s="5" t="str">
        <f>INDEX(Ingredients!J$1:J$265,(MATCH(InterventionCosts!B1995,Ingredients!A$1:A$265,0)))</f>
        <v>per minute</v>
      </c>
      <c r="G1995">
        <f>IF(B1995="","",INDEX(Ingredients!$E$1:$E$238,(MATCH(InterventionCosts!B1995,Ingredients!A$1:A$238,0))))</f>
        <v>2024</v>
      </c>
      <c r="H1995" t="str">
        <f>INDEX(Ingredients!$F$1:$F$318,(MATCH(InterventionCosts!B1995,Ingredients!A$1:A$318,0)))</f>
        <v xml:space="preserve">April 2024 Salary scale </v>
      </c>
      <c r="I1995">
        <f>1*3*(workminutespa/12/5102)</f>
        <v>5.2450019600156805</v>
      </c>
      <c r="J1995" t="s">
        <v>460</v>
      </c>
      <c r="K1995" s="85">
        <f t="shared" si="63"/>
        <v>13.390750359336211</v>
      </c>
      <c r="L1995" s="85" t="s">
        <v>1092</v>
      </c>
    </row>
    <row r="1996" spans="1:12">
      <c r="A1996" t="s">
        <v>1461</v>
      </c>
      <c r="B1996" t="s">
        <v>1074</v>
      </c>
      <c r="C1996" t="s">
        <v>460</v>
      </c>
      <c r="D1996" t="s">
        <v>48</v>
      </c>
      <c r="E1996" s="70">
        <f>IF(B1996="","",INDEX(Ingredients!$I$1:$I$5013,(MATCH(InterventionCosts!B1996,Ingredients!$A$1:$A$5013,0))))</f>
        <v>2076.8733333333334</v>
      </c>
      <c r="F1996" s="5" t="str">
        <f>INDEX(Ingredients!J$1:J$265,(MATCH(InterventionCosts!B1996,Ingredients!A$1:A$265,0)))</f>
        <v>per month</v>
      </c>
      <c r="G1996">
        <f>IF(B1996="","",INDEX(Ingredients!$E$1:$E$238,(MATCH(InterventionCosts!B1996,Ingredients!A$1:A$238,0))))</f>
        <v>2024</v>
      </c>
      <c r="H1996" t="str">
        <f>INDEX(Ingredients!$F$1:$F$318,(MATCH(InterventionCosts!B1996,Ingredients!A$1:A$318,0)))</f>
        <v>https://www.gov.za/speeches/minister-thulas-nxesi-hikes-minimum-wage-farmworkers-and-domestic-workers-22-feb-2023-0000</v>
      </c>
      <c r="I1996">
        <f>13*3*(1/5102)</f>
        <v>7.6440611524892198E-3</v>
      </c>
      <c r="J1996" t="s">
        <v>460</v>
      </c>
      <c r="K1996" s="85">
        <f t="shared" si="63"/>
        <v>15.875746765974128</v>
      </c>
      <c r="L1996" s="85" t="s">
        <v>1095</v>
      </c>
    </row>
    <row r="1997" spans="1:12">
      <c r="A1997" t="s">
        <v>1461</v>
      </c>
      <c r="B1997" t="s">
        <v>60</v>
      </c>
      <c r="C1997" t="s">
        <v>460</v>
      </c>
      <c r="D1997" t="s">
        <v>48</v>
      </c>
      <c r="E1997" s="70">
        <f>IF(B1997="","",INDEX(Ingredients!$I$1:$I$5013,(MATCH(InterventionCosts!B1997,Ingredients!$A$1:$A$5013,0))))</f>
        <v>9.1192801756352768</v>
      </c>
      <c r="F1997" s="5" t="str">
        <f>INDEX(Ingredients!J$1:J$265,(MATCH(InterventionCosts!B1997,Ingredients!A$1:A$265,0)))</f>
        <v>per minute</v>
      </c>
      <c r="G1997">
        <f>IF(B1997="","",INDEX(Ingredients!$E$1:$E$238,(MATCH(InterventionCosts!B1997,Ingredients!A$1:A$238,0))))</f>
        <v>2024</v>
      </c>
      <c r="H1997" t="str">
        <f>INDEX(Ingredients!$F$1:$F$318,(MATCH(InterventionCosts!B1997,Ingredients!A$1:A$318,0)))</f>
        <v xml:space="preserve">April 2024 Salary scale </v>
      </c>
      <c r="I1997">
        <f>1*3*(workminutespa/12/5102)</f>
        <v>5.2450019600156805</v>
      </c>
      <c r="J1997" t="s">
        <v>460</v>
      </c>
      <c r="K1997" s="85">
        <f t="shared" si="63"/>
        <v>47.830642395139165</v>
      </c>
      <c r="L1997" s="85" t="s">
        <v>1092</v>
      </c>
    </row>
    <row r="1998" spans="1:12">
      <c r="A1998" t="s">
        <v>1461</v>
      </c>
      <c r="B1998" t="s">
        <v>1077</v>
      </c>
      <c r="C1998" t="s">
        <v>460</v>
      </c>
      <c r="D1998" t="s">
        <v>48</v>
      </c>
      <c r="E1998" s="70">
        <f>IF(B1998="","",INDEX(Ingredients!$I$1:$I$5013,(MATCH(InterventionCosts!B1998,Ingredients!$A$1:$A$5013,0))))</f>
        <v>2.1347303967364222</v>
      </c>
      <c r="F1998" s="5" t="str">
        <f>INDEX(Ingredients!J$1:J$265,(MATCH(InterventionCosts!B1998,Ingredients!A$1:A$265,0)))</f>
        <v>per minute</v>
      </c>
      <c r="G1998">
        <f>IF(B1998="","",INDEX(Ingredients!$E$1:$E$238,(MATCH(InterventionCosts!B1998,Ingredients!A$1:A$238,0))))</f>
        <v>2024</v>
      </c>
      <c r="H1998" t="str">
        <f>INDEX(Ingredients!$F$1:$F$318,(MATCH(InterventionCosts!B1998,Ingredients!A$1:A$318,0)))</f>
        <v xml:space="preserve">April 2024 Salary scale </v>
      </c>
      <c r="I1998">
        <f>4*3*(workminutespa/12/5102)</f>
        <v>20.980007840062722</v>
      </c>
      <c r="J1998" t="s">
        <v>460</v>
      </c>
      <c r="K1998" s="85">
        <f t="shared" si="63"/>
        <v>44.78666045995034</v>
      </c>
      <c r="L1998" s="85" t="s">
        <v>1091</v>
      </c>
    </row>
    <row r="1999" spans="1:12">
      <c r="A1999" t="s">
        <v>1461</v>
      </c>
      <c r="B1999" t="s">
        <v>1078</v>
      </c>
      <c r="C1999" t="s">
        <v>460</v>
      </c>
      <c r="D1999" t="s">
        <v>48</v>
      </c>
      <c r="E1999" s="70">
        <f>IF(B1999="","",INDEX(Ingredients!$I$1:$I$5013,(MATCH(InterventionCosts!B1999,Ingredients!$A$1:$A$5013,0))))</f>
        <v>13.503224277528648</v>
      </c>
      <c r="F1999" s="5" t="str">
        <f>INDEX(Ingredients!J$1:J$265,(MATCH(InterventionCosts!B1999,Ingredients!A$1:A$265,0)))</f>
        <v>per minute</v>
      </c>
      <c r="G1999">
        <f>IF(B1999="","",INDEX(Ingredients!$E$1:$E$238,(MATCH(InterventionCosts!B1999,Ingredients!A$1:A$238,0))))</f>
        <v>2024</v>
      </c>
      <c r="H1999" t="str">
        <f>INDEX(Ingredients!$F$1:$F$318,(MATCH(InterventionCosts!B1999,Ingredients!A$1:A$318,0)))</f>
        <v xml:space="preserve">April 2024 Salary scale </v>
      </c>
      <c r="I1999">
        <f>2*3*(workminutespa/12/5102)</f>
        <v>10.490003920031361</v>
      </c>
      <c r="J1999" t="s">
        <v>460</v>
      </c>
      <c r="K1999" s="85">
        <f t="shared" si="63"/>
        <v>141.64887560433817</v>
      </c>
      <c r="L1999" s="85" t="s">
        <v>1096</v>
      </c>
    </row>
    <row r="2000" spans="1:12">
      <c r="A2000" t="s">
        <v>1461</v>
      </c>
      <c r="B2000" t="s">
        <v>477</v>
      </c>
      <c r="C2000" t="s">
        <v>406</v>
      </c>
      <c r="D2000" t="s">
        <v>81</v>
      </c>
      <c r="E2000" s="70">
        <f>IF(B2000="","",INDEX(Ingredients!$I$1:$I$5013,(MATCH(InterventionCosts!B2000,Ingredients!$A$1:$A$5013,0))))</f>
        <v>88.256346376062865</v>
      </c>
      <c r="F2000" s="5" t="str">
        <f>INDEX(Ingredients!J$1:J$265,(MATCH(InterventionCosts!B2000,Ingredients!A$1:A$265,0)))</f>
        <v>per visit</v>
      </c>
      <c r="G2000">
        <f>IF(B2000="","",INDEX(Ingredients!$E$1:$E$238,(MATCH(InterventionCosts!B2000,Ingredients!A$1:A$238,0))))</f>
        <v>2019</v>
      </c>
      <c r="H2000" t="str">
        <f>INDEX(Ingredients!$F$1:$F$318,(MATCH(InterventionCosts!B2000,Ingredients!A$1:A$318,0)))</f>
        <v xml:space="preserve">Long L, Girdwood S, Govender K, Meyer-Rath G, Miot J: Cost and outcomes of routine HIV care and treatment: A comparison of public and private delivery models covering low-income earners in South Africa. Preprint available under DOI: https://doi.org/10.21203/rs.3.rs-960517/v1    </v>
      </c>
      <c r="I2000">
        <v>3</v>
      </c>
      <c r="J2000" t="s">
        <v>485</v>
      </c>
      <c r="K2000" s="85">
        <f t="shared" si="63"/>
        <v>264.76903912818858</v>
      </c>
    </row>
    <row r="2001" spans="1:14" s="89" customFormat="1">
      <c r="A2001" s="4" t="s">
        <v>1461</v>
      </c>
      <c r="F2001" s="89" t="s">
        <v>1164</v>
      </c>
      <c r="K2001" s="90"/>
      <c r="L2001" s="90">
        <f>SUM(K1985:K2000)</f>
        <v>1770.7361626239906</v>
      </c>
      <c r="M2001" s="92"/>
      <c r="N2001" s="4"/>
    </row>
    <row r="2002" spans="1:14" s="89" customFormat="1">
      <c r="A2002" s="4" t="s">
        <v>1461</v>
      </c>
      <c r="F2002" s="89" t="s">
        <v>117</v>
      </c>
      <c r="K2002" s="90"/>
      <c r="L2002" s="90" t="s">
        <v>937</v>
      </c>
    </row>
    <row r="2004" spans="1:14">
      <c r="A2004" t="s">
        <v>1445</v>
      </c>
      <c r="B2004" t="s">
        <v>887</v>
      </c>
      <c r="C2004" t="s">
        <v>459</v>
      </c>
      <c r="D2004" t="s">
        <v>70</v>
      </c>
      <c r="E2004" s="70">
        <f>IF(B2004="","",INDEX(Ingredients!$I$1:$I$5013,(MATCH(InterventionCosts!B2004,Ingredients!$A$1:$A$5013,0))))</f>
        <v>4.4934500333117597</v>
      </c>
      <c r="F2004" s="5" t="str">
        <f>INDEX(Ingredients!J$1:J$265,(MATCH(InterventionCosts!B2004,Ingredients!A$1:A$265,0)))</f>
        <v>per day</v>
      </c>
      <c r="G2004">
        <f>IF(B2004="","",INDEX(Ingredients!$E$1:$E$238,(MATCH(InterventionCosts!B2004,Ingredients!A$1:A$238,0))))</f>
        <v>2024</v>
      </c>
      <c r="H2004" t="str">
        <f>INDEX(Ingredients!$F$1:$F$318,(MATCH(InterventionCosts!B2004,Ingredients!A$1:A$318,0)))</f>
        <v>Master Procurement Circular May 2024</v>
      </c>
      <c r="I2004" s="161">
        <f>30*11*'ART kids distribution'!$B$12</f>
        <v>97.058823529411768</v>
      </c>
      <c r="J2004" t="s">
        <v>1183</v>
      </c>
      <c r="K2004" s="85">
        <f t="shared" ref="K2004:K2030" si="64">I2004*E2004</f>
        <v>436.12897382143552</v>
      </c>
      <c r="L2004" t="s">
        <v>482</v>
      </c>
    </row>
    <row r="2005" spans="1:14">
      <c r="A2005" t="s">
        <v>1445</v>
      </c>
      <c r="B2005" t="s">
        <v>481</v>
      </c>
      <c r="C2005" t="s">
        <v>459</v>
      </c>
      <c r="D2005" t="s">
        <v>70</v>
      </c>
      <c r="E2005" s="70">
        <f>IF(B2005="","",INDEX(Ingredients!$I$1:$I$5013,(MATCH(InterventionCosts!B2005,Ingredients!$A$1:$A$5013,0))))</f>
        <v>6.5477000379236046</v>
      </c>
      <c r="F2005" s="5" t="str">
        <f>INDEX(Ingredients!J$1:J$265,(MATCH(InterventionCosts!B2005,Ingredients!A$1:A$265,0)))</f>
        <v>per day</v>
      </c>
      <c r="G2005">
        <f>IF(B2005="","",INDEX(Ingredients!$E$1:$E$238,(MATCH(InterventionCosts!B2005,Ingredients!A$1:A$238,0))))</f>
        <v>2024</v>
      </c>
      <c r="H2005" t="str">
        <f>INDEX(Ingredients!$F$1:$F$318,(MATCH(InterventionCosts!B2005,Ingredients!A$1:A$318,0)))</f>
        <v>Master Procurement Circular May 2024</v>
      </c>
      <c r="I2005" s="161">
        <f>30*11*'ART kids distribution'!$C$12</f>
        <v>194.11764705882354</v>
      </c>
      <c r="J2005" t="s">
        <v>1183</v>
      </c>
      <c r="K2005" s="85">
        <f t="shared" si="64"/>
        <v>1271.0241250086997</v>
      </c>
      <c r="L2005" t="s">
        <v>482</v>
      </c>
    </row>
    <row r="2006" spans="1:14">
      <c r="A2006" t="s">
        <v>1445</v>
      </c>
      <c r="B2006" t="s">
        <v>890</v>
      </c>
      <c r="C2006" t="s">
        <v>459</v>
      </c>
      <c r="D2006" t="s">
        <v>70</v>
      </c>
      <c r="E2006" s="70">
        <f>IF(B2006="","",INDEX(Ingredients!$I$1:$I$5013,(MATCH(InterventionCosts!B2006,Ingredients!$A$1:$A$5013,0))))</f>
        <v>10.331700037923603</v>
      </c>
      <c r="F2006" s="5" t="str">
        <f>INDEX(Ingredients!J$1:J$265,(MATCH(InterventionCosts!B2006,Ingredients!A$1:A$265,0)))</f>
        <v>per day</v>
      </c>
      <c r="G2006">
        <f>IF(B2006="","",INDEX(Ingredients!$E$1:$E$238,(MATCH(InterventionCosts!B2006,Ingredients!A$1:A$238,0))))</f>
        <v>2024</v>
      </c>
      <c r="H2006" t="str">
        <f>INDEX(Ingredients!$F$1:$F$318,(MATCH(InterventionCosts!B2006,Ingredients!A$1:A$318,0)))</f>
        <v>Master Procurement Circular May 2024</v>
      </c>
      <c r="I2006" s="161">
        <f>30*11*'ART kids distribution'!$F$12</f>
        <v>38.823529411764703</v>
      </c>
      <c r="J2006" t="s">
        <v>1183</v>
      </c>
      <c r="K2006" s="85">
        <f t="shared" si="64"/>
        <v>401.11306029585751</v>
      </c>
      <c r="L2006" t="s">
        <v>482</v>
      </c>
    </row>
    <row r="2007" spans="1:14">
      <c r="A2007" t="s">
        <v>1445</v>
      </c>
      <c r="B2007" s="273" t="s">
        <v>1147</v>
      </c>
      <c r="C2007" t="s">
        <v>1151</v>
      </c>
      <c r="D2007" t="s">
        <v>67</v>
      </c>
      <c r="E2007" s="70">
        <f>IF(B2007="","",INDEX(Ingredients!$I$1:$I$5013,(MATCH(InterventionCosts!B2007,Ingredients!$A$1:$A$5013,0))))</f>
        <v>96609.835920812693</v>
      </c>
      <c r="F2007" s="5" t="str">
        <f>INDEX(Ingredients!J$1:J$265,(MATCH(InterventionCosts!B2007,Ingredients!A$1:A$265,0)))</f>
        <v>per machine</v>
      </c>
      <c r="G2007">
        <f>IF(B2007="","",INDEX(Ingredients!$E$1:$E$238,(MATCH(InterventionCosts!B2007,Ingredients!A$1:A$238,0))))</f>
        <v>2024</v>
      </c>
      <c r="H2007" t="str">
        <f>INDEX(Ingredients!$F$1:$F$318,(MATCH(InterventionCosts!B2007,Ingredients!A$1:A$318,0)))</f>
        <v>https://www.stoptb.org/sites/default/files/gdf_diagnostics_medical_devices_other_health_products_catalog_0.pdf</v>
      </c>
      <c r="I2007" s="274">
        <f>1/(2300*0.6)</f>
        <v>7.246376811594203E-4</v>
      </c>
      <c r="J2007" s="274" t="s">
        <v>1157</v>
      </c>
      <c r="K2007" s="85">
        <f t="shared" ref="K2007:K2016" si="65">E2007*I2007</f>
        <v>70.007127478849782</v>
      </c>
    </row>
    <row r="2008" spans="1:14">
      <c r="A2008" t="s">
        <v>1445</v>
      </c>
      <c r="B2008" s="273" t="s">
        <v>1148</v>
      </c>
      <c r="C2008" t="s">
        <v>1151</v>
      </c>
      <c r="D2008" t="s">
        <v>21</v>
      </c>
      <c r="E2008" s="70">
        <f>IF(B2008="","",INDEX(Ingredients!$I$1:$I$5013,(MATCH(InterventionCosts!B2008,Ingredients!$A$1:$A$5013,0))))</f>
        <v>319.75037364827585</v>
      </c>
      <c r="F2008" s="5" t="str">
        <f>INDEX(Ingredients!J$1:J$265,(MATCH(InterventionCosts!B2008,Ingredients!A$1:A$265,0)))</f>
        <v>per test</v>
      </c>
      <c r="G2008">
        <f>IF(B2008="","",INDEX(Ingredients!$E$1:$E$238,(MATCH(InterventionCosts!B2008,Ingredients!A$1:A$238,0))))</f>
        <v>2024</v>
      </c>
      <c r="H2008" t="str">
        <f>INDEX(Ingredients!$F$1:$F$318,(MATCH(InterventionCosts!B2008,Ingredients!A$1:A$318,0)))</f>
        <v>https://www.stoptb.org/sites/default/files/gdf_diagnostics_medical_devices_other_health_products_catalog_0.pdf</v>
      </c>
      <c r="I2008" s="274">
        <v>1</v>
      </c>
      <c r="J2008" t="s">
        <v>1151</v>
      </c>
      <c r="K2008" s="85">
        <f t="shared" si="65"/>
        <v>319.75037364827585</v>
      </c>
    </row>
    <row r="2009" spans="1:14">
      <c r="A2009" t="s">
        <v>1445</v>
      </c>
      <c r="B2009" s="273" t="s">
        <v>1149</v>
      </c>
      <c r="C2009" t="s">
        <v>1151</v>
      </c>
      <c r="D2009" t="s">
        <v>81</v>
      </c>
      <c r="E2009" s="70">
        <f>IF(B2009="","",INDEX(Ingredients!$I$1:$I$5013,(MATCH(InterventionCosts!B2009,Ingredients!$A$1:$A$5013,0))))</f>
        <v>34756.611222699823</v>
      </c>
      <c r="F2009" s="5" t="str">
        <f>INDEX(Ingredients!J$1:J$265,(MATCH(InterventionCosts!B2009,Ingredients!A$1:A$265,0)))</f>
        <v>per setup</v>
      </c>
      <c r="G2009">
        <f>IF(B2009="","",INDEX(Ingredients!$E$1:$E$238,(MATCH(InterventionCosts!B2009,Ingredients!A$1:A$238,0))))</f>
        <v>2024</v>
      </c>
      <c r="H2009" t="str">
        <f>INDEX(Ingredients!$F$1:$F$318,(MATCH(InterventionCosts!B2009,Ingredients!A$1:A$318,0)))</f>
        <v>https://www.stoptb.org/sites/default/files/gdf_diagnostics_medical_devices_other_health_products_catalog_0.pdf</v>
      </c>
      <c r="I2009" s="274">
        <f>1/(2300*0.6)</f>
        <v>7.246376811594203E-4</v>
      </c>
      <c r="J2009" s="274" t="s">
        <v>1157</v>
      </c>
      <c r="K2009" s="85">
        <f t="shared" si="65"/>
        <v>25.185950161376685</v>
      </c>
    </row>
    <row r="2010" spans="1:14">
      <c r="A2010" t="s">
        <v>1445</v>
      </c>
      <c r="B2010" s="273" t="s">
        <v>1156</v>
      </c>
      <c r="C2010" t="s">
        <v>1151</v>
      </c>
      <c r="D2010" t="s">
        <v>48</v>
      </c>
      <c r="E2010" s="70">
        <f>IF(B2010="","",INDEX(Ingredients!$I$1:$I$5013,(MATCH(InterventionCosts!B2010,Ingredients!$A$1:$A$5013,0))))</f>
        <v>5619.5309209141369</v>
      </c>
      <c r="F2010" s="5" t="str">
        <f>INDEX(Ingredients!J$1:J$265,(MATCH(InterventionCosts!B2010,Ingredients!A$1:A$265,0)))</f>
        <v>per setup</v>
      </c>
      <c r="G2010">
        <f>IF(B2010="","",INDEX(Ingredients!$E$1:$E$238,(MATCH(InterventionCosts!B2010,Ingredients!A$1:A$238,0))))</f>
        <v>2019</v>
      </c>
      <c r="H2010" t="str">
        <f>INDEX(Ingredients!$F$1:$F$318,(MATCH(InterventionCosts!B2010,Ingredients!A$1:A$318,0)))</f>
        <v>Sarah Girdwood, https://www.ncbi.nlm.nih.gov/pmc/articles/PMC7700965/pdf/main.pdf</v>
      </c>
      <c r="I2010" s="274">
        <f t="shared" ref="I2010:I2014" si="66">1/(2300*0.6)</f>
        <v>7.246376811594203E-4</v>
      </c>
      <c r="J2010" t="s">
        <v>1151</v>
      </c>
      <c r="K2010" s="85">
        <f t="shared" si="65"/>
        <v>4.0721238557348816</v>
      </c>
    </row>
    <row r="2011" spans="1:14">
      <c r="A2011" t="s">
        <v>1445</v>
      </c>
      <c r="B2011" s="273" t="s">
        <v>1150</v>
      </c>
      <c r="C2011" t="s">
        <v>1151</v>
      </c>
      <c r="D2011" t="s">
        <v>48</v>
      </c>
      <c r="E2011" s="70">
        <f>IF(B2011="","",INDEX(Ingredients!$I$1:$I$5013,(MATCH(InterventionCosts!B2011,Ingredients!$A$1:$A$5013,0))))</f>
        <v>5690.1603086312934</v>
      </c>
      <c r="F2011" s="5" t="str">
        <f>INDEX(Ingredients!J$1:J$265,(MATCH(InterventionCosts!B2011,Ingredients!A$1:A$265,0)))</f>
        <v>per setup</v>
      </c>
      <c r="G2011">
        <f>IF(B2011="","",INDEX(Ingredients!$E$1:$E$238,(MATCH(InterventionCosts!B2011,Ingredients!A$1:A$238,0))))</f>
        <v>2019</v>
      </c>
      <c r="H2011" t="str">
        <f>INDEX(Ingredients!$F$1:$F$318,(MATCH(InterventionCosts!B2011,Ingredients!A$1:A$318,0)))</f>
        <v>Sarah Girdwood, https://www.ncbi.nlm.nih.gov/pmc/articles/PMC7700965/pdf/main.pdf</v>
      </c>
      <c r="I2011" s="274">
        <f t="shared" si="66"/>
        <v>7.246376811594203E-4</v>
      </c>
      <c r="J2011" t="s">
        <v>1151</v>
      </c>
      <c r="K2011" s="85">
        <f t="shared" si="65"/>
        <v>4.1233045714719516</v>
      </c>
    </row>
    <row r="2012" spans="1:14">
      <c r="A2012" t="s">
        <v>1445</v>
      </c>
      <c r="B2012" s="273" t="s">
        <v>1155</v>
      </c>
      <c r="C2012" t="s">
        <v>1151</v>
      </c>
      <c r="D2012" t="s">
        <v>67</v>
      </c>
      <c r="E2012" s="70">
        <f>IF(B2012="","",INDEX(Ingredients!$I$1:$I$5013,(MATCH(InterventionCosts!B2012,Ingredients!$A$1:$A$5013,0))))</f>
        <v>11917.103963912978</v>
      </c>
      <c r="F2012" s="5" t="str">
        <f>INDEX(Ingredients!J$1:J$265,(MATCH(InterventionCosts!B2012,Ingredients!A$1:A$265,0)))</f>
        <v>per setup</v>
      </c>
      <c r="G2012">
        <f>IF(B2012="","",INDEX(Ingredients!$E$1:$E$238,(MATCH(InterventionCosts!B2012,Ingredients!A$1:A$238,0))))</f>
        <v>2019</v>
      </c>
      <c r="H2012" t="str">
        <f>INDEX(Ingredients!$F$1:$F$318,(MATCH(InterventionCosts!B2012,Ingredients!A$1:A$318,0)))</f>
        <v>Sarah Girdwood, https://www.ncbi.nlm.nih.gov/pmc/articles/PMC7700965/pdf/main.pdf</v>
      </c>
      <c r="I2012" s="274">
        <f t="shared" si="66"/>
        <v>7.246376811594203E-4</v>
      </c>
      <c r="J2012" t="s">
        <v>1151</v>
      </c>
      <c r="K2012" s="85">
        <f t="shared" si="65"/>
        <v>8.635582582545636</v>
      </c>
    </row>
    <row r="2013" spans="1:14">
      <c r="A2013" t="s">
        <v>1445</v>
      </c>
      <c r="B2013" s="273" t="s">
        <v>1154</v>
      </c>
      <c r="C2013" t="s">
        <v>1151</v>
      </c>
      <c r="D2013" t="s">
        <v>81</v>
      </c>
      <c r="E2013" s="70">
        <f>IF(B2013="","",INDEX(Ingredients!$I$1:$I$5013,(MATCH(InterventionCosts!B2013,Ingredients!$A$1:$A$5013,0))))</f>
        <v>8006.8042257540328</v>
      </c>
      <c r="F2013" s="5" t="str">
        <f>INDEX(Ingredients!J$1:J$265,(MATCH(InterventionCosts!B2013,Ingredients!A$1:A$265,0)))</f>
        <v>per setup</v>
      </c>
      <c r="G2013">
        <f>IF(B2013="","",INDEX(Ingredients!$E$1:$E$238,(MATCH(InterventionCosts!B2013,Ingredients!A$1:A$238,0))))</f>
        <v>2019</v>
      </c>
      <c r="H2013" t="str">
        <f>INDEX(Ingredients!$F$1:$F$318,(MATCH(InterventionCosts!B2013,Ingredients!A$1:A$318,0)))</f>
        <v>https://www.ncbi.nlm.nih.gov/pmc/articles/PMC7700965/pdf/main.pdf</v>
      </c>
      <c r="I2013" s="274">
        <f t="shared" si="66"/>
        <v>7.246376811594203E-4</v>
      </c>
      <c r="J2013" t="s">
        <v>1151</v>
      </c>
      <c r="K2013" s="85">
        <f t="shared" si="65"/>
        <v>5.8020320476478497</v>
      </c>
    </row>
    <row r="2014" spans="1:14">
      <c r="A2014" t="s">
        <v>1445</v>
      </c>
      <c r="B2014" s="273" t="s">
        <v>1153</v>
      </c>
      <c r="C2014" t="s">
        <v>1151</v>
      </c>
      <c r="D2014" t="s">
        <v>81</v>
      </c>
      <c r="E2014" s="70">
        <f>IF(B2014="","",INDEX(Ingredients!$I$1:$I$5013,(MATCH(InterventionCosts!B2014,Ingredients!$A$1:$A$5013,0))))</f>
        <v>22740.094503552911</v>
      </c>
      <c r="F2014" s="5" t="str">
        <f>INDEX(Ingredients!J$1:J$265,(MATCH(InterventionCosts!B2014,Ingredients!A$1:A$265,0)))</f>
        <v>per setup</v>
      </c>
      <c r="G2014">
        <f>IF(B2014="","",INDEX(Ingredients!$E$1:$E$238,(MATCH(InterventionCosts!B2014,Ingredients!A$1:A$238,0))))</f>
        <v>2019</v>
      </c>
      <c r="H2014" t="str">
        <f>INDEX(Ingredients!$F$1:$F$318,(MATCH(InterventionCosts!B2014,Ingredients!A$1:A$318,0)))</f>
        <v>https://www.ncbi.nlm.nih.gov/pmc/articles/PMC7700965/pdf/main.pdf</v>
      </c>
      <c r="I2014" s="274">
        <f t="shared" si="66"/>
        <v>7.246376811594203E-4</v>
      </c>
      <c r="J2014" t="s">
        <v>1151</v>
      </c>
      <c r="K2014" s="85">
        <f t="shared" si="65"/>
        <v>16.47832935040066</v>
      </c>
    </row>
    <row r="2015" spans="1:14">
      <c r="A2015" t="s">
        <v>1445</v>
      </c>
      <c r="B2015" s="273" t="s">
        <v>1152</v>
      </c>
      <c r="C2015" t="s">
        <v>1151</v>
      </c>
      <c r="D2015" t="s">
        <v>21</v>
      </c>
      <c r="E2015" s="70">
        <f>IF(B2015="","",INDEX(Ingredients!$I$1:$I$5013,(MATCH(InterventionCosts!B2015,Ingredients!$A$1:$A$5013,0))))</f>
        <v>3.608519627003822</v>
      </c>
      <c r="F2015" s="5" t="str">
        <f>INDEX(Ingredients!J$1:J$265,(MATCH(InterventionCosts!B2015,Ingredients!A$1:A$265,0)))</f>
        <v>per test</v>
      </c>
      <c r="G2015">
        <f>IF(B2015="","",INDEX(Ingredients!$E$1:$E$238,(MATCH(InterventionCosts!B2015,Ingredients!A$1:A$238,0))))</f>
        <v>2019</v>
      </c>
      <c r="H2015" t="str">
        <f>INDEX(Ingredients!$F$1:$F$318,(MATCH(InterventionCosts!B2015,Ingredients!A$1:A$318,0)))</f>
        <v>Sarah Girdwood, https://www.ncbi.nlm.nih.gov/pmc/articles/PMC7700965/pdf/main.pdf</v>
      </c>
      <c r="I2015" s="274">
        <v>1</v>
      </c>
      <c r="J2015" t="s">
        <v>1151</v>
      </c>
      <c r="K2015" s="85">
        <f t="shared" si="65"/>
        <v>3.608519627003822</v>
      </c>
    </row>
    <row r="2016" spans="1:14">
      <c r="A2016" t="s">
        <v>1445</v>
      </c>
      <c r="B2016" s="273" t="s">
        <v>286</v>
      </c>
      <c r="C2016" t="s">
        <v>1151</v>
      </c>
      <c r="D2016" t="s">
        <v>48</v>
      </c>
      <c r="E2016" s="70">
        <f>IF(B2016="","",INDEX(Ingredients!$I$1:$I$5013,(MATCH(InterventionCosts!B2016,Ingredients!$A$1:$A$5013,0))))</f>
        <v>3.2392279521674139</v>
      </c>
      <c r="F2016" s="5" t="str">
        <f>INDEX(Ingredients!J$1:J$265,(MATCH(InterventionCosts!B2016,Ingredients!A$1:A$265,0)))</f>
        <v>per minute</v>
      </c>
      <c r="G2016">
        <f>IF(B2016="","",INDEX(Ingredients!$E$1:$E$238,(MATCH(InterventionCosts!B2016,Ingredients!A$1:A$238,0))))</f>
        <v>2024</v>
      </c>
      <c r="H2016" t="str">
        <f>INDEX(Ingredients!$F$1:$F$318,(MATCH(InterventionCosts!B2016,Ingredients!A$1:A$318,0)))</f>
        <v xml:space="preserve">April 2024 Salary scale </v>
      </c>
      <c r="I2016" s="274">
        <f>5.6+5.4+17.1+5</f>
        <v>33.1</v>
      </c>
      <c r="J2016" t="s">
        <v>1151</v>
      </c>
      <c r="K2016" s="85">
        <f t="shared" si="65"/>
        <v>107.2184452167414</v>
      </c>
    </row>
    <row r="2017" spans="1:14">
      <c r="A2017" t="s">
        <v>1445</v>
      </c>
      <c r="B2017" t="s">
        <v>458</v>
      </c>
      <c r="C2017" t="s">
        <v>459</v>
      </c>
      <c r="D2017" t="s">
        <v>75</v>
      </c>
      <c r="E2017" s="70">
        <f>IF(B2017="","",INDEX(Ingredients!$I$1:$I$5013,(MATCH(InterventionCosts!B2017,Ingredients!$A$1:$A$5013,0))))</f>
        <v>86.59037211495</v>
      </c>
      <c r="F2017" s="5" t="str">
        <f>INDEX(Ingredients!J$1:J$265,(MATCH(InterventionCosts!B2017,Ingredients!A$1:A$265,0)))</f>
        <v>per test</v>
      </c>
      <c r="G2017">
        <f>IF(B2017="","",INDEX(Ingredients!$E$1:$E$238,(MATCH(InterventionCosts!B2017,Ingredients!A$1:A$238,0))))</f>
        <v>2021</v>
      </c>
      <c r="H2017" t="str">
        <f>INDEX(Ingredients!$F$1:$F$318,(MATCH(InterventionCosts!B2017,Ingredients!A$1:A$318,0)))</f>
        <v>NHLS 2021 price-list</v>
      </c>
      <c r="I2017">
        <v>1</v>
      </c>
      <c r="J2017" t="s">
        <v>459</v>
      </c>
      <c r="K2017" s="85">
        <f t="shared" si="64"/>
        <v>86.59037211495</v>
      </c>
    </row>
    <row r="2018" spans="1:14">
      <c r="A2018" t="s">
        <v>1445</v>
      </c>
      <c r="B2018" t="s">
        <v>52</v>
      </c>
      <c r="C2018" t="s">
        <v>460</v>
      </c>
      <c r="D2018" t="s">
        <v>48</v>
      </c>
      <c r="E2018" s="70">
        <f>IF(B2018="","",INDEX(Ingredients!$I$1:$I$5013,(MATCH(InterventionCosts!B2018,Ingredients!$A$1:$A$5013,0))))</f>
        <v>1.8019482436472347</v>
      </c>
      <c r="F2018" s="5" t="str">
        <f>INDEX(Ingredients!J$1:J$265,(MATCH(InterventionCosts!B2018,Ingredients!A$1:A$265,0)))</f>
        <v>per minute</v>
      </c>
      <c r="G2018">
        <f>IF(B2018="","",INDEX(Ingredients!$E$1:$E$238,(MATCH(InterventionCosts!B2018,Ingredients!A$1:A$238,0))))</f>
        <v>2024</v>
      </c>
      <c r="H2018" t="str">
        <f>INDEX(Ingredients!$F$1:$F$318,(MATCH(InterventionCosts!B2018,Ingredients!A$1:A$318,0)))</f>
        <v xml:space="preserve">April 2024 Salary scale </v>
      </c>
      <c r="I2018">
        <f>4*7.54*(workminutespa/12/5102)</f>
        <v>52.729753038024306</v>
      </c>
      <c r="J2018" t="s">
        <v>460</v>
      </c>
      <c r="K2018" s="85">
        <f t="shared" si="64"/>
        <v>95.01628587482034</v>
      </c>
      <c r="L2018" s="85" t="s">
        <v>1097</v>
      </c>
    </row>
    <row r="2019" spans="1:14">
      <c r="A2019" t="s">
        <v>1445</v>
      </c>
      <c r="B2019" t="s">
        <v>55</v>
      </c>
      <c r="C2019" t="s">
        <v>460</v>
      </c>
      <c r="D2019" t="s">
        <v>48</v>
      </c>
      <c r="E2019" s="70">
        <f>IF(B2019="","",INDEX(Ingredients!$I$1:$I$5013,(MATCH(InterventionCosts!B2019,Ingredients!$A$1:$A$5013,0))))</f>
        <v>1.8549350710014947</v>
      </c>
      <c r="F2019" s="5" t="str">
        <f>INDEX(Ingredients!J$1:J$265,(MATCH(InterventionCosts!B2019,Ingredients!A$1:A$265,0)))</f>
        <v>per minute</v>
      </c>
      <c r="G2019">
        <f>IF(B2019="","",INDEX(Ingredients!$E$1:$E$238,(MATCH(InterventionCosts!B2019,Ingredients!A$1:A$238,0))))</f>
        <v>2024</v>
      </c>
      <c r="H2019" t="str">
        <f>INDEX(Ingredients!$F$1:$F$318,(MATCH(InterventionCosts!B2019,Ingredients!A$1:A$318,0)))</f>
        <v xml:space="preserve">April 2024 Salary scale </v>
      </c>
      <c r="I2019">
        <f>4*7.54*(workminutespa/12/5102)</f>
        <v>52.729753038024306</v>
      </c>
      <c r="J2019" t="s">
        <v>460</v>
      </c>
      <c r="K2019" s="85">
        <f t="shared" si="64"/>
        <v>97.810268195478898</v>
      </c>
      <c r="L2019" s="85" t="s">
        <v>1097</v>
      </c>
    </row>
    <row r="2020" spans="1:14">
      <c r="A2020" t="s">
        <v>1445</v>
      </c>
      <c r="B2020" t="s">
        <v>1070</v>
      </c>
      <c r="C2020" t="s">
        <v>460</v>
      </c>
      <c r="D2020" t="s">
        <v>48</v>
      </c>
      <c r="E2020" s="70">
        <f>IF(B2020="","",INDEX(Ingredients!$I$1:$I$5013,(MATCH(InterventionCosts!B2020,Ingredients!$A$1:$A$5013,0))))</f>
        <v>2.443981128550075</v>
      </c>
      <c r="F2020" s="5" t="str">
        <f>INDEX(Ingredients!J$1:J$265,(MATCH(InterventionCosts!B2020,Ingredients!A$1:A$265,0)))</f>
        <v>per minute</v>
      </c>
      <c r="G2020">
        <f>IF(B2020="","",INDEX(Ingredients!$E$1:$E$238,(MATCH(InterventionCosts!B2020,Ingredients!A$1:A$238,0))))</f>
        <v>2024</v>
      </c>
      <c r="H2020" t="str">
        <f>INDEX(Ingredients!$F$1:$F$318,(MATCH(InterventionCosts!B2020,Ingredients!A$1:A$318,0)))</f>
        <v xml:space="preserve">April 2024 Salary scale </v>
      </c>
      <c r="I2020">
        <f>1*7.54*(workminutespa/12/5102)</f>
        <v>13.182438259506077</v>
      </c>
      <c r="J2020" t="s">
        <v>460</v>
      </c>
      <c r="K2020" s="85">
        <f t="shared" si="64"/>
        <v>32.217630334509344</v>
      </c>
      <c r="L2020" s="85" t="s">
        <v>1098</v>
      </c>
    </row>
    <row r="2021" spans="1:14">
      <c r="A2021" t="s">
        <v>1445</v>
      </c>
      <c r="B2021" t="s">
        <v>51</v>
      </c>
      <c r="C2021" t="s">
        <v>460</v>
      </c>
      <c r="D2021" t="s">
        <v>48</v>
      </c>
      <c r="E2021" s="70">
        <f>IF(B2021="","",INDEX(Ingredients!$I$1:$I$5013,(MATCH(InterventionCosts!B2021,Ingredients!$A$1:$A$5013,0))))</f>
        <v>4100.2266666666665</v>
      </c>
      <c r="F2021" s="5" t="str">
        <f>INDEX(Ingredients!J$1:J$265,(MATCH(InterventionCosts!B2021,Ingredients!A$1:A$265,0)))</f>
        <v>per month</v>
      </c>
      <c r="G2021">
        <f>IF(B2021="","",INDEX(Ingredients!$E$1:$E$238,(MATCH(InterventionCosts!B2021,Ingredients!A$1:A$238,0))))</f>
        <v>2024</v>
      </c>
      <c r="H2021" t="str">
        <f>INDEX(Ingredients!$F$1:$F$318,(MATCH(InterventionCosts!B2021,Ingredients!A$1:A$318,0)))</f>
        <v>https://www.gov.za/news/media-statements/government-activities/minister-thulas-nxesi-announces-national-minimum-wage</v>
      </c>
      <c r="I2021">
        <f>1*7.54*(1/5102)</f>
        <v>1.4778518228145826E-3</v>
      </c>
      <c r="J2021" t="s">
        <v>460</v>
      </c>
      <c r="K2021" s="85">
        <f t="shared" si="64"/>
        <v>6.0595274532862931</v>
      </c>
      <c r="L2021" s="85" t="s">
        <v>1098</v>
      </c>
    </row>
    <row r="2022" spans="1:14">
      <c r="A2022" t="s">
        <v>1445</v>
      </c>
      <c r="B2022" t="s">
        <v>54</v>
      </c>
      <c r="C2022" t="s">
        <v>460</v>
      </c>
      <c r="D2022" t="s">
        <v>48</v>
      </c>
      <c r="E2022" s="70">
        <f>IF(B2022="","",INDEX(Ingredients!$I$1:$I$5013,(MATCH(InterventionCosts!B2022,Ingredients!$A$1:$A$5013,0))))</f>
        <v>1.2444366591928251</v>
      </c>
      <c r="F2022" s="5" t="str">
        <f>INDEX(Ingredients!J$1:J$265,(MATCH(InterventionCosts!B2022,Ingredients!A$1:A$265,0)))</f>
        <v>per minute</v>
      </c>
      <c r="G2022">
        <f>IF(B2022="","",INDEX(Ingredients!$E$1:$E$238,(MATCH(InterventionCosts!B2022,Ingredients!A$1:A$238,0))))</f>
        <v>2024</v>
      </c>
      <c r="H2022" t="str">
        <f>INDEX(Ingredients!$F$1:$F$318,(MATCH(InterventionCosts!B2022,Ingredients!A$1:A$318,0)))</f>
        <v xml:space="preserve">April 2024 Salary scale </v>
      </c>
      <c r="I2022">
        <f>8*7.54*(workminutespa/12/5102)</f>
        <v>105.45950607604861</v>
      </c>
      <c r="J2022" t="s">
        <v>460</v>
      </c>
      <c r="K2022" s="85">
        <f t="shared" si="64"/>
        <v>131.23767542140337</v>
      </c>
      <c r="L2022" s="85" t="s">
        <v>1099</v>
      </c>
    </row>
    <row r="2023" spans="1:14">
      <c r="A2023" t="s">
        <v>1445</v>
      </c>
      <c r="B2023" t="s">
        <v>354</v>
      </c>
      <c r="C2023" t="s">
        <v>460</v>
      </c>
      <c r="D2023" t="s">
        <v>48</v>
      </c>
      <c r="E2023" s="70">
        <f>IF(B2023="","",INDEX(Ingredients!$I$1:$I$5013,(MATCH(InterventionCosts!B2023,Ingredients!$A$1:$A$5013,0))))</f>
        <v>4.8996605630293981</v>
      </c>
      <c r="F2023" s="5" t="str">
        <f>INDEX(Ingredients!J$1:J$265,(MATCH(InterventionCosts!B2023,Ingredients!A$1:A$265,0)))</f>
        <v>per minute</v>
      </c>
      <c r="G2023">
        <f>IF(B2023="","",INDEX(Ingredients!$E$1:$E$238,(MATCH(InterventionCosts!B2023,Ingredients!A$1:A$238,0))))</f>
        <v>2024</v>
      </c>
      <c r="H2023" t="str">
        <f>INDEX(Ingredients!$F$1:$F$318,(MATCH(InterventionCosts!B2023,Ingredients!A$1:A$318,0)))</f>
        <v xml:space="preserve">April 2024 Salary scale </v>
      </c>
      <c r="I2023">
        <f>16*7.54*(workminutespa/12/5102)</f>
        <v>210.91901215209722</v>
      </c>
      <c r="J2023" t="s">
        <v>460</v>
      </c>
      <c r="K2023" s="85">
        <f t="shared" si="64"/>
        <v>1033.4315658347491</v>
      </c>
      <c r="L2023" s="85" t="s">
        <v>1100</v>
      </c>
    </row>
    <row r="2024" spans="1:14">
      <c r="A2024" t="s">
        <v>1445</v>
      </c>
      <c r="B2024" t="s">
        <v>286</v>
      </c>
      <c r="C2024" t="s">
        <v>460</v>
      </c>
      <c r="D2024" t="s">
        <v>48</v>
      </c>
      <c r="E2024" s="70">
        <f>IF(B2024="","",INDEX(Ingredients!$I$1:$I$5013,(MATCH(InterventionCosts!B2024,Ingredients!$A$1:$A$5013,0))))</f>
        <v>3.2392279521674139</v>
      </c>
      <c r="F2024" s="5" t="str">
        <f>INDEX(Ingredients!J$1:J$265,(MATCH(InterventionCosts!B2024,Ingredients!A$1:A$265,0)))</f>
        <v>per minute</v>
      </c>
      <c r="G2024">
        <f>IF(B2024="","",INDEX(Ingredients!$E$1:$E$238,(MATCH(InterventionCosts!B2024,Ingredients!A$1:A$238,0))))</f>
        <v>2024</v>
      </c>
      <c r="H2024" t="str">
        <f>INDEX(Ingredients!$F$1:$F$318,(MATCH(InterventionCosts!B2024,Ingredients!A$1:A$318,0)))</f>
        <v xml:space="preserve">April 2024 Salary scale </v>
      </c>
      <c r="I2024">
        <f>4*7.54*(workminutespa/12/5102)</f>
        <v>52.729753038024306</v>
      </c>
      <c r="J2024" t="s">
        <v>460</v>
      </c>
      <c r="K2024" s="85">
        <f t="shared" si="64"/>
        <v>170.80368995165296</v>
      </c>
      <c r="L2024" s="85" t="s">
        <v>1097</v>
      </c>
    </row>
    <row r="2025" spans="1:14">
      <c r="A2025" t="s">
        <v>1445</v>
      </c>
      <c r="B2025" t="s">
        <v>1072</v>
      </c>
      <c r="C2025" t="s">
        <v>460</v>
      </c>
      <c r="D2025" t="s">
        <v>48</v>
      </c>
      <c r="E2025" s="70">
        <f>IF(B2025="","",INDEX(Ingredients!$I$1:$I$5013,(MATCH(InterventionCosts!B2025,Ingredients!$A$1:$A$5013,0))))</f>
        <v>2.5530496387643251</v>
      </c>
      <c r="F2025" s="5" t="str">
        <f>INDEX(Ingredients!J$1:J$265,(MATCH(InterventionCosts!B2025,Ingredients!A$1:A$265,0)))</f>
        <v>per minute</v>
      </c>
      <c r="G2025">
        <f>IF(B2025="","",INDEX(Ingredients!$E$1:$E$238,(MATCH(InterventionCosts!B2025,Ingredients!A$1:A$238,0))))</f>
        <v>2024</v>
      </c>
      <c r="H2025" t="str">
        <f>INDEX(Ingredients!$F$1:$F$318,(MATCH(InterventionCosts!B2025,Ingredients!A$1:A$318,0)))</f>
        <v xml:space="preserve">April 2024 Salary scale </v>
      </c>
      <c r="I2025">
        <f>1*7.54*(workminutespa/12/5102)</f>
        <v>13.182438259506077</v>
      </c>
      <c r="J2025" t="s">
        <v>460</v>
      </c>
      <c r="K2025" s="85">
        <f t="shared" si="64"/>
        <v>33.655419236465008</v>
      </c>
      <c r="L2025" s="85" t="s">
        <v>1098</v>
      </c>
    </row>
    <row r="2026" spans="1:14">
      <c r="A2026" t="s">
        <v>1445</v>
      </c>
      <c r="B2026" t="s">
        <v>1074</v>
      </c>
      <c r="C2026" t="s">
        <v>460</v>
      </c>
      <c r="D2026" t="s">
        <v>48</v>
      </c>
      <c r="E2026" s="70">
        <f>IF(B2026="","",INDEX(Ingredients!$I$1:$I$5013,(MATCH(InterventionCosts!B2026,Ingredients!$A$1:$A$5013,0))))</f>
        <v>2076.8733333333334</v>
      </c>
      <c r="F2026" s="5" t="str">
        <f>INDEX(Ingredients!J$1:J$265,(MATCH(InterventionCosts!B2026,Ingredients!A$1:A$265,0)))</f>
        <v>per month</v>
      </c>
      <c r="G2026">
        <f>IF(B2026="","",INDEX(Ingredients!$E$1:$E$238,(MATCH(InterventionCosts!B2026,Ingredients!A$1:A$238,0))))</f>
        <v>2024</v>
      </c>
      <c r="H2026" t="str">
        <f>INDEX(Ingredients!$F$1:$F$318,(MATCH(InterventionCosts!B2026,Ingredients!A$1:A$318,0)))</f>
        <v>https://www.gov.za/speeches/minister-thulas-nxesi-hikes-minimum-wage-farmworkers-and-domestic-workers-22-feb-2023-0000</v>
      </c>
      <c r="I2026">
        <f>13*7.54*(1/5102)</f>
        <v>1.921207369658957E-2</v>
      </c>
      <c r="J2026" t="s">
        <v>460</v>
      </c>
      <c r="K2026" s="85">
        <f t="shared" si="64"/>
        <v>39.901043538481638</v>
      </c>
      <c r="L2026" s="85" t="s">
        <v>1101</v>
      </c>
    </row>
    <row r="2027" spans="1:14">
      <c r="A2027" t="s">
        <v>1445</v>
      </c>
      <c r="B2027" t="s">
        <v>60</v>
      </c>
      <c r="C2027" t="s">
        <v>460</v>
      </c>
      <c r="D2027" t="s">
        <v>48</v>
      </c>
      <c r="E2027" s="70">
        <f>IF(B2027="","",INDEX(Ingredients!$I$1:$I$5013,(MATCH(InterventionCosts!B2027,Ingredients!$A$1:$A$5013,0))))</f>
        <v>9.1192801756352768</v>
      </c>
      <c r="F2027" s="5" t="str">
        <f>INDEX(Ingredients!J$1:J$265,(MATCH(InterventionCosts!B2027,Ingredients!A$1:A$265,0)))</f>
        <v>per minute</v>
      </c>
      <c r="G2027">
        <f>IF(B2027="","",INDEX(Ingredients!$E$1:$E$238,(MATCH(InterventionCosts!B2027,Ingredients!A$1:A$238,0))))</f>
        <v>2024</v>
      </c>
      <c r="H2027" t="str">
        <f>INDEX(Ingredients!$F$1:$F$318,(MATCH(InterventionCosts!B2027,Ingredients!A$1:A$318,0)))</f>
        <v xml:space="preserve">April 2024 Salary scale </v>
      </c>
      <c r="I2027">
        <f>1*7.54*(workminutespa/12/5102)</f>
        <v>13.182438259506077</v>
      </c>
      <c r="J2027" t="s">
        <v>460</v>
      </c>
      <c r="K2027" s="85">
        <f t="shared" si="64"/>
        <v>120.21434788644977</v>
      </c>
      <c r="L2027" s="85" t="s">
        <v>1098</v>
      </c>
    </row>
    <row r="2028" spans="1:14">
      <c r="A2028" t="s">
        <v>1445</v>
      </c>
      <c r="B2028" t="s">
        <v>1077</v>
      </c>
      <c r="C2028" t="s">
        <v>460</v>
      </c>
      <c r="D2028" t="s">
        <v>48</v>
      </c>
      <c r="E2028" s="70">
        <f>IF(B2028="","",INDEX(Ingredients!$I$1:$I$5013,(MATCH(InterventionCosts!B2028,Ingredients!$A$1:$A$5013,0))))</f>
        <v>2.1347303967364222</v>
      </c>
      <c r="F2028" s="5" t="str">
        <f>INDEX(Ingredients!J$1:J$265,(MATCH(InterventionCosts!B2028,Ingredients!A$1:A$265,0)))</f>
        <v>per minute</v>
      </c>
      <c r="G2028">
        <f>IF(B2028="","",INDEX(Ingredients!$E$1:$E$238,(MATCH(InterventionCosts!B2028,Ingredients!A$1:A$238,0))))</f>
        <v>2024</v>
      </c>
      <c r="H2028" t="str">
        <f>INDEX(Ingredients!$F$1:$F$318,(MATCH(InterventionCosts!B2028,Ingredients!A$1:A$318,0)))</f>
        <v xml:space="preserve">April 2024 Salary scale </v>
      </c>
      <c r="I2028">
        <f>4*7.54*(workminutespa/12/5102)</f>
        <v>52.729753038024306</v>
      </c>
      <c r="J2028" t="s">
        <v>460</v>
      </c>
      <c r="K2028" s="85">
        <f t="shared" si="64"/>
        <v>112.56380662267519</v>
      </c>
      <c r="L2028" s="85" t="s">
        <v>1097</v>
      </c>
    </row>
    <row r="2029" spans="1:14">
      <c r="A2029" t="s">
        <v>1445</v>
      </c>
      <c r="B2029" t="s">
        <v>1078</v>
      </c>
      <c r="C2029" t="s">
        <v>460</v>
      </c>
      <c r="D2029" t="s">
        <v>48</v>
      </c>
      <c r="E2029" s="70">
        <f>IF(B2029="","",INDEX(Ingredients!$I$1:$I$5013,(MATCH(InterventionCosts!B2029,Ingredients!$A$1:$A$5013,0))))</f>
        <v>13.503224277528648</v>
      </c>
      <c r="F2029" s="5" t="str">
        <f>INDEX(Ingredients!J$1:J$265,(MATCH(InterventionCosts!B2029,Ingredients!A$1:A$265,0)))</f>
        <v>per minute</v>
      </c>
      <c r="G2029">
        <f>IF(B2029="","",INDEX(Ingredients!$E$1:$E$238,(MATCH(InterventionCosts!B2029,Ingredients!A$1:A$238,0))))</f>
        <v>2024</v>
      </c>
      <c r="H2029" t="str">
        <f>INDEX(Ingredients!$F$1:$F$318,(MATCH(InterventionCosts!B2029,Ingredients!A$1:A$318,0)))</f>
        <v xml:space="preserve">April 2024 Salary scale </v>
      </c>
      <c r="I2029">
        <f>2*7.54*(workminutespa/12/5102)</f>
        <v>26.364876519012153</v>
      </c>
      <c r="J2029" t="s">
        <v>460</v>
      </c>
      <c r="K2029" s="85">
        <f t="shared" si="64"/>
        <v>356.01084068556992</v>
      </c>
      <c r="L2029" s="85" t="s">
        <v>1102</v>
      </c>
    </row>
    <row r="2030" spans="1:14">
      <c r="A2030" t="s">
        <v>1445</v>
      </c>
      <c r="B2030" t="s">
        <v>477</v>
      </c>
      <c r="C2030" t="s">
        <v>406</v>
      </c>
      <c r="D2030" t="s">
        <v>81</v>
      </c>
      <c r="E2030" s="70">
        <f>IF(B2030="","",INDEX(Ingredients!$I$1:$I$5013,(MATCH(InterventionCosts!B2030,Ingredients!$A$1:$A$5013,0))))</f>
        <v>88.256346376062865</v>
      </c>
      <c r="F2030" s="5" t="str">
        <f>INDEX(Ingredients!J$1:J$265,(MATCH(InterventionCosts!B2030,Ingredients!A$1:A$265,0)))</f>
        <v>per visit</v>
      </c>
      <c r="G2030">
        <f>IF(B2030="","",INDEX(Ingredients!$E$1:$E$238,(MATCH(InterventionCosts!B2030,Ingredients!A$1:A$238,0))))</f>
        <v>2019</v>
      </c>
      <c r="H2030" t="str">
        <f>INDEX(Ingredients!$F$1:$F$318,(MATCH(InterventionCosts!B2030,Ingredients!A$1:A$318,0)))</f>
        <v xml:space="preserve">Long L, Girdwood S, Govender K, Meyer-Rath G, Miot J: Cost and outcomes of routine HIV care and treatment: A comparison of public and private delivery models covering low-income earners in South Africa. Preprint available under DOI: https://doi.org/10.21203/rs.3.rs-960517/v1    </v>
      </c>
      <c r="I2030">
        <f>PPPvisitperpt</f>
        <v>7.54</v>
      </c>
      <c r="J2030" t="s">
        <v>485</v>
      </c>
      <c r="K2030" s="85">
        <f t="shared" si="64"/>
        <v>665.45285167551401</v>
      </c>
    </row>
    <row r="2031" spans="1:14" s="89" customFormat="1">
      <c r="A2031" s="4" t="s">
        <v>1445</v>
      </c>
      <c r="F2031" s="89" t="s">
        <v>1164</v>
      </c>
      <c r="K2031" s="90"/>
      <c r="L2031" s="90">
        <f>SUM(K2004:K2030)</f>
        <v>5654.1132724920462</v>
      </c>
      <c r="M2031" s="92"/>
      <c r="N2031" s="4"/>
    </row>
    <row r="2032" spans="1:14" s="89" customFormat="1">
      <c r="A2032" s="4" t="s">
        <v>1445</v>
      </c>
      <c r="F2032" s="89" t="s">
        <v>117</v>
      </c>
      <c r="K2032" s="90"/>
      <c r="L2032" s="90" t="s">
        <v>937</v>
      </c>
    </row>
    <row r="2034" spans="1:12">
      <c r="A2034" t="s">
        <v>1446</v>
      </c>
      <c r="B2034" t="s">
        <v>867</v>
      </c>
      <c r="C2034" t="s">
        <v>459</v>
      </c>
      <c r="D2034" t="s">
        <v>70</v>
      </c>
      <c r="E2034" s="70">
        <f>IF(B2034="","",INDEX(Ingredients!$I$1:$I$5013,(MATCH(InterventionCosts!B2034,Ingredients!$A$1:$A$5013,0))))</f>
        <v>10.377400075847209</v>
      </c>
      <c r="F2034" s="5" t="str">
        <f>INDEX(Ingredients!J$1:J$265,(MATCH(InterventionCosts!B2034,Ingredients!A$1:A$265,0)))</f>
        <v>per day</v>
      </c>
      <c r="G2034">
        <f>IF(B2034="","",INDEX(Ingredients!$E$1:$E$238,(MATCH(InterventionCosts!B2034,Ingredients!A$1:A$238,0))))</f>
        <v>2024</v>
      </c>
      <c r="H2034" t="str">
        <f>INDEX(Ingredients!$F$1:$F$318,(MATCH(InterventionCosts!B2034,Ingredients!A$1:A$318,0)))</f>
        <v>Master Procurement Circular May 2024</v>
      </c>
      <c r="I2034">
        <f>12*30*'ART kids distribution'!$C$13</f>
        <v>283.63636363636363</v>
      </c>
      <c r="J2034" t="s">
        <v>1183</v>
      </c>
      <c r="K2034" s="85">
        <f t="shared" ref="K2034:K2059" si="67">I2034*E2034</f>
        <v>2943.4080215130266</v>
      </c>
    </row>
    <row r="2035" spans="1:12">
      <c r="A2035" t="s">
        <v>1446</v>
      </c>
      <c r="B2035" t="s">
        <v>892</v>
      </c>
      <c r="C2035" t="s">
        <v>459</v>
      </c>
      <c r="D2035" t="s">
        <v>70</v>
      </c>
      <c r="E2035" s="70">
        <f>IF(B2035="","",INDEX(Ingredients!$I$1:$I$5013,(MATCH(InterventionCosts!B2035,Ingredients!$A$1:$A$5013,0))))</f>
        <v>14.161400075847208</v>
      </c>
      <c r="F2035" s="5" t="str">
        <f>INDEX(Ingredients!J$1:J$265,(MATCH(InterventionCosts!B2035,Ingredients!A$1:A$265,0)))</f>
        <v>per day</v>
      </c>
      <c r="G2035">
        <f>IF(B2035="","",INDEX(Ingredients!$E$1:$E$238,(MATCH(InterventionCosts!B2035,Ingredients!A$1:A$238,0))))</f>
        <v>2024</v>
      </c>
      <c r="H2035" t="str">
        <f>INDEX(Ingredients!$F$1:$F$318,(MATCH(InterventionCosts!B2035,Ingredients!A$1:A$318,0)))</f>
        <v>Master Procurement Circular May 2024</v>
      </c>
      <c r="I2035">
        <f>12*30*'ART kids distribution'!$F$13</f>
        <v>76.36363636363636</v>
      </c>
      <c r="J2035" t="s">
        <v>1183</v>
      </c>
      <c r="K2035" s="85">
        <f t="shared" si="67"/>
        <v>1081.4160057919685</v>
      </c>
    </row>
    <row r="2036" spans="1:12">
      <c r="A2036" t="s">
        <v>1446</v>
      </c>
      <c r="B2036" s="273" t="s">
        <v>1147</v>
      </c>
      <c r="C2036" t="s">
        <v>1151</v>
      </c>
      <c r="D2036" t="s">
        <v>67</v>
      </c>
      <c r="E2036" s="70">
        <f>IF(B2036="","",INDEX(Ingredients!$I$1:$I$5013,(MATCH(InterventionCosts!B2036,Ingredients!$A$1:$A$5013,0))))</f>
        <v>96609.835920812693</v>
      </c>
      <c r="F2036" s="5" t="str">
        <f>INDEX(Ingredients!J$1:J$265,(MATCH(InterventionCosts!B2036,Ingredients!A$1:A$265,0)))</f>
        <v>per machine</v>
      </c>
      <c r="G2036">
        <f>IF(B2036="","",INDEX(Ingredients!$E$1:$E$238,(MATCH(InterventionCosts!B2036,Ingredients!A$1:A$238,0))))</f>
        <v>2024</v>
      </c>
      <c r="H2036" t="str">
        <f>INDEX(Ingredients!$F$1:$F$318,(MATCH(InterventionCosts!B2036,Ingredients!A$1:A$318,0)))</f>
        <v>https://www.stoptb.org/sites/default/files/gdf_diagnostics_medical_devices_other_health_products_catalog_0.pdf</v>
      </c>
      <c r="I2036" s="274">
        <f>1/(2300*0.6)*2</f>
        <v>1.4492753623188406E-3</v>
      </c>
      <c r="J2036" s="274" t="s">
        <v>1157</v>
      </c>
      <c r="K2036" s="85">
        <f t="shared" ref="K2036:K2045" si="68">E2036*I2036</f>
        <v>140.01425495769956</v>
      </c>
    </row>
    <row r="2037" spans="1:12">
      <c r="A2037" t="s">
        <v>1446</v>
      </c>
      <c r="B2037" s="273" t="s">
        <v>1148</v>
      </c>
      <c r="C2037" t="s">
        <v>1151</v>
      </c>
      <c r="D2037" t="s">
        <v>21</v>
      </c>
      <c r="E2037" s="70">
        <f>IF(B2037="","",INDEX(Ingredients!$I$1:$I$5013,(MATCH(InterventionCosts!B2037,Ingredients!$A$1:$A$5013,0))))</f>
        <v>319.75037364827585</v>
      </c>
      <c r="F2037" s="5" t="str">
        <f>INDEX(Ingredients!J$1:J$265,(MATCH(InterventionCosts!B2037,Ingredients!A$1:A$265,0)))</f>
        <v>per test</v>
      </c>
      <c r="G2037">
        <f>IF(B2037="","",INDEX(Ingredients!$E$1:$E$238,(MATCH(InterventionCosts!B2037,Ingredients!A$1:A$238,0))))</f>
        <v>2024</v>
      </c>
      <c r="H2037" t="str">
        <f>INDEX(Ingredients!$F$1:$F$318,(MATCH(InterventionCosts!B2037,Ingredients!A$1:A$318,0)))</f>
        <v>https://www.stoptb.org/sites/default/files/gdf_diagnostics_medical_devices_other_health_products_catalog_0.pdf</v>
      </c>
      <c r="I2037" s="274">
        <v>2</v>
      </c>
      <c r="J2037" t="s">
        <v>1151</v>
      </c>
      <c r="K2037" s="85">
        <f t="shared" si="68"/>
        <v>639.50074729655171</v>
      </c>
    </row>
    <row r="2038" spans="1:12">
      <c r="A2038" t="s">
        <v>1446</v>
      </c>
      <c r="B2038" s="273" t="s">
        <v>1149</v>
      </c>
      <c r="C2038" t="s">
        <v>1151</v>
      </c>
      <c r="D2038" t="s">
        <v>81</v>
      </c>
      <c r="E2038" s="70">
        <f>IF(B2038="","",INDEX(Ingredients!$I$1:$I$5013,(MATCH(InterventionCosts!B2038,Ingredients!$A$1:$A$5013,0))))</f>
        <v>34756.611222699823</v>
      </c>
      <c r="F2038" s="5" t="str">
        <f>INDEX(Ingredients!J$1:J$265,(MATCH(InterventionCosts!B2038,Ingredients!A$1:A$265,0)))</f>
        <v>per setup</v>
      </c>
      <c r="G2038">
        <f>IF(B2038="","",INDEX(Ingredients!$E$1:$E$238,(MATCH(InterventionCosts!B2038,Ingredients!A$1:A$238,0))))</f>
        <v>2024</v>
      </c>
      <c r="H2038" t="str">
        <f>INDEX(Ingredients!$F$1:$F$318,(MATCH(InterventionCosts!B2038,Ingredients!A$1:A$318,0)))</f>
        <v>https://www.stoptb.org/sites/default/files/gdf_diagnostics_medical_devices_other_health_products_catalog_0.pdf</v>
      </c>
      <c r="I2038" s="274">
        <f t="shared" ref="I2038:I2043" si="69">1/(2300*0.6)*2</f>
        <v>1.4492753623188406E-3</v>
      </c>
      <c r="J2038" s="274" t="s">
        <v>1157</v>
      </c>
      <c r="K2038" s="85">
        <f t="shared" si="68"/>
        <v>50.371900322753369</v>
      </c>
    </row>
    <row r="2039" spans="1:12">
      <c r="A2039" t="s">
        <v>1446</v>
      </c>
      <c r="B2039" s="273" t="s">
        <v>1156</v>
      </c>
      <c r="C2039" t="s">
        <v>1151</v>
      </c>
      <c r="D2039" t="s">
        <v>48</v>
      </c>
      <c r="E2039" s="70">
        <f>IF(B2039="","",INDEX(Ingredients!$I$1:$I$5013,(MATCH(InterventionCosts!B2039,Ingredients!$A$1:$A$5013,0))))</f>
        <v>5619.5309209141369</v>
      </c>
      <c r="F2039" s="5" t="str">
        <f>INDEX(Ingredients!J$1:J$265,(MATCH(InterventionCosts!B2039,Ingredients!A$1:A$265,0)))</f>
        <v>per setup</v>
      </c>
      <c r="G2039">
        <f>IF(B2039="","",INDEX(Ingredients!$E$1:$E$238,(MATCH(InterventionCosts!B2039,Ingredients!A$1:A$238,0))))</f>
        <v>2019</v>
      </c>
      <c r="H2039" t="str">
        <f>INDEX(Ingredients!$F$1:$F$318,(MATCH(InterventionCosts!B2039,Ingredients!A$1:A$318,0)))</f>
        <v>Sarah Girdwood, https://www.ncbi.nlm.nih.gov/pmc/articles/PMC7700965/pdf/main.pdf</v>
      </c>
      <c r="I2039" s="274">
        <f t="shared" si="69"/>
        <v>1.4492753623188406E-3</v>
      </c>
      <c r="J2039" t="s">
        <v>1151</v>
      </c>
      <c r="K2039" s="85">
        <f t="shared" si="68"/>
        <v>8.1442477114697631</v>
      </c>
    </row>
    <row r="2040" spans="1:12">
      <c r="A2040" t="s">
        <v>1446</v>
      </c>
      <c r="B2040" s="273" t="s">
        <v>1150</v>
      </c>
      <c r="C2040" t="s">
        <v>1151</v>
      </c>
      <c r="D2040" t="s">
        <v>48</v>
      </c>
      <c r="E2040" s="70">
        <f>IF(B2040="","",INDEX(Ingredients!$I$1:$I$5013,(MATCH(InterventionCosts!B2040,Ingredients!$A$1:$A$5013,0))))</f>
        <v>5690.1603086312934</v>
      </c>
      <c r="F2040" s="5" t="str">
        <f>INDEX(Ingredients!J$1:J$265,(MATCH(InterventionCosts!B2040,Ingredients!A$1:A$265,0)))</f>
        <v>per setup</v>
      </c>
      <c r="G2040">
        <f>IF(B2040="","",INDEX(Ingredients!$E$1:$E$238,(MATCH(InterventionCosts!B2040,Ingredients!A$1:A$238,0))))</f>
        <v>2019</v>
      </c>
      <c r="H2040" t="str">
        <f>INDEX(Ingredients!$F$1:$F$318,(MATCH(InterventionCosts!B2040,Ingredients!A$1:A$318,0)))</f>
        <v>Sarah Girdwood, https://www.ncbi.nlm.nih.gov/pmc/articles/PMC7700965/pdf/main.pdf</v>
      </c>
      <c r="I2040" s="274">
        <f t="shared" si="69"/>
        <v>1.4492753623188406E-3</v>
      </c>
      <c r="J2040" t="s">
        <v>1151</v>
      </c>
      <c r="K2040" s="85">
        <f t="shared" si="68"/>
        <v>8.2466091429439032</v>
      </c>
    </row>
    <row r="2041" spans="1:12">
      <c r="A2041" t="s">
        <v>1446</v>
      </c>
      <c r="B2041" s="273" t="s">
        <v>1155</v>
      </c>
      <c r="C2041" t="s">
        <v>1151</v>
      </c>
      <c r="D2041" t="s">
        <v>67</v>
      </c>
      <c r="E2041" s="70">
        <f>IF(B2041="","",INDEX(Ingredients!$I$1:$I$5013,(MATCH(InterventionCosts!B2041,Ingredients!$A$1:$A$5013,0))))</f>
        <v>11917.103963912978</v>
      </c>
      <c r="F2041" s="5" t="str">
        <f>INDEX(Ingredients!J$1:J$265,(MATCH(InterventionCosts!B2041,Ingredients!A$1:A$265,0)))</f>
        <v>per setup</v>
      </c>
      <c r="G2041">
        <f>IF(B2041="","",INDEX(Ingredients!$E$1:$E$238,(MATCH(InterventionCosts!B2041,Ingredients!A$1:A$238,0))))</f>
        <v>2019</v>
      </c>
      <c r="H2041" t="str">
        <f>INDEX(Ingredients!$F$1:$F$318,(MATCH(InterventionCosts!B2041,Ingredients!A$1:A$318,0)))</f>
        <v>Sarah Girdwood, https://www.ncbi.nlm.nih.gov/pmc/articles/PMC7700965/pdf/main.pdf</v>
      </c>
      <c r="I2041" s="274">
        <f t="shared" si="69"/>
        <v>1.4492753623188406E-3</v>
      </c>
      <c r="J2041" t="s">
        <v>1151</v>
      </c>
      <c r="K2041" s="85">
        <f t="shared" si="68"/>
        <v>17.271165165091272</v>
      </c>
    </row>
    <row r="2042" spans="1:12">
      <c r="A2042" t="s">
        <v>1446</v>
      </c>
      <c r="B2042" s="273" t="s">
        <v>1154</v>
      </c>
      <c r="C2042" t="s">
        <v>1151</v>
      </c>
      <c r="D2042" t="s">
        <v>81</v>
      </c>
      <c r="E2042" s="70">
        <f>IF(B2042="","",INDEX(Ingredients!$I$1:$I$5013,(MATCH(InterventionCosts!B2042,Ingredients!$A$1:$A$5013,0))))</f>
        <v>8006.8042257540328</v>
      </c>
      <c r="F2042" s="5" t="str">
        <f>INDEX(Ingredients!J$1:J$265,(MATCH(InterventionCosts!B2042,Ingredients!A$1:A$265,0)))</f>
        <v>per setup</v>
      </c>
      <c r="G2042">
        <f>IF(B2042="","",INDEX(Ingredients!$E$1:$E$238,(MATCH(InterventionCosts!B2042,Ingredients!A$1:A$238,0))))</f>
        <v>2019</v>
      </c>
      <c r="H2042" t="str">
        <f>INDEX(Ingredients!$F$1:$F$318,(MATCH(InterventionCosts!B2042,Ingredients!A$1:A$318,0)))</f>
        <v>https://www.ncbi.nlm.nih.gov/pmc/articles/PMC7700965/pdf/main.pdf</v>
      </c>
      <c r="I2042" s="274">
        <f t="shared" si="69"/>
        <v>1.4492753623188406E-3</v>
      </c>
      <c r="J2042" t="s">
        <v>1151</v>
      </c>
      <c r="K2042" s="85">
        <f t="shared" si="68"/>
        <v>11.604064095295699</v>
      </c>
    </row>
    <row r="2043" spans="1:12">
      <c r="A2043" t="s">
        <v>1446</v>
      </c>
      <c r="B2043" s="273" t="s">
        <v>1153</v>
      </c>
      <c r="C2043" t="s">
        <v>1151</v>
      </c>
      <c r="D2043" t="s">
        <v>81</v>
      </c>
      <c r="E2043" s="70">
        <f>IF(B2043="","",INDEX(Ingredients!$I$1:$I$5013,(MATCH(InterventionCosts!B2043,Ingredients!$A$1:$A$5013,0))))</f>
        <v>22740.094503552911</v>
      </c>
      <c r="F2043" s="5" t="str">
        <f>INDEX(Ingredients!J$1:J$265,(MATCH(InterventionCosts!B2043,Ingredients!A$1:A$265,0)))</f>
        <v>per setup</v>
      </c>
      <c r="G2043">
        <f>IF(B2043="","",INDEX(Ingredients!$E$1:$E$238,(MATCH(InterventionCosts!B2043,Ingredients!A$1:A$238,0))))</f>
        <v>2019</v>
      </c>
      <c r="H2043" t="str">
        <f>INDEX(Ingredients!$F$1:$F$318,(MATCH(InterventionCosts!B2043,Ingredients!A$1:A$318,0)))</f>
        <v>https://www.ncbi.nlm.nih.gov/pmc/articles/PMC7700965/pdf/main.pdf</v>
      </c>
      <c r="I2043" s="274">
        <f t="shared" si="69"/>
        <v>1.4492753623188406E-3</v>
      </c>
      <c r="J2043" t="s">
        <v>1151</v>
      </c>
      <c r="K2043" s="85">
        <f t="shared" si="68"/>
        <v>32.95665870080132</v>
      </c>
    </row>
    <row r="2044" spans="1:12">
      <c r="A2044" t="s">
        <v>1446</v>
      </c>
      <c r="B2044" s="273" t="s">
        <v>1152</v>
      </c>
      <c r="C2044" t="s">
        <v>1151</v>
      </c>
      <c r="D2044" t="s">
        <v>21</v>
      </c>
      <c r="E2044" s="70">
        <f>IF(B2044="","",INDEX(Ingredients!$I$1:$I$5013,(MATCH(InterventionCosts!B2044,Ingredients!$A$1:$A$5013,0))))</f>
        <v>3.608519627003822</v>
      </c>
      <c r="F2044" s="5" t="str">
        <f>INDEX(Ingredients!J$1:J$265,(MATCH(InterventionCosts!B2044,Ingredients!A$1:A$265,0)))</f>
        <v>per test</v>
      </c>
      <c r="G2044">
        <f>IF(B2044="","",INDEX(Ingredients!$E$1:$E$238,(MATCH(InterventionCosts!B2044,Ingredients!A$1:A$238,0))))</f>
        <v>2019</v>
      </c>
      <c r="H2044" t="str">
        <f>INDEX(Ingredients!$F$1:$F$318,(MATCH(InterventionCosts!B2044,Ingredients!A$1:A$318,0)))</f>
        <v>Sarah Girdwood, https://www.ncbi.nlm.nih.gov/pmc/articles/PMC7700965/pdf/main.pdf</v>
      </c>
      <c r="I2044" s="274">
        <v>2</v>
      </c>
      <c r="J2044" t="s">
        <v>1151</v>
      </c>
      <c r="K2044" s="85">
        <f t="shared" si="68"/>
        <v>7.217039254007644</v>
      </c>
    </row>
    <row r="2045" spans="1:12">
      <c r="A2045" t="s">
        <v>1446</v>
      </c>
      <c r="B2045" s="273" t="s">
        <v>286</v>
      </c>
      <c r="C2045" t="s">
        <v>1151</v>
      </c>
      <c r="D2045" t="s">
        <v>48</v>
      </c>
      <c r="E2045" s="70">
        <f>IF(B2045="","",INDEX(Ingredients!$I$1:$I$5013,(MATCH(InterventionCosts!B2045,Ingredients!$A$1:$A$5013,0))))</f>
        <v>3.2392279521674139</v>
      </c>
      <c r="F2045" s="5" t="str">
        <f>INDEX(Ingredients!J$1:J$265,(MATCH(InterventionCosts!B2045,Ingredients!A$1:A$265,0)))</f>
        <v>per minute</v>
      </c>
      <c r="G2045">
        <f>IF(B2045="","",INDEX(Ingredients!$E$1:$E$238,(MATCH(InterventionCosts!B2045,Ingredients!A$1:A$238,0))))</f>
        <v>2024</v>
      </c>
      <c r="H2045" t="str">
        <f>INDEX(Ingredients!$F$1:$F$318,(MATCH(InterventionCosts!B2045,Ingredients!A$1:A$318,0)))</f>
        <v xml:space="preserve">April 2024 Salary scale </v>
      </c>
      <c r="I2045" s="274">
        <f>(5.6+5.4+17.1+5)*2</f>
        <v>66.2</v>
      </c>
      <c r="J2045" t="s">
        <v>1151</v>
      </c>
      <c r="K2045" s="85">
        <f t="shared" si="68"/>
        <v>214.4368904334828</v>
      </c>
    </row>
    <row r="2046" spans="1:12">
      <c r="A2046" t="s">
        <v>1446</v>
      </c>
      <c r="B2046" t="s">
        <v>458</v>
      </c>
      <c r="C2046" t="s">
        <v>459</v>
      </c>
      <c r="D2046" t="s">
        <v>75</v>
      </c>
      <c r="E2046" s="70">
        <f>IF(B2046="","",INDEX(Ingredients!$I$1:$I$5013,(MATCH(InterventionCosts!B2046,Ingredients!$A$1:$A$5013,0))))</f>
        <v>86.59037211495</v>
      </c>
      <c r="F2046" s="5" t="str">
        <f>INDEX(Ingredients!J$1:J$265,(MATCH(InterventionCosts!B2046,Ingredients!A$1:A$265,0)))</f>
        <v>per test</v>
      </c>
      <c r="G2046">
        <f>IF(B2046="","",INDEX(Ingredients!$E$1:$E$238,(MATCH(InterventionCosts!B2046,Ingredients!A$1:A$238,0))))</f>
        <v>2021</v>
      </c>
      <c r="H2046" t="str">
        <f>INDEX(Ingredients!$F$1:$F$318,(MATCH(InterventionCosts!B2046,Ingredients!A$1:A$318,0)))</f>
        <v>NHLS 2021 price-list</v>
      </c>
      <c r="I2046">
        <v>1</v>
      </c>
      <c r="J2046" t="s">
        <v>459</v>
      </c>
      <c r="K2046" s="85">
        <f t="shared" si="67"/>
        <v>86.59037211495</v>
      </c>
    </row>
    <row r="2047" spans="1:12">
      <c r="A2047" t="s">
        <v>1446</v>
      </c>
      <c r="B2047" t="s">
        <v>52</v>
      </c>
      <c r="C2047" t="s">
        <v>460</v>
      </c>
      <c r="D2047" t="s">
        <v>48</v>
      </c>
      <c r="E2047" s="70">
        <f>IF(B2047="","",INDEX(Ingredients!$I$1:$I$5013,(MATCH(InterventionCosts!B2047,Ingredients!$A$1:$A$5013,0))))</f>
        <v>1.8019482436472347</v>
      </c>
      <c r="F2047" s="5" t="str">
        <f>INDEX(Ingredients!J$1:J$265,(MATCH(InterventionCosts!B2047,Ingredients!A$1:A$265,0)))</f>
        <v>per minute</v>
      </c>
      <c r="G2047">
        <f>IF(B2047="","",INDEX(Ingredients!$E$1:$E$238,(MATCH(InterventionCosts!B2047,Ingredients!A$1:A$238,0))))</f>
        <v>2024</v>
      </c>
      <c r="H2047" t="str">
        <f>INDEX(Ingredients!$F$1:$F$318,(MATCH(InterventionCosts!B2047,Ingredients!A$1:A$318,0)))</f>
        <v xml:space="preserve">April 2024 Salary scale </v>
      </c>
      <c r="I2047">
        <f>4*7.54*(workminutespa/12/5102)</f>
        <v>52.729753038024306</v>
      </c>
      <c r="J2047" t="s">
        <v>460</v>
      </c>
      <c r="K2047" s="85">
        <f t="shared" si="67"/>
        <v>95.01628587482034</v>
      </c>
      <c r="L2047" s="85" t="s">
        <v>1097</v>
      </c>
    </row>
    <row r="2048" spans="1:12">
      <c r="A2048" t="s">
        <v>1446</v>
      </c>
      <c r="B2048" t="s">
        <v>55</v>
      </c>
      <c r="C2048" t="s">
        <v>460</v>
      </c>
      <c r="D2048" t="s">
        <v>48</v>
      </c>
      <c r="E2048" s="70">
        <f>IF(B2048="","",INDEX(Ingredients!$I$1:$I$5013,(MATCH(InterventionCosts!B2048,Ingredients!$A$1:$A$5013,0))))</f>
        <v>1.8549350710014947</v>
      </c>
      <c r="F2048" s="5" t="str">
        <f>INDEX(Ingredients!J$1:J$265,(MATCH(InterventionCosts!B2048,Ingredients!A$1:A$265,0)))</f>
        <v>per minute</v>
      </c>
      <c r="G2048">
        <f>IF(B2048="","",INDEX(Ingredients!$E$1:$E$238,(MATCH(InterventionCosts!B2048,Ingredients!A$1:A$238,0))))</f>
        <v>2024</v>
      </c>
      <c r="H2048" t="str">
        <f>INDEX(Ingredients!$F$1:$F$318,(MATCH(InterventionCosts!B2048,Ingredients!A$1:A$318,0)))</f>
        <v xml:space="preserve">April 2024 Salary scale </v>
      </c>
      <c r="I2048">
        <f>4*7.54*(workminutespa/12/5102)</f>
        <v>52.729753038024306</v>
      </c>
      <c r="J2048" t="s">
        <v>460</v>
      </c>
      <c r="K2048" s="85">
        <f t="shared" si="67"/>
        <v>97.810268195478898</v>
      </c>
      <c r="L2048" s="85" t="s">
        <v>1097</v>
      </c>
    </row>
    <row r="2049" spans="1:14">
      <c r="A2049" t="s">
        <v>1446</v>
      </c>
      <c r="B2049" t="s">
        <v>1070</v>
      </c>
      <c r="C2049" t="s">
        <v>460</v>
      </c>
      <c r="D2049" t="s">
        <v>48</v>
      </c>
      <c r="E2049" s="70">
        <f>IF(B2049="","",INDEX(Ingredients!$I$1:$I$5013,(MATCH(InterventionCosts!B2049,Ingredients!$A$1:$A$5013,0))))</f>
        <v>2.443981128550075</v>
      </c>
      <c r="F2049" s="5" t="str">
        <f>INDEX(Ingredients!J$1:J$265,(MATCH(InterventionCosts!B2049,Ingredients!A$1:A$265,0)))</f>
        <v>per minute</v>
      </c>
      <c r="G2049">
        <f>IF(B2049="","",INDEX(Ingredients!$E$1:$E$238,(MATCH(InterventionCosts!B2049,Ingredients!A$1:A$238,0))))</f>
        <v>2024</v>
      </c>
      <c r="H2049" t="str">
        <f>INDEX(Ingredients!$F$1:$F$318,(MATCH(InterventionCosts!B2049,Ingredients!A$1:A$318,0)))</f>
        <v xml:space="preserve">April 2024 Salary scale </v>
      </c>
      <c r="I2049">
        <f>1*7.54*(workminutespa/12/5102)</f>
        <v>13.182438259506077</v>
      </c>
      <c r="J2049" t="s">
        <v>460</v>
      </c>
      <c r="K2049" s="85">
        <f t="shared" si="67"/>
        <v>32.217630334509344</v>
      </c>
      <c r="L2049" s="85" t="s">
        <v>1098</v>
      </c>
    </row>
    <row r="2050" spans="1:14">
      <c r="A2050" t="s">
        <v>1446</v>
      </c>
      <c r="B2050" t="s">
        <v>51</v>
      </c>
      <c r="C2050" t="s">
        <v>460</v>
      </c>
      <c r="D2050" t="s">
        <v>48</v>
      </c>
      <c r="E2050" s="70">
        <f>IF(B2050="","",INDEX(Ingredients!$I$1:$I$5013,(MATCH(InterventionCosts!B2050,Ingredients!$A$1:$A$5013,0))))</f>
        <v>4100.2266666666665</v>
      </c>
      <c r="F2050" s="5" t="str">
        <f>INDEX(Ingredients!J$1:J$265,(MATCH(InterventionCosts!B2050,Ingredients!A$1:A$265,0)))</f>
        <v>per month</v>
      </c>
      <c r="G2050">
        <f>IF(B2050="","",INDEX(Ingredients!$E$1:$E$238,(MATCH(InterventionCosts!B2050,Ingredients!A$1:A$238,0))))</f>
        <v>2024</v>
      </c>
      <c r="H2050" t="str">
        <f>INDEX(Ingredients!$F$1:$F$318,(MATCH(InterventionCosts!B2050,Ingredients!A$1:A$318,0)))</f>
        <v>https://www.gov.za/news/media-statements/government-activities/minister-thulas-nxesi-announces-national-minimum-wage</v>
      </c>
      <c r="I2050">
        <f>1*7.54*(1/5102)</f>
        <v>1.4778518228145826E-3</v>
      </c>
      <c r="J2050" t="s">
        <v>460</v>
      </c>
      <c r="K2050" s="85">
        <f t="shared" si="67"/>
        <v>6.0595274532862931</v>
      </c>
      <c r="L2050" s="85" t="s">
        <v>1098</v>
      </c>
    </row>
    <row r="2051" spans="1:14">
      <c r="A2051" t="s">
        <v>1446</v>
      </c>
      <c r="B2051" t="s">
        <v>54</v>
      </c>
      <c r="C2051" t="s">
        <v>460</v>
      </c>
      <c r="D2051" t="s">
        <v>48</v>
      </c>
      <c r="E2051" s="70">
        <f>IF(B2051="","",INDEX(Ingredients!$I$1:$I$5013,(MATCH(InterventionCosts!B2051,Ingredients!$A$1:$A$5013,0))))</f>
        <v>1.2444366591928251</v>
      </c>
      <c r="F2051" s="5" t="str">
        <f>INDEX(Ingredients!J$1:J$265,(MATCH(InterventionCosts!B2051,Ingredients!A$1:A$265,0)))</f>
        <v>per minute</v>
      </c>
      <c r="G2051">
        <f>IF(B2051="","",INDEX(Ingredients!$E$1:$E$238,(MATCH(InterventionCosts!B2051,Ingredients!A$1:A$238,0))))</f>
        <v>2024</v>
      </c>
      <c r="H2051" t="str">
        <f>INDEX(Ingredients!$F$1:$F$318,(MATCH(InterventionCosts!B2051,Ingredients!A$1:A$318,0)))</f>
        <v xml:space="preserve">April 2024 Salary scale </v>
      </c>
      <c r="I2051">
        <f>8*7.54*(workminutespa/12/5102)</f>
        <v>105.45950607604861</v>
      </c>
      <c r="J2051" t="s">
        <v>460</v>
      </c>
      <c r="K2051" s="85">
        <f t="shared" si="67"/>
        <v>131.23767542140337</v>
      </c>
      <c r="L2051" s="85" t="s">
        <v>1099</v>
      </c>
    </row>
    <row r="2052" spans="1:14">
      <c r="A2052" t="s">
        <v>1446</v>
      </c>
      <c r="B2052" t="s">
        <v>354</v>
      </c>
      <c r="C2052" t="s">
        <v>460</v>
      </c>
      <c r="D2052" t="s">
        <v>48</v>
      </c>
      <c r="E2052" s="70">
        <f>IF(B2052="","",INDEX(Ingredients!$I$1:$I$5013,(MATCH(InterventionCosts!B2052,Ingredients!$A$1:$A$5013,0))))</f>
        <v>4.8996605630293981</v>
      </c>
      <c r="F2052" s="5" t="str">
        <f>INDEX(Ingredients!J$1:J$265,(MATCH(InterventionCosts!B2052,Ingredients!A$1:A$265,0)))</f>
        <v>per minute</v>
      </c>
      <c r="G2052">
        <f>IF(B2052="","",INDEX(Ingredients!$E$1:$E$238,(MATCH(InterventionCosts!B2052,Ingredients!A$1:A$238,0))))</f>
        <v>2024</v>
      </c>
      <c r="H2052" t="str">
        <f>INDEX(Ingredients!$F$1:$F$318,(MATCH(InterventionCosts!B2052,Ingredients!A$1:A$318,0)))</f>
        <v xml:space="preserve">April 2024 Salary scale </v>
      </c>
      <c r="I2052">
        <f>16*7.54*(workminutespa/12/5102)</f>
        <v>210.91901215209722</v>
      </c>
      <c r="J2052" t="s">
        <v>460</v>
      </c>
      <c r="K2052" s="85">
        <f t="shared" si="67"/>
        <v>1033.4315658347491</v>
      </c>
      <c r="L2052" s="85" t="s">
        <v>1100</v>
      </c>
    </row>
    <row r="2053" spans="1:14">
      <c r="A2053" t="s">
        <v>1446</v>
      </c>
      <c r="B2053" t="s">
        <v>286</v>
      </c>
      <c r="C2053" t="s">
        <v>460</v>
      </c>
      <c r="D2053" t="s">
        <v>48</v>
      </c>
      <c r="E2053" s="70">
        <f>IF(B2053="","",INDEX(Ingredients!$I$1:$I$5013,(MATCH(InterventionCosts!B2053,Ingredients!$A$1:$A$5013,0))))</f>
        <v>3.2392279521674139</v>
      </c>
      <c r="F2053" s="5" t="str">
        <f>INDEX(Ingredients!J$1:J$265,(MATCH(InterventionCosts!B2053,Ingredients!A$1:A$265,0)))</f>
        <v>per minute</v>
      </c>
      <c r="G2053">
        <f>IF(B2053="","",INDEX(Ingredients!$E$1:$E$238,(MATCH(InterventionCosts!B2053,Ingredients!A$1:A$238,0))))</f>
        <v>2024</v>
      </c>
      <c r="H2053" t="str">
        <f>INDEX(Ingredients!$F$1:$F$318,(MATCH(InterventionCosts!B2053,Ingredients!A$1:A$318,0)))</f>
        <v xml:space="preserve">April 2024 Salary scale </v>
      </c>
      <c r="I2053">
        <f>4*7.54*(workminutespa/12/5102)</f>
        <v>52.729753038024306</v>
      </c>
      <c r="J2053" t="s">
        <v>460</v>
      </c>
      <c r="K2053" s="85">
        <f t="shared" si="67"/>
        <v>170.80368995165296</v>
      </c>
      <c r="L2053" s="85" t="s">
        <v>1097</v>
      </c>
    </row>
    <row r="2054" spans="1:14">
      <c r="A2054" t="s">
        <v>1446</v>
      </c>
      <c r="B2054" t="s">
        <v>1072</v>
      </c>
      <c r="C2054" t="s">
        <v>460</v>
      </c>
      <c r="D2054" t="s">
        <v>48</v>
      </c>
      <c r="E2054" s="70">
        <f>IF(B2054="","",INDEX(Ingredients!$I$1:$I$5013,(MATCH(InterventionCosts!B2054,Ingredients!$A$1:$A$5013,0))))</f>
        <v>2.5530496387643251</v>
      </c>
      <c r="F2054" s="5" t="str">
        <f>INDEX(Ingredients!J$1:J$265,(MATCH(InterventionCosts!B2054,Ingredients!A$1:A$265,0)))</f>
        <v>per minute</v>
      </c>
      <c r="G2054">
        <f>IF(B2054="","",INDEX(Ingredients!$E$1:$E$238,(MATCH(InterventionCosts!B2054,Ingredients!A$1:A$238,0))))</f>
        <v>2024</v>
      </c>
      <c r="H2054" t="str">
        <f>INDEX(Ingredients!$F$1:$F$318,(MATCH(InterventionCosts!B2054,Ingredients!A$1:A$318,0)))</f>
        <v xml:space="preserve">April 2024 Salary scale </v>
      </c>
      <c r="I2054">
        <f>1*7.54*(workminutespa/12/5102)</f>
        <v>13.182438259506077</v>
      </c>
      <c r="J2054" t="s">
        <v>460</v>
      </c>
      <c r="K2054" s="85">
        <f t="shared" si="67"/>
        <v>33.655419236465008</v>
      </c>
      <c r="L2054" s="85" t="s">
        <v>1098</v>
      </c>
    </row>
    <row r="2055" spans="1:14">
      <c r="A2055" t="s">
        <v>1446</v>
      </c>
      <c r="B2055" t="s">
        <v>1074</v>
      </c>
      <c r="C2055" t="s">
        <v>460</v>
      </c>
      <c r="D2055" t="s">
        <v>48</v>
      </c>
      <c r="E2055" s="70">
        <f>IF(B2055="","",INDEX(Ingredients!$I$1:$I$5013,(MATCH(InterventionCosts!B2055,Ingredients!$A$1:$A$5013,0))))</f>
        <v>2076.8733333333334</v>
      </c>
      <c r="F2055" s="5" t="str">
        <f>INDEX(Ingredients!J$1:J$265,(MATCH(InterventionCosts!B2055,Ingredients!A$1:A$265,0)))</f>
        <v>per month</v>
      </c>
      <c r="G2055">
        <f>IF(B2055="","",INDEX(Ingredients!$E$1:$E$238,(MATCH(InterventionCosts!B2055,Ingredients!A$1:A$238,0))))</f>
        <v>2024</v>
      </c>
      <c r="H2055" t="str">
        <f>INDEX(Ingredients!$F$1:$F$318,(MATCH(InterventionCosts!B2055,Ingredients!A$1:A$318,0)))</f>
        <v>https://www.gov.za/speeches/minister-thulas-nxesi-hikes-minimum-wage-farmworkers-and-domestic-workers-22-feb-2023-0000</v>
      </c>
      <c r="I2055">
        <f>13*7.54*(1/5102)</f>
        <v>1.921207369658957E-2</v>
      </c>
      <c r="J2055" t="s">
        <v>460</v>
      </c>
      <c r="K2055" s="85">
        <f t="shared" si="67"/>
        <v>39.901043538481638</v>
      </c>
      <c r="L2055" s="85" t="s">
        <v>1101</v>
      </c>
    </row>
    <row r="2056" spans="1:14">
      <c r="A2056" t="s">
        <v>1446</v>
      </c>
      <c r="B2056" t="s">
        <v>60</v>
      </c>
      <c r="C2056" t="s">
        <v>460</v>
      </c>
      <c r="D2056" t="s">
        <v>48</v>
      </c>
      <c r="E2056" s="70">
        <f>IF(B2056="","",INDEX(Ingredients!$I$1:$I$5013,(MATCH(InterventionCosts!B2056,Ingredients!$A$1:$A$5013,0))))</f>
        <v>9.1192801756352768</v>
      </c>
      <c r="F2056" s="5" t="str">
        <f>INDEX(Ingredients!J$1:J$265,(MATCH(InterventionCosts!B2056,Ingredients!A$1:A$265,0)))</f>
        <v>per minute</v>
      </c>
      <c r="G2056">
        <f>IF(B2056="","",INDEX(Ingredients!$E$1:$E$238,(MATCH(InterventionCosts!B2056,Ingredients!A$1:A$238,0))))</f>
        <v>2024</v>
      </c>
      <c r="H2056" t="str">
        <f>INDEX(Ingredients!$F$1:$F$318,(MATCH(InterventionCosts!B2056,Ingredients!A$1:A$318,0)))</f>
        <v xml:space="preserve">April 2024 Salary scale </v>
      </c>
      <c r="I2056">
        <f>1*7.54*(workminutespa/12/5102)</f>
        <v>13.182438259506077</v>
      </c>
      <c r="J2056" t="s">
        <v>460</v>
      </c>
      <c r="K2056" s="85">
        <f t="shared" si="67"/>
        <v>120.21434788644977</v>
      </c>
      <c r="L2056" s="85" t="s">
        <v>1098</v>
      </c>
    </row>
    <row r="2057" spans="1:14">
      <c r="A2057" t="s">
        <v>1446</v>
      </c>
      <c r="B2057" t="s">
        <v>1077</v>
      </c>
      <c r="C2057" t="s">
        <v>460</v>
      </c>
      <c r="D2057" t="s">
        <v>48</v>
      </c>
      <c r="E2057" s="70">
        <f>IF(B2057="","",INDEX(Ingredients!$I$1:$I$5013,(MATCH(InterventionCosts!B2057,Ingredients!$A$1:$A$5013,0))))</f>
        <v>2.1347303967364222</v>
      </c>
      <c r="F2057" s="5" t="str">
        <f>INDEX(Ingredients!J$1:J$265,(MATCH(InterventionCosts!B2057,Ingredients!A$1:A$265,0)))</f>
        <v>per minute</v>
      </c>
      <c r="G2057">
        <f>IF(B2057="","",INDEX(Ingredients!$E$1:$E$238,(MATCH(InterventionCosts!B2057,Ingredients!A$1:A$238,0))))</f>
        <v>2024</v>
      </c>
      <c r="H2057" t="str">
        <f>INDEX(Ingredients!$F$1:$F$318,(MATCH(InterventionCosts!B2057,Ingredients!A$1:A$318,0)))</f>
        <v xml:space="preserve">April 2024 Salary scale </v>
      </c>
      <c r="I2057">
        <f>4*7.54*(workminutespa/12/5102)</f>
        <v>52.729753038024306</v>
      </c>
      <c r="J2057" t="s">
        <v>460</v>
      </c>
      <c r="K2057" s="85">
        <f t="shared" si="67"/>
        <v>112.56380662267519</v>
      </c>
      <c r="L2057" s="85" t="s">
        <v>1097</v>
      </c>
    </row>
    <row r="2058" spans="1:14">
      <c r="A2058" t="s">
        <v>1446</v>
      </c>
      <c r="B2058" t="s">
        <v>1078</v>
      </c>
      <c r="C2058" t="s">
        <v>460</v>
      </c>
      <c r="D2058" t="s">
        <v>48</v>
      </c>
      <c r="E2058" s="70">
        <f>IF(B2058="","",INDEX(Ingredients!$I$1:$I$5013,(MATCH(InterventionCosts!B2058,Ingredients!$A$1:$A$5013,0))))</f>
        <v>13.503224277528648</v>
      </c>
      <c r="F2058" s="5" t="str">
        <f>INDEX(Ingredients!J$1:J$265,(MATCH(InterventionCosts!B2058,Ingredients!A$1:A$265,0)))</f>
        <v>per minute</v>
      </c>
      <c r="G2058">
        <f>IF(B2058="","",INDEX(Ingredients!$E$1:$E$238,(MATCH(InterventionCosts!B2058,Ingredients!A$1:A$238,0))))</f>
        <v>2024</v>
      </c>
      <c r="H2058" t="str">
        <f>INDEX(Ingredients!$F$1:$F$318,(MATCH(InterventionCosts!B2058,Ingredients!A$1:A$318,0)))</f>
        <v xml:space="preserve">April 2024 Salary scale </v>
      </c>
      <c r="I2058">
        <f>2*7.54*(workminutespa/12/5102)</f>
        <v>26.364876519012153</v>
      </c>
      <c r="J2058" t="s">
        <v>460</v>
      </c>
      <c r="K2058" s="85">
        <f t="shared" si="67"/>
        <v>356.01084068556992</v>
      </c>
      <c r="L2058" s="85" t="s">
        <v>1102</v>
      </c>
    </row>
    <row r="2059" spans="1:14">
      <c r="A2059" t="s">
        <v>1446</v>
      </c>
      <c r="B2059" t="s">
        <v>477</v>
      </c>
      <c r="C2059" t="s">
        <v>406</v>
      </c>
      <c r="D2059" t="s">
        <v>81</v>
      </c>
      <c r="E2059" s="70">
        <f>IF(B2059="","",INDEX(Ingredients!$I$1:$I$5013,(MATCH(InterventionCosts!B2059,Ingredients!$A$1:$A$5013,0))))</f>
        <v>88.256346376062865</v>
      </c>
      <c r="F2059" s="5" t="str">
        <f>INDEX(Ingredients!J$1:J$265,(MATCH(InterventionCosts!B2059,Ingredients!A$1:A$265,0)))</f>
        <v>per visit</v>
      </c>
      <c r="G2059">
        <f>IF(B2059="","",INDEX(Ingredients!$E$1:$E$238,(MATCH(InterventionCosts!B2059,Ingredients!A$1:A$238,0))))</f>
        <v>2019</v>
      </c>
      <c r="H2059" t="str">
        <f>INDEX(Ingredients!$F$1:$F$318,(MATCH(InterventionCosts!B2059,Ingredients!A$1:A$318,0)))</f>
        <v xml:space="preserve">Long L, Girdwood S, Govender K, Meyer-Rath G, Miot J: Cost and outcomes of routine HIV care and treatment: A comparison of public and private delivery models covering low-income earners in South Africa. Preprint available under DOI: https://doi.org/10.21203/rs.3.rs-960517/v1    </v>
      </c>
      <c r="I2059">
        <f>PPPvisitperpt</f>
        <v>7.54</v>
      </c>
      <c r="J2059" t="s">
        <v>485</v>
      </c>
      <c r="K2059" s="85">
        <f t="shared" si="67"/>
        <v>665.45285167551401</v>
      </c>
    </row>
    <row r="2060" spans="1:14" s="89" customFormat="1">
      <c r="A2060" s="4" t="s">
        <v>1446</v>
      </c>
      <c r="F2060" s="89" t="s">
        <v>1164</v>
      </c>
      <c r="K2060" s="90"/>
      <c r="L2060" s="90">
        <f>SUM(K2034:K2059)</f>
        <v>8135.5529292110969</v>
      </c>
      <c r="M2060" s="92"/>
      <c r="N2060" s="4"/>
    </row>
    <row r="2061" spans="1:14" s="89" customFormat="1">
      <c r="A2061" s="4" t="s">
        <v>1446</v>
      </c>
      <c r="F2061" s="89" t="s">
        <v>117</v>
      </c>
      <c r="K2061" s="90"/>
      <c r="L2061" s="90" t="s">
        <v>937</v>
      </c>
    </row>
    <row r="2063" spans="1:14">
      <c r="A2063" t="s">
        <v>1447</v>
      </c>
      <c r="B2063" t="s">
        <v>867</v>
      </c>
      <c r="C2063" t="s">
        <v>459</v>
      </c>
      <c r="D2063" t="s">
        <v>70</v>
      </c>
      <c r="E2063" s="70">
        <f>IF(B2063="","",INDEX(Ingredients!$I$1:$I$5013,(MATCH(InterventionCosts!B2063,Ingredients!$A$1:$A$5013,0))))</f>
        <v>10.377400075847209</v>
      </c>
      <c r="F2063" s="5" t="str">
        <f>INDEX(Ingredients!J$1:J$265,(MATCH(InterventionCosts!B2063,Ingredients!A$1:A$265,0)))</f>
        <v>per day</v>
      </c>
      <c r="G2063">
        <f>IF(B2063="","",INDEX(Ingredients!$E$1:$E$238,(MATCH(InterventionCosts!B2063,Ingredients!A$1:A$238,0))))</f>
        <v>2024</v>
      </c>
      <c r="H2063" t="str">
        <f>INDEX(Ingredients!$F$1:$F$318,(MATCH(InterventionCosts!B2063,Ingredients!A$1:A$318,0)))</f>
        <v>Master Procurement Circular May 2024</v>
      </c>
      <c r="I2063">
        <f>12*30*'ART kids distribution'!$C$13</f>
        <v>283.63636363636363</v>
      </c>
      <c r="J2063" t="s">
        <v>406</v>
      </c>
      <c r="K2063" s="85">
        <f t="shared" ref="K2063:K2088" si="70">I2063*E2063</f>
        <v>2943.4080215130266</v>
      </c>
    </row>
    <row r="2064" spans="1:14">
      <c r="A2064" t="s">
        <v>1447</v>
      </c>
      <c r="B2064" t="s">
        <v>892</v>
      </c>
      <c r="C2064" t="s">
        <v>459</v>
      </c>
      <c r="D2064" t="s">
        <v>70</v>
      </c>
      <c r="E2064" s="70">
        <f>IF(B2064="","",INDEX(Ingredients!$I$1:$I$5013,(MATCH(InterventionCosts!B2064,Ingredients!$A$1:$A$5013,0))))</f>
        <v>14.161400075847208</v>
      </c>
      <c r="F2064" s="5" t="str">
        <f>INDEX(Ingredients!J$1:J$265,(MATCH(InterventionCosts!B2064,Ingredients!A$1:A$265,0)))</f>
        <v>per day</v>
      </c>
      <c r="G2064">
        <f>IF(B2064="","",INDEX(Ingredients!$E$1:$E$238,(MATCH(InterventionCosts!B2064,Ingredients!A$1:A$238,0))))</f>
        <v>2024</v>
      </c>
      <c r="H2064" t="str">
        <f>INDEX(Ingredients!$F$1:$F$318,(MATCH(InterventionCosts!B2064,Ingredients!A$1:A$318,0)))</f>
        <v>Master Procurement Circular May 2024</v>
      </c>
      <c r="I2064">
        <f>12*30*'ART kids distribution'!$F$13</f>
        <v>76.36363636363636</v>
      </c>
      <c r="J2064" t="s">
        <v>406</v>
      </c>
      <c r="K2064" s="85">
        <f t="shared" si="70"/>
        <v>1081.4160057919685</v>
      </c>
    </row>
    <row r="2065" spans="1:12">
      <c r="A2065" t="s">
        <v>1447</v>
      </c>
      <c r="B2065" s="273" t="s">
        <v>1147</v>
      </c>
      <c r="C2065" t="s">
        <v>1151</v>
      </c>
      <c r="D2065" t="s">
        <v>67</v>
      </c>
      <c r="E2065" s="70">
        <f>IF(B2065="","",INDEX(Ingredients!$I$1:$I$5013,(MATCH(InterventionCosts!B2065,Ingredients!$A$1:$A$5013,0))))</f>
        <v>96609.835920812693</v>
      </c>
      <c r="F2065" s="5" t="str">
        <f>INDEX(Ingredients!J$1:J$265,(MATCH(InterventionCosts!B2065,Ingredients!A$1:A$265,0)))</f>
        <v>per machine</v>
      </c>
      <c r="G2065">
        <f>IF(B2065="","",INDEX(Ingredients!$E$1:$E$238,(MATCH(InterventionCosts!B2065,Ingredients!A$1:A$238,0))))</f>
        <v>2024</v>
      </c>
      <c r="H2065" t="str">
        <f>INDEX(Ingredients!$F$1:$F$318,(MATCH(InterventionCosts!B2065,Ingredients!A$1:A$318,0)))</f>
        <v>https://www.stoptb.org/sites/default/files/gdf_diagnostics_medical_devices_other_health_products_catalog_0.pdf</v>
      </c>
      <c r="I2065" s="274">
        <f>1/(2300*0.6)</f>
        <v>7.246376811594203E-4</v>
      </c>
      <c r="J2065" s="274" t="s">
        <v>1157</v>
      </c>
      <c r="K2065" s="85">
        <f t="shared" ref="K2065:K2074" si="71">E2065*I2065</f>
        <v>70.007127478849782</v>
      </c>
    </row>
    <row r="2066" spans="1:12">
      <c r="A2066" t="s">
        <v>1447</v>
      </c>
      <c r="B2066" s="273" t="s">
        <v>1148</v>
      </c>
      <c r="C2066" t="s">
        <v>1151</v>
      </c>
      <c r="D2066" t="s">
        <v>21</v>
      </c>
      <c r="E2066" s="70">
        <f>IF(B2066="","",INDEX(Ingredients!$I$1:$I$5013,(MATCH(InterventionCosts!B2066,Ingredients!$A$1:$A$5013,0))))</f>
        <v>319.75037364827585</v>
      </c>
      <c r="F2066" s="5" t="str">
        <f>INDEX(Ingredients!J$1:J$265,(MATCH(InterventionCosts!B2066,Ingredients!A$1:A$265,0)))</f>
        <v>per test</v>
      </c>
      <c r="G2066">
        <f>IF(B2066="","",INDEX(Ingredients!$E$1:$E$238,(MATCH(InterventionCosts!B2066,Ingredients!A$1:A$238,0))))</f>
        <v>2024</v>
      </c>
      <c r="H2066" t="str">
        <f>INDEX(Ingredients!$F$1:$F$318,(MATCH(InterventionCosts!B2066,Ingredients!A$1:A$318,0)))</f>
        <v>https://www.stoptb.org/sites/default/files/gdf_diagnostics_medical_devices_other_health_products_catalog_0.pdf</v>
      </c>
      <c r="I2066" s="274">
        <v>1</v>
      </c>
      <c r="J2066" t="s">
        <v>1151</v>
      </c>
      <c r="K2066" s="85">
        <f t="shared" si="71"/>
        <v>319.75037364827585</v>
      </c>
    </row>
    <row r="2067" spans="1:12">
      <c r="A2067" t="s">
        <v>1447</v>
      </c>
      <c r="B2067" s="273" t="s">
        <v>1149</v>
      </c>
      <c r="C2067" t="s">
        <v>1151</v>
      </c>
      <c r="D2067" t="s">
        <v>81</v>
      </c>
      <c r="E2067" s="70">
        <f>IF(B2067="","",INDEX(Ingredients!$I$1:$I$5013,(MATCH(InterventionCosts!B2067,Ingredients!$A$1:$A$5013,0))))</f>
        <v>34756.611222699823</v>
      </c>
      <c r="F2067" s="5" t="str">
        <f>INDEX(Ingredients!J$1:J$265,(MATCH(InterventionCosts!B2067,Ingredients!A$1:A$265,0)))</f>
        <v>per setup</v>
      </c>
      <c r="G2067">
        <f>IF(B2067="","",INDEX(Ingredients!$E$1:$E$238,(MATCH(InterventionCosts!B2067,Ingredients!A$1:A$238,0))))</f>
        <v>2024</v>
      </c>
      <c r="H2067" t="str">
        <f>INDEX(Ingredients!$F$1:$F$318,(MATCH(InterventionCosts!B2067,Ingredients!A$1:A$318,0)))</f>
        <v>https://www.stoptb.org/sites/default/files/gdf_diagnostics_medical_devices_other_health_products_catalog_0.pdf</v>
      </c>
      <c r="I2067" s="274">
        <f>1/(2300*0.6)</f>
        <v>7.246376811594203E-4</v>
      </c>
      <c r="J2067" s="274" t="s">
        <v>1157</v>
      </c>
      <c r="K2067" s="85">
        <f t="shared" si="71"/>
        <v>25.185950161376685</v>
      </c>
    </row>
    <row r="2068" spans="1:12">
      <c r="A2068" t="s">
        <v>1447</v>
      </c>
      <c r="B2068" s="273" t="s">
        <v>1156</v>
      </c>
      <c r="C2068" t="s">
        <v>1151</v>
      </c>
      <c r="D2068" t="s">
        <v>48</v>
      </c>
      <c r="E2068" s="70">
        <f>IF(B2068="","",INDEX(Ingredients!$I$1:$I$5013,(MATCH(InterventionCosts!B2068,Ingredients!$A$1:$A$5013,0))))</f>
        <v>5619.5309209141369</v>
      </c>
      <c r="F2068" s="5" t="str">
        <f>INDEX(Ingredients!J$1:J$265,(MATCH(InterventionCosts!B2068,Ingredients!A$1:A$265,0)))</f>
        <v>per setup</v>
      </c>
      <c r="G2068">
        <f>IF(B2068="","",INDEX(Ingredients!$E$1:$E$238,(MATCH(InterventionCosts!B2068,Ingredients!A$1:A$238,0))))</f>
        <v>2019</v>
      </c>
      <c r="H2068" t="str">
        <f>INDEX(Ingredients!$F$1:$F$318,(MATCH(InterventionCosts!B2068,Ingredients!A$1:A$318,0)))</f>
        <v>Sarah Girdwood, https://www.ncbi.nlm.nih.gov/pmc/articles/PMC7700965/pdf/main.pdf</v>
      </c>
      <c r="I2068" s="274">
        <f t="shared" ref="I2068:I2072" si="72">1/(2300*0.6)</f>
        <v>7.246376811594203E-4</v>
      </c>
      <c r="J2068" t="s">
        <v>1151</v>
      </c>
      <c r="K2068" s="85">
        <f t="shared" si="71"/>
        <v>4.0721238557348816</v>
      </c>
    </row>
    <row r="2069" spans="1:12">
      <c r="A2069" t="s">
        <v>1447</v>
      </c>
      <c r="B2069" s="273" t="s">
        <v>1150</v>
      </c>
      <c r="C2069" t="s">
        <v>1151</v>
      </c>
      <c r="D2069" t="s">
        <v>48</v>
      </c>
      <c r="E2069" s="70">
        <f>IF(B2069="","",INDEX(Ingredients!$I$1:$I$5013,(MATCH(InterventionCosts!B2069,Ingredients!$A$1:$A$5013,0))))</f>
        <v>5690.1603086312934</v>
      </c>
      <c r="F2069" s="5" t="str">
        <f>INDEX(Ingredients!J$1:J$265,(MATCH(InterventionCosts!B2069,Ingredients!A$1:A$265,0)))</f>
        <v>per setup</v>
      </c>
      <c r="G2069">
        <f>IF(B2069="","",INDEX(Ingredients!$E$1:$E$238,(MATCH(InterventionCosts!B2069,Ingredients!A$1:A$238,0))))</f>
        <v>2019</v>
      </c>
      <c r="H2069" t="str">
        <f>INDEX(Ingredients!$F$1:$F$318,(MATCH(InterventionCosts!B2069,Ingredients!A$1:A$318,0)))</f>
        <v>Sarah Girdwood, https://www.ncbi.nlm.nih.gov/pmc/articles/PMC7700965/pdf/main.pdf</v>
      </c>
      <c r="I2069" s="274">
        <f t="shared" si="72"/>
        <v>7.246376811594203E-4</v>
      </c>
      <c r="J2069" t="s">
        <v>1151</v>
      </c>
      <c r="K2069" s="85">
        <f t="shared" si="71"/>
        <v>4.1233045714719516</v>
      </c>
    </row>
    <row r="2070" spans="1:12">
      <c r="A2070" t="s">
        <v>1447</v>
      </c>
      <c r="B2070" s="273" t="s">
        <v>1155</v>
      </c>
      <c r="C2070" t="s">
        <v>1151</v>
      </c>
      <c r="D2070" t="s">
        <v>67</v>
      </c>
      <c r="E2070" s="70">
        <f>IF(B2070="","",INDEX(Ingredients!$I$1:$I$5013,(MATCH(InterventionCosts!B2070,Ingredients!$A$1:$A$5013,0))))</f>
        <v>11917.103963912978</v>
      </c>
      <c r="F2070" s="5" t="str">
        <f>INDEX(Ingredients!J$1:J$265,(MATCH(InterventionCosts!B2070,Ingredients!A$1:A$265,0)))</f>
        <v>per setup</v>
      </c>
      <c r="G2070">
        <f>IF(B2070="","",INDEX(Ingredients!$E$1:$E$238,(MATCH(InterventionCosts!B2070,Ingredients!A$1:A$238,0))))</f>
        <v>2019</v>
      </c>
      <c r="H2070" t="str">
        <f>INDEX(Ingredients!$F$1:$F$318,(MATCH(InterventionCosts!B2070,Ingredients!A$1:A$318,0)))</f>
        <v>Sarah Girdwood, https://www.ncbi.nlm.nih.gov/pmc/articles/PMC7700965/pdf/main.pdf</v>
      </c>
      <c r="I2070" s="274">
        <f t="shared" si="72"/>
        <v>7.246376811594203E-4</v>
      </c>
      <c r="J2070" t="s">
        <v>1151</v>
      </c>
      <c r="K2070" s="85">
        <f t="shared" si="71"/>
        <v>8.635582582545636</v>
      </c>
    </row>
    <row r="2071" spans="1:12">
      <c r="A2071" t="s">
        <v>1447</v>
      </c>
      <c r="B2071" s="273" t="s">
        <v>1154</v>
      </c>
      <c r="C2071" t="s">
        <v>1151</v>
      </c>
      <c r="D2071" t="s">
        <v>81</v>
      </c>
      <c r="E2071" s="70">
        <f>IF(B2071="","",INDEX(Ingredients!$I$1:$I$5013,(MATCH(InterventionCosts!B2071,Ingredients!$A$1:$A$5013,0))))</f>
        <v>8006.8042257540328</v>
      </c>
      <c r="F2071" s="5" t="str">
        <f>INDEX(Ingredients!J$1:J$265,(MATCH(InterventionCosts!B2071,Ingredients!A$1:A$265,0)))</f>
        <v>per setup</v>
      </c>
      <c r="G2071">
        <f>IF(B2071="","",INDEX(Ingredients!$E$1:$E$238,(MATCH(InterventionCosts!B2071,Ingredients!A$1:A$238,0))))</f>
        <v>2019</v>
      </c>
      <c r="H2071" t="str">
        <f>INDEX(Ingredients!$F$1:$F$318,(MATCH(InterventionCosts!B2071,Ingredients!A$1:A$318,0)))</f>
        <v>https://www.ncbi.nlm.nih.gov/pmc/articles/PMC7700965/pdf/main.pdf</v>
      </c>
      <c r="I2071" s="274">
        <f t="shared" si="72"/>
        <v>7.246376811594203E-4</v>
      </c>
      <c r="J2071" t="s">
        <v>1151</v>
      </c>
      <c r="K2071" s="85">
        <f t="shared" si="71"/>
        <v>5.8020320476478497</v>
      </c>
    </row>
    <row r="2072" spans="1:12">
      <c r="A2072" t="s">
        <v>1447</v>
      </c>
      <c r="B2072" s="273" t="s">
        <v>1153</v>
      </c>
      <c r="C2072" t="s">
        <v>1151</v>
      </c>
      <c r="D2072" t="s">
        <v>81</v>
      </c>
      <c r="E2072" s="70">
        <f>IF(B2072="","",INDEX(Ingredients!$I$1:$I$5013,(MATCH(InterventionCosts!B2072,Ingredients!$A$1:$A$5013,0))))</f>
        <v>22740.094503552911</v>
      </c>
      <c r="F2072" s="5" t="str">
        <f>INDEX(Ingredients!J$1:J$265,(MATCH(InterventionCosts!B2072,Ingredients!A$1:A$265,0)))</f>
        <v>per setup</v>
      </c>
      <c r="G2072">
        <f>IF(B2072="","",INDEX(Ingredients!$E$1:$E$238,(MATCH(InterventionCosts!B2072,Ingredients!A$1:A$238,0))))</f>
        <v>2019</v>
      </c>
      <c r="H2072" t="str">
        <f>INDEX(Ingredients!$F$1:$F$318,(MATCH(InterventionCosts!B2072,Ingredients!A$1:A$318,0)))</f>
        <v>https://www.ncbi.nlm.nih.gov/pmc/articles/PMC7700965/pdf/main.pdf</v>
      </c>
      <c r="I2072" s="274">
        <f t="shared" si="72"/>
        <v>7.246376811594203E-4</v>
      </c>
      <c r="J2072" t="s">
        <v>1151</v>
      </c>
      <c r="K2072" s="85">
        <f t="shared" si="71"/>
        <v>16.47832935040066</v>
      </c>
    </row>
    <row r="2073" spans="1:12">
      <c r="A2073" t="s">
        <v>1447</v>
      </c>
      <c r="B2073" s="273" t="s">
        <v>1152</v>
      </c>
      <c r="C2073" t="s">
        <v>1151</v>
      </c>
      <c r="D2073" t="s">
        <v>21</v>
      </c>
      <c r="E2073" s="70">
        <f>IF(B2073="","",INDEX(Ingredients!$I$1:$I$5013,(MATCH(InterventionCosts!B2073,Ingredients!$A$1:$A$5013,0))))</f>
        <v>3.608519627003822</v>
      </c>
      <c r="F2073" s="5" t="str">
        <f>INDEX(Ingredients!J$1:J$265,(MATCH(InterventionCosts!B2073,Ingredients!A$1:A$265,0)))</f>
        <v>per test</v>
      </c>
      <c r="G2073">
        <f>IF(B2073="","",INDEX(Ingredients!$E$1:$E$238,(MATCH(InterventionCosts!B2073,Ingredients!A$1:A$238,0))))</f>
        <v>2019</v>
      </c>
      <c r="H2073" t="str">
        <f>INDEX(Ingredients!$F$1:$F$318,(MATCH(InterventionCosts!B2073,Ingredients!A$1:A$318,0)))</f>
        <v>Sarah Girdwood, https://www.ncbi.nlm.nih.gov/pmc/articles/PMC7700965/pdf/main.pdf</v>
      </c>
      <c r="I2073" s="274">
        <v>1</v>
      </c>
      <c r="J2073" t="s">
        <v>1151</v>
      </c>
      <c r="K2073" s="85">
        <f t="shared" si="71"/>
        <v>3.608519627003822</v>
      </c>
    </row>
    <row r="2074" spans="1:12">
      <c r="A2074" t="s">
        <v>1447</v>
      </c>
      <c r="B2074" s="273" t="s">
        <v>286</v>
      </c>
      <c r="C2074" t="s">
        <v>1151</v>
      </c>
      <c r="D2074" t="s">
        <v>48</v>
      </c>
      <c r="E2074" s="70">
        <f>IF(B2074="","",INDEX(Ingredients!$I$1:$I$5013,(MATCH(InterventionCosts!B2074,Ingredients!$A$1:$A$5013,0))))</f>
        <v>3.2392279521674139</v>
      </c>
      <c r="F2074" s="5" t="str">
        <f>INDEX(Ingredients!J$1:J$265,(MATCH(InterventionCosts!B2074,Ingredients!A$1:A$265,0)))</f>
        <v>per minute</v>
      </c>
      <c r="G2074">
        <f>IF(B2074="","",INDEX(Ingredients!$E$1:$E$238,(MATCH(InterventionCosts!B2074,Ingredients!A$1:A$238,0))))</f>
        <v>2024</v>
      </c>
      <c r="H2074" t="str">
        <f>INDEX(Ingredients!$F$1:$F$318,(MATCH(InterventionCosts!B2074,Ingredients!A$1:A$318,0)))</f>
        <v xml:space="preserve">April 2024 Salary scale </v>
      </c>
      <c r="I2074" s="274">
        <f>5.6+5.4+17.1+5</f>
        <v>33.1</v>
      </c>
      <c r="J2074" t="s">
        <v>1151</v>
      </c>
      <c r="K2074" s="85">
        <f t="shared" si="71"/>
        <v>107.2184452167414</v>
      </c>
    </row>
    <row r="2075" spans="1:12">
      <c r="A2075" t="s">
        <v>1447</v>
      </c>
      <c r="B2075" t="s">
        <v>458</v>
      </c>
      <c r="C2075" t="s">
        <v>459</v>
      </c>
      <c r="D2075" t="s">
        <v>75</v>
      </c>
      <c r="E2075" s="70">
        <f>IF(B2075="","",INDEX(Ingredients!$I$1:$I$5013,(MATCH(InterventionCosts!B2075,Ingredients!$A$1:$A$5013,0))))</f>
        <v>86.59037211495</v>
      </c>
      <c r="F2075" s="5" t="str">
        <f>INDEX(Ingredients!J$1:J$265,(MATCH(InterventionCosts!B2075,Ingredients!A$1:A$265,0)))</f>
        <v>per test</v>
      </c>
      <c r="G2075">
        <f>IF(B2075="","",INDEX(Ingredients!$E$1:$E$238,(MATCH(InterventionCosts!B2075,Ingredients!A$1:A$238,0))))</f>
        <v>2021</v>
      </c>
      <c r="H2075" t="str">
        <f>INDEX(Ingredients!$F$1:$F$318,(MATCH(InterventionCosts!B2075,Ingredients!A$1:A$318,0)))</f>
        <v>NHLS 2021 price-list</v>
      </c>
      <c r="I2075">
        <v>1</v>
      </c>
      <c r="J2075" t="s">
        <v>459</v>
      </c>
      <c r="K2075" s="85">
        <f t="shared" si="70"/>
        <v>86.59037211495</v>
      </c>
    </row>
    <row r="2076" spans="1:12">
      <c r="A2076" t="s">
        <v>1447</v>
      </c>
      <c r="B2076" t="s">
        <v>52</v>
      </c>
      <c r="C2076" t="s">
        <v>460</v>
      </c>
      <c r="D2076" t="s">
        <v>48</v>
      </c>
      <c r="E2076" s="70">
        <f>IF(B2076="","",INDEX(Ingredients!$I$1:$I$5013,(MATCH(InterventionCosts!B2076,Ingredients!$A$1:$A$5013,0))))</f>
        <v>1.8019482436472347</v>
      </c>
      <c r="F2076" s="5" t="str">
        <f>INDEX(Ingredients!J$1:J$265,(MATCH(InterventionCosts!B2076,Ingredients!A$1:A$265,0)))</f>
        <v>per minute</v>
      </c>
      <c r="G2076">
        <f>IF(B2076="","",INDEX(Ingredients!$E$1:$E$238,(MATCH(InterventionCosts!B2076,Ingredients!A$1:A$238,0))))</f>
        <v>2024</v>
      </c>
      <c r="H2076" t="str">
        <f>INDEX(Ingredients!$F$1:$F$318,(MATCH(InterventionCosts!B2076,Ingredients!A$1:A$318,0)))</f>
        <v xml:space="preserve">April 2024 Salary scale </v>
      </c>
      <c r="I2076">
        <f>4*4*(workminutespa/12/5102)</f>
        <v>27.973343786750295</v>
      </c>
      <c r="J2076" t="s">
        <v>460</v>
      </c>
      <c r="K2076" s="85">
        <f t="shared" si="70"/>
        <v>50.406517705474982</v>
      </c>
      <c r="L2076" s="85" t="s">
        <v>1079</v>
      </c>
    </row>
    <row r="2077" spans="1:12">
      <c r="A2077" t="s">
        <v>1447</v>
      </c>
      <c r="B2077" t="s">
        <v>55</v>
      </c>
      <c r="C2077" t="s">
        <v>460</v>
      </c>
      <c r="D2077" t="s">
        <v>48</v>
      </c>
      <c r="E2077" s="70">
        <f>IF(B2077="","",INDEX(Ingredients!$I$1:$I$5013,(MATCH(InterventionCosts!B2077,Ingredients!$A$1:$A$5013,0))))</f>
        <v>1.8549350710014947</v>
      </c>
      <c r="F2077" s="5" t="str">
        <f>INDEX(Ingredients!J$1:J$265,(MATCH(InterventionCosts!B2077,Ingredients!A$1:A$265,0)))</f>
        <v>per minute</v>
      </c>
      <c r="G2077">
        <f>IF(B2077="","",INDEX(Ingredients!$E$1:$E$238,(MATCH(InterventionCosts!B2077,Ingredients!A$1:A$238,0))))</f>
        <v>2024</v>
      </c>
      <c r="H2077" t="str">
        <f>INDEX(Ingredients!$F$1:$F$318,(MATCH(InterventionCosts!B2077,Ingredients!A$1:A$318,0)))</f>
        <v xml:space="preserve">April 2024 Salary scale </v>
      </c>
      <c r="I2077">
        <f>4*4*(workminutespa/12/5102)</f>
        <v>27.973343786750295</v>
      </c>
      <c r="J2077" t="s">
        <v>460</v>
      </c>
      <c r="K2077" s="85">
        <f t="shared" si="70"/>
        <v>51.888736443224879</v>
      </c>
      <c r="L2077" s="85" t="s">
        <v>1079</v>
      </c>
    </row>
    <row r="2078" spans="1:12">
      <c r="A2078" t="s">
        <v>1447</v>
      </c>
      <c r="B2078" t="s">
        <v>1070</v>
      </c>
      <c r="C2078" t="s">
        <v>460</v>
      </c>
      <c r="D2078" t="s">
        <v>48</v>
      </c>
      <c r="E2078" s="70">
        <f>IF(B2078="","",INDEX(Ingredients!$I$1:$I$5013,(MATCH(InterventionCosts!B2078,Ingredients!$A$1:$A$5013,0))))</f>
        <v>2.443981128550075</v>
      </c>
      <c r="F2078" s="5" t="str">
        <f>INDEX(Ingredients!J$1:J$265,(MATCH(InterventionCosts!B2078,Ingredients!A$1:A$265,0)))</f>
        <v>per minute</v>
      </c>
      <c r="G2078">
        <f>IF(B2078="","",INDEX(Ingredients!$E$1:$E$238,(MATCH(InterventionCosts!B2078,Ingredients!A$1:A$238,0))))</f>
        <v>2024</v>
      </c>
      <c r="H2078" t="str">
        <f>INDEX(Ingredients!$F$1:$F$318,(MATCH(InterventionCosts!B2078,Ingredients!A$1:A$318,0)))</f>
        <v xml:space="preserve">April 2024 Salary scale </v>
      </c>
      <c r="I2078">
        <f>1*4*(workminutespa/12/5102)</f>
        <v>6.9933359466875737</v>
      </c>
      <c r="J2078" t="s">
        <v>460</v>
      </c>
      <c r="K2078" s="85">
        <f t="shared" si="70"/>
        <v>17.091581079315304</v>
      </c>
      <c r="L2078" s="85" t="s">
        <v>1080</v>
      </c>
    </row>
    <row r="2079" spans="1:12">
      <c r="A2079" t="s">
        <v>1447</v>
      </c>
      <c r="B2079" t="s">
        <v>51</v>
      </c>
      <c r="C2079" t="s">
        <v>460</v>
      </c>
      <c r="D2079" t="s">
        <v>48</v>
      </c>
      <c r="E2079" s="70">
        <f>IF(B2079="","",INDEX(Ingredients!$I$1:$I$5013,(MATCH(InterventionCosts!B2079,Ingredients!$A$1:$A$5013,0))))</f>
        <v>4100.2266666666665</v>
      </c>
      <c r="F2079" s="5" t="str">
        <f>INDEX(Ingredients!J$1:J$265,(MATCH(InterventionCosts!B2079,Ingredients!A$1:A$265,0)))</f>
        <v>per month</v>
      </c>
      <c r="G2079">
        <f>IF(B2079="","",INDEX(Ingredients!$E$1:$E$238,(MATCH(InterventionCosts!B2079,Ingredients!A$1:A$238,0))))</f>
        <v>2024</v>
      </c>
      <c r="H2079" t="str">
        <f>INDEX(Ingredients!$F$1:$F$318,(MATCH(InterventionCosts!B2079,Ingredients!A$1:A$318,0)))</f>
        <v>https://www.gov.za/news/media-statements/government-activities/minister-thulas-nxesi-announces-national-minimum-wage</v>
      </c>
      <c r="I2079">
        <f>1*4*(1/5102)</f>
        <v>7.840062720501764E-4</v>
      </c>
      <c r="J2079" t="s">
        <v>460</v>
      </c>
      <c r="K2079" s="85">
        <f t="shared" si="70"/>
        <v>3.2146034234940544</v>
      </c>
      <c r="L2079" s="85" t="s">
        <v>1080</v>
      </c>
    </row>
    <row r="2080" spans="1:12">
      <c r="A2080" t="s">
        <v>1447</v>
      </c>
      <c r="B2080" t="s">
        <v>54</v>
      </c>
      <c r="C2080" t="s">
        <v>460</v>
      </c>
      <c r="D2080" t="s">
        <v>48</v>
      </c>
      <c r="E2080" s="70">
        <f>IF(B2080="","",INDEX(Ingredients!$I$1:$I$5013,(MATCH(InterventionCosts!B2080,Ingredients!$A$1:$A$5013,0))))</f>
        <v>1.2444366591928251</v>
      </c>
      <c r="F2080" s="5" t="str">
        <f>INDEX(Ingredients!J$1:J$265,(MATCH(InterventionCosts!B2080,Ingredients!A$1:A$265,0)))</f>
        <v>per minute</v>
      </c>
      <c r="G2080">
        <f>IF(B2080="","",INDEX(Ingredients!$E$1:$E$238,(MATCH(InterventionCosts!B2080,Ingredients!A$1:A$238,0))))</f>
        <v>2024</v>
      </c>
      <c r="H2080" t="str">
        <f>INDEX(Ingredients!$F$1:$F$318,(MATCH(InterventionCosts!B2080,Ingredients!A$1:A$318,0)))</f>
        <v xml:space="preserve">April 2024 Salary scale </v>
      </c>
      <c r="I2080">
        <f>8*4*(workminutespa/12/5102)</f>
        <v>55.94668757350059</v>
      </c>
      <c r="J2080" t="s">
        <v>460</v>
      </c>
      <c r="K2080" s="85">
        <f t="shared" si="70"/>
        <v>69.622108976871814</v>
      </c>
      <c r="L2080" s="85" t="s">
        <v>1081</v>
      </c>
    </row>
    <row r="2081" spans="1:14">
      <c r="A2081" t="s">
        <v>1447</v>
      </c>
      <c r="B2081" t="s">
        <v>354</v>
      </c>
      <c r="C2081" t="s">
        <v>460</v>
      </c>
      <c r="D2081" t="s">
        <v>48</v>
      </c>
      <c r="E2081" s="70">
        <f>IF(B2081="","",INDEX(Ingredients!$I$1:$I$5013,(MATCH(InterventionCosts!B2081,Ingredients!$A$1:$A$5013,0))))</f>
        <v>4.8996605630293981</v>
      </c>
      <c r="F2081" s="5" t="str">
        <f>INDEX(Ingredients!J$1:J$265,(MATCH(InterventionCosts!B2081,Ingredients!A$1:A$265,0)))</f>
        <v>per minute</v>
      </c>
      <c r="G2081">
        <f>IF(B2081="","",INDEX(Ingredients!$E$1:$E$238,(MATCH(InterventionCosts!B2081,Ingredients!A$1:A$238,0))))</f>
        <v>2024</v>
      </c>
      <c r="H2081" t="str">
        <f>INDEX(Ingredients!$F$1:$F$318,(MATCH(InterventionCosts!B2081,Ingredients!A$1:A$318,0)))</f>
        <v xml:space="preserve">April 2024 Salary scale </v>
      </c>
      <c r="I2081">
        <f>16*4*(workminutespa/12/5102)</f>
        <v>111.89337514700118</v>
      </c>
      <c r="J2081" t="s">
        <v>460</v>
      </c>
      <c r="K2081" s="85">
        <f t="shared" si="70"/>
        <v>548.23955747201546</v>
      </c>
      <c r="L2081" s="85" t="s">
        <v>1082</v>
      </c>
    </row>
    <row r="2082" spans="1:14">
      <c r="A2082" t="s">
        <v>1447</v>
      </c>
      <c r="B2082" t="s">
        <v>286</v>
      </c>
      <c r="C2082" t="s">
        <v>460</v>
      </c>
      <c r="D2082" t="s">
        <v>48</v>
      </c>
      <c r="E2082" s="70">
        <f>IF(B2082="","",INDEX(Ingredients!$I$1:$I$5013,(MATCH(InterventionCosts!B2082,Ingredients!$A$1:$A$5013,0))))</f>
        <v>3.2392279521674139</v>
      </c>
      <c r="F2082" s="5" t="str">
        <f>INDEX(Ingredients!J$1:J$265,(MATCH(InterventionCosts!B2082,Ingredients!A$1:A$265,0)))</f>
        <v>per minute</v>
      </c>
      <c r="G2082">
        <f>IF(B2082="","",INDEX(Ingredients!$E$1:$E$238,(MATCH(InterventionCosts!B2082,Ingredients!A$1:A$238,0))))</f>
        <v>2024</v>
      </c>
      <c r="H2082" t="str">
        <f>INDEX(Ingredients!$F$1:$F$318,(MATCH(InterventionCosts!B2082,Ingredients!A$1:A$318,0)))</f>
        <v xml:space="preserve">April 2024 Salary scale </v>
      </c>
      <c r="I2082">
        <f>4*4*(workminutespa/12/5102)</f>
        <v>27.973343786750295</v>
      </c>
      <c r="J2082" t="s">
        <v>460</v>
      </c>
      <c r="K2082" s="85">
        <f t="shared" si="70"/>
        <v>90.612037109630208</v>
      </c>
      <c r="L2082" s="85" t="s">
        <v>1079</v>
      </c>
    </row>
    <row r="2083" spans="1:14">
      <c r="A2083" t="s">
        <v>1447</v>
      </c>
      <c r="B2083" t="s">
        <v>1072</v>
      </c>
      <c r="C2083" t="s">
        <v>460</v>
      </c>
      <c r="D2083" t="s">
        <v>48</v>
      </c>
      <c r="E2083" s="70">
        <f>IF(B2083="","",INDEX(Ingredients!$I$1:$I$5013,(MATCH(InterventionCosts!B2083,Ingredients!$A$1:$A$5013,0))))</f>
        <v>2.5530496387643251</v>
      </c>
      <c r="F2083" s="5" t="str">
        <f>INDEX(Ingredients!J$1:J$265,(MATCH(InterventionCosts!B2083,Ingredients!A$1:A$265,0)))</f>
        <v>per minute</v>
      </c>
      <c r="G2083">
        <f>IF(B2083="","",INDEX(Ingredients!$E$1:$E$238,(MATCH(InterventionCosts!B2083,Ingredients!A$1:A$238,0))))</f>
        <v>2024</v>
      </c>
      <c r="H2083" t="str">
        <f>INDEX(Ingredients!$F$1:$F$318,(MATCH(InterventionCosts!B2083,Ingredients!A$1:A$318,0)))</f>
        <v xml:space="preserve">April 2024 Salary scale </v>
      </c>
      <c r="I2083">
        <f>1*4*(workminutespa/12/5102)</f>
        <v>6.9933359466875737</v>
      </c>
      <c r="J2083" t="s">
        <v>460</v>
      </c>
      <c r="K2083" s="85">
        <f t="shared" si="70"/>
        <v>17.854333812448278</v>
      </c>
      <c r="L2083" s="85" t="s">
        <v>1080</v>
      </c>
    </row>
    <row r="2084" spans="1:14">
      <c r="A2084" t="s">
        <v>1447</v>
      </c>
      <c r="B2084" t="s">
        <v>1074</v>
      </c>
      <c r="C2084" t="s">
        <v>460</v>
      </c>
      <c r="D2084" t="s">
        <v>48</v>
      </c>
      <c r="E2084" s="70">
        <f>IF(B2084="","",INDEX(Ingredients!$I$1:$I$5013,(MATCH(InterventionCosts!B2084,Ingredients!$A$1:$A$5013,0))))</f>
        <v>2076.8733333333334</v>
      </c>
      <c r="F2084" s="5" t="str">
        <f>INDEX(Ingredients!J$1:J$265,(MATCH(InterventionCosts!B2084,Ingredients!A$1:A$265,0)))</f>
        <v>per month</v>
      </c>
      <c r="G2084">
        <f>IF(B2084="","",INDEX(Ingredients!$E$1:$E$238,(MATCH(InterventionCosts!B2084,Ingredients!A$1:A$238,0))))</f>
        <v>2024</v>
      </c>
      <c r="H2084" t="str">
        <f>INDEX(Ingredients!$F$1:$F$318,(MATCH(InterventionCosts!B2084,Ingredients!A$1:A$318,0)))</f>
        <v>https://www.gov.za/speeches/minister-thulas-nxesi-hikes-minimum-wage-farmworkers-and-domestic-workers-22-feb-2023-0000</v>
      </c>
      <c r="I2084">
        <f>13*4*(1/5102)</f>
        <v>1.0192081536652292E-2</v>
      </c>
      <c r="J2084" t="s">
        <v>460</v>
      </c>
      <c r="K2084" s="85">
        <f t="shared" si="70"/>
        <v>21.167662354632171</v>
      </c>
      <c r="L2084" s="85" t="s">
        <v>1083</v>
      </c>
    </row>
    <row r="2085" spans="1:14">
      <c r="A2085" t="s">
        <v>1447</v>
      </c>
      <c r="B2085" t="s">
        <v>60</v>
      </c>
      <c r="C2085" t="s">
        <v>460</v>
      </c>
      <c r="D2085" t="s">
        <v>48</v>
      </c>
      <c r="E2085" s="70">
        <f>IF(B2085="","",INDEX(Ingredients!$I$1:$I$5013,(MATCH(InterventionCosts!B2085,Ingredients!$A$1:$A$5013,0))))</f>
        <v>9.1192801756352768</v>
      </c>
      <c r="F2085" s="5" t="str">
        <f>INDEX(Ingredients!J$1:J$265,(MATCH(InterventionCosts!B2085,Ingredients!A$1:A$265,0)))</f>
        <v>per minute</v>
      </c>
      <c r="G2085">
        <f>IF(B2085="","",INDEX(Ingredients!$E$1:$E$238,(MATCH(InterventionCosts!B2085,Ingredients!A$1:A$238,0))))</f>
        <v>2024</v>
      </c>
      <c r="H2085" t="str">
        <f>INDEX(Ingredients!$F$1:$F$318,(MATCH(InterventionCosts!B2085,Ingredients!A$1:A$318,0)))</f>
        <v xml:space="preserve">April 2024 Salary scale </v>
      </c>
      <c r="I2085">
        <f>1*4*(workminutespa/12/5102)</f>
        <v>6.9933359466875737</v>
      </c>
      <c r="J2085" t="s">
        <v>460</v>
      </c>
      <c r="K2085" s="85">
        <f t="shared" si="70"/>
        <v>63.774189860185551</v>
      </c>
      <c r="L2085" s="85" t="s">
        <v>1080</v>
      </c>
    </row>
    <row r="2086" spans="1:14">
      <c r="A2086" t="s">
        <v>1447</v>
      </c>
      <c r="B2086" t="s">
        <v>1077</v>
      </c>
      <c r="C2086" t="s">
        <v>460</v>
      </c>
      <c r="D2086" t="s">
        <v>48</v>
      </c>
      <c r="E2086" s="70">
        <f>IF(B2086="","",INDEX(Ingredients!$I$1:$I$5013,(MATCH(InterventionCosts!B2086,Ingredients!$A$1:$A$5013,0))))</f>
        <v>2.1347303967364222</v>
      </c>
      <c r="F2086" s="5" t="str">
        <f>INDEX(Ingredients!J$1:J$265,(MATCH(InterventionCosts!B2086,Ingredients!A$1:A$265,0)))</f>
        <v>per minute</v>
      </c>
      <c r="G2086">
        <f>IF(B2086="","",INDEX(Ingredients!$E$1:$E$238,(MATCH(InterventionCosts!B2086,Ingredients!A$1:A$238,0))))</f>
        <v>2024</v>
      </c>
      <c r="H2086" t="str">
        <f>INDEX(Ingredients!$F$1:$F$318,(MATCH(InterventionCosts!B2086,Ingredients!A$1:A$318,0)))</f>
        <v xml:space="preserve">April 2024 Salary scale </v>
      </c>
      <c r="I2086">
        <f>4*4*(workminutespa/12/5102)</f>
        <v>27.973343786750295</v>
      </c>
      <c r="J2086" t="s">
        <v>460</v>
      </c>
      <c r="K2086" s="85">
        <f t="shared" si="70"/>
        <v>59.715547279933787</v>
      </c>
      <c r="L2086" s="85" t="s">
        <v>1079</v>
      </c>
    </row>
    <row r="2087" spans="1:14">
      <c r="A2087" t="s">
        <v>1447</v>
      </c>
      <c r="B2087" t="s">
        <v>1078</v>
      </c>
      <c r="C2087" t="s">
        <v>460</v>
      </c>
      <c r="D2087" t="s">
        <v>48</v>
      </c>
      <c r="E2087" s="70">
        <f>IF(B2087="","",INDEX(Ingredients!$I$1:$I$5013,(MATCH(InterventionCosts!B2087,Ingredients!$A$1:$A$5013,0))))</f>
        <v>13.503224277528648</v>
      </c>
      <c r="F2087" s="5" t="str">
        <f>INDEX(Ingredients!J$1:J$265,(MATCH(InterventionCosts!B2087,Ingredients!A$1:A$265,0)))</f>
        <v>per minute</v>
      </c>
      <c r="G2087">
        <f>IF(B2087="","",INDEX(Ingredients!$E$1:$E$238,(MATCH(InterventionCosts!B2087,Ingredients!A$1:A$238,0))))</f>
        <v>2024</v>
      </c>
      <c r="H2087" t="str">
        <f>INDEX(Ingredients!$F$1:$F$318,(MATCH(InterventionCosts!B2087,Ingredients!A$1:A$318,0)))</f>
        <v xml:space="preserve">April 2024 Salary scale </v>
      </c>
      <c r="I2087">
        <f>2*4*(workminutespa/12/5102)</f>
        <v>13.986671893375147</v>
      </c>
      <c r="J2087" t="s">
        <v>460</v>
      </c>
      <c r="K2087" s="85">
        <f t="shared" si="70"/>
        <v>188.86516747245088</v>
      </c>
      <c r="L2087" s="85" t="s">
        <v>1084</v>
      </c>
    </row>
    <row r="2088" spans="1:14">
      <c r="A2088" t="s">
        <v>1447</v>
      </c>
      <c r="B2088" t="s">
        <v>477</v>
      </c>
      <c r="C2088" t="s">
        <v>406</v>
      </c>
      <c r="D2088" t="s">
        <v>81</v>
      </c>
      <c r="E2088" s="70">
        <f>IF(B2088="","",INDEX(Ingredients!$I$1:$I$5013,(MATCH(InterventionCosts!B2088,Ingredients!$A$1:$A$5013,0))))</f>
        <v>88.256346376062865</v>
      </c>
      <c r="F2088" s="5" t="str">
        <f>INDEX(Ingredients!J$1:J$265,(MATCH(InterventionCosts!B2088,Ingredients!A$1:A$265,0)))</f>
        <v>per visit</v>
      </c>
      <c r="G2088">
        <f>IF(B2088="","",INDEX(Ingredients!$E$1:$E$238,(MATCH(InterventionCosts!B2088,Ingredients!A$1:A$238,0))))</f>
        <v>2019</v>
      </c>
      <c r="H2088" t="str">
        <f>INDEX(Ingredients!$F$1:$F$318,(MATCH(InterventionCosts!B2088,Ingredients!A$1:A$318,0)))</f>
        <v xml:space="preserve">Long L, Girdwood S, Govender K, Meyer-Rath G, Miot J: Cost and outcomes of routine HIV care and treatment: A comparison of public and private delivery models covering low-income earners in South Africa. Preprint available under DOI: https://doi.org/10.21203/rs.3.rs-960517/v1    </v>
      </c>
      <c r="I2088">
        <v>4</v>
      </c>
      <c r="J2088" t="s">
        <v>485</v>
      </c>
      <c r="K2088" s="85">
        <f t="shared" si="70"/>
        <v>353.02538550425146</v>
      </c>
    </row>
    <row r="2089" spans="1:14" s="89" customFormat="1">
      <c r="A2089" s="4" t="s">
        <v>1447</v>
      </c>
      <c r="F2089" s="89" t="s">
        <v>1164</v>
      </c>
      <c r="K2089" s="90"/>
      <c r="L2089" s="90">
        <f>SUM(K2063:K2088)</f>
        <v>6211.773616453921</v>
      </c>
      <c r="M2089" s="92"/>
      <c r="N2089" s="4"/>
    </row>
    <row r="2090" spans="1:14" s="89" customFormat="1">
      <c r="A2090" s="4" t="s">
        <v>1447</v>
      </c>
      <c r="F2090" s="89" t="s">
        <v>117</v>
      </c>
      <c r="K2090" s="90"/>
      <c r="L2090" s="90" t="s">
        <v>937</v>
      </c>
    </row>
    <row r="2092" spans="1:14">
      <c r="A2092" t="s">
        <v>1448</v>
      </c>
      <c r="B2092" t="s">
        <v>866</v>
      </c>
      <c r="C2092" t="s">
        <v>459</v>
      </c>
      <c r="D2092" t="s">
        <v>70</v>
      </c>
      <c r="E2092" s="70">
        <f>IF(B2092="","",INDEX(Ingredients!$I$1:$I$5013,(MATCH(InterventionCosts!B2092,Ingredients!$A$1:$A$5013,0))))</f>
        <v>13.383533434462946</v>
      </c>
      <c r="F2092" s="5" t="str">
        <f>INDEX(Ingredients!J$1:J$265,(MATCH(InterventionCosts!B2092,Ingredients!A$1:A$265,0)))</f>
        <v>per day</v>
      </c>
      <c r="G2092">
        <f>IF(B2092="","",INDEX(Ingredients!$E$1:$E$238,(MATCH(InterventionCosts!B2092,Ingredients!A$1:A$238,0))))</f>
        <v>2024</v>
      </c>
      <c r="H2092" t="str">
        <f>INDEX(Ingredients!$F$1:$F$318,(MATCH(InterventionCosts!B2092,Ingredients!A$1:A$318,0)))</f>
        <v>Master Procurement Circular May 2024</v>
      </c>
      <c r="I2092">
        <f>12*30*'ART kids distribution'!$C$14</f>
        <v>294.14634146341461</v>
      </c>
      <c r="J2092" t="s">
        <v>406</v>
      </c>
      <c r="K2092" s="85">
        <f t="shared" ref="K2092:K2118" si="73">I2092*E2092</f>
        <v>3936.7173956005636</v>
      </c>
    </row>
    <row r="2093" spans="1:14">
      <c r="A2093" t="s">
        <v>1448</v>
      </c>
      <c r="B2093" t="s">
        <v>895</v>
      </c>
      <c r="C2093" t="s">
        <v>459</v>
      </c>
      <c r="D2093" t="s">
        <v>70</v>
      </c>
      <c r="E2093" s="70">
        <f>IF(B2093="","",INDEX(Ingredients!$I$1:$I$5013,(MATCH(InterventionCosts!B2093,Ingredients!$A$1:$A$5013,0))))</f>
        <v>9.4072834344629435</v>
      </c>
      <c r="F2093" s="5" t="str">
        <f>INDEX(Ingredients!J$1:J$265,(MATCH(InterventionCosts!B2093,Ingredients!A$1:A$265,0)))</f>
        <v>per day</v>
      </c>
      <c r="G2093">
        <f>IF(B2093="","",INDEX(Ingredients!$E$1:$E$238,(MATCH(InterventionCosts!B2093,Ingredients!A$1:A$238,0))))</f>
        <v>2024</v>
      </c>
      <c r="H2093" t="str">
        <f>INDEX(Ingredients!$F$1:$F$318,(MATCH(InterventionCosts!B2093,Ingredients!A$1:A$318,0)))</f>
        <v>Master Procurement Circular May 2024</v>
      </c>
      <c r="I2093">
        <f>12*30*'ART kids distribution'!$D$14</f>
        <v>8.7804878048780495</v>
      </c>
      <c r="J2093" t="s">
        <v>406</v>
      </c>
      <c r="K2093" s="85">
        <f t="shared" si="73"/>
        <v>82.600537473333162</v>
      </c>
    </row>
    <row r="2094" spans="1:14">
      <c r="A2094" t="s">
        <v>1448</v>
      </c>
      <c r="B2094" t="s">
        <v>894</v>
      </c>
      <c r="C2094" t="s">
        <v>459</v>
      </c>
      <c r="D2094" t="s">
        <v>70</v>
      </c>
      <c r="E2094" s="70">
        <f>IF(B2094="","",INDEX(Ingredients!$I$1:$I$5013,(MATCH(InterventionCosts!B2094,Ingredients!$A$1:$A$5013,0))))</f>
        <v>20.951533434462945</v>
      </c>
      <c r="F2094" s="5" t="str">
        <f>INDEX(Ingredients!J$1:J$265,(MATCH(InterventionCosts!B2094,Ingredients!A$1:A$265,0)))</f>
        <v>per day</v>
      </c>
      <c r="G2094">
        <f>IF(B2094="","",INDEX(Ingredients!$E$1:$E$238,(MATCH(InterventionCosts!B2094,Ingredients!A$1:A$238,0))))</f>
        <v>2024</v>
      </c>
      <c r="H2094" t="str">
        <f>INDEX(Ingredients!$F$1:$F$318,(MATCH(InterventionCosts!B2094,Ingredients!A$1:A$318,0)))</f>
        <v>Master Procurement Circular May 2024</v>
      </c>
      <c r="I2094">
        <f>12*30*'ART kids distribution'!$F$14</f>
        <v>57.073170731707314</v>
      </c>
      <c r="J2094" t="s">
        <v>406</v>
      </c>
      <c r="K2094" s="85">
        <f t="shared" si="73"/>
        <v>1195.7704447961778</v>
      </c>
    </row>
    <row r="2095" spans="1:14">
      <c r="A2095" t="s">
        <v>1448</v>
      </c>
      <c r="B2095" s="273" t="s">
        <v>1147</v>
      </c>
      <c r="C2095" t="s">
        <v>1151</v>
      </c>
      <c r="D2095" t="s">
        <v>67</v>
      </c>
      <c r="E2095" s="70">
        <f>IF(B2095="","",INDEX(Ingredients!$I$1:$I$5013,(MATCH(InterventionCosts!B2095,Ingredients!$A$1:$A$5013,0))))</f>
        <v>96609.835920812693</v>
      </c>
      <c r="F2095" s="5" t="str">
        <f>INDEX(Ingredients!J$1:J$265,(MATCH(InterventionCosts!B2095,Ingredients!A$1:A$265,0)))</f>
        <v>per machine</v>
      </c>
      <c r="G2095">
        <f>IF(B2095="","",INDEX(Ingredients!$E$1:$E$238,(MATCH(InterventionCosts!B2095,Ingredients!A$1:A$238,0))))</f>
        <v>2024</v>
      </c>
      <c r="H2095" t="str">
        <f>INDEX(Ingredients!$F$1:$F$318,(MATCH(InterventionCosts!B2095,Ingredients!A$1:A$318,0)))</f>
        <v>https://www.stoptb.org/sites/default/files/gdf_diagnostics_medical_devices_other_health_products_catalog_0.pdf</v>
      </c>
      <c r="I2095" s="274">
        <f>1/(2300*0.6)*2</f>
        <v>1.4492753623188406E-3</v>
      </c>
      <c r="J2095" s="274" t="s">
        <v>1157</v>
      </c>
      <c r="K2095" s="85">
        <f t="shared" ref="K2095:K2104" si="74">E2095*I2095</f>
        <v>140.01425495769956</v>
      </c>
    </row>
    <row r="2096" spans="1:14">
      <c r="A2096" t="s">
        <v>1448</v>
      </c>
      <c r="B2096" s="273" t="s">
        <v>1148</v>
      </c>
      <c r="C2096" t="s">
        <v>1151</v>
      </c>
      <c r="D2096" t="s">
        <v>21</v>
      </c>
      <c r="E2096" s="70">
        <f>IF(B2096="","",INDEX(Ingredients!$I$1:$I$5013,(MATCH(InterventionCosts!B2096,Ingredients!$A$1:$A$5013,0))))</f>
        <v>319.75037364827585</v>
      </c>
      <c r="F2096" s="5" t="str">
        <f>INDEX(Ingredients!J$1:J$265,(MATCH(InterventionCosts!B2096,Ingredients!A$1:A$265,0)))</f>
        <v>per test</v>
      </c>
      <c r="G2096">
        <f>IF(B2096="","",INDEX(Ingredients!$E$1:$E$238,(MATCH(InterventionCosts!B2096,Ingredients!A$1:A$238,0))))</f>
        <v>2024</v>
      </c>
      <c r="H2096" t="str">
        <f>INDEX(Ingredients!$F$1:$F$318,(MATCH(InterventionCosts!B2096,Ingredients!A$1:A$318,0)))</f>
        <v>https://www.stoptb.org/sites/default/files/gdf_diagnostics_medical_devices_other_health_products_catalog_0.pdf</v>
      </c>
      <c r="I2096" s="274">
        <v>2</v>
      </c>
      <c r="J2096" t="s">
        <v>1151</v>
      </c>
      <c r="K2096" s="85">
        <f t="shared" si="74"/>
        <v>639.50074729655171</v>
      </c>
    </row>
    <row r="2097" spans="1:12">
      <c r="A2097" t="s">
        <v>1448</v>
      </c>
      <c r="B2097" s="273" t="s">
        <v>1149</v>
      </c>
      <c r="C2097" t="s">
        <v>1151</v>
      </c>
      <c r="D2097" t="s">
        <v>81</v>
      </c>
      <c r="E2097" s="70">
        <f>IF(B2097="","",INDEX(Ingredients!$I$1:$I$5013,(MATCH(InterventionCosts!B2097,Ingredients!$A$1:$A$5013,0))))</f>
        <v>34756.611222699823</v>
      </c>
      <c r="F2097" s="5" t="str">
        <f>INDEX(Ingredients!J$1:J$265,(MATCH(InterventionCosts!B2097,Ingredients!A$1:A$265,0)))</f>
        <v>per setup</v>
      </c>
      <c r="G2097">
        <f>IF(B2097="","",INDEX(Ingredients!$E$1:$E$238,(MATCH(InterventionCosts!B2097,Ingredients!A$1:A$238,0))))</f>
        <v>2024</v>
      </c>
      <c r="H2097" t="str">
        <f>INDEX(Ingredients!$F$1:$F$318,(MATCH(InterventionCosts!B2097,Ingredients!A$1:A$318,0)))</f>
        <v>https://www.stoptb.org/sites/default/files/gdf_diagnostics_medical_devices_other_health_products_catalog_0.pdf</v>
      </c>
      <c r="I2097" s="274">
        <f t="shared" ref="I2097:I2102" si="75">1/(2300*0.6)*2</f>
        <v>1.4492753623188406E-3</v>
      </c>
      <c r="J2097" s="274" t="s">
        <v>1157</v>
      </c>
      <c r="K2097" s="85">
        <f t="shared" si="74"/>
        <v>50.371900322753369</v>
      </c>
    </row>
    <row r="2098" spans="1:12">
      <c r="A2098" t="s">
        <v>1448</v>
      </c>
      <c r="B2098" s="273" t="s">
        <v>1156</v>
      </c>
      <c r="C2098" t="s">
        <v>1151</v>
      </c>
      <c r="D2098" t="s">
        <v>48</v>
      </c>
      <c r="E2098" s="70">
        <f>IF(B2098="","",INDEX(Ingredients!$I$1:$I$5013,(MATCH(InterventionCosts!B2098,Ingredients!$A$1:$A$5013,0))))</f>
        <v>5619.5309209141369</v>
      </c>
      <c r="F2098" s="5" t="str">
        <f>INDEX(Ingredients!J$1:J$265,(MATCH(InterventionCosts!B2098,Ingredients!A$1:A$265,0)))</f>
        <v>per setup</v>
      </c>
      <c r="G2098">
        <f>IF(B2098="","",INDEX(Ingredients!$E$1:$E$238,(MATCH(InterventionCosts!B2098,Ingredients!A$1:A$238,0))))</f>
        <v>2019</v>
      </c>
      <c r="H2098" t="str">
        <f>INDEX(Ingredients!$F$1:$F$318,(MATCH(InterventionCosts!B2098,Ingredients!A$1:A$318,0)))</f>
        <v>Sarah Girdwood, https://www.ncbi.nlm.nih.gov/pmc/articles/PMC7700965/pdf/main.pdf</v>
      </c>
      <c r="I2098" s="274">
        <f t="shared" si="75"/>
        <v>1.4492753623188406E-3</v>
      </c>
      <c r="J2098" t="s">
        <v>1151</v>
      </c>
      <c r="K2098" s="85">
        <f t="shared" si="74"/>
        <v>8.1442477114697631</v>
      </c>
    </row>
    <row r="2099" spans="1:12">
      <c r="A2099" t="s">
        <v>1448</v>
      </c>
      <c r="B2099" s="273" t="s">
        <v>1150</v>
      </c>
      <c r="C2099" t="s">
        <v>1151</v>
      </c>
      <c r="D2099" t="s">
        <v>48</v>
      </c>
      <c r="E2099" s="70">
        <f>IF(B2099="","",INDEX(Ingredients!$I$1:$I$5013,(MATCH(InterventionCosts!B2099,Ingredients!$A$1:$A$5013,0))))</f>
        <v>5690.1603086312934</v>
      </c>
      <c r="F2099" s="5" t="str">
        <f>INDEX(Ingredients!J$1:J$265,(MATCH(InterventionCosts!B2099,Ingredients!A$1:A$265,0)))</f>
        <v>per setup</v>
      </c>
      <c r="G2099">
        <f>IF(B2099="","",INDEX(Ingredients!$E$1:$E$238,(MATCH(InterventionCosts!B2099,Ingredients!A$1:A$238,0))))</f>
        <v>2019</v>
      </c>
      <c r="H2099" t="str">
        <f>INDEX(Ingredients!$F$1:$F$318,(MATCH(InterventionCosts!B2099,Ingredients!A$1:A$318,0)))</f>
        <v>Sarah Girdwood, https://www.ncbi.nlm.nih.gov/pmc/articles/PMC7700965/pdf/main.pdf</v>
      </c>
      <c r="I2099" s="274">
        <f t="shared" si="75"/>
        <v>1.4492753623188406E-3</v>
      </c>
      <c r="J2099" t="s">
        <v>1151</v>
      </c>
      <c r="K2099" s="85">
        <f t="shared" si="74"/>
        <v>8.2466091429439032</v>
      </c>
    </row>
    <row r="2100" spans="1:12">
      <c r="A2100" t="s">
        <v>1448</v>
      </c>
      <c r="B2100" s="273" t="s">
        <v>1155</v>
      </c>
      <c r="C2100" t="s">
        <v>1151</v>
      </c>
      <c r="D2100" t="s">
        <v>67</v>
      </c>
      <c r="E2100" s="70">
        <f>IF(B2100="","",INDEX(Ingredients!$I$1:$I$5013,(MATCH(InterventionCosts!B2100,Ingredients!$A$1:$A$5013,0))))</f>
        <v>11917.103963912978</v>
      </c>
      <c r="F2100" s="5" t="str">
        <f>INDEX(Ingredients!J$1:J$265,(MATCH(InterventionCosts!B2100,Ingredients!A$1:A$265,0)))</f>
        <v>per setup</v>
      </c>
      <c r="G2100">
        <f>IF(B2100="","",INDEX(Ingredients!$E$1:$E$238,(MATCH(InterventionCosts!B2100,Ingredients!A$1:A$238,0))))</f>
        <v>2019</v>
      </c>
      <c r="H2100" t="str">
        <f>INDEX(Ingredients!$F$1:$F$318,(MATCH(InterventionCosts!B2100,Ingredients!A$1:A$318,0)))</f>
        <v>Sarah Girdwood, https://www.ncbi.nlm.nih.gov/pmc/articles/PMC7700965/pdf/main.pdf</v>
      </c>
      <c r="I2100" s="274">
        <f t="shared" si="75"/>
        <v>1.4492753623188406E-3</v>
      </c>
      <c r="J2100" t="s">
        <v>1151</v>
      </c>
      <c r="K2100" s="85">
        <f t="shared" si="74"/>
        <v>17.271165165091272</v>
      </c>
    </row>
    <row r="2101" spans="1:12">
      <c r="A2101" t="s">
        <v>1448</v>
      </c>
      <c r="B2101" s="273" t="s">
        <v>1154</v>
      </c>
      <c r="C2101" t="s">
        <v>1151</v>
      </c>
      <c r="D2101" t="s">
        <v>81</v>
      </c>
      <c r="E2101" s="70">
        <f>IF(B2101="","",INDEX(Ingredients!$I$1:$I$5013,(MATCH(InterventionCosts!B2101,Ingredients!$A$1:$A$5013,0))))</f>
        <v>8006.8042257540328</v>
      </c>
      <c r="F2101" s="5" t="str">
        <f>INDEX(Ingredients!J$1:J$265,(MATCH(InterventionCosts!B2101,Ingredients!A$1:A$265,0)))</f>
        <v>per setup</v>
      </c>
      <c r="G2101">
        <f>IF(B2101="","",INDEX(Ingredients!$E$1:$E$238,(MATCH(InterventionCosts!B2101,Ingredients!A$1:A$238,0))))</f>
        <v>2019</v>
      </c>
      <c r="H2101" t="str">
        <f>INDEX(Ingredients!$F$1:$F$318,(MATCH(InterventionCosts!B2101,Ingredients!A$1:A$318,0)))</f>
        <v>https://www.ncbi.nlm.nih.gov/pmc/articles/PMC7700965/pdf/main.pdf</v>
      </c>
      <c r="I2101" s="274">
        <f t="shared" si="75"/>
        <v>1.4492753623188406E-3</v>
      </c>
      <c r="J2101" t="s">
        <v>1151</v>
      </c>
      <c r="K2101" s="85">
        <f t="shared" si="74"/>
        <v>11.604064095295699</v>
      </c>
    </row>
    <row r="2102" spans="1:12">
      <c r="A2102" t="s">
        <v>1448</v>
      </c>
      <c r="B2102" s="273" t="s">
        <v>1153</v>
      </c>
      <c r="C2102" t="s">
        <v>1151</v>
      </c>
      <c r="D2102" t="s">
        <v>81</v>
      </c>
      <c r="E2102" s="70">
        <f>IF(B2102="","",INDEX(Ingredients!$I$1:$I$5013,(MATCH(InterventionCosts!B2102,Ingredients!$A$1:$A$5013,0))))</f>
        <v>22740.094503552911</v>
      </c>
      <c r="F2102" s="5" t="str">
        <f>INDEX(Ingredients!J$1:J$265,(MATCH(InterventionCosts!B2102,Ingredients!A$1:A$265,0)))</f>
        <v>per setup</v>
      </c>
      <c r="G2102">
        <f>IF(B2102="","",INDEX(Ingredients!$E$1:$E$238,(MATCH(InterventionCosts!B2102,Ingredients!A$1:A$238,0))))</f>
        <v>2019</v>
      </c>
      <c r="H2102" t="str">
        <f>INDEX(Ingredients!$F$1:$F$318,(MATCH(InterventionCosts!B2102,Ingredients!A$1:A$318,0)))</f>
        <v>https://www.ncbi.nlm.nih.gov/pmc/articles/PMC7700965/pdf/main.pdf</v>
      </c>
      <c r="I2102" s="274">
        <f t="shared" si="75"/>
        <v>1.4492753623188406E-3</v>
      </c>
      <c r="J2102" t="s">
        <v>1151</v>
      </c>
      <c r="K2102" s="85">
        <f t="shared" si="74"/>
        <v>32.95665870080132</v>
      </c>
    </row>
    <row r="2103" spans="1:12">
      <c r="A2103" t="s">
        <v>1448</v>
      </c>
      <c r="B2103" s="273" t="s">
        <v>1152</v>
      </c>
      <c r="C2103" t="s">
        <v>1151</v>
      </c>
      <c r="D2103" t="s">
        <v>21</v>
      </c>
      <c r="E2103" s="70">
        <f>IF(B2103="","",INDEX(Ingredients!$I$1:$I$5013,(MATCH(InterventionCosts!B2103,Ingredients!$A$1:$A$5013,0))))</f>
        <v>3.608519627003822</v>
      </c>
      <c r="F2103" s="5" t="str">
        <f>INDEX(Ingredients!J$1:J$265,(MATCH(InterventionCosts!B2103,Ingredients!A$1:A$265,0)))</f>
        <v>per test</v>
      </c>
      <c r="G2103">
        <f>IF(B2103="","",INDEX(Ingredients!$E$1:$E$238,(MATCH(InterventionCosts!B2103,Ingredients!A$1:A$238,0))))</f>
        <v>2019</v>
      </c>
      <c r="H2103" t="str">
        <f>INDEX(Ingredients!$F$1:$F$318,(MATCH(InterventionCosts!B2103,Ingredients!A$1:A$318,0)))</f>
        <v>Sarah Girdwood, https://www.ncbi.nlm.nih.gov/pmc/articles/PMC7700965/pdf/main.pdf</v>
      </c>
      <c r="I2103" s="274">
        <v>2</v>
      </c>
      <c r="J2103" t="s">
        <v>1151</v>
      </c>
      <c r="K2103" s="85">
        <f t="shared" si="74"/>
        <v>7.217039254007644</v>
      </c>
    </row>
    <row r="2104" spans="1:12">
      <c r="A2104" t="s">
        <v>1448</v>
      </c>
      <c r="B2104" s="273" t="s">
        <v>286</v>
      </c>
      <c r="C2104" t="s">
        <v>1151</v>
      </c>
      <c r="D2104" t="s">
        <v>48</v>
      </c>
      <c r="E2104" s="70">
        <f>IF(B2104="","",INDEX(Ingredients!$I$1:$I$5013,(MATCH(InterventionCosts!B2104,Ingredients!$A$1:$A$5013,0))))</f>
        <v>3.2392279521674139</v>
      </c>
      <c r="F2104" s="5" t="str">
        <f>INDEX(Ingredients!J$1:J$265,(MATCH(InterventionCosts!B2104,Ingredients!A$1:A$265,0)))</f>
        <v>per minute</v>
      </c>
      <c r="G2104">
        <f>IF(B2104="","",INDEX(Ingredients!$E$1:$E$238,(MATCH(InterventionCosts!B2104,Ingredients!A$1:A$238,0))))</f>
        <v>2024</v>
      </c>
      <c r="H2104" t="str">
        <f>INDEX(Ingredients!$F$1:$F$318,(MATCH(InterventionCosts!B2104,Ingredients!A$1:A$318,0)))</f>
        <v xml:space="preserve">April 2024 Salary scale </v>
      </c>
      <c r="I2104" s="274">
        <f>(5.6+5.4+17.1+5)*2</f>
        <v>66.2</v>
      </c>
      <c r="J2104" t="s">
        <v>1151</v>
      </c>
      <c r="K2104" s="85">
        <f t="shared" si="74"/>
        <v>214.4368904334828</v>
      </c>
    </row>
    <row r="2105" spans="1:12">
      <c r="A2105" t="s">
        <v>1448</v>
      </c>
      <c r="B2105" t="s">
        <v>458</v>
      </c>
      <c r="C2105" t="s">
        <v>459</v>
      </c>
      <c r="D2105" t="s">
        <v>75</v>
      </c>
      <c r="E2105" s="70">
        <f>IF(B2105="","",INDEX(Ingredients!$I$1:$I$5013,(MATCH(InterventionCosts!B2105,Ingredients!$A$1:$A$5013,0))))</f>
        <v>86.59037211495</v>
      </c>
      <c r="F2105" s="5" t="str">
        <f>INDEX(Ingredients!J$1:J$265,(MATCH(InterventionCosts!B2105,Ingredients!A$1:A$265,0)))</f>
        <v>per test</v>
      </c>
      <c r="G2105">
        <f>IF(B2105="","",INDEX(Ingredients!$E$1:$E$238,(MATCH(InterventionCosts!B2105,Ingredients!A$1:A$238,0))))</f>
        <v>2021</v>
      </c>
      <c r="H2105" t="str">
        <f>INDEX(Ingredients!$F$1:$F$318,(MATCH(InterventionCosts!B2105,Ingredients!A$1:A$318,0)))</f>
        <v>NHLS 2021 price-list</v>
      </c>
      <c r="I2105">
        <v>1</v>
      </c>
      <c r="J2105" t="s">
        <v>459</v>
      </c>
      <c r="K2105" s="85">
        <f t="shared" si="73"/>
        <v>86.59037211495</v>
      </c>
    </row>
    <row r="2106" spans="1:12">
      <c r="A2106" t="s">
        <v>1448</v>
      </c>
      <c r="B2106" t="s">
        <v>52</v>
      </c>
      <c r="C2106" t="s">
        <v>460</v>
      </c>
      <c r="D2106" t="s">
        <v>48</v>
      </c>
      <c r="E2106" s="70">
        <f>IF(B2106="","",INDEX(Ingredients!$I$1:$I$5013,(MATCH(InterventionCosts!B2106,Ingredients!$A$1:$A$5013,0))))</f>
        <v>1.8019482436472347</v>
      </c>
      <c r="F2106" s="5" t="str">
        <f>INDEX(Ingredients!J$1:J$265,(MATCH(InterventionCosts!B2106,Ingredients!A$1:A$265,0)))</f>
        <v>per minute</v>
      </c>
      <c r="G2106">
        <f>IF(B2106="","",INDEX(Ingredients!$E$1:$E$238,(MATCH(InterventionCosts!B2106,Ingredients!A$1:A$238,0))))</f>
        <v>2024</v>
      </c>
      <c r="H2106" t="str">
        <f>INDEX(Ingredients!$F$1:$F$318,(MATCH(InterventionCosts!B2106,Ingredients!A$1:A$318,0)))</f>
        <v xml:space="preserve">April 2024 Salary scale </v>
      </c>
      <c r="I2106">
        <f>4*7.54*(workminutespa/12/5102)</f>
        <v>52.729753038024306</v>
      </c>
      <c r="J2106" t="s">
        <v>460</v>
      </c>
      <c r="K2106" s="85">
        <f t="shared" si="73"/>
        <v>95.01628587482034</v>
      </c>
      <c r="L2106" s="85" t="s">
        <v>1097</v>
      </c>
    </row>
    <row r="2107" spans="1:12">
      <c r="A2107" t="s">
        <v>1448</v>
      </c>
      <c r="B2107" t="s">
        <v>55</v>
      </c>
      <c r="C2107" t="s">
        <v>460</v>
      </c>
      <c r="D2107" t="s">
        <v>48</v>
      </c>
      <c r="E2107" s="70">
        <f>IF(B2107="","",INDEX(Ingredients!$I$1:$I$5013,(MATCH(InterventionCosts!B2107,Ingredients!$A$1:$A$5013,0))))</f>
        <v>1.8549350710014947</v>
      </c>
      <c r="F2107" s="5" t="str">
        <f>INDEX(Ingredients!J$1:J$265,(MATCH(InterventionCosts!B2107,Ingredients!A$1:A$265,0)))</f>
        <v>per minute</v>
      </c>
      <c r="G2107">
        <f>IF(B2107="","",INDEX(Ingredients!$E$1:$E$238,(MATCH(InterventionCosts!B2107,Ingredients!A$1:A$238,0))))</f>
        <v>2024</v>
      </c>
      <c r="H2107" t="str">
        <f>INDEX(Ingredients!$F$1:$F$318,(MATCH(InterventionCosts!B2107,Ingredients!A$1:A$318,0)))</f>
        <v xml:space="preserve">April 2024 Salary scale </v>
      </c>
      <c r="I2107">
        <f>4*7.54*(workminutespa/12/5102)</f>
        <v>52.729753038024306</v>
      </c>
      <c r="J2107" t="s">
        <v>460</v>
      </c>
      <c r="K2107" s="85">
        <f t="shared" si="73"/>
        <v>97.810268195478898</v>
      </c>
      <c r="L2107" s="85" t="s">
        <v>1097</v>
      </c>
    </row>
    <row r="2108" spans="1:12">
      <c r="A2108" t="s">
        <v>1448</v>
      </c>
      <c r="B2108" t="s">
        <v>1070</v>
      </c>
      <c r="C2108" t="s">
        <v>460</v>
      </c>
      <c r="D2108" t="s">
        <v>48</v>
      </c>
      <c r="E2108" s="70">
        <f>IF(B2108="","",INDEX(Ingredients!$I$1:$I$5013,(MATCH(InterventionCosts!B2108,Ingredients!$A$1:$A$5013,0))))</f>
        <v>2.443981128550075</v>
      </c>
      <c r="F2108" s="5" t="str">
        <f>INDEX(Ingredients!J$1:J$265,(MATCH(InterventionCosts!B2108,Ingredients!A$1:A$265,0)))</f>
        <v>per minute</v>
      </c>
      <c r="G2108">
        <f>IF(B2108="","",INDEX(Ingredients!$E$1:$E$238,(MATCH(InterventionCosts!B2108,Ingredients!A$1:A$238,0))))</f>
        <v>2024</v>
      </c>
      <c r="H2108" t="str">
        <f>INDEX(Ingredients!$F$1:$F$318,(MATCH(InterventionCosts!B2108,Ingredients!A$1:A$318,0)))</f>
        <v xml:space="preserve">April 2024 Salary scale </v>
      </c>
      <c r="I2108">
        <f>1*7.54*(workminutespa/12/5102)</f>
        <v>13.182438259506077</v>
      </c>
      <c r="J2108" t="s">
        <v>460</v>
      </c>
      <c r="K2108" s="85">
        <f t="shared" si="73"/>
        <v>32.217630334509344</v>
      </c>
      <c r="L2108" s="85" t="s">
        <v>1098</v>
      </c>
    </row>
    <row r="2109" spans="1:12">
      <c r="A2109" t="s">
        <v>1448</v>
      </c>
      <c r="B2109" t="s">
        <v>51</v>
      </c>
      <c r="C2109" t="s">
        <v>460</v>
      </c>
      <c r="D2109" t="s">
        <v>48</v>
      </c>
      <c r="E2109" s="70">
        <f>IF(B2109="","",INDEX(Ingredients!$I$1:$I$5013,(MATCH(InterventionCosts!B2109,Ingredients!$A$1:$A$5013,0))))</f>
        <v>4100.2266666666665</v>
      </c>
      <c r="F2109" s="5" t="str">
        <f>INDEX(Ingredients!J$1:J$265,(MATCH(InterventionCosts!B2109,Ingredients!A$1:A$265,0)))</f>
        <v>per month</v>
      </c>
      <c r="G2109">
        <f>IF(B2109="","",INDEX(Ingredients!$E$1:$E$238,(MATCH(InterventionCosts!B2109,Ingredients!A$1:A$238,0))))</f>
        <v>2024</v>
      </c>
      <c r="H2109" t="str">
        <f>INDEX(Ingredients!$F$1:$F$318,(MATCH(InterventionCosts!B2109,Ingredients!A$1:A$318,0)))</f>
        <v>https://www.gov.za/news/media-statements/government-activities/minister-thulas-nxesi-announces-national-minimum-wage</v>
      </c>
      <c r="I2109">
        <f>1*7.54*(1/5102)</f>
        <v>1.4778518228145826E-3</v>
      </c>
      <c r="J2109" t="s">
        <v>460</v>
      </c>
      <c r="K2109" s="85">
        <f t="shared" si="73"/>
        <v>6.0595274532862931</v>
      </c>
      <c r="L2109" s="85" t="s">
        <v>1098</v>
      </c>
    </row>
    <row r="2110" spans="1:12">
      <c r="A2110" t="s">
        <v>1448</v>
      </c>
      <c r="B2110" t="s">
        <v>54</v>
      </c>
      <c r="C2110" t="s">
        <v>460</v>
      </c>
      <c r="D2110" t="s">
        <v>48</v>
      </c>
      <c r="E2110" s="70">
        <f>IF(B2110="","",INDEX(Ingredients!$I$1:$I$5013,(MATCH(InterventionCosts!B2110,Ingredients!$A$1:$A$5013,0))))</f>
        <v>1.2444366591928251</v>
      </c>
      <c r="F2110" s="5" t="str">
        <f>INDEX(Ingredients!J$1:J$265,(MATCH(InterventionCosts!B2110,Ingredients!A$1:A$265,0)))</f>
        <v>per minute</v>
      </c>
      <c r="G2110">
        <f>IF(B2110="","",INDEX(Ingredients!$E$1:$E$238,(MATCH(InterventionCosts!B2110,Ingredients!A$1:A$238,0))))</f>
        <v>2024</v>
      </c>
      <c r="H2110" t="str">
        <f>INDEX(Ingredients!$F$1:$F$318,(MATCH(InterventionCosts!B2110,Ingredients!A$1:A$318,0)))</f>
        <v xml:space="preserve">April 2024 Salary scale </v>
      </c>
      <c r="I2110">
        <f>8*7.54*(workminutespa/12/5102)</f>
        <v>105.45950607604861</v>
      </c>
      <c r="J2110" t="s">
        <v>460</v>
      </c>
      <c r="K2110" s="85">
        <f t="shared" si="73"/>
        <v>131.23767542140337</v>
      </c>
      <c r="L2110" s="85" t="s">
        <v>1099</v>
      </c>
    </row>
    <row r="2111" spans="1:12">
      <c r="A2111" t="s">
        <v>1448</v>
      </c>
      <c r="B2111" t="s">
        <v>354</v>
      </c>
      <c r="C2111" t="s">
        <v>460</v>
      </c>
      <c r="D2111" t="s">
        <v>48</v>
      </c>
      <c r="E2111" s="70">
        <f>IF(B2111="","",INDEX(Ingredients!$I$1:$I$5013,(MATCH(InterventionCosts!B2111,Ingredients!$A$1:$A$5013,0))))</f>
        <v>4.8996605630293981</v>
      </c>
      <c r="F2111" s="5" t="str">
        <f>INDEX(Ingredients!J$1:J$265,(MATCH(InterventionCosts!B2111,Ingredients!A$1:A$265,0)))</f>
        <v>per minute</v>
      </c>
      <c r="G2111">
        <f>IF(B2111="","",INDEX(Ingredients!$E$1:$E$238,(MATCH(InterventionCosts!B2111,Ingredients!A$1:A$238,0))))</f>
        <v>2024</v>
      </c>
      <c r="H2111" t="str">
        <f>INDEX(Ingredients!$F$1:$F$318,(MATCH(InterventionCosts!B2111,Ingredients!A$1:A$318,0)))</f>
        <v xml:space="preserve">April 2024 Salary scale </v>
      </c>
      <c r="I2111">
        <f>16*7.54*(workminutespa/12/5102)</f>
        <v>210.91901215209722</v>
      </c>
      <c r="J2111" t="s">
        <v>460</v>
      </c>
      <c r="K2111" s="85">
        <f t="shared" si="73"/>
        <v>1033.4315658347491</v>
      </c>
      <c r="L2111" s="85" t="s">
        <v>1100</v>
      </c>
    </row>
    <row r="2112" spans="1:12">
      <c r="A2112" t="s">
        <v>1448</v>
      </c>
      <c r="B2112" t="s">
        <v>286</v>
      </c>
      <c r="C2112" t="s">
        <v>460</v>
      </c>
      <c r="D2112" t="s">
        <v>48</v>
      </c>
      <c r="E2112" s="70">
        <f>IF(B2112="","",INDEX(Ingredients!$I$1:$I$5013,(MATCH(InterventionCosts!B2112,Ingredients!$A$1:$A$5013,0))))</f>
        <v>3.2392279521674139</v>
      </c>
      <c r="F2112" s="5" t="str">
        <f>INDEX(Ingredients!J$1:J$265,(MATCH(InterventionCosts!B2112,Ingredients!A$1:A$265,0)))</f>
        <v>per minute</v>
      </c>
      <c r="G2112">
        <f>IF(B2112="","",INDEX(Ingredients!$E$1:$E$238,(MATCH(InterventionCosts!B2112,Ingredients!A$1:A$238,0))))</f>
        <v>2024</v>
      </c>
      <c r="H2112" t="str">
        <f>INDEX(Ingredients!$F$1:$F$318,(MATCH(InterventionCosts!B2112,Ingredients!A$1:A$318,0)))</f>
        <v xml:space="preserve">April 2024 Salary scale </v>
      </c>
      <c r="I2112">
        <f>4*7.54*(workminutespa/12/5102)</f>
        <v>52.729753038024306</v>
      </c>
      <c r="J2112" t="s">
        <v>460</v>
      </c>
      <c r="K2112" s="85">
        <f t="shared" si="73"/>
        <v>170.80368995165296</v>
      </c>
      <c r="L2112" s="85" t="s">
        <v>1097</v>
      </c>
    </row>
    <row r="2113" spans="1:14">
      <c r="A2113" t="s">
        <v>1448</v>
      </c>
      <c r="B2113" t="s">
        <v>1072</v>
      </c>
      <c r="C2113" t="s">
        <v>460</v>
      </c>
      <c r="D2113" t="s">
        <v>48</v>
      </c>
      <c r="E2113" s="70">
        <f>IF(B2113="","",INDEX(Ingredients!$I$1:$I$5013,(MATCH(InterventionCosts!B2113,Ingredients!$A$1:$A$5013,0))))</f>
        <v>2.5530496387643251</v>
      </c>
      <c r="F2113" s="5" t="str">
        <f>INDEX(Ingredients!J$1:J$265,(MATCH(InterventionCosts!B2113,Ingredients!A$1:A$265,0)))</f>
        <v>per minute</v>
      </c>
      <c r="G2113">
        <f>IF(B2113="","",INDEX(Ingredients!$E$1:$E$238,(MATCH(InterventionCosts!B2113,Ingredients!A$1:A$238,0))))</f>
        <v>2024</v>
      </c>
      <c r="H2113" t="str">
        <f>INDEX(Ingredients!$F$1:$F$318,(MATCH(InterventionCosts!B2113,Ingredients!A$1:A$318,0)))</f>
        <v xml:space="preserve">April 2024 Salary scale </v>
      </c>
      <c r="I2113">
        <f>1*7.54*(workminutespa/12/5102)</f>
        <v>13.182438259506077</v>
      </c>
      <c r="J2113" t="s">
        <v>460</v>
      </c>
      <c r="K2113" s="85">
        <f t="shared" si="73"/>
        <v>33.655419236465008</v>
      </c>
      <c r="L2113" s="85" t="s">
        <v>1098</v>
      </c>
    </row>
    <row r="2114" spans="1:14">
      <c r="A2114" t="s">
        <v>1448</v>
      </c>
      <c r="B2114" t="s">
        <v>1074</v>
      </c>
      <c r="C2114" t="s">
        <v>460</v>
      </c>
      <c r="D2114" t="s">
        <v>48</v>
      </c>
      <c r="E2114" s="70">
        <f>IF(B2114="","",INDEX(Ingredients!$I$1:$I$5013,(MATCH(InterventionCosts!B2114,Ingredients!$A$1:$A$5013,0))))</f>
        <v>2076.8733333333334</v>
      </c>
      <c r="F2114" s="5" t="str">
        <f>INDEX(Ingredients!J$1:J$265,(MATCH(InterventionCosts!B2114,Ingredients!A$1:A$265,0)))</f>
        <v>per month</v>
      </c>
      <c r="G2114">
        <f>IF(B2114="","",INDEX(Ingredients!$E$1:$E$238,(MATCH(InterventionCosts!B2114,Ingredients!A$1:A$238,0))))</f>
        <v>2024</v>
      </c>
      <c r="H2114" t="str">
        <f>INDEX(Ingredients!$F$1:$F$318,(MATCH(InterventionCosts!B2114,Ingredients!A$1:A$318,0)))</f>
        <v>https://www.gov.za/speeches/minister-thulas-nxesi-hikes-minimum-wage-farmworkers-and-domestic-workers-22-feb-2023-0000</v>
      </c>
      <c r="I2114">
        <f>13*7.54*(1/5102)</f>
        <v>1.921207369658957E-2</v>
      </c>
      <c r="J2114" t="s">
        <v>460</v>
      </c>
      <c r="K2114" s="85">
        <f t="shared" si="73"/>
        <v>39.901043538481638</v>
      </c>
      <c r="L2114" s="85" t="s">
        <v>1101</v>
      </c>
    </row>
    <row r="2115" spans="1:14">
      <c r="A2115" t="s">
        <v>1448</v>
      </c>
      <c r="B2115" t="s">
        <v>60</v>
      </c>
      <c r="C2115" t="s">
        <v>460</v>
      </c>
      <c r="D2115" t="s">
        <v>48</v>
      </c>
      <c r="E2115" s="70">
        <f>IF(B2115="","",INDEX(Ingredients!$I$1:$I$5013,(MATCH(InterventionCosts!B2115,Ingredients!$A$1:$A$5013,0))))</f>
        <v>9.1192801756352768</v>
      </c>
      <c r="F2115" s="5" t="str">
        <f>INDEX(Ingredients!J$1:J$265,(MATCH(InterventionCosts!B2115,Ingredients!A$1:A$265,0)))</f>
        <v>per minute</v>
      </c>
      <c r="G2115">
        <f>IF(B2115="","",INDEX(Ingredients!$E$1:$E$238,(MATCH(InterventionCosts!B2115,Ingredients!A$1:A$238,0))))</f>
        <v>2024</v>
      </c>
      <c r="H2115" t="str">
        <f>INDEX(Ingredients!$F$1:$F$318,(MATCH(InterventionCosts!B2115,Ingredients!A$1:A$318,0)))</f>
        <v xml:space="preserve">April 2024 Salary scale </v>
      </c>
      <c r="I2115">
        <f>1*7.54*(workminutespa/12/5102)</f>
        <v>13.182438259506077</v>
      </c>
      <c r="J2115" t="s">
        <v>460</v>
      </c>
      <c r="K2115" s="85">
        <f t="shared" si="73"/>
        <v>120.21434788644977</v>
      </c>
      <c r="L2115" s="85" t="s">
        <v>1098</v>
      </c>
    </row>
    <row r="2116" spans="1:14">
      <c r="A2116" t="s">
        <v>1448</v>
      </c>
      <c r="B2116" t="s">
        <v>1077</v>
      </c>
      <c r="C2116" t="s">
        <v>460</v>
      </c>
      <c r="D2116" t="s">
        <v>48</v>
      </c>
      <c r="E2116" s="70">
        <f>IF(B2116="","",INDEX(Ingredients!$I$1:$I$5013,(MATCH(InterventionCosts!B2116,Ingredients!$A$1:$A$5013,0))))</f>
        <v>2.1347303967364222</v>
      </c>
      <c r="F2116" s="5" t="str">
        <f>INDEX(Ingredients!J$1:J$265,(MATCH(InterventionCosts!B2116,Ingredients!A$1:A$265,0)))</f>
        <v>per minute</v>
      </c>
      <c r="G2116">
        <f>IF(B2116="","",INDEX(Ingredients!$E$1:$E$238,(MATCH(InterventionCosts!B2116,Ingredients!A$1:A$238,0))))</f>
        <v>2024</v>
      </c>
      <c r="H2116" t="str">
        <f>INDEX(Ingredients!$F$1:$F$318,(MATCH(InterventionCosts!B2116,Ingredients!A$1:A$318,0)))</f>
        <v xml:space="preserve">April 2024 Salary scale </v>
      </c>
      <c r="I2116">
        <f>4*7.54*(workminutespa/12/5102)</f>
        <v>52.729753038024306</v>
      </c>
      <c r="J2116" t="s">
        <v>460</v>
      </c>
      <c r="K2116" s="85">
        <f t="shared" si="73"/>
        <v>112.56380662267519</v>
      </c>
      <c r="L2116" s="85" t="s">
        <v>1097</v>
      </c>
    </row>
    <row r="2117" spans="1:14">
      <c r="A2117" t="s">
        <v>1448</v>
      </c>
      <c r="B2117" t="s">
        <v>1078</v>
      </c>
      <c r="C2117" t="s">
        <v>460</v>
      </c>
      <c r="D2117" t="s">
        <v>48</v>
      </c>
      <c r="E2117" s="70">
        <f>IF(B2117="","",INDEX(Ingredients!$I$1:$I$5013,(MATCH(InterventionCosts!B2117,Ingredients!$A$1:$A$5013,0))))</f>
        <v>13.503224277528648</v>
      </c>
      <c r="F2117" s="5" t="str">
        <f>INDEX(Ingredients!J$1:J$265,(MATCH(InterventionCosts!B2117,Ingredients!A$1:A$265,0)))</f>
        <v>per minute</v>
      </c>
      <c r="G2117">
        <f>IF(B2117="","",INDEX(Ingredients!$E$1:$E$238,(MATCH(InterventionCosts!B2117,Ingredients!A$1:A$238,0))))</f>
        <v>2024</v>
      </c>
      <c r="H2117" t="str">
        <f>INDEX(Ingredients!$F$1:$F$318,(MATCH(InterventionCosts!B2117,Ingredients!A$1:A$318,0)))</f>
        <v xml:space="preserve">April 2024 Salary scale </v>
      </c>
      <c r="I2117">
        <f>2*7.54*(workminutespa/12/5102)</f>
        <v>26.364876519012153</v>
      </c>
      <c r="J2117" t="s">
        <v>460</v>
      </c>
      <c r="K2117" s="85">
        <f t="shared" si="73"/>
        <v>356.01084068556992</v>
      </c>
      <c r="L2117" s="85" t="s">
        <v>1102</v>
      </c>
    </row>
    <row r="2118" spans="1:14">
      <c r="A2118" t="s">
        <v>1448</v>
      </c>
      <c r="B2118" t="s">
        <v>477</v>
      </c>
      <c r="C2118" t="s">
        <v>406</v>
      </c>
      <c r="D2118" t="s">
        <v>81</v>
      </c>
      <c r="E2118" s="70">
        <f>IF(B2118="","",INDEX(Ingredients!$I$1:$I$5013,(MATCH(InterventionCosts!B2118,Ingredients!$A$1:$A$5013,0))))</f>
        <v>88.256346376062865</v>
      </c>
      <c r="F2118" s="5" t="str">
        <f>INDEX(Ingredients!J$1:J$265,(MATCH(InterventionCosts!B2118,Ingredients!A$1:A$265,0)))</f>
        <v>per visit</v>
      </c>
      <c r="G2118">
        <f>IF(B2118="","",INDEX(Ingredients!$E$1:$E$238,(MATCH(InterventionCosts!B2118,Ingredients!A$1:A$238,0))))</f>
        <v>2019</v>
      </c>
      <c r="H2118" t="str">
        <f>INDEX(Ingredients!$F$1:$F$318,(MATCH(InterventionCosts!B2118,Ingredients!A$1:A$318,0)))</f>
        <v xml:space="preserve">Long L, Girdwood S, Govender K, Meyer-Rath G, Miot J: Cost and outcomes of routine HIV care and treatment: A comparison of public and private delivery models covering low-income earners in South Africa. Preprint available under DOI: https://doi.org/10.21203/rs.3.rs-960517/v1    </v>
      </c>
      <c r="I2118">
        <f>PPPvisitperpt</f>
        <v>7.54</v>
      </c>
      <c r="J2118" t="s">
        <v>485</v>
      </c>
      <c r="K2118" s="85">
        <f t="shared" si="73"/>
        <v>665.45285167551401</v>
      </c>
    </row>
    <row r="2119" spans="1:14" s="89" customFormat="1">
      <c r="A2119" s="4" t="s">
        <v>1448</v>
      </c>
      <c r="F2119" s="89" t="s">
        <v>1164</v>
      </c>
      <c r="K2119" s="90"/>
      <c r="L2119" s="90">
        <f>SUM(K2092:K2118)</f>
        <v>9325.8172797761781</v>
      </c>
      <c r="M2119" s="92"/>
      <c r="N2119" s="4"/>
    </row>
    <row r="2120" spans="1:14" s="89" customFormat="1">
      <c r="A2120" s="4" t="s">
        <v>1448</v>
      </c>
      <c r="F2120" s="89" t="s">
        <v>117</v>
      </c>
      <c r="K2120" s="90"/>
      <c r="L2120" s="90" t="s">
        <v>937</v>
      </c>
    </row>
    <row r="2122" spans="1:14">
      <c r="A2122" t="s">
        <v>1449</v>
      </c>
      <c r="B2122" t="s">
        <v>866</v>
      </c>
      <c r="C2122" t="s">
        <v>459</v>
      </c>
      <c r="D2122" t="s">
        <v>70</v>
      </c>
      <c r="E2122" s="70">
        <f>IF(B2122="","",INDEX(Ingredients!$I$1:$I$5013,(MATCH(InterventionCosts!B2122,Ingredients!$A$1:$A$5013,0))))</f>
        <v>13.383533434462946</v>
      </c>
      <c r="F2122" s="5" t="str">
        <f>INDEX(Ingredients!J$1:J$265,(MATCH(InterventionCosts!B2122,Ingredients!A$1:A$265,0)))</f>
        <v>per day</v>
      </c>
      <c r="G2122">
        <f>IF(B2122="","",INDEX(Ingredients!$E$1:$E$238,(MATCH(InterventionCosts!B2122,Ingredients!A$1:A$238,0))))</f>
        <v>2024</v>
      </c>
      <c r="H2122" t="str">
        <f>INDEX(Ingredients!$F$1:$F$318,(MATCH(InterventionCosts!B2122,Ingredients!A$1:A$318,0)))</f>
        <v>Master Procurement Circular May 2024</v>
      </c>
      <c r="I2122">
        <f>12*30*'ART kids distribution'!$C$14</f>
        <v>294.14634146341461</v>
      </c>
      <c r="J2122" t="s">
        <v>406</v>
      </c>
      <c r="K2122" s="85">
        <f t="shared" ref="K2122:K2148" si="76">I2122*E2122</f>
        <v>3936.7173956005636</v>
      </c>
    </row>
    <row r="2123" spans="1:14">
      <c r="A2123" t="s">
        <v>1449</v>
      </c>
      <c r="B2123" t="s">
        <v>895</v>
      </c>
      <c r="C2123" t="s">
        <v>459</v>
      </c>
      <c r="D2123" t="s">
        <v>70</v>
      </c>
      <c r="E2123" s="70">
        <f>IF(B2123="","",INDEX(Ingredients!$I$1:$I$5013,(MATCH(InterventionCosts!B2123,Ingredients!$A$1:$A$5013,0))))</f>
        <v>9.4072834344629435</v>
      </c>
      <c r="F2123" s="5" t="str">
        <f>INDEX(Ingredients!J$1:J$265,(MATCH(InterventionCosts!B2123,Ingredients!A$1:A$265,0)))</f>
        <v>per day</v>
      </c>
      <c r="G2123">
        <f>IF(B2123="","",INDEX(Ingredients!$E$1:$E$238,(MATCH(InterventionCosts!B2123,Ingredients!A$1:A$238,0))))</f>
        <v>2024</v>
      </c>
      <c r="H2123" t="str">
        <f>INDEX(Ingredients!$F$1:$F$318,(MATCH(InterventionCosts!B2123,Ingredients!A$1:A$318,0)))</f>
        <v>Master Procurement Circular May 2024</v>
      </c>
      <c r="I2123">
        <f>12*30*'ART kids distribution'!$D$14</f>
        <v>8.7804878048780495</v>
      </c>
      <c r="J2123" t="s">
        <v>406</v>
      </c>
      <c r="K2123" s="85">
        <f t="shared" si="76"/>
        <v>82.600537473333162</v>
      </c>
    </row>
    <row r="2124" spans="1:14">
      <c r="A2124" t="s">
        <v>1449</v>
      </c>
      <c r="B2124" t="s">
        <v>894</v>
      </c>
      <c r="C2124" t="s">
        <v>459</v>
      </c>
      <c r="D2124" t="s">
        <v>70</v>
      </c>
      <c r="E2124" s="70">
        <f>IF(B2124="","",INDEX(Ingredients!$I$1:$I$5013,(MATCH(InterventionCosts!B2124,Ingredients!$A$1:$A$5013,0))))</f>
        <v>20.951533434462945</v>
      </c>
      <c r="F2124" s="5" t="str">
        <f>INDEX(Ingredients!J$1:J$265,(MATCH(InterventionCosts!B2124,Ingredients!A$1:A$265,0)))</f>
        <v>per day</v>
      </c>
      <c r="G2124">
        <f>IF(B2124="","",INDEX(Ingredients!$E$1:$E$238,(MATCH(InterventionCosts!B2124,Ingredients!A$1:A$238,0))))</f>
        <v>2024</v>
      </c>
      <c r="H2124" t="str">
        <f>INDEX(Ingredients!$F$1:$F$318,(MATCH(InterventionCosts!B2124,Ingredients!A$1:A$318,0)))</f>
        <v>Master Procurement Circular May 2024</v>
      </c>
      <c r="I2124">
        <f>12*30*'ART kids distribution'!$F$14</f>
        <v>57.073170731707314</v>
      </c>
      <c r="J2124" t="s">
        <v>406</v>
      </c>
      <c r="K2124" s="85">
        <f t="shared" si="76"/>
        <v>1195.7704447961778</v>
      </c>
    </row>
    <row r="2125" spans="1:14">
      <c r="A2125" t="s">
        <v>1449</v>
      </c>
      <c r="B2125" s="273" t="s">
        <v>1147</v>
      </c>
      <c r="C2125" t="s">
        <v>1151</v>
      </c>
      <c r="D2125" t="s">
        <v>67</v>
      </c>
      <c r="E2125" s="70">
        <f>IF(B2125="","",INDEX(Ingredients!$I$1:$I$5013,(MATCH(InterventionCosts!B2125,Ingredients!$A$1:$A$5013,0))))</f>
        <v>96609.835920812693</v>
      </c>
      <c r="F2125" s="5" t="str">
        <f>INDEX(Ingredients!J$1:J$265,(MATCH(InterventionCosts!B2125,Ingredients!A$1:A$265,0)))</f>
        <v>per machine</v>
      </c>
      <c r="G2125">
        <f>IF(B2125="","",INDEX(Ingredients!$E$1:$E$238,(MATCH(InterventionCosts!B2125,Ingredients!A$1:A$238,0))))</f>
        <v>2024</v>
      </c>
      <c r="H2125" t="str">
        <f>INDEX(Ingredients!$F$1:$F$318,(MATCH(InterventionCosts!B2125,Ingredients!A$1:A$318,0)))</f>
        <v>https://www.stoptb.org/sites/default/files/gdf_diagnostics_medical_devices_other_health_products_catalog_0.pdf</v>
      </c>
      <c r="I2125" s="274">
        <f>1/(2300*0.6)</f>
        <v>7.246376811594203E-4</v>
      </c>
      <c r="J2125" s="274" t="s">
        <v>1157</v>
      </c>
      <c r="K2125" s="85">
        <f t="shared" ref="K2125:K2134" si="77">E2125*I2125</f>
        <v>70.007127478849782</v>
      </c>
    </row>
    <row r="2126" spans="1:14">
      <c r="A2126" t="s">
        <v>1449</v>
      </c>
      <c r="B2126" s="273" t="s">
        <v>1148</v>
      </c>
      <c r="C2126" t="s">
        <v>1151</v>
      </c>
      <c r="D2126" t="s">
        <v>21</v>
      </c>
      <c r="E2126" s="70">
        <f>IF(B2126="","",INDEX(Ingredients!$I$1:$I$5013,(MATCH(InterventionCosts!B2126,Ingredients!$A$1:$A$5013,0))))</f>
        <v>319.75037364827585</v>
      </c>
      <c r="F2126" s="5" t="str">
        <f>INDEX(Ingredients!J$1:J$265,(MATCH(InterventionCosts!B2126,Ingredients!A$1:A$265,0)))</f>
        <v>per test</v>
      </c>
      <c r="G2126">
        <f>IF(B2126="","",INDEX(Ingredients!$E$1:$E$238,(MATCH(InterventionCosts!B2126,Ingredients!A$1:A$238,0))))</f>
        <v>2024</v>
      </c>
      <c r="H2126" t="str">
        <f>INDEX(Ingredients!$F$1:$F$318,(MATCH(InterventionCosts!B2126,Ingredients!A$1:A$318,0)))</f>
        <v>https://www.stoptb.org/sites/default/files/gdf_diagnostics_medical_devices_other_health_products_catalog_0.pdf</v>
      </c>
      <c r="I2126" s="274">
        <v>1</v>
      </c>
      <c r="J2126" t="s">
        <v>1151</v>
      </c>
      <c r="K2126" s="85">
        <f t="shared" si="77"/>
        <v>319.75037364827585</v>
      </c>
    </row>
    <row r="2127" spans="1:14">
      <c r="A2127" t="s">
        <v>1449</v>
      </c>
      <c r="B2127" s="273" t="s">
        <v>1149</v>
      </c>
      <c r="C2127" t="s">
        <v>1151</v>
      </c>
      <c r="D2127" t="s">
        <v>81</v>
      </c>
      <c r="E2127" s="70">
        <f>IF(B2127="","",INDEX(Ingredients!$I$1:$I$5013,(MATCH(InterventionCosts!B2127,Ingredients!$A$1:$A$5013,0))))</f>
        <v>34756.611222699823</v>
      </c>
      <c r="F2127" s="5" t="str">
        <f>INDEX(Ingredients!J$1:J$265,(MATCH(InterventionCosts!B2127,Ingredients!A$1:A$265,0)))</f>
        <v>per setup</v>
      </c>
      <c r="G2127">
        <f>IF(B2127="","",INDEX(Ingredients!$E$1:$E$238,(MATCH(InterventionCosts!B2127,Ingredients!A$1:A$238,0))))</f>
        <v>2024</v>
      </c>
      <c r="H2127" t="str">
        <f>INDEX(Ingredients!$F$1:$F$318,(MATCH(InterventionCosts!B2127,Ingredients!A$1:A$318,0)))</f>
        <v>https://www.stoptb.org/sites/default/files/gdf_diagnostics_medical_devices_other_health_products_catalog_0.pdf</v>
      </c>
      <c r="I2127" s="274">
        <f>1/(2300*0.6)</f>
        <v>7.246376811594203E-4</v>
      </c>
      <c r="J2127" s="274" t="s">
        <v>1157</v>
      </c>
      <c r="K2127" s="85">
        <f t="shared" si="77"/>
        <v>25.185950161376685</v>
      </c>
    </row>
    <row r="2128" spans="1:14">
      <c r="A2128" t="s">
        <v>1449</v>
      </c>
      <c r="B2128" s="273" t="s">
        <v>1156</v>
      </c>
      <c r="C2128" t="s">
        <v>1151</v>
      </c>
      <c r="D2128" t="s">
        <v>48</v>
      </c>
      <c r="E2128" s="70">
        <f>IF(B2128="","",INDEX(Ingredients!$I$1:$I$5013,(MATCH(InterventionCosts!B2128,Ingredients!$A$1:$A$5013,0))))</f>
        <v>5619.5309209141369</v>
      </c>
      <c r="F2128" s="5" t="str">
        <f>INDEX(Ingredients!J$1:J$265,(MATCH(InterventionCosts!B2128,Ingredients!A$1:A$265,0)))</f>
        <v>per setup</v>
      </c>
      <c r="G2128">
        <f>IF(B2128="","",INDEX(Ingredients!$E$1:$E$238,(MATCH(InterventionCosts!B2128,Ingredients!A$1:A$238,0))))</f>
        <v>2019</v>
      </c>
      <c r="H2128" t="str">
        <f>INDEX(Ingredients!$F$1:$F$318,(MATCH(InterventionCosts!B2128,Ingredients!A$1:A$318,0)))</f>
        <v>Sarah Girdwood, https://www.ncbi.nlm.nih.gov/pmc/articles/PMC7700965/pdf/main.pdf</v>
      </c>
      <c r="I2128" s="274">
        <f t="shared" ref="I2128:I2132" si="78">1/(2300*0.6)</f>
        <v>7.246376811594203E-4</v>
      </c>
      <c r="J2128" t="s">
        <v>1151</v>
      </c>
      <c r="K2128" s="85">
        <f t="shared" si="77"/>
        <v>4.0721238557348816</v>
      </c>
    </row>
    <row r="2129" spans="1:12">
      <c r="A2129" t="s">
        <v>1449</v>
      </c>
      <c r="B2129" s="273" t="s">
        <v>1150</v>
      </c>
      <c r="C2129" t="s">
        <v>1151</v>
      </c>
      <c r="D2129" t="s">
        <v>48</v>
      </c>
      <c r="E2129" s="70">
        <f>IF(B2129="","",INDEX(Ingredients!$I$1:$I$5013,(MATCH(InterventionCosts!B2129,Ingredients!$A$1:$A$5013,0))))</f>
        <v>5690.1603086312934</v>
      </c>
      <c r="F2129" s="5" t="str">
        <f>INDEX(Ingredients!J$1:J$265,(MATCH(InterventionCosts!B2129,Ingredients!A$1:A$265,0)))</f>
        <v>per setup</v>
      </c>
      <c r="G2129">
        <f>IF(B2129="","",INDEX(Ingredients!$E$1:$E$238,(MATCH(InterventionCosts!B2129,Ingredients!A$1:A$238,0))))</f>
        <v>2019</v>
      </c>
      <c r="H2129" t="str">
        <f>INDEX(Ingredients!$F$1:$F$318,(MATCH(InterventionCosts!B2129,Ingredients!A$1:A$318,0)))</f>
        <v>Sarah Girdwood, https://www.ncbi.nlm.nih.gov/pmc/articles/PMC7700965/pdf/main.pdf</v>
      </c>
      <c r="I2129" s="274">
        <f t="shared" si="78"/>
        <v>7.246376811594203E-4</v>
      </c>
      <c r="J2129" t="s">
        <v>1151</v>
      </c>
      <c r="K2129" s="85">
        <f t="shared" si="77"/>
        <v>4.1233045714719516</v>
      </c>
    </row>
    <row r="2130" spans="1:12">
      <c r="A2130" t="s">
        <v>1449</v>
      </c>
      <c r="B2130" s="273" t="s">
        <v>1155</v>
      </c>
      <c r="C2130" t="s">
        <v>1151</v>
      </c>
      <c r="D2130" t="s">
        <v>67</v>
      </c>
      <c r="E2130" s="70">
        <f>IF(B2130="","",INDEX(Ingredients!$I$1:$I$5013,(MATCH(InterventionCosts!B2130,Ingredients!$A$1:$A$5013,0))))</f>
        <v>11917.103963912978</v>
      </c>
      <c r="F2130" s="5" t="str">
        <f>INDEX(Ingredients!J$1:J$265,(MATCH(InterventionCosts!B2130,Ingredients!A$1:A$265,0)))</f>
        <v>per setup</v>
      </c>
      <c r="G2130">
        <f>IF(B2130="","",INDEX(Ingredients!$E$1:$E$238,(MATCH(InterventionCosts!B2130,Ingredients!A$1:A$238,0))))</f>
        <v>2019</v>
      </c>
      <c r="H2130" t="str">
        <f>INDEX(Ingredients!$F$1:$F$318,(MATCH(InterventionCosts!B2130,Ingredients!A$1:A$318,0)))</f>
        <v>Sarah Girdwood, https://www.ncbi.nlm.nih.gov/pmc/articles/PMC7700965/pdf/main.pdf</v>
      </c>
      <c r="I2130" s="274">
        <f t="shared" si="78"/>
        <v>7.246376811594203E-4</v>
      </c>
      <c r="J2130" t="s">
        <v>1151</v>
      </c>
      <c r="K2130" s="85">
        <f t="shared" si="77"/>
        <v>8.635582582545636</v>
      </c>
    </row>
    <row r="2131" spans="1:12">
      <c r="A2131" t="s">
        <v>1449</v>
      </c>
      <c r="B2131" s="273" t="s">
        <v>1154</v>
      </c>
      <c r="C2131" t="s">
        <v>1151</v>
      </c>
      <c r="D2131" t="s">
        <v>81</v>
      </c>
      <c r="E2131" s="70">
        <f>IF(B2131="","",INDEX(Ingredients!$I$1:$I$5013,(MATCH(InterventionCosts!B2131,Ingredients!$A$1:$A$5013,0))))</f>
        <v>8006.8042257540328</v>
      </c>
      <c r="F2131" s="5" t="str">
        <f>INDEX(Ingredients!J$1:J$265,(MATCH(InterventionCosts!B2131,Ingredients!A$1:A$265,0)))</f>
        <v>per setup</v>
      </c>
      <c r="G2131">
        <f>IF(B2131="","",INDEX(Ingredients!$E$1:$E$238,(MATCH(InterventionCosts!B2131,Ingredients!A$1:A$238,0))))</f>
        <v>2019</v>
      </c>
      <c r="H2131" t="str">
        <f>INDEX(Ingredients!$F$1:$F$318,(MATCH(InterventionCosts!B2131,Ingredients!A$1:A$318,0)))</f>
        <v>https://www.ncbi.nlm.nih.gov/pmc/articles/PMC7700965/pdf/main.pdf</v>
      </c>
      <c r="I2131" s="274">
        <f t="shared" si="78"/>
        <v>7.246376811594203E-4</v>
      </c>
      <c r="J2131" t="s">
        <v>1151</v>
      </c>
      <c r="K2131" s="85">
        <f t="shared" si="77"/>
        <v>5.8020320476478497</v>
      </c>
    </row>
    <row r="2132" spans="1:12">
      <c r="A2132" t="s">
        <v>1449</v>
      </c>
      <c r="B2132" s="273" t="s">
        <v>1153</v>
      </c>
      <c r="C2132" t="s">
        <v>1151</v>
      </c>
      <c r="D2132" t="s">
        <v>81</v>
      </c>
      <c r="E2132" s="70">
        <f>IF(B2132="","",INDEX(Ingredients!$I$1:$I$5013,(MATCH(InterventionCosts!B2132,Ingredients!$A$1:$A$5013,0))))</f>
        <v>22740.094503552911</v>
      </c>
      <c r="F2132" s="5" t="str">
        <f>INDEX(Ingredients!J$1:J$265,(MATCH(InterventionCosts!B2132,Ingredients!A$1:A$265,0)))</f>
        <v>per setup</v>
      </c>
      <c r="G2132">
        <f>IF(B2132="","",INDEX(Ingredients!$E$1:$E$238,(MATCH(InterventionCosts!B2132,Ingredients!A$1:A$238,0))))</f>
        <v>2019</v>
      </c>
      <c r="H2132" t="str">
        <f>INDEX(Ingredients!$F$1:$F$318,(MATCH(InterventionCosts!B2132,Ingredients!A$1:A$318,0)))</f>
        <v>https://www.ncbi.nlm.nih.gov/pmc/articles/PMC7700965/pdf/main.pdf</v>
      </c>
      <c r="I2132" s="274">
        <f t="shared" si="78"/>
        <v>7.246376811594203E-4</v>
      </c>
      <c r="J2132" t="s">
        <v>1151</v>
      </c>
      <c r="K2132" s="85">
        <f t="shared" si="77"/>
        <v>16.47832935040066</v>
      </c>
    </row>
    <row r="2133" spans="1:12">
      <c r="A2133" t="s">
        <v>1449</v>
      </c>
      <c r="B2133" s="273" t="s">
        <v>1152</v>
      </c>
      <c r="C2133" t="s">
        <v>1151</v>
      </c>
      <c r="D2133" t="s">
        <v>21</v>
      </c>
      <c r="E2133" s="70">
        <f>IF(B2133="","",INDEX(Ingredients!$I$1:$I$5013,(MATCH(InterventionCosts!B2133,Ingredients!$A$1:$A$5013,0))))</f>
        <v>3.608519627003822</v>
      </c>
      <c r="F2133" s="5" t="str">
        <f>INDEX(Ingredients!J$1:J$265,(MATCH(InterventionCosts!B2133,Ingredients!A$1:A$265,0)))</f>
        <v>per test</v>
      </c>
      <c r="G2133">
        <f>IF(B2133="","",INDEX(Ingredients!$E$1:$E$238,(MATCH(InterventionCosts!B2133,Ingredients!A$1:A$238,0))))</f>
        <v>2019</v>
      </c>
      <c r="H2133" t="str">
        <f>INDEX(Ingredients!$F$1:$F$318,(MATCH(InterventionCosts!B2133,Ingredients!A$1:A$318,0)))</f>
        <v>Sarah Girdwood, https://www.ncbi.nlm.nih.gov/pmc/articles/PMC7700965/pdf/main.pdf</v>
      </c>
      <c r="I2133" s="274">
        <v>1</v>
      </c>
      <c r="J2133" t="s">
        <v>1151</v>
      </c>
      <c r="K2133" s="85">
        <f t="shared" si="77"/>
        <v>3.608519627003822</v>
      </c>
    </row>
    <row r="2134" spans="1:12">
      <c r="A2134" t="s">
        <v>1449</v>
      </c>
      <c r="B2134" s="273" t="s">
        <v>286</v>
      </c>
      <c r="C2134" t="s">
        <v>1151</v>
      </c>
      <c r="D2134" t="s">
        <v>48</v>
      </c>
      <c r="E2134" s="70">
        <f>IF(B2134="","",INDEX(Ingredients!$I$1:$I$5013,(MATCH(InterventionCosts!B2134,Ingredients!$A$1:$A$5013,0))))</f>
        <v>3.2392279521674139</v>
      </c>
      <c r="F2134" s="5" t="str">
        <f>INDEX(Ingredients!J$1:J$265,(MATCH(InterventionCosts!B2134,Ingredients!A$1:A$265,0)))</f>
        <v>per minute</v>
      </c>
      <c r="G2134">
        <f>IF(B2134="","",INDEX(Ingredients!$E$1:$E$238,(MATCH(InterventionCosts!B2134,Ingredients!A$1:A$238,0))))</f>
        <v>2024</v>
      </c>
      <c r="H2134" t="str">
        <f>INDEX(Ingredients!$F$1:$F$318,(MATCH(InterventionCosts!B2134,Ingredients!A$1:A$318,0)))</f>
        <v xml:space="preserve">April 2024 Salary scale </v>
      </c>
      <c r="I2134" s="274">
        <f>5.6+5.4+17.1+5</f>
        <v>33.1</v>
      </c>
      <c r="J2134" t="s">
        <v>1151</v>
      </c>
      <c r="K2134" s="85">
        <f t="shared" si="77"/>
        <v>107.2184452167414</v>
      </c>
    </row>
    <row r="2135" spans="1:12">
      <c r="A2135" t="s">
        <v>1449</v>
      </c>
      <c r="B2135" t="s">
        <v>458</v>
      </c>
      <c r="C2135" t="s">
        <v>459</v>
      </c>
      <c r="D2135" t="s">
        <v>75</v>
      </c>
      <c r="E2135" s="70">
        <f>IF(B2135="","",INDEX(Ingredients!$I$1:$I$5013,(MATCH(InterventionCosts!B2135,Ingredients!$A$1:$A$5013,0))))</f>
        <v>86.59037211495</v>
      </c>
      <c r="F2135" s="5" t="str">
        <f>INDEX(Ingredients!J$1:J$265,(MATCH(InterventionCosts!B2135,Ingredients!A$1:A$265,0)))</f>
        <v>per test</v>
      </c>
      <c r="G2135">
        <f>IF(B2135="","",INDEX(Ingredients!$E$1:$E$238,(MATCH(InterventionCosts!B2135,Ingredients!A$1:A$238,0))))</f>
        <v>2021</v>
      </c>
      <c r="H2135" t="str">
        <f>INDEX(Ingredients!$F$1:$F$318,(MATCH(InterventionCosts!B2135,Ingredients!A$1:A$318,0)))</f>
        <v>NHLS 2021 price-list</v>
      </c>
      <c r="I2135">
        <v>1</v>
      </c>
      <c r="J2135" t="s">
        <v>459</v>
      </c>
      <c r="K2135" s="85">
        <f t="shared" si="76"/>
        <v>86.59037211495</v>
      </c>
    </row>
    <row r="2136" spans="1:12">
      <c r="A2136" t="s">
        <v>1449</v>
      </c>
      <c r="B2136" t="s">
        <v>52</v>
      </c>
      <c r="C2136" t="s">
        <v>460</v>
      </c>
      <c r="D2136" t="s">
        <v>48</v>
      </c>
      <c r="E2136" s="70">
        <f>IF(B2136="","",INDEX(Ingredients!$I$1:$I$5013,(MATCH(InterventionCosts!B2136,Ingredients!$A$1:$A$5013,0))))</f>
        <v>1.8019482436472347</v>
      </c>
      <c r="F2136" s="5" t="str">
        <f>INDEX(Ingredients!J$1:J$265,(MATCH(InterventionCosts!B2136,Ingredients!A$1:A$265,0)))</f>
        <v>per minute</v>
      </c>
      <c r="G2136">
        <f>IF(B2136="","",INDEX(Ingredients!$E$1:$E$238,(MATCH(InterventionCosts!B2136,Ingredients!A$1:A$238,0))))</f>
        <v>2024</v>
      </c>
      <c r="H2136" t="str">
        <f>INDEX(Ingredients!$F$1:$F$318,(MATCH(InterventionCosts!B2136,Ingredients!A$1:A$318,0)))</f>
        <v xml:space="preserve">April 2024 Salary scale </v>
      </c>
      <c r="I2136">
        <f>4*4*(workminutespa/12/5102)</f>
        <v>27.973343786750295</v>
      </c>
      <c r="J2136" t="s">
        <v>460</v>
      </c>
      <c r="K2136" s="85">
        <f t="shared" si="76"/>
        <v>50.406517705474982</v>
      </c>
      <c r="L2136" s="85" t="s">
        <v>1079</v>
      </c>
    </row>
    <row r="2137" spans="1:12">
      <c r="A2137" t="s">
        <v>1449</v>
      </c>
      <c r="B2137" t="s">
        <v>55</v>
      </c>
      <c r="C2137" t="s">
        <v>460</v>
      </c>
      <c r="D2137" t="s">
        <v>48</v>
      </c>
      <c r="E2137" s="70">
        <f>IF(B2137="","",INDEX(Ingredients!$I$1:$I$5013,(MATCH(InterventionCosts!B2137,Ingredients!$A$1:$A$5013,0))))</f>
        <v>1.8549350710014947</v>
      </c>
      <c r="F2137" s="5" t="str">
        <f>INDEX(Ingredients!J$1:J$265,(MATCH(InterventionCosts!B2137,Ingredients!A$1:A$265,0)))</f>
        <v>per minute</v>
      </c>
      <c r="G2137">
        <f>IF(B2137="","",INDEX(Ingredients!$E$1:$E$238,(MATCH(InterventionCosts!B2137,Ingredients!A$1:A$238,0))))</f>
        <v>2024</v>
      </c>
      <c r="H2137" t="str">
        <f>INDEX(Ingredients!$F$1:$F$318,(MATCH(InterventionCosts!B2137,Ingredients!A$1:A$318,0)))</f>
        <v xml:space="preserve">April 2024 Salary scale </v>
      </c>
      <c r="I2137">
        <f>4*4*(workminutespa/12/5102)</f>
        <v>27.973343786750295</v>
      </c>
      <c r="J2137" t="s">
        <v>460</v>
      </c>
      <c r="K2137" s="85">
        <f t="shared" si="76"/>
        <v>51.888736443224879</v>
      </c>
      <c r="L2137" s="85" t="s">
        <v>1079</v>
      </c>
    </row>
    <row r="2138" spans="1:12">
      <c r="A2138" t="s">
        <v>1449</v>
      </c>
      <c r="B2138" t="s">
        <v>1070</v>
      </c>
      <c r="C2138" t="s">
        <v>460</v>
      </c>
      <c r="D2138" t="s">
        <v>48</v>
      </c>
      <c r="E2138" s="70">
        <f>IF(B2138="","",INDEX(Ingredients!$I$1:$I$5013,(MATCH(InterventionCosts!B2138,Ingredients!$A$1:$A$5013,0))))</f>
        <v>2.443981128550075</v>
      </c>
      <c r="F2138" s="5" t="str">
        <f>INDEX(Ingredients!J$1:J$265,(MATCH(InterventionCosts!B2138,Ingredients!A$1:A$265,0)))</f>
        <v>per minute</v>
      </c>
      <c r="G2138">
        <f>IF(B2138="","",INDEX(Ingredients!$E$1:$E$238,(MATCH(InterventionCosts!B2138,Ingredients!A$1:A$238,0))))</f>
        <v>2024</v>
      </c>
      <c r="H2138" t="str">
        <f>INDEX(Ingredients!$F$1:$F$318,(MATCH(InterventionCosts!B2138,Ingredients!A$1:A$318,0)))</f>
        <v xml:space="preserve">April 2024 Salary scale </v>
      </c>
      <c r="I2138">
        <f>1*4*(workminutespa/12/5102)</f>
        <v>6.9933359466875737</v>
      </c>
      <c r="J2138" t="s">
        <v>460</v>
      </c>
      <c r="K2138" s="85">
        <f t="shared" si="76"/>
        <v>17.091581079315304</v>
      </c>
      <c r="L2138" s="85" t="s">
        <v>1080</v>
      </c>
    </row>
    <row r="2139" spans="1:12">
      <c r="A2139" t="s">
        <v>1449</v>
      </c>
      <c r="B2139" t="s">
        <v>51</v>
      </c>
      <c r="C2139" t="s">
        <v>460</v>
      </c>
      <c r="D2139" t="s">
        <v>48</v>
      </c>
      <c r="E2139" s="70">
        <f>IF(B2139="","",INDEX(Ingredients!$I$1:$I$5013,(MATCH(InterventionCosts!B2139,Ingredients!$A$1:$A$5013,0))))</f>
        <v>4100.2266666666665</v>
      </c>
      <c r="F2139" s="5" t="str">
        <f>INDEX(Ingredients!J$1:J$265,(MATCH(InterventionCosts!B2139,Ingredients!A$1:A$265,0)))</f>
        <v>per month</v>
      </c>
      <c r="G2139">
        <f>IF(B2139="","",INDEX(Ingredients!$E$1:$E$238,(MATCH(InterventionCosts!B2139,Ingredients!A$1:A$238,0))))</f>
        <v>2024</v>
      </c>
      <c r="H2139" t="str">
        <f>INDEX(Ingredients!$F$1:$F$318,(MATCH(InterventionCosts!B2139,Ingredients!A$1:A$318,0)))</f>
        <v>https://www.gov.za/news/media-statements/government-activities/minister-thulas-nxesi-announces-national-minimum-wage</v>
      </c>
      <c r="I2139">
        <f>1*4*(1/5102)</f>
        <v>7.840062720501764E-4</v>
      </c>
      <c r="J2139" t="s">
        <v>460</v>
      </c>
      <c r="K2139" s="85">
        <f t="shared" si="76"/>
        <v>3.2146034234940544</v>
      </c>
      <c r="L2139" s="85" t="s">
        <v>1080</v>
      </c>
    </row>
    <row r="2140" spans="1:12">
      <c r="A2140" t="s">
        <v>1449</v>
      </c>
      <c r="B2140" t="s">
        <v>54</v>
      </c>
      <c r="C2140" t="s">
        <v>460</v>
      </c>
      <c r="D2140" t="s">
        <v>48</v>
      </c>
      <c r="E2140" s="70">
        <f>IF(B2140="","",INDEX(Ingredients!$I$1:$I$5013,(MATCH(InterventionCosts!B2140,Ingredients!$A$1:$A$5013,0))))</f>
        <v>1.2444366591928251</v>
      </c>
      <c r="F2140" s="5" t="str">
        <f>INDEX(Ingredients!J$1:J$265,(MATCH(InterventionCosts!B2140,Ingredients!A$1:A$265,0)))</f>
        <v>per minute</v>
      </c>
      <c r="G2140">
        <f>IF(B2140="","",INDEX(Ingredients!$E$1:$E$238,(MATCH(InterventionCosts!B2140,Ingredients!A$1:A$238,0))))</f>
        <v>2024</v>
      </c>
      <c r="H2140" t="str">
        <f>INDEX(Ingredients!$F$1:$F$318,(MATCH(InterventionCosts!B2140,Ingredients!A$1:A$318,0)))</f>
        <v xml:space="preserve">April 2024 Salary scale </v>
      </c>
      <c r="I2140">
        <f>8*4*(workminutespa/12/5102)</f>
        <v>55.94668757350059</v>
      </c>
      <c r="J2140" t="s">
        <v>460</v>
      </c>
      <c r="K2140" s="85">
        <f t="shared" si="76"/>
        <v>69.622108976871814</v>
      </c>
      <c r="L2140" s="85" t="s">
        <v>1081</v>
      </c>
    </row>
    <row r="2141" spans="1:12">
      <c r="A2141" t="s">
        <v>1449</v>
      </c>
      <c r="B2141" t="s">
        <v>354</v>
      </c>
      <c r="C2141" t="s">
        <v>460</v>
      </c>
      <c r="D2141" t="s">
        <v>48</v>
      </c>
      <c r="E2141" s="70">
        <f>IF(B2141="","",INDEX(Ingredients!$I$1:$I$5013,(MATCH(InterventionCosts!B2141,Ingredients!$A$1:$A$5013,0))))</f>
        <v>4.8996605630293981</v>
      </c>
      <c r="F2141" s="5" t="str">
        <f>INDEX(Ingredients!J$1:J$265,(MATCH(InterventionCosts!B2141,Ingredients!A$1:A$265,0)))</f>
        <v>per minute</v>
      </c>
      <c r="G2141">
        <f>IF(B2141="","",INDEX(Ingredients!$E$1:$E$238,(MATCH(InterventionCosts!B2141,Ingredients!A$1:A$238,0))))</f>
        <v>2024</v>
      </c>
      <c r="H2141" t="str">
        <f>INDEX(Ingredients!$F$1:$F$318,(MATCH(InterventionCosts!B2141,Ingredients!A$1:A$318,0)))</f>
        <v xml:space="preserve">April 2024 Salary scale </v>
      </c>
      <c r="I2141">
        <f>16*4*(workminutespa/12/5102)</f>
        <v>111.89337514700118</v>
      </c>
      <c r="J2141" t="s">
        <v>460</v>
      </c>
      <c r="K2141" s="85">
        <f t="shared" si="76"/>
        <v>548.23955747201546</v>
      </c>
      <c r="L2141" s="85" t="s">
        <v>1082</v>
      </c>
    </row>
    <row r="2142" spans="1:12">
      <c r="A2142" t="s">
        <v>1449</v>
      </c>
      <c r="B2142" t="s">
        <v>286</v>
      </c>
      <c r="C2142" t="s">
        <v>460</v>
      </c>
      <c r="D2142" t="s">
        <v>48</v>
      </c>
      <c r="E2142" s="70">
        <f>IF(B2142="","",INDEX(Ingredients!$I$1:$I$5013,(MATCH(InterventionCosts!B2142,Ingredients!$A$1:$A$5013,0))))</f>
        <v>3.2392279521674139</v>
      </c>
      <c r="F2142" s="5" t="str">
        <f>INDEX(Ingredients!J$1:J$265,(MATCH(InterventionCosts!B2142,Ingredients!A$1:A$265,0)))</f>
        <v>per minute</v>
      </c>
      <c r="G2142">
        <f>IF(B2142="","",INDEX(Ingredients!$E$1:$E$238,(MATCH(InterventionCosts!B2142,Ingredients!A$1:A$238,0))))</f>
        <v>2024</v>
      </c>
      <c r="H2142" t="str">
        <f>INDEX(Ingredients!$F$1:$F$318,(MATCH(InterventionCosts!B2142,Ingredients!A$1:A$318,0)))</f>
        <v xml:space="preserve">April 2024 Salary scale </v>
      </c>
      <c r="I2142">
        <f>4*4*(workminutespa/12/5102)</f>
        <v>27.973343786750295</v>
      </c>
      <c r="J2142" t="s">
        <v>460</v>
      </c>
      <c r="K2142" s="85">
        <f t="shared" si="76"/>
        <v>90.612037109630208</v>
      </c>
      <c r="L2142" s="85" t="s">
        <v>1079</v>
      </c>
    </row>
    <row r="2143" spans="1:12">
      <c r="A2143" t="s">
        <v>1449</v>
      </c>
      <c r="B2143" t="s">
        <v>1072</v>
      </c>
      <c r="C2143" t="s">
        <v>460</v>
      </c>
      <c r="D2143" t="s">
        <v>48</v>
      </c>
      <c r="E2143" s="70">
        <f>IF(B2143="","",INDEX(Ingredients!$I$1:$I$5013,(MATCH(InterventionCosts!B2143,Ingredients!$A$1:$A$5013,0))))</f>
        <v>2.5530496387643251</v>
      </c>
      <c r="F2143" s="5" t="str">
        <f>INDEX(Ingredients!J$1:J$265,(MATCH(InterventionCosts!B2143,Ingredients!A$1:A$265,0)))</f>
        <v>per minute</v>
      </c>
      <c r="G2143">
        <f>IF(B2143="","",INDEX(Ingredients!$E$1:$E$238,(MATCH(InterventionCosts!B2143,Ingredients!A$1:A$238,0))))</f>
        <v>2024</v>
      </c>
      <c r="H2143" t="str">
        <f>INDEX(Ingredients!$F$1:$F$318,(MATCH(InterventionCosts!B2143,Ingredients!A$1:A$318,0)))</f>
        <v xml:space="preserve">April 2024 Salary scale </v>
      </c>
      <c r="I2143">
        <f>1*4*(workminutespa/12/5102)</f>
        <v>6.9933359466875737</v>
      </c>
      <c r="J2143" t="s">
        <v>460</v>
      </c>
      <c r="K2143" s="85">
        <f t="shared" si="76"/>
        <v>17.854333812448278</v>
      </c>
      <c r="L2143" s="85" t="s">
        <v>1080</v>
      </c>
    </row>
    <row r="2144" spans="1:12">
      <c r="A2144" t="s">
        <v>1449</v>
      </c>
      <c r="B2144" t="s">
        <v>1074</v>
      </c>
      <c r="C2144" t="s">
        <v>460</v>
      </c>
      <c r="D2144" t="s">
        <v>48</v>
      </c>
      <c r="E2144" s="70">
        <f>IF(B2144="","",INDEX(Ingredients!$I$1:$I$5013,(MATCH(InterventionCosts!B2144,Ingredients!$A$1:$A$5013,0))))</f>
        <v>2076.8733333333334</v>
      </c>
      <c r="F2144" s="5" t="str">
        <f>INDEX(Ingredients!J$1:J$265,(MATCH(InterventionCosts!B2144,Ingredients!A$1:A$265,0)))</f>
        <v>per month</v>
      </c>
      <c r="G2144">
        <f>IF(B2144="","",INDEX(Ingredients!$E$1:$E$238,(MATCH(InterventionCosts!B2144,Ingredients!A$1:A$238,0))))</f>
        <v>2024</v>
      </c>
      <c r="H2144" t="str">
        <f>INDEX(Ingredients!$F$1:$F$318,(MATCH(InterventionCosts!B2144,Ingredients!A$1:A$318,0)))</f>
        <v>https://www.gov.za/speeches/minister-thulas-nxesi-hikes-minimum-wage-farmworkers-and-domestic-workers-22-feb-2023-0000</v>
      </c>
      <c r="I2144">
        <f>13*4*(1/5102)</f>
        <v>1.0192081536652292E-2</v>
      </c>
      <c r="J2144" t="s">
        <v>460</v>
      </c>
      <c r="K2144" s="85">
        <f t="shared" si="76"/>
        <v>21.167662354632171</v>
      </c>
      <c r="L2144" s="85" t="s">
        <v>1083</v>
      </c>
    </row>
    <row r="2145" spans="1:14">
      <c r="A2145" t="s">
        <v>1449</v>
      </c>
      <c r="B2145" t="s">
        <v>60</v>
      </c>
      <c r="C2145" t="s">
        <v>460</v>
      </c>
      <c r="D2145" t="s">
        <v>48</v>
      </c>
      <c r="E2145" s="70">
        <f>IF(B2145="","",INDEX(Ingredients!$I$1:$I$5013,(MATCH(InterventionCosts!B2145,Ingredients!$A$1:$A$5013,0))))</f>
        <v>9.1192801756352768</v>
      </c>
      <c r="F2145" s="5" t="str">
        <f>INDEX(Ingredients!J$1:J$265,(MATCH(InterventionCosts!B2145,Ingredients!A$1:A$265,0)))</f>
        <v>per minute</v>
      </c>
      <c r="G2145">
        <f>IF(B2145="","",INDEX(Ingredients!$E$1:$E$238,(MATCH(InterventionCosts!B2145,Ingredients!A$1:A$238,0))))</f>
        <v>2024</v>
      </c>
      <c r="H2145" t="str">
        <f>INDEX(Ingredients!$F$1:$F$318,(MATCH(InterventionCosts!B2145,Ingredients!A$1:A$318,0)))</f>
        <v xml:space="preserve">April 2024 Salary scale </v>
      </c>
      <c r="I2145">
        <f>1*4*(workminutespa/12/5102)</f>
        <v>6.9933359466875737</v>
      </c>
      <c r="J2145" t="s">
        <v>460</v>
      </c>
      <c r="K2145" s="85">
        <f t="shared" si="76"/>
        <v>63.774189860185551</v>
      </c>
      <c r="L2145" s="85" t="s">
        <v>1080</v>
      </c>
    </row>
    <row r="2146" spans="1:14">
      <c r="A2146" t="s">
        <v>1449</v>
      </c>
      <c r="B2146" t="s">
        <v>1077</v>
      </c>
      <c r="C2146" t="s">
        <v>460</v>
      </c>
      <c r="D2146" t="s">
        <v>48</v>
      </c>
      <c r="E2146" s="70">
        <f>IF(B2146="","",INDEX(Ingredients!$I$1:$I$5013,(MATCH(InterventionCosts!B2146,Ingredients!$A$1:$A$5013,0))))</f>
        <v>2.1347303967364222</v>
      </c>
      <c r="F2146" s="5" t="str">
        <f>INDEX(Ingredients!J$1:J$265,(MATCH(InterventionCosts!B2146,Ingredients!A$1:A$265,0)))</f>
        <v>per minute</v>
      </c>
      <c r="G2146">
        <f>IF(B2146="","",INDEX(Ingredients!$E$1:$E$238,(MATCH(InterventionCosts!B2146,Ingredients!A$1:A$238,0))))</f>
        <v>2024</v>
      </c>
      <c r="H2146" t="str">
        <f>INDEX(Ingredients!$F$1:$F$318,(MATCH(InterventionCosts!B2146,Ingredients!A$1:A$318,0)))</f>
        <v xml:space="preserve">April 2024 Salary scale </v>
      </c>
      <c r="I2146">
        <f>4*4*(workminutespa/12/5102)</f>
        <v>27.973343786750295</v>
      </c>
      <c r="J2146" t="s">
        <v>460</v>
      </c>
      <c r="K2146" s="85">
        <f t="shared" si="76"/>
        <v>59.715547279933787</v>
      </c>
      <c r="L2146" s="85" t="s">
        <v>1079</v>
      </c>
    </row>
    <row r="2147" spans="1:14">
      <c r="A2147" t="s">
        <v>1449</v>
      </c>
      <c r="B2147" t="s">
        <v>1078</v>
      </c>
      <c r="C2147" t="s">
        <v>460</v>
      </c>
      <c r="D2147" t="s">
        <v>48</v>
      </c>
      <c r="E2147" s="70">
        <f>IF(B2147="","",INDEX(Ingredients!$I$1:$I$5013,(MATCH(InterventionCosts!B2147,Ingredients!$A$1:$A$5013,0))))</f>
        <v>13.503224277528648</v>
      </c>
      <c r="F2147" s="5" t="str">
        <f>INDEX(Ingredients!J$1:J$265,(MATCH(InterventionCosts!B2147,Ingredients!A$1:A$265,0)))</f>
        <v>per minute</v>
      </c>
      <c r="G2147">
        <f>IF(B2147="","",INDEX(Ingredients!$E$1:$E$238,(MATCH(InterventionCosts!B2147,Ingredients!A$1:A$238,0))))</f>
        <v>2024</v>
      </c>
      <c r="H2147" t="str">
        <f>INDEX(Ingredients!$F$1:$F$318,(MATCH(InterventionCosts!B2147,Ingredients!A$1:A$318,0)))</f>
        <v xml:space="preserve">April 2024 Salary scale </v>
      </c>
      <c r="I2147">
        <f>2*4*(workminutespa/12/5102)</f>
        <v>13.986671893375147</v>
      </c>
      <c r="J2147" t="s">
        <v>460</v>
      </c>
      <c r="K2147" s="85">
        <f t="shared" si="76"/>
        <v>188.86516747245088</v>
      </c>
      <c r="L2147" s="85" t="s">
        <v>1084</v>
      </c>
    </row>
    <row r="2148" spans="1:14">
      <c r="A2148" t="s">
        <v>1449</v>
      </c>
      <c r="B2148" t="s">
        <v>477</v>
      </c>
      <c r="C2148" t="s">
        <v>406</v>
      </c>
      <c r="D2148" t="s">
        <v>81</v>
      </c>
      <c r="E2148" s="70">
        <f>IF(B2148="","",INDEX(Ingredients!$I$1:$I$5013,(MATCH(InterventionCosts!B2148,Ingredients!$A$1:$A$5013,0))))</f>
        <v>88.256346376062865</v>
      </c>
      <c r="F2148" s="5" t="str">
        <f>INDEX(Ingredients!J$1:J$265,(MATCH(InterventionCosts!B2148,Ingredients!A$1:A$265,0)))</f>
        <v>per visit</v>
      </c>
      <c r="G2148">
        <f>IF(B2148="","",INDEX(Ingredients!$E$1:$E$238,(MATCH(InterventionCosts!B2148,Ingredients!A$1:A$238,0))))</f>
        <v>2019</v>
      </c>
      <c r="H2148" t="str">
        <f>INDEX(Ingredients!$F$1:$F$318,(MATCH(InterventionCosts!B2148,Ingredients!A$1:A$318,0)))</f>
        <v xml:space="preserve">Long L, Girdwood S, Govender K, Meyer-Rath G, Miot J: Cost and outcomes of routine HIV care and treatment: A comparison of public and private delivery models covering low-income earners in South Africa. Preprint available under DOI: https://doi.org/10.21203/rs.3.rs-960517/v1    </v>
      </c>
      <c r="I2148">
        <v>4</v>
      </c>
      <c r="J2148" t="s">
        <v>485</v>
      </c>
      <c r="K2148" s="85">
        <f t="shared" si="76"/>
        <v>353.02538550425146</v>
      </c>
    </row>
    <row r="2149" spans="1:14" s="89" customFormat="1">
      <c r="A2149" s="4" t="s">
        <v>1449</v>
      </c>
      <c r="F2149" s="89" t="s">
        <v>1164</v>
      </c>
      <c r="K2149" s="90"/>
      <c r="L2149" s="90">
        <f>SUM(K2122:K2148)</f>
        <v>7402.0379670190005</v>
      </c>
      <c r="M2149" s="92"/>
      <c r="N2149" s="4"/>
    </row>
    <row r="2150" spans="1:14" s="89" customFormat="1">
      <c r="A2150" s="4" t="s">
        <v>1449</v>
      </c>
      <c r="F2150" s="89" t="s">
        <v>117</v>
      </c>
      <c r="K2150" s="90"/>
      <c r="L2150" s="90" t="s">
        <v>937</v>
      </c>
    </row>
    <row r="2152" spans="1:14">
      <c r="A2152" t="s">
        <v>1450</v>
      </c>
      <c r="B2152" t="s">
        <v>871</v>
      </c>
      <c r="C2152" t="s">
        <v>459</v>
      </c>
      <c r="D2152" t="s">
        <v>70</v>
      </c>
      <c r="E2152" s="70">
        <f>IF(B2152="","",INDEX(Ingredients!$I$1:$I$5013,(MATCH(InterventionCosts!B2152,Ingredients!$A$1:$A$5013,0))))</f>
        <v>7.7632142857142856</v>
      </c>
      <c r="F2152" s="5" t="str">
        <f>INDEX(Ingredients!J$1:J$265,(MATCH(InterventionCosts!B2152,Ingredients!A$1:A$265,0)))</f>
        <v>per day</v>
      </c>
      <c r="G2152">
        <f>IF(B2152="","",INDEX(Ingredients!$E$1:$E$238,(MATCH(InterventionCosts!B2152,Ingredients!A$1:A$238,0))))</f>
        <v>2024</v>
      </c>
      <c r="H2152" t="str">
        <f>INDEX(Ingredients!$F$1:$F$318,(MATCH(InterventionCosts!B2152,Ingredients!A$1:A$318,0)))</f>
        <v>Master Procurement Circular May 2024</v>
      </c>
      <c r="I2152">
        <f>360*'ART kids distribution'!$D$15</f>
        <v>240</v>
      </c>
      <c r="J2152" t="s">
        <v>406</v>
      </c>
      <c r="K2152" s="85">
        <f t="shared" ref="K2152:K2178" si="79">I2152*E2152</f>
        <v>1863.1714285714286</v>
      </c>
    </row>
    <row r="2153" spans="1:14">
      <c r="A2153" t="s">
        <v>1450</v>
      </c>
      <c r="B2153" t="s">
        <v>898</v>
      </c>
      <c r="C2153" t="s">
        <v>459</v>
      </c>
      <c r="D2153" t="s">
        <v>70</v>
      </c>
      <c r="E2153" s="70">
        <f>IF(B2153="","",INDEX(Ingredients!$I$1:$I$5013,(MATCH(InterventionCosts!B2153,Ingredients!$A$1:$A$5013,0))))</f>
        <v>6.5117261591768205</v>
      </c>
      <c r="F2153" s="5" t="str">
        <f>INDEX(Ingredients!J$1:J$265,(MATCH(InterventionCosts!B2153,Ingredients!A$1:A$265,0)))</f>
        <v>per day</v>
      </c>
      <c r="G2153">
        <f>IF(B2153="","",INDEX(Ingredients!$E$1:$E$238,(MATCH(InterventionCosts!B2153,Ingredients!A$1:A$238,0))))</f>
        <v>2024</v>
      </c>
      <c r="H2153" t="str">
        <f>INDEX(Ingredients!$F$1:$F$318,(MATCH(InterventionCosts!B2153,Ingredients!A$1:A$318,0)))</f>
        <v>Master Procurement Circular May 2024</v>
      </c>
      <c r="I2153">
        <f>360*'ART kids distribution'!$C$15</f>
        <v>94</v>
      </c>
      <c r="J2153" t="s">
        <v>406</v>
      </c>
      <c r="K2153" s="85">
        <f t="shared" si="79"/>
        <v>612.10225896262114</v>
      </c>
    </row>
    <row r="2154" spans="1:14">
      <c r="A2154" t="s">
        <v>1450</v>
      </c>
      <c r="B2154" t="s">
        <v>899</v>
      </c>
      <c r="C2154" t="s">
        <v>459</v>
      </c>
      <c r="D2154" t="s">
        <v>70</v>
      </c>
      <c r="E2154" s="70">
        <f>IF(B2154="","",INDEX(Ingredients!$I$1:$I$5013,(MATCH(InterventionCosts!B2154,Ingredients!$A$1:$A$5013,0))))</f>
        <v>14.07972615917682</v>
      </c>
      <c r="F2154" s="5" t="str">
        <f>INDEX(Ingredients!J$1:J$265,(MATCH(InterventionCosts!B2154,Ingredients!A$1:A$265,0)))</f>
        <v>per day</v>
      </c>
      <c r="G2154">
        <f>IF(B2154="","",INDEX(Ingredients!$E$1:$E$238,(MATCH(InterventionCosts!B2154,Ingredients!A$1:A$238,0))))</f>
        <v>2024</v>
      </c>
      <c r="H2154" t="str">
        <f>INDEX(Ingredients!$F$1:$F$318,(MATCH(InterventionCosts!B2154,Ingredients!A$1:A$318,0)))</f>
        <v>Master Procurement Circular May 2024</v>
      </c>
      <c r="I2154">
        <f>360*'ART kids distribution'!$F$15</f>
        <v>25.999999999999996</v>
      </c>
      <c r="J2154" t="s">
        <v>406</v>
      </c>
      <c r="K2154" s="85">
        <f t="shared" si="79"/>
        <v>366.07288013859727</v>
      </c>
    </row>
    <row r="2155" spans="1:14">
      <c r="A2155" t="s">
        <v>1450</v>
      </c>
      <c r="B2155" s="273" t="s">
        <v>1147</v>
      </c>
      <c r="C2155" t="s">
        <v>1151</v>
      </c>
      <c r="D2155" t="s">
        <v>67</v>
      </c>
      <c r="E2155" s="70">
        <f>IF(B2155="","",INDEX(Ingredients!$I$1:$I$5013,(MATCH(InterventionCosts!B2155,Ingredients!$A$1:$A$5013,0))))</f>
        <v>96609.835920812693</v>
      </c>
      <c r="F2155" s="5" t="str">
        <f>INDEX(Ingredients!J$1:J$265,(MATCH(InterventionCosts!B2155,Ingredients!A$1:A$265,0)))</f>
        <v>per machine</v>
      </c>
      <c r="G2155">
        <f>IF(B2155="","",INDEX(Ingredients!$E$1:$E$238,(MATCH(InterventionCosts!B2155,Ingredients!A$1:A$238,0))))</f>
        <v>2024</v>
      </c>
      <c r="H2155" t="str">
        <f>INDEX(Ingredients!$F$1:$F$318,(MATCH(InterventionCosts!B2155,Ingredients!A$1:A$318,0)))</f>
        <v>https://www.stoptb.org/sites/default/files/gdf_diagnostics_medical_devices_other_health_products_catalog_0.pdf</v>
      </c>
      <c r="I2155" s="274">
        <f>1/(2300*0.6)*2</f>
        <v>1.4492753623188406E-3</v>
      </c>
      <c r="J2155" s="274" t="s">
        <v>1157</v>
      </c>
      <c r="K2155" s="85">
        <f t="shared" ref="K2155:K2164" si="80">E2155*I2155</f>
        <v>140.01425495769956</v>
      </c>
    </row>
    <row r="2156" spans="1:14">
      <c r="A2156" t="s">
        <v>1450</v>
      </c>
      <c r="B2156" s="273" t="s">
        <v>1148</v>
      </c>
      <c r="C2156" t="s">
        <v>1151</v>
      </c>
      <c r="D2156" t="s">
        <v>21</v>
      </c>
      <c r="E2156" s="70">
        <f>IF(B2156="","",INDEX(Ingredients!$I$1:$I$5013,(MATCH(InterventionCosts!B2156,Ingredients!$A$1:$A$5013,0))))</f>
        <v>319.75037364827585</v>
      </c>
      <c r="F2156" s="5" t="str">
        <f>INDEX(Ingredients!J$1:J$265,(MATCH(InterventionCosts!B2156,Ingredients!A$1:A$265,0)))</f>
        <v>per test</v>
      </c>
      <c r="G2156">
        <f>IF(B2156="","",INDEX(Ingredients!$E$1:$E$238,(MATCH(InterventionCosts!B2156,Ingredients!A$1:A$238,0))))</f>
        <v>2024</v>
      </c>
      <c r="H2156" t="str">
        <f>INDEX(Ingredients!$F$1:$F$318,(MATCH(InterventionCosts!B2156,Ingredients!A$1:A$318,0)))</f>
        <v>https://www.stoptb.org/sites/default/files/gdf_diagnostics_medical_devices_other_health_products_catalog_0.pdf</v>
      </c>
      <c r="I2156" s="274">
        <v>2</v>
      </c>
      <c r="J2156" t="s">
        <v>1151</v>
      </c>
      <c r="K2156" s="85">
        <f t="shared" si="80"/>
        <v>639.50074729655171</v>
      </c>
    </row>
    <row r="2157" spans="1:14">
      <c r="A2157" t="s">
        <v>1450</v>
      </c>
      <c r="B2157" s="273" t="s">
        <v>1149</v>
      </c>
      <c r="C2157" t="s">
        <v>1151</v>
      </c>
      <c r="D2157" t="s">
        <v>81</v>
      </c>
      <c r="E2157" s="70">
        <f>IF(B2157="","",INDEX(Ingredients!$I$1:$I$5013,(MATCH(InterventionCosts!B2157,Ingredients!$A$1:$A$5013,0))))</f>
        <v>34756.611222699823</v>
      </c>
      <c r="F2157" s="5" t="str">
        <f>INDEX(Ingredients!J$1:J$265,(MATCH(InterventionCosts!B2157,Ingredients!A$1:A$265,0)))</f>
        <v>per setup</v>
      </c>
      <c r="G2157">
        <f>IF(B2157="","",INDEX(Ingredients!$E$1:$E$238,(MATCH(InterventionCosts!B2157,Ingredients!A$1:A$238,0))))</f>
        <v>2024</v>
      </c>
      <c r="H2157" t="str">
        <f>INDEX(Ingredients!$F$1:$F$318,(MATCH(InterventionCosts!B2157,Ingredients!A$1:A$318,0)))</f>
        <v>https://www.stoptb.org/sites/default/files/gdf_diagnostics_medical_devices_other_health_products_catalog_0.pdf</v>
      </c>
      <c r="I2157" s="274">
        <f t="shared" ref="I2157:I2162" si="81">1/(2300*0.6)*2</f>
        <v>1.4492753623188406E-3</v>
      </c>
      <c r="J2157" s="274" t="s">
        <v>1157</v>
      </c>
      <c r="K2157" s="85">
        <f t="shared" si="80"/>
        <v>50.371900322753369</v>
      </c>
    </row>
    <row r="2158" spans="1:14">
      <c r="A2158" t="s">
        <v>1450</v>
      </c>
      <c r="B2158" s="273" t="s">
        <v>1156</v>
      </c>
      <c r="C2158" t="s">
        <v>1151</v>
      </c>
      <c r="D2158" t="s">
        <v>48</v>
      </c>
      <c r="E2158" s="70">
        <f>IF(B2158="","",INDEX(Ingredients!$I$1:$I$5013,(MATCH(InterventionCosts!B2158,Ingredients!$A$1:$A$5013,0))))</f>
        <v>5619.5309209141369</v>
      </c>
      <c r="F2158" s="5" t="str">
        <f>INDEX(Ingredients!J$1:J$265,(MATCH(InterventionCosts!B2158,Ingredients!A$1:A$265,0)))</f>
        <v>per setup</v>
      </c>
      <c r="G2158">
        <f>IF(B2158="","",INDEX(Ingredients!$E$1:$E$238,(MATCH(InterventionCosts!B2158,Ingredients!A$1:A$238,0))))</f>
        <v>2019</v>
      </c>
      <c r="H2158" t="str">
        <f>INDEX(Ingredients!$F$1:$F$318,(MATCH(InterventionCosts!B2158,Ingredients!A$1:A$318,0)))</f>
        <v>Sarah Girdwood, https://www.ncbi.nlm.nih.gov/pmc/articles/PMC7700965/pdf/main.pdf</v>
      </c>
      <c r="I2158" s="274">
        <f t="shared" si="81"/>
        <v>1.4492753623188406E-3</v>
      </c>
      <c r="J2158" t="s">
        <v>1151</v>
      </c>
      <c r="K2158" s="85">
        <f t="shared" si="80"/>
        <v>8.1442477114697631</v>
      </c>
    </row>
    <row r="2159" spans="1:14">
      <c r="A2159" t="s">
        <v>1450</v>
      </c>
      <c r="B2159" s="273" t="s">
        <v>1150</v>
      </c>
      <c r="C2159" t="s">
        <v>1151</v>
      </c>
      <c r="D2159" t="s">
        <v>48</v>
      </c>
      <c r="E2159" s="70">
        <f>IF(B2159="","",INDEX(Ingredients!$I$1:$I$5013,(MATCH(InterventionCosts!B2159,Ingredients!$A$1:$A$5013,0))))</f>
        <v>5690.1603086312934</v>
      </c>
      <c r="F2159" s="5" t="str">
        <f>INDEX(Ingredients!J$1:J$265,(MATCH(InterventionCosts!B2159,Ingredients!A$1:A$265,0)))</f>
        <v>per setup</v>
      </c>
      <c r="G2159">
        <f>IF(B2159="","",INDEX(Ingredients!$E$1:$E$238,(MATCH(InterventionCosts!B2159,Ingredients!A$1:A$238,0))))</f>
        <v>2019</v>
      </c>
      <c r="H2159" t="str">
        <f>INDEX(Ingredients!$F$1:$F$318,(MATCH(InterventionCosts!B2159,Ingredients!A$1:A$318,0)))</f>
        <v>Sarah Girdwood, https://www.ncbi.nlm.nih.gov/pmc/articles/PMC7700965/pdf/main.pdf</v>
      </c>
      <c r="I2159" s="274">
        <f t="shared" si="81"/>
        <v>1.4492753623188406E-3</v>
      </c>
      <c r="J2159" t="s">
        <v>1151</v>
      </c>
      <c r="K2159" s="85">
        <f t="shared" si="80"/>
        <v>8.2466091429439032</v>
      </c>
    </row>
    <row r="2160" spans="1:14">
      <c r="A2160" t="s">
        <v>1450</v>
      </c>
      <c r="B2160" s="273" t="s">
        <v>1155</v>
      </c>
      <c r="C2160" t="s">
        <v>1151</v>
      </c>
      <c r="D2160" t="s">
        <v>67</v>
      </c>
      <c r="E2160" s="70">
        <f>IF(B2160="","",INDEX(Ingredients!$I$1:$I$5013,(MATCH(InterventionCosts!B2160,Ingredients!$A$1:$A$5013,0))))</f>
        <v>11917.103963912978</v>
      </c>
      <c r="F2160" s="5" t="str">
        <f>INDEX(Ingredients!J$1:J$265,(MATCH(InterventionCosts!B2160,Ingredients!A$1:A$265,0)))</f>
        <v>per setup</v>
      </c>
      <c r="G2160">
        <f>IF(B2160="","",INDEX(Ingredients!$E$1:$E$238,(MATCH(InterventionCosts!B2160,Ingredients!A$1:A$238,0))))</f>
        <v>2019</v>
      </c>
      <c r="H2160" t="str">
        <f>INDEX(Ingredients!$F$1:$F$318,(MATCH(InterventionCosts!B2160,Ingredients!A$1:A$318,0)))</f>
        <v>Sarah Girdwood, https://www.ncbi.nlm.nih.gov/pmc/articles/PMC7700965/pdf/main.pdf</v>
      </c>
      <c r="I2160" s="274">
        <f t="shared" si="81"/>
        <v>1.4492753623188406E-3</v>
      </c>
      <c r="J2160" t="s">
        <v>1151</v>
      </c>
      <c r="K2160" s="85">
        <f t="shared" si="80"/>
        <v>17.271165165091272</v>
      </c>
    </row>
    <row r="2161" spans="1:12">
      <c r="A2161" t="s">
        <v>1450</v>
      </c>
      <c r="B2161" s="273" t="s">
        <v>1154</v>
      </c>
      <c r="C2161" t="s">
        <v>1151</v>
      </c>
      <c r="D2161" t="s">
        <v>81</v>
      </c>
      <c r="E2161" s="70">
        <f>IF(B2161="","",INDEX(Ingredients!$I$1:$I$5013,(MATCH(InterventionCosts!B2161,Ingredients!$A$1:$A$5013,0))))</f>
        <v>8006.8042257540328</v>
      </c>
      <c r="F2161" s="5" t="str">
        <f>INDEX(Ingredients!J$1:J$265,(MATCH(InterventionCosts!B2161,Ingredients!A$1:A$265,0)))</f>
        <v>per setup</v>
      </c>
      <c r="G2161">
        <f>IF(B2161="","",INDEX(Ingredients!$E$1:$E$238,(MATCH(InterventionCosts!B2161,Ingredients!A$1:A$238,0))))</f>
        <v>2019</v>
      </c>
      <c r="H2161" t="str">
        <f>INDEX(Ingredients!$F$1:$F$318,(MATCH(InterventionCosts!B2161,Ingredients!A$1:A$318,0)))</f>
        <v>https://www.ncbi.nlm.nih.gov/pmc/articles/PMC7700965/pdf/main.pdf</v>
      </c>
      <c r="I2161" s="274">
        <f t="shared" si="81"/>
        <v>1.4492753623188406E-3</v>
      </c>
      <c r="J2161" t="s">
        <v>1151</v>
      </c>
      <c r="K2161" s="85">
        <f t="shared" si="80"/>
        <v>11.604064095295699</v>
      </c>
    </row>
    <row r="2162" spans="1:12">
      <c r="A2162" t="s">
        <v>1450</v>
      </c>
      <c r="B2162" s="273" t="s">
        <v>1153</v>
      </c>
      <c r="C2162" t="s">
        <v>1151</v>
      </c>
      <c r="D2162" t="s">
        <v>81</v>
      </c>
      <c r="E2162" s="70">
        <f>IF(B2162="","",INDEX(Ingredients!$I$1:$I$5013,(MATCH(InterventionCosts!B2162,Ingredients!$A$1:$A$5013,0))))</f>
        <v>22740.094503552911</v>
      </c>
      <c r="F2162" s="5" t="str">
        <f>INDEX(Ingredients!J$1:J$265,(MATCH(InterventionCosts!B2162,Ingredients!A$1:A$265,0)))</f>
        <v>per setup</v>
      </c>
      <c r="G2162">
        <f>IF(B2162="","",INDEX(Ingredients!$E$1:$E$238,(MATCH(InterventionCosts!B2162,Ingredients!A$1:A$238,0))))</f>
        <v>2019</v>
      </c>
      <c r="H2162" t="str">
        <f>INDEX(Ingredients!$F$1:$F$318,(MATCH(InterventionCosts!B2162,Ingredients!A$1:A$318,0)))</f>
        <v>https://www.ncbi.nlm.nih.gov/pmc/articles/PMC7700965/pdf/main.pdf</v>
      </c>
      <c r="I2162" s="274">
        <f t="shared" si="81"/>
        <v>1.4492753623188406E-3</v>
      </c>
      <c r="J2162" t="s">
        <v>1151</v>
      </c>
      <c r="K2162" s="85">
        <f t="shared" si="80"/>
        <v>32.95665870080132</v>
      </c>
    </row>
    <row r="2163" spans="1:12">
      <c r="A2163" t="s">
        <v>1450</v>
      </c>
      <c r="B2163" s="273" t="s">
        <v>1152</v>
      </c>
      <c r="C2163" t="s">
        <v>1151</v>
      </c>
      <c r="D2163" t="s">
        <v>21</v>
      </c>
      <c r="E2163" s="70">
        <f>IF(B2163="","",INDEX(Ingredients!$I$1:$I$5013,(MATCH(InterventionCosts!B2163,Ingredients!$A$1:$A$5013,0))))</f>
        <v>3.608519627003822</v>
      </c>
      <c r="F2163" s="5" t="str">
        <f>INDEX(Ingredients!J$1:J$265,(MATCH(InterventionCosts!B2163,Ingredients!A$1:A$265,0)))</f>
        <v>per test</v>
      </c>
      <c r="G2163">
        <f>IF(B2163="","",INDEX(Ingredients!$E$1:$E$238,(MATCH(InterventionCosts!B2163,Ingredients!A$1:A$238,0))))</f>
        <v>2019</v>
      </c>
      <c r="H2163" t="str">
        <f>INDEX(Ingredients!$F$1:$F$318,(MATCH(InterventionCosts!B2163,Ingredients!A$1:A$318,0)))</f>
        <v>Sarah Girdwood, https://www.ncbi.nlm.nih.gov/pmc/articles/PMC7700965/pdf/main.pdf</v>
      </c>
      <c r="I2163" s="274">
        <v>2</v>
      </c>
      <c r="J2163" t="s">
        <v>1151</v>
      </c>
      <c r="K2163" s="85">
        <f t="shared" si="80"/>
        <v>7.217039254007644</v>
      </c>
    </row>
    <row r="2164" spans="1:12">
      <c r="A2164" t="s">
        <v>1450</v>
      </c>
      <c r="B2164" s="273" t="s">
        <v>286</v>
      </c>
      <c r="C2164" t="s">
        <v>1151</v>
      </c>
      <c r="D2164" t="s">
        <v>48</v>
      </c>
      <c r="E2164" s="70">
        <f>IF(B2164="","",INDEX(Ingredients!$I$1:$I$5013,(MATCH(InterventionCosts!B2164,Ingredients!$A$1:$A$5013,0))))</f>
        <v>3.2392279521674139</v>
      </c>
      <c r="F2164" s="5" t="str">
        <f>INDEX(Ingredients!J$1:J$265,(MATCH(InterventionCosts!B2164,Ingredients!A$1:A$265,0)))</f>
        <v>per minute</v>
      </c>
      <c r="G2164">
        <f>IF(B2164="","",INDEX(Ingredients!$E$1:$E$238,(MATCH(InterventionCosts!B2164,Ingredients!A$1:A$238,0))))</f>
        <v>2024</v>
      </c>
      <c r="H2164" t="str">
        <f>INDEX(Ingredients!$F$1:$F$318,(MATCH(InterventionCosts!B2164,Ingredients!A$1:A$318,0)))</f>
        <v xml:space="preserve">April 2024 Salary scale </v>
      </c>
      <c r="I2164" s="274">
        <f>(5.6+5.4+17.1+5)*2</f>
        <v>66.2</v>
      </c>
      <c r="J2164" t="s">
        <v>1151</v>
      </c>
      <c r="K2164" s="85">
        <f t="shared" si="80"/>
        <v>214.4368904334828</v>
      </c>
    </row>
    <row r="2165" spans="1:12">
      <c r="A2165" t="s">
        <v>1450</v>
      </c>
      <c r="B2165" t="s">
        <v>458</v>
      </c>
      <c r="C2165" t="s">
        <v>459</v>
      </c>
      <c r="D2165" t="s">
        <v>75</v>
      </c>
      <c r="E2165" s="70">
        <f>IF(B2165="","",INDEX(Ingredients!$I$1:$I$5013,(MATCH(InterventionCosts!B2165,Ingredients!$A$1:$A$5013,0))))</f>
        <v>86.59037211495</v>
      </c>
      <c r="F2165" s="5" t="str">
        <f>INDEX(Ingredients!J$1:J$265,(MATCH(InterventionCosts!B2165,Ingredients!A$1:A$265,0)))</f>
        <v>per test</v>
      </c>
      <c r="G2165">
        <f>IF(B2165="","",INDEX(Ingredients!$E$1:$E$238,(MATCH(InterventionCosts!B2165,Ingredients!A$1:A$238,0))))</f>
        <v>2021</v>
      </c>
      <c r="H2165" t="str">
        <f>INDEX(Ingredients!$F$1:$F$318,(MATCH(InterventionCosts!B2165,Ingredients!A$1:A$318,0)))</f>
        <v>NHLS 2021 price-list</v>
      </c>
      <c r="I2165">
        <v>1</v>
      </c>
      <c r="J2165" t="s">
        <v>459</v>
      </c>
      <c r="K2165" s="85">
        <f t="shared" si="79"/>
        <v>86.59037211495</v>
      </c>
    </row>
    <row r="2166" spans="1:12">
      <c r="A2166" t="s">
        <v>1450</v>
      </c>
      <c r="B2166" t="s">
        <v>52</v>
      </c>
      <c r="C2166" t="s">
        <v>460</v>
      </c>
      <c r="D2166" t="s">
        <v>48</v>
      </c>
      <c r="E2166" s="70">
        <f>IF(B2166="","",INDEX(Ingredients!$I$1:$I$5013,(MATCH(InterventionCosts!B2166,Ingredients!$A$1:$A$5013,0))))</f>
        <v>1.8019482436472347</v>
      </c>
      <c r="F2166" s="5" t="str">
        <f>INDEX(Ingredients!J$1:J$265,(MATCH(InterventionCosts!B2166,Ingredients!A$1:A$265,0)))</f>
        <v>per minute</v>
      </c>
      <c r="G2166">
        <f>IF(B2166="","",INDEX(Ingredients!$E$1:$E$238,(MATCH(InterventionCosts!B2166,Ingredients!A$1:A$238,0))))</f>
        <v>2024</v>
      </c>
      <c r="H2166" t="str">
        <f>INDEX(Ingredients!$F$1:$F$318,(MATCH(InterventionCosts!B2166,Ingredients!A$1:A$318,0)))</f>
        <v xml:space="preserve">April 2024 Salary scale </v>
      </c>
      <c r="I2166">
        <f>4*7.54*(workminutespa/12/5102)</f>
        <v>52.729753038024306</v>
      </c>
      <c r="J2166" t="s">
        <v>460</v>
      </c>
      <c r="K2166" s="85">
        <f t="shared" si="79"/>
        <v>95.01628587482034</v>
      </c>
      <c r="L2166" s="85" t="s">
        <v>1097</v>
      </c>
    </row>
    <row r="2167" spans="1:12">
      <c r="A2167" t="s">
        <v>1450</v>
      </c>
      <c r="B2167" t="s">
        <v>55</v>
      </c>
      <c r="C2167" t="s">
        <v>460</v>
      </c>
      <c r="D2167" t="s">
        <v>48</v>
      </c>
      <c r="E2167" s="70">
        <f>IF(B2167="","",INDEX(Ingredients!$I$1:$I$5013,(MATCH(InterventionCosts!B2167,Ingredients!$A$1:$A$5013,0))))</f>
        <v>1.8549350710014947</v>
      </c>
      <c r="F2167" s="5" t="str">
        <f>INDEX(Ingredients!J$1:J$265,(MATCH(InterventionCosts!B2167,Ingredients!A$1:A$265,0)))</f>
        <v>per minute</v>
      </c>
      <c r="G2167">
        <f>IF(B2167="","",INDEX(Ingredients!$E$1:$E$238,(MATCH(InterventionCosts!B2167,Ingredients!A$1:A$238,0))))</f>
        <v>2024</v>
      </c>
      <c r="H2167" t="str">
        <f>INDEX(Ingredients!$F$1:$F$318,(MATCH(InterventionCosts!B2167,Ingredients!A$1:A$318,0)))</f>
        <v xml:space="preserve">April 2024 Salary scale </v>
      </c>
      <c r="I2167">
        <f>4*7.54*(workminutespa/12/5102)</f>
        <v>52.729753038024306</v>
      </c>
      <c r="J2167" t="s">
        <v>460</v>
      </c>
      <c r="K2167" s="85">
        <f t="shared" si="79"/>
        <v>97.810268195478898</v>
      </c>
      <c r="L2167" s="85" t="s">
        <v>1097</v>
      </c>
    </row>
    <row r="2168" spans="1:12">
      <c r="A2168" t="s">
        <v>1450</v>
      </c>
      <c r="B2168" t="s">
        <v>1070</v>
      </c>
      <c r="C2168" t="s">
        <v>460</v>
      </c>
      <c r="D2168" t="s">
        <v>48</v>
      </c>
      <c r="E2168" s="70">
        <f>IF(B2168="","",INDEX(Ingredients!$I$1:$I$5013,(MATCH(InterventionCosts!B2168,Ingredients!$A$1:$A$5013,0))))</f>
        <v>2.443981128550075</v>
      </c>
      <c r="F2168" s="5" t="str">
        <f>INDEX(Ingredients!J$1:J$265,(MATCH(InterventionCosts!B2168,Ingredients!A$1:A$265,0)))</f>
        <v>per minute</v>
      </c>
      <c r="G2168">
        <f>IF(B2168="","",INDEX(Ingredients!$E$1:$E$238,(MATCH(InterventionCosts!B2168,Ingredients!A$1:A$238,0))))</f>
        <v>2024</v>
      </c>
      <c r="H2168" t="str">
        <f>INDEX(Ingredients!$F$1:$F$318,(MATCH(InterventionCosts!B2168,Ingredients!A$1:A$318,0)))</f>
        <v xml:space="preserve">April 2024 Salary scale </v>
      </c>
      <c r="I2168">
        <f>1*7.54*(workminutespa/12/5102)</f>
        <v>13.182438259506077</v>
      </c>
      <c r="J2168" t="s">
        <v>460</v>
      </c>
      <c r="K2168" s="85">
        <f t="shared" si="79"/>
        <v>32.217630334509344</v>
      </c>
      <c r="L2168" s="85" t="s">
        <v>1098</v>
      </c>
    </row>
    <row r="2169" spans="1:12">
      <c r="A2169" t="s">
        <v>1450</v>
      </c>
      <c r="B2169" t="s">
        <v>51</v>
      </c>
      <c r="C2169" t="s">
        <v>460</v>
      </c>
      <c r="D2169" t="s">
        <v>48</v>
      </c>
      <c r="E2169" s="70">
        <f>IF(B2169="","",INDEX(Ingredients!$I$1:$I$5013,(MATCH(InterventionCosts!B2169,Ingredients!$A$1:$A$5013,0))))</f>
        <v>4100.2266666666665</v>
      </c>
      <c r="F2169" s="5" t="str">
        <f>INDEX(Ingredients!J$1:J$265,(MATCH(InterventionCosts!B2169,Ingredients!A$1:A$265,0)))</f>
        <v>per month</v>
      </c>
      <c r="G2169">
        <f>IF(B2169="","",INDEX(Ingredients!$E$1:$E$238,(MATCH(InterventionCosts!B2169,Ingredients!A$1:A$238,0))))</f>
        <v>2024</v>
      </c>
      <c r="H2169" t="str">
        <f>INDEX(Ingredients!$F$1:$F$318,(MATCH(InterventionCosts!B2169,Ingredients!A$1:A$318,0)))</f>
        <v>https://www.gov.za/news/media-statements/government-activities/minister-thulas-nxesi-announces-national-minimum-wage</v>
      </c>
      <c r="I2169">
        <f>1*7.54*(1/5102)</f>
        <v>1.4778518228145826E-3</v>
      </c>
      <c r="J2169" t="s">
        <v>460</v>
      </c>
      <c r="K2169" s="85">
        <f t="shared" si="79"/>
        <v>6.0595274532862931</v>
      </c>
      <c r="L2169" s="85" t="s">
        <v>1098</v>
      </c>
    </row>
    <row r="2170" spans="1:12">
      <c r="A2170" t="s">
        <v>1450</v>
      </c>
      <c r="B2170" t="s">
        <v>54</v>
      </c>
      <c r="C2170" t="s">
        <v>460</v>
      </c>
      <c r="D2170" t="s">
        <v>48</v>
      </c>
      <c r="E2170" s="70">
        <f>IF(B2170="","",INDEX(Ingredients!$I$1:$I$5013,(MATCH(InterventionCosts!B2170,Ingredients!$A$1:$A$5013,0))))</f>
        <v>1.2444366591928251</v>
      </c>
      <c r="F2170" s="5" t="str">
        <f>INDEX(Ingredients!J$1:J$265,(MATCH(InterventionCosts!B2170,Ingredients!A$1:A$265,0)))</f>
        <v>per minute</v>
      </c>
      <c r="G2170">
        <f>IF(B2170="","",INDEX(Ingredients!$E$1:$E$238,(MATCH(InterventionCosts!B2170,Ingredients!A$1:A$238,0))))</f>
        <v>2024</v>
      </c>
      <c r="H2170" t="str">
        <f>INDEX(Ingredients!$F$1:$F$318,(MATCH(InterventionCosts!B2170,Ingredients!A$1:A$318,0)))</f>
        <v xml:space="preserve">April 2024 Salary scale </v>
      </c>
      <c r="I2170">
        <f>8*7.54*(workminutespa/12/5102)</f>
        <v>105.45950607604861</v>
      </c>
      <c r="J2170" t="s">
        <v>460</v>
      </c>
      <c r="K2170" s="85">
        <f t="shared" si="79"/>
        <v>131.23767542140337</v>
      </c>
      <c r="L2170" s="85" t="s">
        <v>1099</v>
      </c>
    </row>
    <row r="2171" spans="1:12">
      <c r="A2171" t="s">
        <v>1450</v>
      </c>
      <c r="B2171" t="s">
        <v>354</v>
      </c>
      <c r="C2171" t="s">
        <v>460</v>
      </c>
      <c r="D2171" t="s">
        <v>48</v>
      </c>
      <c r="E2171" s="70">
        <f>IF(B2171="","",INDEX(Ingredients!$I$1:$I$5013,(MATCH(InterventionCosts!B2171,Ingredients!$A$1:$A$5013,0))))</f>
        <v>4.8996605630293981</v>
      </c>
      <c r="F2171" s="5" t="str">
        <f>INDEX(Ingredients!J$1:J$265,(MATCH(InterventionCosts!B2171,Ingredients!A$1:A$265,0)))</f>
        <v>per minute</v>
      </c>
      <c r="G2171">
        <f>IF(B2171="","",INDEX(Ingredients!$E$1:$E$238,(MATCH(InterventionCosts!B2171,Ingredients!A$1:A$238,0))))</f>
        <v>2024</v>
      </c>
      <c r="H2171" t="str">
        <f>INDEX(Ingredients!$F$1:$F$318,(MATCH(InterventionCosts!B2171,Ingredients!A$1:A$318,0)))</f>
        <v xml:space="preserve">April 2024 Salary scale </v>
      </c>
      <c r="I2171">
        <f>16*7.54*(workminutespa/12/5102)</f>
        <v>210.91901215209722</v>
      </c>
      <c r="J2171" t="s">
        <v>460</v>
      </c>
      <c r="K2171" s="85">
        <f t="shared" si="79"/>
        <v>1033.4315658347491</v>
      </c>
      <c r="L2171" s="85" t="s">
        <v>1100</v>
      </c>
    </row>
    <row r="2172" spans="1:12">
      <c r="A2172" t="s">
        <v>1450</v>
      </c>
      <c r="B2172" t="s">
        <v>286</v>
      </c>
      <c r="C2172" t="s">
        <v>460</v>
      </c>
      <c r="D2172" t="s">
        <v>48</v>
      </c>
      <c r="E2172" s="70">
        <f>IF(B2172="","",INDEX(Ingredients!$I$1:$I$5013,(MATCH(InterventionCosts!B2172,Ingredients!$A$1:$A$5013,0))))</f>
        <v>3.2392279521674139</v>
      </c>
      <c r="F2172" s="5" t="str">
        <f>INDEX(Ingredients!J$1:J$265,(MATCH(InterventionCosts!B2172,Ingredients!A$1:A$265,0)))</f>
        <v>per minute</v>
      </c>
      <c r="G2172">
        <f>IF(B2172="","",INDEX(Ingredients!$E$1:$E$238,(MATCH(InterventionCosts!B2172,Ingredients!A$1:A$238,0))))</f>
        <v>2024</v>
      </c>
      <c r="H2172" t="str">
        <f>INDEX(Ingredients!$F$1:$F$318,(MATCH(InterventionCosts!B2172,Ingredients!A$1:A$318,0)))</f>
        <v xml:space="preserve">April 2024 Salary scale </v>
      </c>
      <c r="I2172">
        <f>4*7.54*(workminutespa/12/5102)</f>
        <v>52.729753038024306</v>
      </c>
      <c r="J2172" t="s">
        <v>460</v>
      </c>
      <c r="K2172" s="85">
        <f t="shared" si="79"/>
        <v>170.80368995165296</v>
      </c>
      <c r="L2172" s="85" t="s">
        <v>1097</v>
      </c>
    </row>
    <row r="2173" spans="1:12">
      <c r="A2173" t="s">
        <v>1450</v>
      </c>
      <c r="B2173" t="s">
        <v>1072</v>
      </c>
      <c r="C2173" t="s">
        <v>460</v>
      </c>
      <c r="D2173" t="s">
        <v>48</v>
      </c>
      <c r="E2173" s="70">
        <f>IF(B2173="","",INDEX(Ingredients!$I$1:$I$5013,(MATCH(InterventionCosts!B2173,Ingredients!$A$1:$A$5013,0))))</f>
        <v>2.5530496387643251</v>
      </c>
      <c r="F2173" s="5" t="str">
        <f>INDEX(Ingredients!J$1:J$265,(MATCH(InterventionCosts!B2173,Ingredients!A$1:A$265,0)))</f>
        <v>per minute</v>
      </c>
      <c r="G2173">
        <f>IF(B2173="","",INDEX(Ingredients!$E$1:$E$238,(MATCH(InterventionCosts!B2173,Ingredients!A$1:A$238,0))))</f>
        <v>2024</v>
      </c>
      <c r="H2173" t="str">
        <f>INDEX(Ingredients!$F$1:$F$318,(MATCH(InterventionCosts!B2173,Ingredients!A$1:A$318,0)))</f>
        <v xml:space="preserve">April 2024 Salary scale </v>
      </c>
      <c r="I2173">
        <f>1*7.54*(workminutespa/12/5102)</f>
        <v>13.182438259506077</v>
      </c>
      <c r="J2173" t="s">
        <v>460</v>
      </c>
      <c r="K2173" s="85">
        <f t="shared" si="79"/>
        <v>33.655419236465008</v>
      </c>
      <c r="L2173" s="85" t="s">
        <v>1098</v>
      </c>
    </row>
    <row r="2174" spans="1:12">
      <c r="A2174" t="s">
        <v>1450</v>
      </c>
      <c r="B2174" t="s">
        <v>1074</v>
      </c>
      <c r="C2174" t="s">
        <v>460</v>
      </c>
      <c r="D2174" t="s">
        <v>48</v>
      </c>
      <c r="E2174" s="70">
        <f>IF(B2174="","",INDEX(Ingredients!$I$1:$I$5013,(MATCH(InterventionCosts!B2174,Ingredients!$A$1:$A$5013,0))))</f>
        <v>2076.8733333333334</v>
      </c>
      <c r="F2174" s="5" t="str">
        <f>INDEX(Ingredients!J$1:J$265,(MATCH(InterventionCosts!B2174,Ingredients!A$1:A$265,0)))</f>
        <v>per month</v>
      </c>
      <c r="G2174">
        <f>IF(B2174="","",INDEX(Ingredients!$E$1:$E$238,(MATCH(InterventionCosts!B2174,Ingredients!A$1:A$238,0))))</f>
        <v>2024</v>
      </c>
      <c r="H2174" t="str">
        <f>INDEX(Ingredients!$F$1:$F$318,(MATCH(InterventionCosts!B2174,Ingredients!A$1:A$318,0)))</f>
        <v>https://www.gov.za/speeches/minister-thulas-nxesi-hikes-minimum-wage-farmworkers-and-domestic-workers-22-feb-2023-0000</v>
      </c>
      <c r="I2174">
        <f>13*7.54*(1/5102)</f>
        <v>1.921207369658957E-2</v>
      </c>
      <c r="J2174" t="s">
        <v>460</v>
      </c>
      <c r="K2174" s="85">
        <f t="shared" si="79"/>
        <v>39.901043538481638</v>
      </c>
      <c r="L2174" s="85" t="s">
        <v>1101</v>
      </c>
    </row>
    <row r="2175" spans="1:12">
      <c r="A2175" t="s">
        <v>1450</v>
      </c>
      <c r="B2175" t="s">
        <v>60</v>
      </c>
      <c r="C2175" t="s">
        <v>460</v>
      </c>
      <c r="D2175" t="s">
        <v>48</v>
      </c>
      <c r="E2175" s="70">
        <f>IF(B2175="","",INDEX(Ingredients!$I$1:$I$5013,(MATCH(InterventionCosts!B2175,Ingredients!$A$1:$A$5013,0))))</f>
        <v>9.1192801756352768</v>
      </c>
      <c r="F2175" s="5" t="str">
        <f>INDEX(Ingredients!J$1:J$265,(MATCH(InterventionCosts!B2175,Ingredients!A$1:A$265,0)))</f>
        <v>per minute</v>
      </c>
      <c r="G2175">
        <f>IF(B2175="","",INDEX(Ingredients!$E$1:$E$238,(MATCH(InterventionCosts!B2175,Ingredients!A$1:A$238,0))))</f>
        <v>2024</v>
      </c>
      <c r="H2175" t="str">
        <f>INDEX(Ingredients!$F$1:$F$318,(MATCH(InterventionCosts!B2175,Ingredients!A$1:A$318,0)))</f>
        <v xml:space="preserve">April 2024 Salary scale </v>
      </c>
      <c r="I2175">
        <f>1*7.54*(workminutespa/12/5102)</f>
        <v>13.182438259506077</v>
      </c>
      <c r="J2175" t="s">
        <v>460</v>
      </c>
      <c r="K2175" s="85">
        <f t="shared" si="79"/>
        <v>120.21434788644977</v>
      </c>
      <c r="L2175" s="85" t="s">
        <v>1098</v>
      </c>
    </row>
    <row r="2176" spans="1:12">
      <c r="A2176" t="s">
        <v>1450</v>
      </c>
      <c r="B2176" t="s">
        <v>1077</v>
      </c>
      <c r="C2176" t="s">
        <v>460</v>
      </c>
      <c r="D2176" t="s">
        <v>48</v>
      </c>
      <c r="E2176" s="70">
        <f>IF(B2176="","",INDEX(Ingredients!$I$1:$I$5013,(MATCH(InterventionCosts!B2176,Ingredients!$A$1:$A$5013,0))))</f>
        <v>2.1347303967364222</v>
      </c>
      <c r="F2176" s="5" t="str">
        <f>INDEX(Ingredients!J$1:J$265,(MATCH(InterventionCosts!B2176,Ingredients!A$1:A$265,0)))</f>
        <v>per minute</v>
      </c>
      <c r="G2176">
        <f>IF(B2176="","",INDEX(Ingredients!$E$1:$E$238,(MATCH(InterventionCosts!B2176,Ingredients!A$1:A$238,0))))</f>
        <v>2024</v>
      </c>
      <c r="H2176" t="str">
        <f>INDEX(Ingredients!$F$1:$F$318,(MATCH(InterventionCosts!B2176,Ingredients!A$1:A$318,0)))</f>
        <v xml:space="preserve">April 2024 Salary scale </v>
      </c>
      <c r="I2176">
        <f>4*7.54*(workminutespa/12/5102)</f>
        <v>52.729753038024306</v>
      </c>
      <c r="J2176" t="s">
        <v>460</v>
      </c>
      <c r="K2176" s="85">
        <f t="shared" si="79"/>
        <v>112.56380662267519</v>
      </c>
      <c r="L2176" s="85" t="s">
        <v>1097</v>
      </c>
    </row>
    <row r="2177" spans="1:14">
      <c r="A2177" t="s">
        <v>1450</v>
      </c>
      <c r="B2177" t="s">
        <v>1078</v>
      </c>
      <c r="C2177" t="s">
        <v>460</v>
      </c>
      <c r="D2177" t="s">
        <v>48</v>
      </c>
      <c r="E2177" s="70">
        <f>IF(B2177="","",INDEX(Ingredients!$I$1:$I$5013,(MATCH(InterventionCosts!B2177,Ingredients!$A$1:$A$5013,0))))</f>
        <v>13.503224277528648</v>
      </c>
      <c r="F2177" s="5" t="str">
        <f>INDEX(Ingredients!J$1:J$265,(MATCH(InterventionCosts!B2177,Ingredients!A$1:A$265,0)))</f>
        <v>per minute</v>
      </c>
      <c r="G2177">
        <f>IF(B2177="","",INDEX(Ingredients!$E$1:$E$238,(MATCH(InterventionCosts!B2177,Ingredients!A$1:A$238,0))))</f>
        <v>2024</v>
      </c>
      <c r="H2177" t="str">
        <f>INDEX(Ingredients!$F$1:$F$318,(MATCH(InterventionCosts!B2177,Ingredients!A$1:A$318,0)))</f>
        <v xml:space="preserve">April 2024 Salary scale </v>
      </c>
      <c r="I2177">
        <f>2*7.54*(workminutespa/12/5102)</f>
        <v>26.364876519012153</v>
      </c>
      <c r="J2177" t="s">
        <v>460</v>
      </c>
      <c r="K2177" s="85">
        <f t="shared" si="79"/>
        <v>356.01084068556992</v>
      </c>
      <c r="L2177" s="85" t="s">
        <v>1102</v>
      </c>
    </row>
    <row r="2178" spans="1:14">
      <c r="A2178" t="s">
        <v>1450</v>
      </c>
      <c r="B2178" t="s">
        <v>477</v>
      </c>
      <c r="C2178" t="s">
        <v>406</v>
      </c>
      <c r="D2178" t="s">
        <v>81</v>
      </c>
      <c r="E2178" s="70">
        <f>IF(B2178="","",INDEX(Ingredients!$I$1:$I$5013,(MATCH(InterventionCosts!B2178,Ingredients!$A$1:$A$5013,0))))</f>
        <v>88.256346376062865</v>
      </c>
      <c r="F2178" s="5" t="str">
        <f>INDEX(Ingredients!J$1:J$265,(MATCH(InterventionCosts!B2178,Ingredients!A$1:A$265,0)))</f>
        <v>per visit</v>
      </c>
      <c r="G2178">
        <f>IF(B2178="","",INDEX(Ingredients!$E$1:$E$238,(MATCH(InterventionCosts!B2178,Ingredients!A$1:A$238,0))))</f>
        <v>2019</v>
      </c>
      <c r="H2178" t="str">
        <f>INDEX(Ingredients!$F$1:$F$318,(MATCH(InterventionCosts!B2178,Ingredients!A$1:A$318,0)))</f>
        <v xml:space="preserve">Long L, Girdwood S, Govender K, Meyer-Rath G, Miot J: Cost and outcomes of routine HIV care and treatment: A comparison of public and private delivery models covering low-income earners in South Africa. Preprint available under DOI: https://doi.org/10.21203/rs.3.rs-960517/v1    </v>
      </c>
      <c r="I2178">
        <v>7.54</v>
      </c>
      <c r="J2178" t="s">
        <v>485</v>
      </c>
      <c r="K2178" s="85">
        <f t="shared" si="79"/>
        <v>665.45285167551401</v>
      </c>
    </row>
    <row r="2179" spans="1:14" s="89" customFormat="1">
      <c r="A2179" s="4" t="s">
        <v>1450</v>
      </c>
      <c r="F2179" s="89" t="s">
        <v>1164</v>
      </c>
      <c r="K2179" s="90"/>
      <c r="L2179" s="90">
        <f>SUM(K2152:K2178)</f>
        <v>6952.0754695787473</v>
      </c>
      <c r="M2179" s="92"/>
      <c r="N2179" s="4"/>
    </row>
    <row r="2180" spans="1:14" s="89" customFormat="1">
      <c r="A2180" s="4" t="s">
        <v>1450</v>
      </c>
      <c r="F2180" s="89" t="s">
        <v>117</v>
      </c>
      <c r="K2180" s="90"/>
      <c r="L2180" s="90" t="s">
        <v>937</v>
      </c>
    </row>
    <row r="2182" spans="1:14">
      <c r="A2182" t="s">
        <v>1451</v>
      </c>
      <c r="B2182" t="s">
        <v>871</v>
      </c>
      <c r="C2182" t="s">
        <v>459</v>
      </c>
      <c r="D2182" t="s">
        <v>70</v>
      </c>
      <c r="E2182" s="70">
        <f>IF(B2182="","",INDEX(Ingredients!$I$1:$I$5013,(MATCH(InterventionCosts!B2182,Ingredients!$A$1:$A$5013,0))))</f>
        <v>7.7632142857142856</v>
      </c>
      <c r="F2182" s="5" t="str">
        <f>INDEX(Ingredients!J$1:J$265,(MATCH(InterventionCosts!B2182,Ingredients!A$1:A$265,0)))</f>
        <v>per day</v>
      </c>
      <c r="G2182">
        <f>IF(B2182="","",INDEX(Ingredients!$E$1:$E$238,(MATCH(InterventionCosts!B2182,Ingredients!A$1:A$238,0))))</f>
        <v>2024</v>
      </c>
      <c r="H2182" t="str">
        <f>INDEX(Ingredients!$F$1:$F$318,(MATCH(InterventionCosts!B2182,Ingredients!A$1:A$318,0)))</f>
        <v>Master Procurement Circular May 2024</v>
      </c>
      <c r="I2182">
        <f>360*'ART kids distribution'!$D$15</f>
        <v>240</v>
      </c>
      <c r="J2182" t="s">
        <v>406</v>
      </c>
      <c r="K2182" s="85">
        <f t="shared" ref="K2182:K2208" si="82">I2182*E2182</f>
        <v>1863.1714285714286</v>
      </c>
    </row>
    <row r="2183" spans="1:14">
      <c r="A2183" t="s">
        <v>1451</v>
      </c>
      <c r="B2183" t="s">
        <v>898</v>
      </c>
      <c r="C2183" t="s">
        <v>459</v>
      </c>
      <c r="D2183" t="s">
        <v>70</v>
      </c>
      <c r="E2183" s="70">
        <f>IF(B2183="","",INDEX(Ingredients!$I$1:$I$5013,(MATCH(InterventionCosts!B2183,Ingredients!$A$1:$A$5013,0))))</f>
        <v>6.5117261591768205</v>
      </c>
      <c r="F2183" s="5" t="str">
        <f>INDEX(Ingredients!J$1:J$265,(MATCH(InterventionCosts!B2183,Ingredients!A$1:A$265,0)))</f>
        <v>per day</v>
      </c>
      <c r="G2183">
        <f>IF(B2183="","",INDEX(Ingredients!$E$1:$E$238,(MATCH(InterventionCosts!B2183,Ingredients!A$1:A$238,0))))</f>
        <v>2024</v>
      </c>
      <c r="H2183" t="str">
        <f>INDEX(Ingredients!$F$1:$F$318,(MATCH(InterventionCosts!B2183,Ingredients!A$1:A$318,0)))</f>
        <v>Master Procurement Circular May 2024</v>
      </c>
      <c r="I2183">
        <f>360*'ART kids distribution'!$C$15</f>
        <v>94</v>
      </c>
      <c r="J2183" t="s">
        <v>406</v>
      </c>
      <c r="K2183" s="85">
        <f t="shared" si="82"/>
        <v>612.10225896262114</v>
      </c>
    </row>
    <row r="2184" spans="1:14">
      <c r="A2184" t="s">
        <v>1451</v>
      </c>
      <c r="B2184" t="s">
        <v>899</v>
      </c>
      <c r="C2184" t="s">
        <v>459</v>
      </c>
      <c r="D2184" t="s">
        <v>70</v>
      </c>
      <c r="E2184" s="70">
        <f>IF(B2184="","",INDEX(Ingredients!$I$1:$I$5013,(MATCH(InterventionCosts!B2184,Ingredients!$A$1:$A$5013,0))))</f>
        <v>14.07972615917682</v>
      </c>
      <c r="F2184" s="5" t="str">
        <f>INDEX(Ingredients!J$1:J$265,(MATCH(InterventionCosts!B2184,Ingredients!A$1:A$265,0)))</f>
        <v>per day</v>
      </c>
      <c r="G2184">
        <f>IF(B2184="","",INDEX(Ingredients!$E$1:$E$238,(MATCH(InterventionCosts!B2184,Ingredients!A$1:A$238,0))))</f>
        <v>2024</v>
      </c>
      <c r="H2184" t="str">
        <f>INDEX(Ingredients!$F$1:$F$318,(MATCH(InterventionCosts!B2184,Ingredients!A$1:A$318,0)))</f>
        <v>Master Procurement Circular May 2024</v>
      </c>
      <c r="I2184">
        <f>360*'ART kids distribution'!$F$15</f>
        <v>25.999999999999996</v>
      </c>
      <c r="J2184" t="s">
        <v>406</v>
      </c>
      <c r="K2184" s="85">
        <f t="shared" si="82"/>
        <v>366.07288013859727</v>
      </c>
    </row>
    <row r="2185" spans="1:14">
      <c r="A2185" t="s">
        <v>1451</v>
      </c>
      <c r="B2185" s="273" t="s">
        <v>1147</v>
      </c>
      <c r="C2185" t="s">
        <v>1151</v>
      </c>
      <c r="D2185" t="s">
        <v>67</v>
      </c>
      <c r="E2185" s="70">
        <f>IF(B2185="","",INDEX(Ingredients!$I$1:$I$5013,(MATCH(InterventionCosts!B2185,Ingredients!$A$1:$A$5013,0))))</f>
        <v>96609.835920812693</v>
      </c>
      <c r="F2185" s="5" t="str">
        <f>INDEX(Ingredients!J$1:J$265,(MATCH(InterventionCosts!B2185,Ingredients!A$1:A$265,0)))</f>
        <v>per machine</v>
      </c>
      <c r="G2185">
        <f>IF(B2185="","",INDEX(Ingredients!$E$1:$E$238,(MATCH(InterventionCosts!B2185,Ingredients!A$1:A$238,0))))</f>
        <v>2024</v>
      </c>
      <c r="H2185" t="str">
        <f>INDEX(Ingredients!$F$1:$F$318,(MATCH(InterventionCosts!B2185,Ingredients!A$1:A$318,0)))</f>
        <v>https://www.stoptb.org/sites/default/files/gdf_diagnostics_medical_devices_other_health_products_catalog_0.pdf</v>
      </c>
      <c r="I2185" s="274">
        <f>1/(2300*0.6)</f>
        <v>7.246376811594203E-4</v>
      </c>
      <c r="J2185" s="274" t="s">
        <v>1157</v>
      </c>
      <c r="K2185" s="85">
        <f t="shared" ref="K2185:K2194" si="83">E2185*I2185</f>
        <v>70.007127478849782</v>
      </c>
    </row>
    <row r="2186" spans="1:14">
      <c r="A2186" t="s">
        <v>1451</v>
      </c>
      <c r="B2186" s="273" t="s">
        <v>1148</v>
      </c>
      <c r="C2186" t="s">
        <v>1151</v>
      </c>
      <c r="D2186" t="s">
        <v>21</v>
      </c>
      <c r="E2186" s="70">
        <f>IF(B2186="","",INDEX(Ingredients!$I$1:$I$5013,(MATCH(InterventionCosts!B2186,Ingredients!$A$1:$A$5013,0))))</f>
        <v>319.75037364827585</v>
      </c>
      <c r="F2186" s="5" t="str">
        <f>INDEX(Ingredients!J$1:J$265,(MATCH(InterventionCosts!B2186,Ingredients!A$1:A$265,0)))</f>
        <v>per test</v>
      </c>
      <c r="G2186">
        <f>IF(B2186="","",INDEX(Ingredients!$E$1:$E$238,(MATCH(InterventionCosts!B2186,Ingredients!A$1:A$238,0))))</f>
        <v>2024</v>
      </c>
      <c r="H2186" t="str">
        <f>INDEX(Ingredients!$F$1:$F$318,(MATCH(InterventionCosts!B2186,Ingredients!A$1:A$318,0)))</f>
        <v>https://www.stoptb.org/sites/default/files/gdf_diagnostics_medical_devices_other_health_products_catalog_0.pdf</v>
      </c>
      <c r="I2186" s="274">
        <v>1</v>
      </c>
      <c r="J2186" t="s">
        <v>1151</v>
      </c>
      <c r="K2186" s="85">
        <f t="shared" si="83"/>
        <v>319.75037364827585</v>
      </c>
    </row>
    <row r="2187" spans="1:14">
      <c r="A2187" t="s">
        <v>1451</v>
      </c>
      <c r="B2187" s="273" t="s">
        <v>1149</v>
      </c>
      <c r="C2187" t="s">
        <v>1151</v>
      </c>
      <c r="D2187" t="s">
        <v>81</v>
      </c>
      <c r="E2187" s="70">
        <f>IF(B2187="","",INDEX(Ingredients!$I$1:$I$5013,(MATCH(InterventionCosts!B2187,Ingredients!$A$1:$A$5013,0))))</f>
        <v>34756.611222699823</v>
      </c>
      <c r="F2187" s="5" t="str">
        <f>INDEX(Ingredients!J$1:J$265,(MATCH(InterventionCosts!B2187,Ingredients!A$1:A$265,0)))</f>
        <v>per setup</v>
      </c>
      <c r="G2187">
        <f>IF(B2187="","",INDEX(Ingredients!$E$1:$E$238,(MATCH(InterventionCosts!B2187,Ingredients!A$1:A$238,0))))</f>
        <v>2024</v>
      </c>
      <c r="H2187" t="str">
        <f>INDEX(Ingredients!$F$1:$F$318,(MATCH(InterventionCosts!B2187,Ingredients!A$1:A$318,0)))</f>
        <v>https://www.stoptb.org/sites/default/files/gdf_diagnostics_medical_devices_other_health_products_catalog_0.pdf</v>
      </c>
      <c r="I2187" s="274">
        <f>1/(2300*0.6)</f>
        <v>7.246376811594203E-4</v>
      </c>
      <c r="J2187" s="274" t="s">
        <v>1157</v>
      </c>
      <c r="K2187" s="85">
        <f t="shared" si="83"/>
        <v>25.185950161376685</v>
      </c>
    </row>
    <row r="2188" spans="1:14">
      <c r="A2188" t="s">
        <v>1451</v>
      </c>
      <c r="B2188" s="273" t="s">
        <v>1156</v>
      </c>
      <c r="C2188" t="s">
        <v>1151</v>
      </c>
      <c r="D2188" t="s">
        <v>48</v>
      </c>
      <c r="E2188" s="70">
        <f>IF(B2188="","",INDEX(Ingredients!$I$1:$I$5013,(MATCH(InterventionCosts!B2188,Ingredients!$A$1:$A$5013,0))))</f>
        <v>5619.5309209141369</v>
      </c>
      <c r="F2188" s="5" t="str">
        <f>INDEX(Ingredients!J$1:J$265,(MATCH(InterventionCosts!B2188,Ingredients!A$1:A$265,0)))</f>
        <v>per setup</v>
      </c>
      <c r="G2188">
        <f>IF(B2188="","",INDEX(Ingredients!$E$1:$E$238,(MATCH(InterventionCosts!B2188,Ingredients!A$1:A$238,0))))</f>
        <v>2019</v>
      </c>
      <c r="H2188" t="str">
        <f>INDEX(Ingredients!$F$1:$F$318,(MATCH(InterventionCosts!B2188,Ingredients!A$1:A$318,0)))</f>
        <v>Sarah Girdwood, https://www.ncbi.nlm.nih.gov/pmc/articles/PMC7700965/pdf/main.pdf</v>
      </c>
      <c r="I2188" s="274">
        <f t="shared" ref="I2188:I2192" si="84">1/(2300*0.6)</f>
        <v>7.246376811594203E-4</v>
      </c>
      <c r="J2188" t="s">
        <v>1151</v>
      </c>
      <c r="K2188" s="85">
        <f t="shared" si="83"/>
        <v>4.0721238557348816</v>
      </c>
    </row>
    <row r="2189" spans="1:14">
      <c r="A2189" t="s">
        <v>1451</v>
      </c>
      <c r="B2189" s="273" t="s">
        <v>1150</v>
      </c>
      <c r="C2189" t="s">
        <v>1151</v>
      </c>
      <c r="D2189" t="s">
        <v>48</v>
      </c>
      <c r="E2189" s="70">
        <f>IF(B2189="","",INDEX(Ingredients!$I$1:$I$5013,(MATCH(InterventionCosts!B2189,Ingredients!$A$1:$A$5013,0))))</f>
        <v>5690.1603086312934</v>
      </c>
      <c r="F2189" s="5" t="str">
        <f>INDEX(Ingredients!J$1:J$265,(MATCH(InterventionCosts!B2189,Ingredients!A$1:A$265,0)))</f>
        <v>per setup</v>
      </c>
      <c r="G2189">
        <f>IF(B2189="","",INDEX(Ingredients!$E$1:$E$238,(MATCH(InterventionCosts!B2189,Ingredients!A$1:A$238,0))))</f>
        <v>2019</v>
      </c>
      <c r="H2189" t="str">
        <f>INDEX(Ingredients!$F$1:$F$318,(MATCH(InterventionCosts!B2189,Ingredients!A$1:A$318,0)))</f>
        <v>Sarah Girdwood, https://www.ncbi.nlm.nih.gov/pmc/articles/PMC7700965/pdf/main.pdf</v>
      </c>
      <c r="I2189" s="274">
        <f t="shared" si="84"/>
        <v>7.246376811594203E-4</v>
      </c>
      <c r="J2189" t="s">
        <v>1151</v>
      </c>
      <c r="K2189" s="85">
        <f t="shared" si="83"/>
        <v>4.1233045714719516</v>
      </c>
    </row>
    <row r="2190" spans="1:14">
      <c r="A2190" t="s">
        <v>1451</v>
      </c>
      <c r="B2190" s="273" t="s">
        <v>1155</v>
      </c>
      <c r="C2190" t="s">
        <v>1151</v>
      </c>
      <c r="D2190" t="s">
        <v>67</v>
      </c>
      <c r="E2190" s="70">
        <f>IF(B2190="","",INDEX(Ingredients!$I$1:$I$5013,(MATCH(InterventionCosts!B2190,Ingredients!$A$1:$A$5013,0))))</f>
        <v>11917.103963912978</v>
      </c>
      <c r="F2190" s="5" t="str">
        <f>INDEX(Ingredients!J$1:J$265,(MATCH(InterventionCosts!B2190,Ingredients!A$1:A$265,0)))</f>
        <v>per setup</v>
      </c>
      <c r="G2190">
        <f>IF(B2190="","",INDEX(Ingredients!$E$1:$E$238,(MATCH(InterventionCosts!B2190,Ingredients!A$1:A$238,0))))</f>
        <v>2019</v>
      </c>
      <c r="H2190" t="str">
        <f>INDEX(Ingredients!$F$1:$F$318,(MATCH(InterventionCosts!B2190,Ingredients!A$1:A$318,0)))</f>
        <v>Sarah Girdwood, https://www.ncbi.nlm.nih.gov/pmc/articles/PMC7700965/pdf/main.pdf</v>
      </c>
      <c r="I2190" s="274">
        <f t="shared" si="84"/>
        <v>7.246376811594203E-4</v>
      </c>
      <c r="J2190" t="s">
        <v>1151</v>
      </c>
      <c r="K2190" s="85">
        <f t="shared" si="83"/>
        <v>8.635582582545636</v>
      </c>
    </row>
    <row r="2191" spans="1:14">
      <c r="A2191" t="s">
        <v>1451</v>
      </c>
      <c r="B2191" s="273" t="s">
        <v>1154</v>
      </c>
      <c r="C2191" t="s">
        <v>1151</v>
      </c>
      <c r="D2191" t="s">
        <v>81</v>
      </c>
      <c r="E2191" s="70">
        <f>IF(B2191="","",INDEX(Ingredients!$I$1:$I$5013,(MATCH(InterventionCosts!B2191,Ingredients!$A$1:$A$5013,0))))</f>
        <v>8006.8042257540328</v>
      </c>
      <c r="F2191" s="5" t="str">
        <f>INDEX(Ingredients!J$1:J$265,(MATCH(InterventionCosts!B2191,Ingredients!A$1:A$265,0)))</f>
        <v>per setup</v>
      </c>
      <c r="G2191">
        <f>IF(B2191="","",INDEX(Ingredients!$E$1:$E$238,(MATCH(InterventionCosts!B2191,Ingredients!A$1:A$238,0))))</f>
        <v>2019</v>
      </c>
      <c r="H2191" t="str">
        <f>INDEX(Ingredients!$F$1:$F$318,(MATCH(InterventionCosts!B2191,Ingredients!A$1:A$318,0)))</f>
        <v>https://www.ncbi.nlm.nih.gov/pmc/articles/PMC7700965/pdf/main.pdf</v>
      </c>
      <c r="I2191" s="274">
        <f t="shared" si="84"/>
        <v>7.246376811594203E-4</v>
      </c>
      <c r="J2191" t="s">
        <v>1151</v>
      </c>
      <c r="K2191" s="85">
        <f t="shared" si="83"/>
        <v>5.8020320476478497</v>
      </c>
    </row>
    <row r="2192" spans="1:14">
      <c r="A2192" t="s">
        <v>1451</v>
      </c>
      <c r="B2192" s="273" t="s">
        <v>1153</v>
      </c>
      <c r="C2192" t="s">
        <v>1151</v>
      </c>
      <c r="D2192" t="s">
        <v>81</v>
      </c>
      <c r="E2192" s="70">
        <f>IF(B2192="","",INDEX(Ingredients!$I$1:$I$5013,(MATCH(InterventionCosts!B2192,Ingredients!$A$1:$A$5013,0))))</f>
        <v>22740.094503552911</v>
      </c>
      <c r="F2192" s="5" t="str">
        <f>INDEX(Ingredients!J$1:J$265,(MATCH(InterventionCosts!B2192,Ingredients!A$1:A$265,0)))</f>
        <v>per setup</v>
      </c>
      <c r="G2192">
        <f>IF(B2192="","",INDEX(Ingredients!$E$1:$E$238,(MATCH(InterventionCosts!B2192,Ingredients!A$1:A$238,0))))</f>
        <v>2019</v>
      </c>
      <c r="H2192" t="str">
        <f>INDEX(Ingredients!$F$1:$F$318,(MATCH(InterventionCosts!B2192,Ingredients!A$1:A$318,0)))</f>
        <v>https://www.ncbi.nlm.nih.gov/pmc/articles/PMC7700965/pdf/main.pdf</v>
      </c>
      <c r="I2192" s="274">
        <f t="shared" si="84"/>
        <v>7.246376811594203E-4</v>
      </c>
      <c r="J2192" t="s">
        <v>1151</v>
      </c>
      <c r="K2192" s="85">
        <f t="shared" si="83"/>
        <v>16.47832935040066</v>
      </c>
    </row>
    <row r="2193" spans="1:12">
      <c r="A2193" t="s">
        <v>1451</v>
      </c>
      <c r="B2193" s="273" t="s">
        <v>1152</v>
      </c>
      <c r="C2193" t="s">
        <v>1151</v>
      </c>
      <c r="D2193" t="s">
        <v>21</v>
      </c>
      <c r="E2193" s="70">
        <f>IF(B2193="","",INDEX(Ingredients!$I$1:$I$5013,(MATCH(InterventionCosts!B2193,Ingredients!$A$1:$A$5013,0))))</f>
        <v>3.608519627003822</v>
      </c>
      <c r="F2193" s="5" t="str">
        <f>INDEX(Ingredients!J$1:J$265,(MATCH(InterventionCosts!B2193,Ingredients!A$1:A$265,0)))</f>
        <v>per test</v>
      </c>
      <c r="G2193">
        <f>IF(B2193="","",INDEX(Ingredients!$E$1:$E$238,(MATCH(InterventionCosts!B2193,Ingredients!A$1:A$238,0))))</f>
        <v>2019</v>
      </c>
      <c r="H2193" t="str">
        <f>INDEX(Ingredients!$F$1:$F$318,(MATCH(InterventionCosts!B2193,Ingredients!A$1:A$318,0)))</f>
        <v>Sarah Girdwood, https://www.ncbi.nlm.nih.gov/pmc/articles/PMC7700965/pdf/main.pdf</v>
      </c>
      <c r="I2193" s="274">
        <v>1</v>
      </c>
      <c r="J2193" t="s">
        <v>1151</v>
      </c>
      <c r="K2193" s="85">
        <f t="shared" si="83"/>
        <v>3.608519627003822</v>
      </c>
    </row>
    <row r="2194" spans="1:12">
      <c r="A2194" t="s">
        <v>1451</v>
      </c>
      <c r="B2194" s="273" t="s">
        <v>286</v>
      </c>
      <c r="C2194" t="s">
        <v>1151</v>
      </c>
      <c r="D2194" t="s">
        <v>48</v>
      </c>
      <c r="E2194" s="70">
        <f>IF(B2194="","",INDEX(Ingredients!$I$1:$I$5013,(MATCH(InterventionCosts!B2194,Ingredients!$A$1:$A$5013,0))))</f>
        <v>3.2392279521674139</v>
      </c>
      <c r="F2194" s="5" t="str">
        <f>INDEX(Ingredients!J$1:J$265,(MATCH(InterventionCosts!B2194,Ingredients!A$1:A$265,0)))</f>
        <v>per minute</v>
      </c>
      <c r="G2194">
        <f>IF(B2194="","",INDEX(Ingredients!$E$1:$E$238,(MATCH(InterventionCosts!B2194,Ingredients!A$1:A$238,0))))</f>
        <v>2024</v>
      </c>
      <c r="H2194" t="str">
        <f>INDEX(Ingredients!$F$1:$F$318,(MATCH(InterventionCosts!B2194,Ingredients!A$1:A$318,0)))</f>
        <v xml:space="preserve">April 2024 Salary scale </v>
      </c>
      <c r="I2194" s="274">
        <f>5.6+5.4+17.1+5</f>
        <v>33.1</v>
      </c>
      <c r="J2194" t="s">
        <v>1151</v>
      </c>
      <c r="K2194" s="85">
        <f t="shared" si="83"/>
        <v>107.2184452167414</v>
      </c>
    </row>
    <row r="2195" spans="1:12">
      <c r="A2195" t="s">
        <v>1451</v>
      </c>
      <c r="B2195" t="s">
        <v>458</v>
      </c>
      <c r="C2195" t="s">
        <v>459</v>
      </c>
      <c r="D2195" t="s">
        <v>75</v>
      </c>
      <c r="E2195" s="70">
        <f>IF(B2195="","",INDEX(Ingredients!$I$1:$I$5013,(MATCH(InterventionCosts!B2195,Ingredients!$A$1:$A$5013,0))))</f>
        <v>86.59037211495</v>
      </c>
      <c r="F2195" s="5" t="str">
        <f>INDEX(Ingredients!J$1:J$265,(MATCH(InterventionCosts!B2195,Ingredients!A$1:A$265,0)))</f>
        <v>per test</v>
      </c>
      <c r="G2195">
        <f>IF(B2195="","",INDEX(Ingredients!$E$1:$E$238,(MATCH(InterventionCosts!B2195,Ingredients!A$1:A$238,0))))</f>
        <v>2021</v>
      </c>
      <c r="H2195" t="str">
        <f>INDEX(Ingredients!$F$1:$F$318,(MATCH(InterventionCosts!B2195,Ingredients!A$1:A$318,0)))</f>
        <v>NHLS 2021 price-list</v>
      </c>
      <c r="I2195">
        <v>1</v>
      </c>
      <c r="J2195" t="s">
        <v>459</v>
      </c>
      <c r="K2195" s="85">
        <f t="shared" si="82"/>
        <v>86.59037211495</v>
      </c>
    </row>
    <row r="2196" spans="1:12">
      <c r="A2196" t="s">
        <v>1451</v>
      </c>
      <c r="B2196" t="s">
        <v>52</v>
      </c>
      <c r="C2196" t="s">
        <v>460</v>
      </c>
      <c r="D2196" t="s">
        <v>48</v>
      </c>
      <c r="E2196" s="70">
        <f>IF(B2196="","",INDEX(Ingredients!$I$1:$I$5013,(MATCH(InterventionCosts!B2196,Ingredients!$A$1:$A$5013,0))))</f>
        <v>1.8019482436472347</v>
      </c>
      <c r="F2196" s="5" t="str">
        <f>INDEX(Ingredients!J$1:J$265,(MATCH(InterventionCosts!B2196,Ingredients!A$1:A$265,0)))</f>
        <v>per minute</v>
      </c>
      <c r="G2196">
        <f>IF(B2196="","",INDEX(Ingredients!$E$1:$E$238,(MATCH(InterventionCosts!B2196,Ingredients!A$1:A$238,0))))</f>
        <v>2024</v>
      </c>
      <c r="H2196" t="str">
        <f>INDEX(Ingredients!$F$1:$F$318,(MATCH(InterventionCosts!B2196,Ingredients!A$1:A$318,0)))</f>
        <v xml:space="preserve">April 2024 Salary scale </v>
      </c>
      <c r="I2196">
        <f>4*4*(workminutespa/12/5102)</f>
        <v>27.973343786750295</v>
      </c>
      <c r="J2196" t="s">
        <v>460</v>
      </c>
      <c r="K2196" s="85">
        <f t="shared" si="82"/>
        <v>50.406517705474982</v>
      </c>
      <c r="L2196" s="85" t="s">
        <v>1079</v>
      </c>
    </row>
    <row r="2197" spans="1:12">
      <c r="A2197" t="s">
        <v>1451</v>
      </c>
      <c r="B2197" t="s">
        <v>55</v>
      </c>
      <c r="C2197" t="s">
        <v>460</v>
      </c>
      <c r="D2197" t="s">
        <v>48</v>
      </c>
      <c r="E2197" s="70">
        <f>IF(B2197="","",INDEX(Ingredients!$I$1:$I$5013,(MATCH(InterventionCosts!B2197,Ingredients!$A$1:$A$5013,0))))</f>
        <v>1.8549350710014947</v>
      </c>
      <c r="F2197" s="5" t="str">
        <f>INDEX(Ingredients!J$1:J$265,(MATCH(InterventionCosts!B2197,Ingredients!A$1:A$265,0)))</f>
        <v>per minute</v>
      </c>
      <c r="G2197">
        <f>IF(B2197="","",INDEX(Ingredients!$E$1:$E$238,(MATCH(InterventionCosts!B2197,Ingredients!A$1:A$238,0))))</f>
        <v>2024</v>
      </c>
      <c r="H2197" t="str">
        <f>INDEX(Ingredients!$F$1:$F$318,(MATCH(InterventionCosts!B2197,Ingredients!A$1:A$318,0)))</f>
        <v xml:space="preserve">April 2024 Salary scale </v>
      </c>
      <c r="I2197">
        <f>4*4*(workminutespa/12/5102)</f>
        <v>27.973343786750295</v>
      </c>
      <c r="J2197" t="s">
        <v>460</v>
      </c>
      <c r="K2197" s="85">
        <f t="shared" si="82"/>
        <v>51.888736443224879</v>
      </c>
      <c r="L2197" s="85" t="s">
        <v>1079</v>
      </c>
    </row>
    <row r="2198" spans="1:12">
      <c r="A2198" t="s">
        <v>1451</v>
      </c>
      <c r="B2198" t="s">
        <v>1070</v>
      </c>
      <c r="C2198" t="s">
        <v>460</v>
      </c>
      <c r="D2198" t="s">
        <v>48</v>
      </c>
      <c r="E2198" s="70">
        <f>IF(B2198="","",INDEX(Ingredients!$I$1:$I$5013,(MATCH(InterventionCosts!B2198,Ingredients!$A$1:$A$5013,0))))</f>
        <v>2.443981128550075</v>
      </c>
      <c r="F2198" s="5" t="str">
        <f>INDEX(Ingredients!J$1:J$265,(MATCH(InterventionCosts!B2198,Ingredients!A$1:A$265,0)))</f>
        <v>per minute</v>
      </c>
      <c r="G2198">
        <f>IF(B2198="","",INDEX(Ingredients!$E$1:$E$238,(MATCH(InterventionCosts!B2198,Ingredients!A$1:A$238,0))))</f>
        <v>2024</v>
      </c>
      <c r="H2198" t="str">
        <f>INDEX(Ingredients!$F$1:$F$318,(MATCH(InterventionCosts!B2198,Ingredients!A$1:A$318,0)))</f>
        <v xml:space="preserve">April 2024 Salary scale </v>
      </c>
      <c r="I2198">
        <f>1*4*(workminutespa/12/5102)</f>
        <v>6.9933359466875737</v>
      </c>
      <c r="J2198" t="s">
        <v>460</v>
      </c>
      <c r="K2198" s="85">
        <f t="shared" si="82"/>
        <v>17.091581079315304</v>
      </c>
      <c r="L2198" s="85" t="s">
        <v>1080</v>
      </c>
    </row>
    <row r="2199" spans="1:12">
      <c r="A2199" t="s">
        <v>1451</v>
      </c>
      <c r="B2199" t="s">
        <v>51</v>
      </c>
      <c r="C2199" t="s">
        <v>460</v>
      </c>
      <c r="D2199" t="s">
        <v>48</v>
      </c>
      <c r="E2199" s="70">
        <f>IF(B2199="","",INDEX(Ingredients!$I$1:$I$5013,(MATCH(InterventionCosts!B2199,Ingredients!$A$1:$A$5013,0))))</f>
        <v>4100.2266666666665</v>
      </c>
      <c r="F2199" s="5" t="str">
        <f>INDEX(Ingredients!J$1:J$265,(MATCH(InterventionCosts!B2199,Ingredients!A$1:A$265,0)))</f>
        <v>per month</v>
      </c>
      <c r="G2199">
        <f>IF(B2199="","",INDEX(Ingredients!$E$1:$E$238,(MATCH(InterventionCosts!B2199,Ingredients!A$1:A$238,0))))</f>
        <v>2024</v>
      </c>
      <c r="H2199" t="str">
        <f>INDEX(Ingredients!$F$1:$F$318,(MATCH(InterventionCosts!B2199,Ingredients!A$1:A$318,0)))</f>
        <v>https://www.gov.za/news/media-statements/government-activities/minister-thulas-nxesi-announces-national-minimum-wage</v>
      </c>
      <c r="I2199">
        <f>1*4*(1/5102)</f>
        <v>7.840062720501764E-4</v>
      </c>
      <c r="J2199" t="s">
        <v>460</v>
      </c>
      <c r="K2199" s="85">
        <f t="shared" si="82"/>
        <v>3.2146034234940544</v>
      </c>
      <c r="L2199" s="85" t="s">
        <v>1080</v>
      </c>
    </row>
    <row r="2200" spans="1:12">
      <c r="A2200" t="s">
        <v>1451</v>
      </c>
      <c r="B2200" t="s">
        <v>54</v>
      </c>
      <c r="C2200" t="s">
        <v>460</v>
      </c>
      <c r="D2200" t="s">
        <v>48</v>
      </c>
      <c r="E2200" s="70">
        <f>IF(B2200="","",INDEX(Ingredients!$I$1:$I$5013,(MATCH(InterventionCosts!B2200,Ingredients!$A$1:$A$5013,0))))</f>
        <v>1.2444366591928251</v>
      </c>
      <c r="F2200" s="5" t="str">
        <f>INDEX(Ingredients!J$1:J$265,(MATCH(InterventionCosts!B2200,Ingredients!A$1:A$265,0)))</f>
        <v>per minute</v>
      </c>
      <c r="G2200">
        <f>IF(B2200="","",INDEX(Ingredients!$E$1:$E$238,(MATCH(InterventionCosts!B2200,Ingredients!A$1:A$238,0))))</f>
        <v>2024</v>
      </c>
      <c r="H2200" t="str">
        <f>INDEX(Ingredients!$F$1:$F$318,(MATCH(InterventionCosts!B2200,Ingredients!A$1:A$318,0)))</f>
        <v xml:space="preserve">April 2024 Salary scale </v>
      </c>
      <c r="I2200">
        <f>8*4*(workminutespa/12/5102)</f>
        <v>55.94668757350059</v>
      </c>
      <c r="J2200" t="s">
        <v>460</v>
      </c>
      <c r="K2200" s="85">
        <f t="shared" si="82"/>
        <v>69.622108976871814</v>
      </c>
      <c r="L2200" s="85" t="s">
        <v>1081</v>
      </c>
    </row>
    <row r="2201" spans="1:12">
      <c r="A2201" t="s">
        <v>1451</v>
      </c>
      <c r="B2201" t="s">
        <v>354</v>
      </c>
      <c r="C2201" t="s">
        <v>460</v>
      </c>
      <c r="D2201" t="s">
        <v>48</v>
      </c>
      <c r="E2201" s="70">
        <f>IF(B2201="","",INDEX(Ingredients!$I$1:$I$5013,(MATCH(InterventionCosts!B2201,Ingredients!$A$1:$A$5013,0))))</f>
        <v>4.8996605630293981</v>
      </c>
      <c r="F2201" s="5" t="str">
        <f>INDEX(Ingredients!J$1:J$265,(MATCH(InterventionCosts!B2201,Ingredients!A$1:A$265,0)))</f>
        <v>per minute</v>
      </c>
      <c r="G2201">
        <f>IF(B2201="","",INDEX(Ingredients!$E$1:$E$238,(MATCH(InterventionCosts!B2201,Ingredients!A$1:A$238,0))))</f>
        <v>2024</v>
      </c>
      <c r="H2201" t="str">
        <f>INDEX(Ingredients!$F$1:$F$318,(MATCH(InterventionCosts!B2201,Ingredients!A$1:A$318,0)))</f>
        <v xml:space="preserve">April 2024 Salary scale </v>
      </c>
      <c r="I2201">
        <f>16*4*(workminutespa/12/5102)</f>
        <v>111.89337514700118</v>
      </c>
      <c r="J2201" t="s">
        <v>460</v>
      </c>
      <c r="K2201" s="85">
        <f t="shared" si="82"/>
        <v>548.23955747201546</v>
      </c>
      <c r="L2201" s="85" t="s">
        <v>1082</v>
      </c>
    </row>
    <row r="2202" spans="1:12">
      <c r="A2202" t="s">
        <v>1451</v>
      </c>
      <c r="B2202" t="s">
        <v>286</v>
      </c>
      <c r="C2202" t="s">
        <v>460</v>
      </c>
      <c r="D2202" t="s">
        <v>48</v>
      </c>
      <c r="E2202" s="70">
        <f>IF(B2202="","",INDEX(Ingredients!$I$1:$I$5013,(MATCH(InterventionCosts!B2202,Ingredients!$A$1:$A$5013,0))))</f>
        <v>3.2392279521674139</v>
      </c>
      <c r="F2202" s="5" t="str">
        <f>INDEX(Ingredients!J$1:J$265,(MATCH(InterventionCosts!B2202,Ingredients!A$1:A$265,0)))</f>
        <v>per minute</v>
      </c>
      <c r="G2202">
        <f>IF(B2202="","",INDEX(Ingredients!$E$1:$E$238,(MATCH(InterventionCosts!B2202,Ingredients!A$1:A$238,0))))</f>
        <v>2024</v>
      </c>
      <c r="H2202" t="str">
        <f>INDEX(Ingredients!$F$1:$F$318,(MATCH(InterventionCosts!B2202,Ingredients!A$1:A$318,0)))</f>
        <v xml:space="preserve">April 2024 Salary scale </v>
      </c>
      <c r="I2202">
        <f>4*4*(workminutespa/12/5102)</f>
        <v>27.973343786750295</v>
      </c>
      <c r="J2202" t="s">
        <v>460</v>
      </c>
      <c r="K2202" s="85">
        <f t="shared" si="82"/>
        <v>90.612037109630208</v>
      </c>
      <c r="L2202" s="85" t="s">
        <v>1079</v>
      </c>
    </row>
    <row r="2203" spans="1:12">
      <c r="A2203" t="s">
        <v>1451</v>
      </c>
      <c r="B2203" t="s">
        <v>1072</v>
      </c>
      <c r="C2203" t="s">
        <v>460</v>
      </c>
      <c r="D2203" t="s">
        <v>48</v>
      </c>
      <c r="E2203" s="70">
        <f>IF(B2203="","",INDEX(Ingredients!$I$1:$I$5013,(MATCH(InterventionCosts!B2203,Ingredients!$A$1:$A$5013,0))))</f>
        <v>2.5530496387643251</v>
      </c>
      <c r="F2203" s="5" t="str">
        <f>INDEX(Ingredients!J$1:J$265,(MATCH(InterventionCosts!B2203,Ingredients!A$1:A$265,0)))</f>
        <v>per minute</v>
      </c>
      <c r="G2203">
        <f>IF(B2203="","",INDEX(Ingredients!$E$1:$E$238,(MATCH(InterventionCosts!B2203,Ingredients!A$1:A$238,0))))</f>
        <v>2024</v>
      </c>
      <c r="H2203" t="str">
        <f>INDEX(Ingredients!$F$1:$F$318,(MATCH(InterventionCosts!B2203,Ingredients!A$1:A$318,0)))</f>
        <v xml:space="preserve">April 2024 Salary scale </v>
      </c>
      <c r="I2203">
        <f>1*4*(workminutespa/12/5102)</f>
        <v>6.9933359466875737</v>
      </c>
      <c r="J2203" t="s">
        <v>460</v>
      </c>
      <c r="K2203" s="85">
        <f t="shared" si="82"/>
        <v>17.854333812448278</v>
      </c>
      <c r="L2203" s="85" t="s">
        <v>1080</v>
      </c>
    </row>
    <row r="2204" spans="1:12">
      <c r="A2204" t="s">
        <v>1451</v>
      </c>
      <c r="B2204" t="s">
        <v>1074</v>
      </c>
      <c r="C2204" t="s">
        <v>460</v>
      </c>
      <c r="D2204" t="s">
        <v>48</v>
      </c>
      <c r="E2204" s="70">
        <f>IF(B2204="","",INDEX(Ingredients!$I$1:$I$5013,(MATCH(InterventionCosts!B2204,Ingredients!$A$1:$A$5013,0))))</f>
        <v>2076.8733333333334</v>
      </c>
      <c r="F2204" s="5" t="str">
        <f>INDEX(Ingredients!J$1:J$265,(MATCH(InterventionCosts!B2204,Ingredients!A$1:A$265,0)))</f>
        <v>per month</v>
      </c>
      <c r="G2204">
        <f>IF(B2204="","",INDEX(Ingredients!$E$1:$E$238,(MATCH(InterventionCosts!B2204,Ingredients!A$1:A$238,0))))</f>
        <v>2024</v>
      </c>
      <c r="H2204" t="str">
        <f>INDEX(Ingredients!$F$1:$F$318,(MATCH(InterventionCosts!B2204,Ingredients!A$1:A$318,0)))</f>
        <v>https://www.gov.za/speeches/minister-thulas-nxesi-hikes-minimum-wage-farmworkers-and-domestic-workers-22-feb-2023-0000</v>
      </c>
      <c r="I2204">
        <f>13*4*(1/5102)</f>
        <v>1.0192081536652292E-2</v>
      </c>
      <c r="J2204" t="s">
        <v>460</v>
      </c>
      <c r="K2204" s="85">
        <f t="shared" si="82"/>
        <v>21.167662354632171</v>
      </c>
      <c r="L2204" s="85" t="s">
        <v>1083</v>
      </c>
    </row>
    <row r="2205" spans="1:12">
      <c r="A2205" t="s">
        <v>1451</v>
      </c>
      <c r="B2205" t="s">
        <v>60</v>
      </c>
      <c r="C2205" t="s">
        <v>460</v>
      </c>
      <c r="D2205" t="s">
        <v>48</v>
      </c>
      <c r="E2205" s="70">
        <f>IF(B2205="","",INDEX(Ingredients!$I$1:$I$5013,(MATCH(InterventionCosts!B2205,Ingredients!$A$1:$A$5013,0))))</f>
        <v>9.1192801756352768</v>
      </c>
      <c r="F2205" s="5" t="str">
        <f>INDEX(Ingredients!J$1:J$265,(MATCH(InterventionCosts!B2205,Ingredients!A$1:A$265,0)))</f>
        <v>per minute</v>
      </c>
      <c r="G2205">
        <f>IF(B2205="","",INDEX(Ingredients!$E$1:$E$238,(MATCH(InterventionCosts!B2205,Ingredients!A$1:A$238,0))))</f>
        <v>2024</v>
      </c>
      <c r="H2205" t="str">
        <f>INDEX(Ingredients!$F$1:$F$318,(MATCH(InterventionCosts!B2205,Ingredients!A$1:A$318,0)))</f>
        <v xml:space="preserve">April 2024 Salary scale </v>
      </c>
      <c r="I2205">
        <f>1*4*(workminutespa/12/5102)</f>
        <v>6.9933359466875737</v>
      </c>
      <c r="J2205" t="s">
        <v>460</v>
      </c>
      <c r="K2205" s="85">
        <f t="shared" si="82"/>
        <v>63.774189860185551</v>
      </c>
      <c r="L2205" s="85" t="s">
        <v>1080</v>
      </c>
    </row>
    <row r="2206" spans="1:12">
      <c r="A2206" t="s">
        <v>1451</v>
      </c>
      <c r="B2206" t="s">
        <v>1077</v>
      </c>
      <c r="C2206" t="s">
        <v>460</v>
      </c>
      <c r="D2206" t="s">
        <v>48</v>
      </c>
      <c r="E2206" s="70">
        <f>IF(B2206="","",INDEX(Ingredients!$I$1:$I$5013,(MATCH(InterventionCosts!B2206,Ingredients!$A$1:$A$5013,0))))</f>
        <v>2.1347303967364222</v>
      </c>
      <c r="F2206" s="5" t="str">
        <f>INDEX(Ingredients!J$1:J$265,(MATCH(InterventionCosts!B2206,Ingredients!A$1:A$265,0)))</f>
        <v>per minute</v>
      </c>
      <c r="G2206">
        <f>IF(B2206="","",INDEX(Ingredients!$E$1:$E$238,(MATCH(InterventionCosts!B2206,Ingredients!A$1:A$238,0))))</f>
        <v>2024</v>
      </c>
      <c r="H2206" t="str">
        <f>INDEX(Ingredients!$F$1:$F$318,(MATCH(InterventionCosts!B2206,Ingredients!A$1:A$318,0)))</f>
        <v xml:space="preserve">April 2024 Salary scale </v>
      </c>
      <c r="I2206">
        <f>4*4*(workminutespa/12/5102)</f>
        <v>27.973343786750295</v>
      </c>
      <c r="J2206" t="s">
        <v>460</v>
      </c>
      <c r="K2206" s="85">
        <f t="shared" si="82"/>
        <v>59.715547279933787</v>
      </c>
      <c r="L2206" s="85" t="s">
        <v>1079</v>
      </c>
    </row>
    <row r="2207" spans="1:12">
      <c r="A2207" t="s">
        <v>1451</v>
      </c>
      <c r="B2207" t="s">
        <v>1078</v>
      </c>
      <c r="C2207" t="s">
        <v>460</v>
      </c>
      <c r="D2207" t="s">
        <v>48</v>
      </c>
      <c r="E2207" s="70">
        <f>IF(B2207="","",INDEX(Ingredients!$I$1:$I$5013,(MATCH(InterventionCosts!B2207,Ingredients!$A$1:$A$5013,0))))</f>
        <v>13.503224277528648</v>
      </c>
      <c r="F2207" s="5" t="str">
        <f>INDEX(Ingredients!J$1:J$265,(MATCH(InterventionCosts!B2207,Ingredients!A$1:A$265,0)))</f>
        <v>per minute</v>
      </c>
      <c r="G2207">
        <f>IF(B2207="","",INDEX(Ingredients!$E$1:$E$238,(MATCH(InterventionCosts!B2207,Ingredients!A$1:A$238,0))))</f>
        <v>2024</v>
      </c>
      <c r="H2207" t="str">
        <f>INDEX(Ingredients!$F$1:$F$318,(MATCH(InterventionCosts!B2207,Ingredients!A$1:A$318,0)))</f>
        <v xml:space="preserve">April 2024 Salary scale </v>
      </c>
      <c r="I2207">
        <f>2*4*(workminutespa/12/5102)</f>
        <v>13.986671893375147</v>
      </c>
      <c r="J2207" t="s">
        <v>460</v>
      </c>
      <c r="K2207" s="85">
        <f t="shared" si="82"/>
        <v>188.86516747245088</v>
      </c>
      <c r="L2207" s="85" t="s">
        <v>1084</v>
      </c>
    </row>
    <row r="2208" spans="1:12">
      <c r="A2208" t="s">
        <v>1451</v>
      </c>
      <c r="B2208" t="s">
        <v>477</v>
      </c>
      <c r="C2208" t="s">
        <v>406</v>
      </c>
      <c r="D2208" t="s">
        <v>81</v>
      </c>
      <c r="E2208" s="70">
        <f>IF(B2208="","",INDEX(Ingredients!$I$1:$I$5013,(MATCH(InterventionCosts!B2208,Ingredients!$A$1:$A$5013,0))))</f>
        <v>88.256346376062865</v>
      </c>
      <c r="F2208" s="5" t="str">
        <f>INDEX(Ingredients!J$1:J$265,(MATCH(InterventionCosts!B2208,Ingredients!A$1:A$265,0)))</f>
        <v>per visit</v>
      </c>
      <c r="G2208">
        <f>IF(B2208="","",INDEX(Ingredients!$E$1:$E$238,(MATCH(InterventionCosts!B2208,Ingredients!A$1:A$238,0))))</f>
        <v>2019</v>
      </c>
      <c r="H2208" t="str">
        <f>INDEX(Ingredients!$F$1:$F$318,(MATCH(InterventionCosts!B2208,Ingredients!A$1:A$318,0)))</f>
        <v xml:space="preserve">Long L, Girdwood S, Govender K, Meyer-Rath G, Miot J: Cost and outcomes of routine HIV care and treatment: A comparison of public and private delivery models covering low-income earners in South Africa. Preprint available under DOI: https://doi.org/10.21203/rs.3.rs-960517/v1    </v>
      </c>
      <c r="I2208">
        <v>4</v>
      </c>
      <c r="J2208" t="s">
        <v>485</v>
      </c>
      <c r="K2208" s="85">
        <f t="shared" si="82"/>
        <v>353.02538550425146</v>
      </c>
    </row>
    <row r="2209" spans="1:14" s="89" customFormat="1">
      <c r="A2209" s="4" t="s">
        <v>1451</v>
      </c>
      <c r="F2209" s="89" t="s">
        <v>1164</v>
      </c>
      <c r="K2209" s="90"/>
      <c r="L2209" s="90">
        <f>SUM(K2182:K2208)</f>
        <v>5028.2961568215733</v>
      </c>
      <c r="M2209" s="92"/>
      <c r="N2209" s="4"/>
    </row>
    <row r="2210" spans="1:14" s="89" customFormat="1">
      <c r="A2210" s="4" t="s">
        <v>1451</v>
      </c>
      <c r="F2210" s="89" t="s">
        <v>117</v>
      </c>
      <c r="K2210" s="90"/>
      <c r="L2210" s="90" t="s">
        <v>937</v>
      </c>
    </row>
    <row r="2212" spans="1:14">
      <c r="A2212" t="s">
        <v>1443</v>
      </c>
      <c r="B2212" s="5" t="s">
        <v>1367</v>
      </c>
      <c r="C2212" t="s">
        <v>459</v>
      </c>
      <c r="D2212" t="s">
        <v>70</v>
      </c>
      <c r="E2212" s="70">
        <f>IF(B2212="","",INDEX(Ingredients!$I$1:$I$5013,(MATCH(InterventionCosts!B2212,Ingredients!$A$1:$A$5013,0))))</f>
        <v>2.952048897020477</v>
      </c>
      <c r="F2212" s="5" t="str">
        <f>INDEX(Ingredients!J$1:J$265,(MATCH(InterventionCosts!B2212,Ingredients!A$1:A$265,0)))</f>
        <v>per day</v>
      </c>
      <c r="G2212">
        <f>IF(B2212="","",INDEX(Ingredients!$E$1:$E$238,(MATCH(InterventionCosts!B2212,Ingredients!A$1:A$238,0))))</f>
        <v>2024</v>
      </c>
      <c r="H2212" t="str">
        <f>INDEX(Ingredients!$F$1:$F$318,(MATCH(InterventionCosts!B2212,Ingredients!A$1:A$318,0)))</f>
        <v>Master Procurement Circular May 2024</v>
      </c>
      <c r="I2212">
        <f>360*'ART kids distribution'!$E$16</f>
        <v>246.91642651296831</v>
      </c>
      <c r="J2212" t="s">
        <v>406</v>
      </c>
      <c r="K2212" s="85">
        <f t="shared" ref="K2212:K2238" si="85">I2212*E2212</f>
        <v>728.90936454384575</v>
      </c>
    </row>
    <row r="2213" spans="1:14">
      <c r="A2213" t="s">
        <v>1443</v>
      </c>
      <c r="B2213" t="s">
        <v>1334</v>
      </c>
      <c r="C2213" t="s">
        <v>459</v>
      </c>
      <c r="D2213" t="s">
        <v>70</v>
      </c>
      <c r="E2213" s="70">
        <f>IF(B2213="","",INDEX(Ingredients!$I$1:$I$5013,(MATCH(InterventionCosts!B2213,Ingredients!$A$1:$A$5013,0))))</f>
        <v>7.7632142857142856</v>
      </c>
      <c r="F2213" s="5" t="str">
        <f>INDEX(Ingredients!J$1:J$265,(MATCH(InterventionCosts!B2213,Ingredients!A$1:A$265,0)))</f>
        <v>per day</v>
      </c>
      <c r="G2213">
        <f>IF(B2213="","",INDEX(Ingredients!$E$1:$E$238,(MATCH(InterventionCosts!B2213,Ingredients!A$1:A$238,0))))</f>
        <v>2024</v>
      </c>
      <c r="H2213" t="str">
        <f>INDEX(Ingredients!$F$1:$F$318,(MATCH(InterventionCosts!B2213,Ingredients!A$1:A$318,0)))</f>
        <v>Master Procurement Circular May 2024</v>
      </c>
      <c r="I2213">
        <f>360*'ART kids distribution'!$D$16</f>
        <v>104.78386167146974</v>
      </c>
      <c r="J2213" t="s">
        <v>406</v>
      </c>
      <c r="K2213" s="85">
        <f t="shared" si="85"/>
        <v>813.45957184026349</v>
      </c>
    </row>
    <row r="2214" spans="1:14">
      <c r="A2214" t="s">
        <v>1443</v>
      </c>
      <c r="B2214" t="s">
        <v>1335</v>
      </c>
      <c r="C2214" t="s">
        <v>459</v>
      </c>
      <c r="D2214" t="s">
        <v>70</v>
      </c>
      <c r="E2214" s="70">
        <f>IF(B2214="","",INDEX(Ingredients!$I$1:$I$5013,(MATCH(InterventionCosts!B2214,Ingredients!$A$1:$A$5013,0))))</f>
        <v>9.8100000073501299</v>
      </c>
      <c r="F2214" s="5" t="str">
        <f>INDEX(Ingredients!J$1:J$265,(MATCH(InterventionCosts!B2214,Ingredients!A$1:A$265,0)))</f>
        <v>per day</v>
      </c>
      <c r="G2214">
        <f>IF(B2214="","",INDEX(Ingredients!$E$1:$E$238,(MATCH(InterventionCosts!B2214,Ingredients!A$1:A$238,0))))</f>
        <v>2024</v>
      </c>
      <c r="H2214" t="str">
        <f>INDEX(Ingredients!$F$1:$F$318,(MATCH(InterventionCosts!B2214,Ingredients!A$1:A$318,0)))</f>
        <v>Master Procurement Circular May 2024</v>
      </c>
      <c r="I2214">
        <f>360*'ART kids distribution'!$C$16</f>
        <v>7.2622478386167151</v>
      </c>
      <c r="J2214" t="s">
        <v>406</v>
      </c>
      <c r="K2214" s="85">
        <f t="shared" si="85"/>
        <v>71.242651350208433</v>
      </c>
    </row>
    <row r="2215" spans="1:14">
      <c r="A2215" t="s">
        <v>1443</v>
      </c>
      <c r="B2215" s="273" t="s">
        <v>1147</v>
      </c>
      <c r="C2215" t="s">
        <v>1151</v>
      </c>
      <c r="D2215" t="s">
        <v>67</v>
      </c>
      <c r="E2215" s="70">
        <f>IF(B2215="","",INDEX(Ingredients!$I$1:$I$5013,(MATCH(InterventionCosts!B2215,Ingredients!$A$1:$A$5013,0))))</f>
        <v>96609.835920812693</v>
      </c>
      <c r="F2215" s="5" t="str">
        <f>INDEX(Ingredients!J$1:J$265,(MATCH(InterventionCosts!B2215,Ingredients!A$1:A$265,0)))</f>
        <v>per machine</v>
      </c>
      <c r="G2215">
        <f>IF(B2215="","",INDEX(Ingredients!$E$1:$E$238,(MATCH(InterventionCosts!B2215,Ingredients!A$1:A$238,0))))</f>
        <v>2024</v>
      </c>
      <c r="H2215" t="str">
        <f>INDEX(Ingredients!$F$1:$F$318,(MATCH(InterventionCosts!B2215,Ingredients!A$1:A$318,0)))</f>
        <v>https://www.stoptb.org/sites/default/files/gdf_diagnostics_medical_devices_other_health_products_catalog_0.pdf</v>
      </c>
      <c r="I2215" s="274">
        <f>1/(2300*0.6)*2</f>
        <v>1.4492753623188406E-3</v>
      </c>
      <c r="J2215" s="274" t="s">
        <v>1157</v>
      </c>
      <c r="K2215" s="85">
        <f t="shared" ref="K2215:K2224" si="86">E2215*I2215</f>
        <v>140.01425495769956</v>
      </c>
    </row>
    <row r="2216" spans="1:14">
      <c r="A2216" t="s">
        <v>1443</v>
      </c>
      <c r="B2216" s="273" t="s">
        <v>1148</v>
      </c>
      <c r="C2216" t="s">
        <v>1151</v>
      </c>
      <c r="D2216" t="s">
        <v>21</v>
      </c>
      <c r="E2216" s="70">
        <f>IF(B2216="","",INDEX(Ingredients!$I$1:$I$5013,(MATCH(InterventionCosts!B2216,Ingredients!$A$1:$A$5013,0))))</f>
        <v>319.75037364827585</v>
      </c>
      <c r="F2216" s="5" t="str">
        <f>INDEX(Ingredients!J$1:J$265,(MATCH(InterventionCosts!B2216,Ingredients!A$1:A$265,0)))</f>
        <v>per test</v>
      </c>
      <c r="G2216">
        <f>IF(B2216="","",INDEX(Ingredients!$E$1:$E$238,(MATCH(InterventionCosts!B2216,Ingredients!A$1:A$238,0))))</f>
        <v>2024</v>
      </c>
      <c r="H2216" t="str">
        <f>INDEX(Ingredients!$F$1:$F$318,(MATCH(InterventionCosts!B2216,Ingredients!A$1:A$318,0)))</f>
        <v>https://www.stoptb.org/sites/default/files/gdf_diagnostics_medical_devices_other_health_products_catalog_0.pdf</v>
      </c>
      <c r="I2216" s="274">
        <v>2</v>
      </c>
      <c r="J2216" t="s">
        <v>1151</v>
      </c>
      <c r="K2216" s="85">
        <f t="shared" si="86"/>
        <v>639.50074729655171</v>
      </c>
    </row>
    <row r="2217" spans="1:14">
      <c r="A2217" t="s">
        <v>1443</v>
      </c>
      <c r="B2217" s="273" t="s">
        <v>1149</v>
      </c>
      <c r="C2217" t="s">
        <v>1151</v>
      </c>
      <c r="D2217" t="s">
        <v>81</v>
      </c>
      <c r="E2217" s="70">
        <f>IF(B2217="","",INDEX(Ingredients!$I$1:$I$5013,(MATCH(InterventionCosts!B2217,Ingredients!$A$1:$A$5013,0))))</f>
        <v>34756.611222699823</v>
      </c>
      <c r="F2217" s="5" t="str">
        <f>INDEX(Ingredients!J$1:J$265,(MATCH(InterventionCosts!B2217,Ingredients!A$1:A$265,0)))</f>
        <v>per setup</v>
      </c>
      <c r="G2217">
        <f>IF(B2217="","",INDEX(Ingredients!$E$1:$E$238,(MATCH(InterventionCosts!B2217,Ingredients!A$1:A$238,0))))</f>
        <v>2024</v>
      </c>
      <c r="H2217" t="str">
        <f>INDEX(Ingredients!$F$1:$F$318,(MATCH(InterventionCosts!B2217,Ingredients!A$1:A$318,0)))</f>
        <v>https://www.stoptb.org/sites/default/files/gdf_diagnostics_medical_devices_other_health_products_catalog_0.pdf</v>
      </c>
      <c r="I2217" s="274">
        <f t="shared" ref="I2217:I2222" si="87">1/(2300*0.6)*2</f>
        <v>1.4492753623188406E-3</v>
      </c>
      <c r="J2217" s="274" t="s">
        <v>1157</v>
      </c>
      <c r="K2217" s="85">
        <f t="shared" si="86"/>
        <v>50.371900322753369</v>
      </c>
    </row>
    <row r="2218" spans="1:14">
      <c r="A2218" t="s">
        <v>1443</v>
      </c>
      <c r="B2218" s="273" t="s">
        <v>1156</v>
      </c>
      <c r="C2218" t="s">
        <v>1151</v>
      </c>
      <c r="D2218" t="s">
        <v>48</v>
      </c>
      <c r="E2218" s="70">
        <f>IF(B2218="","",INDEX(Ingredients!$I$1:$I$5013,(MATCH(InterventionCosts!B2218,Ingredients!$A$1:$A$5013,0))))</f>
        <v>5619.5309209141369</v>
      </c>
      <c r="F2218" s="5" t="str">
        <f>INDEX(Ingredients!J$1:J$265,(MATCH(InterventionCosts!B2218,Ingredients!A$1:A$265,0)))</f>
        <v>per setup</v>
      </c>
      <c r="G2218">
        <f>IF(B2218="","",INDEX(Ingredients!$E$1:$E$238,(MATCH(InterventionCosts!B2218,Ingredients!A$1:A$238,0))))</f>
        <v>2019</v>
      </c>
      <c r="H2218" t="str">
        <f>INDEX(Ingredients!$F$1:$F$318,(MATCH(InterventionCosts!B2218,Ingredients!A$1:A$318,0)))</f>
        <v>Sarah Girdwood, https://www.ncbi.nlm.nih.gov/pmc/articles/PMC7700965/pdf/main.pdf</v>
      </c>
      <c r="I2218" s="274">
        <f t="shared" si="87"/>
        <v>1.4492753623188406E-3</v>
      </c>
      <c r="J2218" t="s">
        <v>1151</v>
      </c>
      <c r="K2218" s="85">
        <f t="shared" si="86"/>
        <v>8.1442477114697631</v>
      </c>
    </row>
    <row r="2219" spans="1:14">
      <c r="A2219" t="s">
        <v>1443</v>
      </c>
      <c r="B2219" s="273" t="s">
        <v>1150</v>
      </c>
      <c r="C2219" t="s">
        <v>1151</v>
      </c>
      <c r="D2219" t="s">
        <v>48</v>
      </c>
      <c r="E2219" s="70">
        <f>IF(B2219="","",INDEX(Ingredients!$I$1:$I$5013,(MATCH(InterventionCosts!B2219,Ingredients!$A$1:$A$5013,0))))</f>
        <v>5690.1603086312934</v>
      </c>
      <c r="F2219" s="5" t="str">
        <f>INDEX(Ingredients!J$1:J$265,(MATCH(InterventionCosts!B2219,Ingredients!A$1:A$265,0)))</f>
        <v>per setup</v>
      </c>
      <c r="G2219">
        <f>IF(B2219="","",INDEX(Ingredients!$E$1:$E$238,(MATCH(InterventionCosts!B2219,Ingredients!A$1:A$238,0))))</f>
        <v>2019</v>
      </c>
      <c r="H2219" t="str">
        <f>INDEX(Ingredients!$F$1:$F$318,(MATCH(InterventionCosts!B2219,Ingredients!A$1:A$318,0)))</f>
        <v>Sarah Girdwood, https://www.ncbi.nlm.nih.gov/pmc/articles/PMC7700965/pdf/main.pdf</v>
      </c>
      <c r="I2219" s="274">
        <f t="shared" si="87"/>
        <v>1.4492753623188406E-3</v>
      </c>
      <c r="J2219" t="s">
        <v>1151</v>
      </c>
      <c r="K2219" s="85">
        <f t="shared" si="86"/>
        <v>8.2466091429439032</v>
      </c>
    </row>
    <row r="2220" spans="1:14">
      <c r="A2220" t="s">
        <v>1443</v>
      </c>
      <c r="B2220" s="273" t="s">
        <v>1155</v>
      </c>
      <c r="C2220" t="s">
        <v>1151</v>
      </c>
      <c r="D2220" t="s">
        <v>67</v>
      </c>
      <c r="E2220" s="70">
        <f>IF(B2220="","",INDEX(Ingredients!$I$1:$I$5013,(MATCH(InterventionCosts!B2220,Ingredients!$A$1:$A$5013,0))))</f>
        <v>11917.103963912978</v>
      </c>
      <c r="F2220" s="5" t="str">
        <f>INDEX(Ingredients!J$1:J$265,(MATCH(InterventionCosts!B2220,Ingredients!A$1:A$265,0)))</f>
        <v>per setup</v>
      </c>
      <c r="G2220">
        <f>IF(B2220="","",INDEX(Ingredients!$E$1:$E$238,(MATCH(InterventionCosts!B2220,Ingredients!A$1:A$238,0))))</f>
        <v>2019</v>
      </c>
      <c r="H2220" t="str">
        <f>INDEX(Ingredients!$F$1:$F$318,(MATCH(InterventionCosts!B2220,Ingredients!A$1:A$318,0)))</f>
        <v>Sarah Girdwood, https://www.ncbi.nlm.nih.gov/pmc/articles/PMC7700965/pdf/main.pdf</v>
      </c>
      <c r="I2220" s="274">
        <f t="shared" si="87"/>
        <v>1.4492753623188406E-3</v>
      </c>
      <c r="J2220" t="s">
        <v>1151</v>
      </c>
      <c r="K2220" s="85">
        <f t="shared" si="86"/>
        <v>17.271165165091272</v>
      </c>
    </row>
    <row r="2221" spans="1:14">
      <c r="A2221" t="s">
        <v>1443</v>
      </c>
      <c r="B2221" s="273" t="s">
        <v>1154</v>
      </c>
      <c r="C2221" t="s">
        <v>1151</v>
      </c>
      <c r="D2221" t="s">
        <v>81</v>
      </c>
      <c r="E2221" s="70">
        <f>IF(B2221="","",INDEX(Ingredients!$I$1:$I$5013,(MATCH(InterventionCosts!B2221,Ingredients!$A$1:$A$5013,0))))</f>
        <v>8006.8042257540328</v>
      </c>
      <c r="F2221" s="5" t="str">
        <f>INDEX(Ingredients!J$1:J$265,(MATCH(InterventionCosts!B2221,Ingredients!A$1:A$265,0)))</f>
        <v>per setup</v>
      </c>
      <c r="G2221">
        <f>IF(B2221="","",INDEX(Ingredients!$E$1:$E$238,(MATCH(InterventionCosts!B2221,Ingredients!A$1:A$238,0))))</f>
        <v>2019</v>
      </c>
      <c r="H2221" t="str">
        <f>INDEX(Ingredients!$F$1:$F$318,(MATCH(InterventionCosts!B2221,Ingredients!A$1:A$318,0)))</f>
        <v>https://www.ncbi.nlm.nih.gov/pmc/articles/PMC7700965/pdf/main.pdf</v>
      </c>
      <c r="I2221" s="274">
        <f t="shared" si="87"/>
        <v>1.4492753623188406E-3</v>
      </c>
      <c r="J2221" t="s">
        <v>1151</v>
      </c>
      <c r="K2221" s="85">
        <f t="shared" si="86"/>
        <v>11.604064095295699</v>
      </c>
    </row>
    <row r="2222" spans="1:14">
      <c r="A2222" t="s">
        <v>1443</v>
      </c>
      <c r="B2222" s="273" t="s">
        <v>1153</v>
      </c>
      <c r="C2222" t="s">
        <v>1151</v>
      </c>
      <c r="D2222" t="s">
        <v>81</v>
      </c>
      <c r="E2222" s="70">
        <f>IF(B2222="","",INDEX(Ingredients!$I$1:$I$5013,(MATCH(InterventionCosts!B2222,Ingredients!$A$1:$A$5013,0))))</f>
        <v>22740.094503552911</v>
      </c>
      <c r="F2222" s="5" t="str">
        <f>INDEX(Ingredients!J$1:J$265,(MATCH(InterventionCosts!B2222,Ingredients!A$1:A$265,0)))</f>
        <v>per setup</v>
      </c>
      <c r="G2222">
        <f>IF(B2222="","",INDEX(Ingredients!$E$1:$E$238,(MATCH(InterventionCosts!B2222,Ingredients!A$1:A$238,0))))</f>
        <v>2019</v>
      </c>
      <c r="H2222" t="str">
        <f>INDEX(Ingredients!$F$1:$F$318,(MATCH(InterventionCosts!B2222,Ingredients!A$1:A$318,0)))</f>
        <v>https://www.ncbi.nlm.nih.gov/pmc/articles/PMC7700965/pdf/main.pdf</v>
      </c>
      <c r="I2222" s="274">
        <f t="shared" si="87"/>
        <v>1.4492753623188406E-3</v>
      </c>
      <c r="J2222" t="s">
        <v>1151</v>
      </c>
      <c r="K2222" s="85">
        <f t="shared" si="86"/>
        <v>32.95665870080132</v>
      </c>
    </row>
    <row r="2223" spans="1:14">
      <c r="A2223" t="s">
        <v>1443</v>
      </c>
      <c r="B2223" s="273" t="s">
        <v>1152</v>
      </c>
      <c r="C2223" t="s">
        <v>1151</v>
      </c>
      <c r="D2223" t="s">
        <v>21</v>
      </c>
      <c r="E2223" s="70">
        <f>IF(B2223="","",INDEX(Ingredients!$I$1:$I$5013,(MATCH(InterventionCosts!B2223,Ingredients!$A$1:$A$5013,0))))</f>
        <v>3.608519627003822</v>
      </c>
      <c r="F2223" s="5" t="str">
        <f>INDEX(Ingredients!J$1:J$265,(MATCH(InterventionCosts!B2223,Ingredients!A$1:A$265,0)))</f>
        <v>per test</v>
      </c>
      <c r="G2223">
        <f>IF(B2223="","",INDEX(Ingredients!$E$1:$E$238,(MATCH(InterventionCosts!B2223,Ingredients!A$1:A$238,0))))</f>
        <v>2019</v>
      </c>
      <c r="H2223" t="str">
        <f>INDEX(Ingredients!$F$1:$F$318,(MATCH(InterventionCosts!B2223,Ingredients!A$1:A$318,0)))</f>
        <v>Sarah Girdwood, https://www.ncbi.nlm.nih.gov/pmc/articles/PMC7700965/pdf/main.pdf</v>
      </c>
      <c r="I2223" s="274">
        <v>2</v>
      </c>
      <c r="J2223" t="s">
        <v>1151</v>
      </c>
      <c r="K2223" s="85">
        <f t="shared" si="86"/>
        <v>7.217039254007644</v>
      </c>
    </row>
    <row r="2224" spans="1:14">
      <c r="A2224" t="s">
        <v>1443</v>
      </c>
      <c r="B2224" s="273" t="s">
        <v>286</v>
      </c>
      <c r="C2224" t="s">
        <v>1151</v>
      </c>
      <c r="D2224" t="s">
        <v>48</v>
      </c>
      <c r="E2224" s="70">
        <f>IF(B2224="","",INDEX(Ingredients!$I$1:$I$5013,(MATCH(InterventionCosts!B2224,Ingredients!$A$1:$A$5013,0))))</f>
        <v>3.2392279521674139</v>
      </c>
      <c r="F2224" s="5" t="str">
        <f>INDEX(Ingredients!J$1:J$265,(MATCH(InterventionCosts!B2224,Ingredients!A$1:A$265,0)))</f>
        <v>per minute</v>
      </c>
      <c r="G2224">
        <f>IF(B2224="","",INDEX(Ingredients!$E$1:$E$238,(MATCH(InterventionCosts!B2224,Ingredients!A$1:A$238,0))))</f>
        <v>2024</v>
      </c>
      <c r="H2224" t="str">
        <f>INDEX(Ingredients!$F$1:$F$318,(MATCH(InterventionCosts!B2224,Ingredients!A$1:A$318,0)))</f>
        <v xml:space="preserve">April 2024 Salary scale </v>
      </c>
      <c r="I2224" s="274">
        <f>(5.6+5.4+17.1+5)*2</f>
        <v>66.2</v>
      </c>
      <c r="J2224" t="s">
        <v>1151</v>
      </c>
      <c r="K2224" s="85">
        <f t="shared" si="86"/>
        <v>214.4368904334828</v>
      </c>
    </row>
    <row r="2225" spans="1:14">
      <c r="A2225" t="s">
        <v>1443</v>
      </c>
      <c r="B2225" t="s">
        <v>458</v>
      </c>
      <c r="C2225" t="s">
        <v>459</v>
      </c>
      <c r="D2225" t="s">
        <v>75</v>
      </c>
      <c r="E2225" s="70">
        <f>IF(B2225="","",INDEX(Ingredients!$I$1:$I$5013,(MATCH(InterventionCosts!B2225,Ingredients!$A$1:$A$5013,0))))</f>
        <v>86.59037211495</v>
      </c>
      <c r="F2225" s="5" t="str">
        <f>INDEX(Ingredients!J$1:J$265,(MATCH(InterventionCosts!B2225,Ingredients!A$1:A$265,0)))</f>
        <v>per test</v>
      </c>
      <c r="G2225">
        <f>IF(B2225="","",INDEX(Ingredients!$E$1:$E$238,(MATCH(InterventionCosts!B2225,Ingredients!A$1:A$238,0))))</f>
        <v>2021</v>
      </c>
      <c r="H2225" t="str">
        <f>INDEX(Ingredients!$F$1:$F$318,(MATCH(InterventionCosts!B2225,Ingredients!A$1:A$318,0)))</f>
        <v>NHLS 2021 price-list</v>
      </c>
      <c r="I2225">
        <v>1</v>
      </c>
      <c r="J2225" t="s">
        <v>459</v>
      </c>
      <c r="K2225" s="85">
        <f t="shared" si="85"/>
        <v>86.59037211495</v>
      </c>
    </row>
    <row r="2226" spans="1:14">
      <c r="A2226" t="s">
        <v>1443</v>
      </c>
      <c r="B2226" t="s">
        <v>52</v>
      </c>
      <c r="C2226" t="s">
        <v>460</v>
      </c>
      <c r="D2226" t="s">
        <v>48</v>
      </c>
      <c r="E2226" s="70">
        <f>IF(B2226="","",INDEX(Ingredients!$I$1:$I$5013,(MATCH(InterventionCosts!B2226,Ingredients!$A$1:$A$5013,0))))</f>
        <v>1.8019482436472347</v>
      </c>
      <c r="F2226" s="5" t="str">
        <f>INDEX(Ingredients!J$1:J$265,(MATCH(InterventionCosts!B2226,Ingredients!A$1:A$265,0)))</f>
        <v>per minute</v>
      </c>
      <c r="G2226">
        <f>IF(B2226="","",INDEX(Ingredients!$E$1:$E$238,(MATCH(InterventionCosts!B2226,Ingredients!A$1:A$238,0))))</f>
        <v>2024</v>
      </c>
      <c r="H2226" t="str">
        <f>INDEX(Ingredients!$F$1:$F$318,(MATCH(InterventionCosts!B2226,Ingredients!A$1:A$318,0)))</f>
        <v xml:space="preserve">April 2024 Salary scale </v>
      </c>
      <c r="I2226">
        <f>4*7.54*(workminutespa/12/5102)</f>
        <v>52.729753038024306</v>
      </c>
      <c r="J2226" t="s">
        <v>460</v>
      </c>
      <c r="K2226" s="85">
        <f t="shared" si="85"/>
        <v>95.01628587482034</v>
      </c>
      <c r="L2226" s="85" t="s">
        <v>1097</v>
      </c>
    </row>
    <row r="2227" spans="1:14">
      <c r="A2227" t="s">
        <v>1443</v>
      </c>
      <c r="B2227" t="s">
        <v>55</v>
      </c>
      <c r="C2227" t="s">
        <v>460</v>
      </c>
      <c r="D2227" t="s">
        <v>48</v>
      </c>
      <c r="E2227" s="70">
        <f>IF(B2227="","",INDEX(Ingredients!$I$1:$I$5013,(MATCH(InterventionCosts!B2227,Ingredients!$A$1:$A$5013,0))))</f>
        <v>1.8549350710014947</v>
      </c>
      <c r="F2227" s="5" t="str">
        <f>INDEX(Ingredients!J$1:J$265,(MATCH(InterventionCosts!B2227,Ingredients!A$1:A$265,0)))</f>
        <v>per minute</v>
      </c>
      <c r="G2227">
        <f>IF(B2227="","",INDEX(Ingredients!$E$1:$E$238,(MATCH(InterventionCosts!B2227,Ingredients!A$1:A$238,0))))</f>
        <v>2024</v>
      </c>
      <c r="H2227" t="str">
        <f>INDEX(Ingredients!$F$1:$F$318,(MATCH(InterventionCosts!B2227,Ingredients!A$1:A$318,0)))</f>
        <v xml:space="preserve">April 2024 Salary scale </v>
      </c>
      <c r="I2227">
        <f>4*7.54*(workminutespa/12/5102)</f>
        <v>52.729753038024306</v>
      </c>
      <c r="J2227" t="s">
        <v>460</v>
      </c>
      <c r="K2227" s="85">
        <f t="shared" si="85"/>
        <v>97.810268195478898</v>
      </c>
      <c r="L2227" s="85" t="s">
        <v>1097</v>
      </c>
    </row>
    <row r="2228" spans="1:14">
      <c r="A2228" t="s">
        <v>1443</v>
      </c>
      <c r="B2228" t="s">
        <v>1070</v>
      </c>
      <c r="C2228" t="s">
        <v>460</v>
      </c>
      <c r="D2228" t="s">
        <v>48</v>
      </c>
      <c r="E2228" s="70">
        <f>IF(B2228="","",INDEX(Ingredients!$I$1:$I$5013,(MATCH(InterventionCosts!B2228,Ingredients!$A$1:$A$5013,0))))</f>
        <v>2.443981128550075</v>
      </c>
      <c r="F2228" s="5" t="str">
        <f>INDEX(Ingredients!J$1:J$265,(MATCH(InterventionCosts!B2228,Ingredients!A$1:A$265,0)))</f>
        <v>per minute</v>
      </c>
      <c r="G2228">
        <f>IF(B2228="","",INDEX(Ingredients!$E$1:$E$238,(MATCH(InterventionCosts!B2228,Ingredients!A$1:A$238,0))))</f>
        <v>2024</v>
      </c>
      <c r="H2228" t="str">
        <f>INDEX(Ingredients!$F$1:$F$318,(MATCH(InterventionCosts!B2228,Ingredients!A$1:A$318,0)))</f>
        <v xml:space="preserve">April 2024 Salary scale </v>
      </c>
      <c r="I2228">
        <f>1*7.54*(workminutespa/12/5102)</f>
        <v>13.182438259506077</v>
      </c>
      <c r="J2228" t="s">
        <v>460</v>
      </c>
      <c r="K2228" s="85">
        <f t="shared" si="85"/>
        <v>32.217630334509344</v>
      </c>
      <c r="L2228" s="85" t="s">
        <v>1098</v>
      </c>
    </row>
    <row r="2229" spans="1:14">
      <c r="A2229" t="s">
        <v>1443</v>
      </c>
      <c r="B2229" t="s">
        <v>51</v>
      </c>
      <c r="C2229" t="s">
        <v>460</v>
      </c>
      <c r="D2229" t="s">
        <v>48</v>
      </c>
      <c r="E2229" s="70">
        <f>IF(B2229="","",INDEX(Ingredients!$I$1:$I$5013,(MATCH(InterventionCosts!B2229,Ingredients!$A$1:$A$5013,0))))</f>
        <v>4100.2266666666665</v>
      </c>
      <c r="F2229" s="5" t="str">
        <f>INDEX(Ingredients!J$1:J$265,(MATCH(InterventionCosts!B2229,Ingredients!A$1:A$265,0)))</f>
        <v>per month</v>
      </c>
      <c r="G2229">
        <f>IF(B2229="","",INDEX(Ingredients!$E$1:$E$238,(MATCH(InterventionCosts!B2229,Ingredients!A$1:A$238,0))))</f>
        <v>2024</v>
      </c>
      <c r="H2229" t="str">
        <f>INDEX(Ingredients!$F$1:$F$318,(MATCH(InterventionCosts!B2229,Ingredients!A$1:A$318,0)))</f>
        <v>https://www.gov.za/news/media-statements/government-activities/minister-thulas-nxesi-announces-national-minimum-wage</v>
      </c>
      <c r="I2229">
        <f>1*7.54*(1/5102)</f>
        <v>1.4778518228145826E-3</v>
      </c>
      <c r="J2229" t="s">
        <v>460</v>
      </c>
      <c r="K2229" s="85">
        <f t="shared" si="85"/>
        <v>6.0595274532862931</v>
      </c>
      <c r="L2229" s="85" t="s">
        <v>1098</v>
      </c>
    </row>
    <row r="2230" spans="1:14">
      <c r="A2230" t="s">
        <v>1443</v>
      </c>
      <c r="B2230" t="s">
        <v>54</v>
      </c>
      <c r="C2230" t="s">
        <v>460</v>
      </c>
      <c r="D2230" t="s">
        <v>48</v>
      </c>
      <c r="E2230" s="70">
        <f>IF(B2230="","",INDEX(Ingredients!$I$1:$I$5013,(MATCH(InterventionCosts!B2230,Ingredients!$A$1:$A$5013,0))))</f>
        <v>1.2444366591928251</v>
      </c>
      <c r="F2230" s="5" t="str">
        <f>INDEX(Ingredients!J$1:J$265,(MATCH(InterventionCosts!B2230,Ingredients!A$1:A$265,0)))</f>
        <v>per minute</v>
      </c>
      <c r="G2230">
        <f>IF(B2230="","",INDEX(Ingredients!$E$1:$E$238,(MATCH(InterventionCosts!B2230,Ingredients!A$1:A$238,0))))</f>
        <v>2024</v>
      </c>
      <c r="H2230" t="str">
        <f>INDEX(Ingredients!$F$1:$F$318,(MATCH(InterventionCosts!B2230,Ingredients!A$1:A$318,0)))</f>
        <v xml:space="preserve">April 2024 Salary scale </v>
      </c>
      <c r="I2230">
        <f>8*7.54*(workminutespa/12/5102)</f>
        <v>105.45950607604861</v>
      </c>
      <c r="J2230" t="s">
        <v>460</v>
      </c>
      <c r="K2230" s="85">
        <f t="shared" si="85"/>
        <v>131.23767542140337</v>
      </c>
      <c r="L2230" s="85" t="s">
        <v>1099</v>
      </c>
    </row>
    <row r="2231" spans="1:14">
      <c r="A2231" t="s">
        <v>1443</v>
      </c>
      <c r="B2231" t="s">
        <v>354</v>
      </c>
      <c r="C2231" t="s">
        <v>460</v>
      </c>
      <c r="D2231" t="s">
        <v>48</v>
      </c>
      <c r="E2231" s="70">
        <f>IF(B2231="","",INDEX(Ingredients!$I$1:$I$5013,(MATCH(InterventionCosts!B2231,Ingredients!$A$1:$A$5013,0))))</f>
        <v>4.8996605630293981</v>
      </c>
      <c r="F2231" s="5" t="str">
        <f>INDEX(Ingredients!J$1:J$265,(MATCH(InterventionCosts!B2231,Ingredients!A$1:A$265,0)))</f>
        <v>per minute</v>
      </c>
      <c r="G2231">
        <f>IF(B2231="","",INDEX(Ingredients!$E$1:$E$238,(MATCH(InterventionCosts!B2231,Ingredients!A$1:A$238,0))))</f>
        <v>2024</v>
      </c>
      <c r="H2231" t="str">
        <f>INDEX(Ingredients!$F$1:$F$318,(MATCH(InterventionCosts!B2231,Ingredients!A$1:A$318,0)))</f>
        <v xml:space="preserve">April 2024 Salary scale </v>
      </c>
      <c r="I2231">
        <f>16*7.54*(workminutespa/12/5102)</f>
        <v>210.91901215209722</v>
      </c>
      <c r="J2231" t="s">
        <v>460</v>
      </c>
      <c r="K2231" s="85">
        <f t="shared" si="85"/>
        <v>1033.4315658347491</v>
      </c>
      <c r="L2231" s="85" t="s">
        <v>1100</v>
      </c>
    </row>
    <row r="2232" spans="1:14">
      <c r="A2232" t="s">
        <v>1443</v>
      </c>
      <c r="B2232" t="s">
        <v>286</v>
      </c>
      <c r="C2232" t="s">
        <v>460</v>
      </c>
      <c r="D2232" t="s">
        <v>48</v>
      </c>
      <c r="E2232" s="70">
        <f>IF(B2232="","",INDEX(Ingredients!$I$1:$I$5013,(MATCH(InterventionCosts!B2232,Ingredients!$A$1:$A$5013,0))))</f>
        <v>3.2392279521674139</v>
      </c>
      <c r="F2232" s="5" t="str">
        <f>INDEX(Ingredients!J$1:J$265,(MATCH(InterventionCosts!B2232,Ingredients!A$1:A$265,0)))</f>
        <v>per minute</v>
      </c>
      <c r="G2232">
        <f>IF(B2232="","",INDEX(Ingredients!$E$1:$E$238,(MATCH(InterventionCosts!B2232,Ingredients!A$1:A$238,0))))</f>
        <v>2024</v>
      </c>
      <c r="H2232" t="str">
        <f>INDEX(Ingredients!$F$1:$F$318,(MATCH(InterventionCosts!B2232,Ingredients!A$1:A$318,0)))</f>
        <v xml:space="preserve">April 2024 Salary scale </v>
      </c>
      <c r="I2232">
        <f>4*7.54*(workminutespa/12/5102)</f>
        <v>52.729753038024306</v>
      </c>
      <c r="J2232" t="s">
        <v>460</v>
      </c>
      <c r="K2232" s="85">
        <f t="shared" si="85"/>
        <v>170.80368995165296</v>
      </c>
      <c r="L2232" s="85" t="s">
        <v>1097</v>
      </c>
    </row>
    <row r="2233" spans="1:14">
      <c r="A2233" t="s">
        <v>1443</v>
      </c>
      <c r="B2233" t="s">
        <v>1072</v>
      </c>
      <c r="C2233" t="s">
        <v>460</v>
      </c>
      <c r="D2233" t="s">
        <v>48</v>
      </c>
      <c r="E2233" s="70">
        <f>IF(B2233="","",INDEX(Ingredients!$I$1:$I$5013,(MATCH(InterventionCosts!B2233,Ingredients!$A$1:$A$5013,0))))</f>
        <v>2.5530496387643251</v>
      </c>
      <c r="F2233" s="5" t="str">
        <f>INDEX(Ingredients!J$1:J$265,(MATCH(InterventionCosts!B2233,Ingredients!A$1:A$265,0)))</f>
        <v>per minute</v>
      </c>
      <c r="G2233">
        <f>IF(B2233="","",INDEX(Ingredients!$E$1:$E$238,(MATCH(InterventionCosts!B2233,Ingredients!A$1:A$238,0))))</f>
        <v>2024</v>
      </c>
      <c r="H2233" t="str">
        <f>INDEX(Ingredients!$F$1:$F$318,(MATCH(InterventionCosts!B2233,Ingredients!A$1:A$318,0)))</f>
        <v xml:space="preserve">April 2024 Salary scale </v>
      </c>
      <c r="I2233">
        <f>1*7.54*(workminutespa/12/5102)</f>
        <v>13.182438259506077</v>
      </c>
      <c r="J2233" t="s">
        <v>460</v>
      </c>
      <c r="K2233" s="85">
        <f t="shared" si="85"/>
        <v>33.655419236465008</v>
      </c>
      <c r="L2233" s="85" t="s">
        <v>1098</v>
      </c>
    </row>
    <row r="2234" spans="1:14">
      <c r="A2234" t="s">
        <v>1443</v>
      </c>
      <c r="B2234" t="s">
        <v>1074</v>
      </c>
      <c r="C2234" t="s">
        <v>460</v>
      </c>
      <c r="D2234" t="s">
        <v>48</v>
      </c>
      <c r="E2234" s="70">
        <f>IF(B2234="","",INDEX(Ingredients!$I$1:$I$5013,(MATCH(InterventionCosts!B2234,Ingredients!$A$1:$A$5013,0))))</f>
        <v>2076.8733333333334</v>
      </c>
      <c r="F2234" s="5" t="str">
        <f>INDEX(Ingredients!J$1:J$265,(MATCH(InterventionCosts!B2234,Ingredients!A$1:A$265,0)))</f>
        <v>per month</v>
      </c>
      <c r="G2234">
        <f>IF(B2234="","",INDEX(Ingredients!$E$1:$E$238,(MATCH(InterventionCosts!B2234,Ingredients!A$1:A$238,0))))</f>
        <v>2024</v>
      </c>
      <c r="H2234" t="str">
        <f>INDEX(Ingredients!$F$1:$F$318,(MATCH(InterventionCosts!B2234,Ingredients!A$1:A$318,0)))</f>
        <v>https://www.gov.za/speeches/minister-thulas-nxesi-hikes-minimum-wage-farmworkers-and-domestic-workers-22-feb-2023-0000</v>
      </c>
      <c r="I2234">
        <f>13*7.54*(1/5102)</f>
        <v>1.921207369658957E-2</v>
      </c>
      <c r="J2234" t="s">
        <v>460</v>
      </c>
      <c r="K2234" s="85">
        <f t="shared" si="85"/>
        <v>39.901043538481638</v>
      </c>
      <c r="L2234" s="85" t="s">
        <v>1101</v>
      </c>
    </row>
    <row r="2235" spans="1:14">
      <c r="A2235" t="s">
        <v>1443</v>
      </c>
      <c r="B2235" t="s">
        <v>60</v>
      </c>
      <c r="C2235" t="s">
        <v>460</v>
      </c>
      <c r="D2235" t="s">
        <v>48</v>
      </c>
      <c r="E2235" s="70">
        <f>IF(B2235="","",INDEX(Ingredients!$I$1:$I$5013,(MATCH(InterventionCosts!B2235,Ingredients!$A$1:$A$5013,0))))</f>
        <v>9.1192801756352768</v>
      </c>
      <c r="F2235" s="5" t="str">
        <f>INDEX(Ingredients!J$1:J$265,(MATCH(InterventionCosts!B2235,Ingredients!A$1:A$265,0)))</f>
        <v>per minute</v>
      </c>
      <c r="G2235">
        <f>IF(B2235="","",INDEX(Ingredients!$E$1:$E$238,(MATCH(InterventionCosts!B2235,Ingredients!A$1:A$238,0))))</f>
        <v>2024</v>
      </c>
      <c r="H2235" t="str">
        <f>INDEX(Ingredients!$F$1:$F$318,(MATCH(InterventionCosts!B2235,Ingredients!A$1:A$318,0)))</f>
        <v xml:space="preserve">April 2024 Salary scale </v>
      </c>
      <c r="I2235">
        <f>1*7.54*(workminutespa/12/5102)</f>
        <v>13.182438259506077</v>
      </c>
      <c r="J2235" t="s">
        <v>460</v>
      </c>
      <c r="K2235" s="85">
        <f t="shared" si="85"/>
        <v>120.21434788644977</v>
      </c>
      <c r="L2235" s="85" t="s">
        <v>1098</v>
      </c>
    </row>
    <row r="2236" spans="1:14">
      <c r="A2236" t="s">
        <v>1443</v>
      </c>
      <c r="B2236" t="s">
        <v>1077</v>
      </c>
      <c r="C2236" t="s">
        <v>460</v>
      </c>
      <c r="D2236" t="s">
        <v>48</v>
      </c>
      <c r="E2236" s="70">
        <f>IF(B2236="","",INDEX(Ingredients!$I$1:$I$5013,(MATCH(InterventionCosts!B2236,Ingredients!$A$1:$A$5013,0))))</f>
        <v>2.1347303967364222</v>
      </c>
      <c r="F2236" s="5" t="str">
        <f>INDEX(Ingredients!J$1:J$265,(MATCH(InterventionCosts!B2236,Ingredients!A$1:A$265,0)))</f>
        <v>per minute</v>
      </c>
      <c r="G2236">
        <f>IF(B2236="","",INDEX(Ingredients!$E$1:$E$238,(MATCH(InterventionCosts!B2236,Ingredients!A$1:A$238,0))))</f>
        <v>2024</v>
      </c>
      <c r="H2236" t="str">
        <f>INDEX(Ingredients!$F$1:$F$318,(MATCH(InterventionCosts!B2236,Ingredients!A$1:A$318,0)))</f>
        <v xml:space="preserve">April 2024 Salary scale </v>
      </c>
      <c r="I2236">
        <f>4*7.54*(workminutespa/12/5102)</f>
        <v>52.729753038024306</v>
      </c>
      <c r="J2236" t="s">
        <v>460</v>
      </c>
      <c r="K2236" s="85">
        <f t="shared" si="85"/>
        <v>112.56380662267519</v>
      </c>
      <c r="L2236" s="85" t="s">
        <v>1097</v>
      </c>
    </row>
    <row r="2237" spans="1:14">
      <c r="A2237" t="s">
        <v>1443</v>
      </c>
      <c r="B2237" t="s">
        <v>1078</v>
      </c>
      <c r="C2237" t="s">
        <v>460</v>
      </c>
      <c r="D2237" t="s">
        <v>48</v>
      </c>
      <c r="E2237" s="70">
        <f>IF(B2237="","",INDEX(Ingredients!$I$1:$I$5013,(MATCH(InterventionCosts!B2237,Ingredients!$A$1:$A$5013,0))))</f>
        <v>13.503224277528648</v>
      </c>
      <c r="F2237" s="5" t="str">
        <f>INDEX(Ingredients!J$1:J$265,(MATCH(InterventionCosts!B2237,Ingredients!A$1:A$265,0)))</f>
        <v>per minute</v>
      </c>
      <c r="G2237">
        <f>IF(B2237="","",INDEX(Ingredients!$E$1:$E$238,(MATCH(InterventionCosts!B2237,Ingredients!A$1:A$238,0))))</f>
        <v>2024</v>
      </c>
      <c r="H2237" t="str">
        <f>INDEX(Ingredients!$F$1:$F$318,(MATCH(InterventionCosts!B2237,Ingredients!A$1:A$318,0)))</f>
        <v xml:space="preserve">April 2024 Salary scale </v>
      </c>
      <c r="I2237">
        <f>2*7.54*(workminutespa/12/5102)</f>
        <v>26.364876519012153</v>
      </c>
      <c r="J2237" t="s">
        <v>460</v>
      </c>
      <c r="K2237" s="85">
        <f t="shared" si="85"/>
        <v>356.01084068556992</v>
      </c>
      <c r="L2237" s="85" t="s">
        <v>1102</v>
      </c>
    </row>
    <row r="2238" spans="1:14">
      <c r="A2238" t="s">
        <v>1443</v>
      </c>
      <c r="B2238" t="s">
        <v>477</v>
      </c>
      <c r="C2238" t="s">
        <v>406</v>
      </c>
      <c r="D2238" t="s">
        <v>81</v>
      </c>
      <c r="E2238" s="70">
        <f>IF(B2238="","",INDEX(Ingredients!$I$1:$I$5013,(MATCH(InterventionCosts!B2238,Ingredients!$A$1:$A$5013,0))))</f>
        <v>88.256346376062865</v>
      </c>
      <c r="F2238" s="5" t="str">
        <f>INDEX(Ingredients!J$1:J$265,(MATCH(InterventionCosts!B2238,Ingredients!A$1:A$265,0)))</f>
        <v>per visit</v>
      </c>
      <c r="G2238">
        <f>IF(B2238="","",INDEX(Ingredients!$E$1:$E$238,(MATCH(InterventionCosts!B2238,Ingredients!A$1:A$238,0))))</f>
        <v>2019</v>
      </c>
      <c r="H2238" t="str">
        <f>INDEX(Ingredients!$F$1:$F$318,(MATCH(InterventionCosts!B2238,Ingredients!A$1:A$318,0)))</f>
        <v xml:space="preserve">Long L, Girdwood S, Govender K, Meyer-Rath G, Miot J: Cost and outcomes of routine HIV care and treatment: A comparison of public and private delivery models covering low-income earners in South Africa. Preprint available under DOI: https://doi.org/10.21203/rs.3.rs-960517/v1    </v>
      </c>
      <c r="I2238">
        <v>7.54</v>
      </c>
      <c r="J2238" t="s">
        <v>485</v>
      </c>
      <c r="K2238" s="85">
        <f t="shared" si="85"/>
        <v>665.45285167551401</v>
      </c>
    </row>
    <row r="2239" spans="1:14" s="89" customFormat="1">
      <c r="A2239" s="4" t="s">
        <v>1443</v>
      </c>
      <c r="F2239" s="89" t="s">
        <v>1164</v>
      </c>
      <c r="K2239" s="90"/>
      <c r="L2239" s="90">
        <f>SUM(K2212:K2238)</f>
        <v>5724.340489640419</v>
      </c>
      <c r="M2239" s="92"/>
      <c r="N2239" s="4"/>
    </row>
    <row r="2240" spans="1:14" s="89" customFormat="1">
      <c r="A2240" s="4" t="s">
        <v>1443</v>
      </c>
      <c r="F2240" s="89" t="s">
        <v>117</v>
      </c>
      <c r="K2240" s="90"/>
      <c r="L2240" s="90" t="s">
        <v>937</v>
      </c>
    </row>
    <row r="2242" spans="1:12">
      <c r="A2242" t="s">
        <v>1444</v>
      </c>
      <c r="B2242" s="5" t="s">
        <v>1367</v>
      </c>
      <c r="C2242" t="s">
        <v>459</v>
      </c>
      <c r="D2242" t="s">
        <v>70</v>
      </c>
      <c r="E2242" s="70">
        <f>IF(B2242="","",INDEX(Ingredients!$I$1:$I$5013,(MATCH(InterventionCosts!B2242,Ingredients!$A$1:$A$5013,0))))</f>
        <v>2.952048897020477</v>
      </c>
      <c r="F2242" s="5" t="str">
        <f>INDEX(Ingredients!J$1:J$265,(MATCH(InterventionCosts!B2242,Ingredients!A$1:A$265,0)))</f>
        <v>per day</v>
      </c>
      <c r="G2242">
        <f>IF(B2242="","",INDEX(Ingredients!$E$1:$E$238,(MATCH(InterventionCosts!B2242,Ingredients!A$1:A$238,0))))</f>
        <v>2024</v>
      </c>
      <c r="H2242" t="str">
        <f>INDEX(Ingredients!$F$1:$F$318,(MATCH(InterventionCosts!B2242,Ingredients!A$1:A$318,0)))</f>
        <v>Master Procurement Circular May 2024</v>
      </c>
      <c r="I2242">
        <f>360*'ART kids distribution'!$E$16</f>
        <v>246.91642651296831</v>
      </c>
      <c r="J2242" t="s">
        <v>406</v>
      </c>
      <c r="K2242" s="85">
        <f t="shared" ref="K2242:K2268" si="88">I2242*E2242</f>
        <v>728.90936454384575</v>
      </c>
    </row>
    <row r="2243" spans="1:12">
      <c r="A2243" t="s">
        <v>1444</v>
      </c>
      <c r="B2243" t="s">
        <v>1334</v>
      </c>
      <c r="C2243" t="s">
        <v>459</v>
      </c>
      <c r="D2243" t="s">
        <v>70</v>
      </c>
      <c r="E2243" s="70">
        <f>IF(B2243="","",INDEX(Ingredients!$I$1:$I$5013,(MATCH(InterventionCosts!B2243,Ingredients!$A$1:$A$5013,0))))</f>
        <v>7.7632142857142856</v>
      </c>
      <c r="F2243" s="5" t="str">
        <f>INDEX(Ingredients!J$1:J$265,(MATCH(InterventionCosts!B2243,Ingredients!A$1:A$265,0)))</f>
        <v>per day</v>
      </c>
      <c r="G2243">
        <f>IF(B2243="","",INDEX(Ingredients!$E$1:$E$238,(MATCH(InterventionCosts!B2243,Ingredients!A$1:A$238,0))))</f>
        <v>2024</v>
      </c>
      <c r="H2243" t="str">
        <f>INDEX(Ingredients!$F$1:$F$318,(MATCH(InterventionCosts!B2243,Ingredients!A$1:A$318,0)))</f>
        <v>Master Procurement Circular May 2024</v>
      </c>
      <c r="I2243">
        <f>360*'ART kids distribution'!$D$16</f>
        <v>104.78386167146974</v>
      </c>
      <c r="J2243" t="s">
        <v>406</v>
      </c>
      <c r="K2243" s="85">
        <f t="shared" si="88"/>
        <v>813.45957184026349</v>
      </c>
    </row>
    <row r="2244" spans="1:12">
      <c r="A2244" t="s">
        <v>1444</v>
      </c>
      <c r="B2244" t="s">
        <v>1335</v>
      </c>
      <c r="C2244" t="s">
        <v>459</v>
      </c>
      <c r="D2244" t="s">
        <v>70</v>
      </c>
      <c r="E2244" s="70">
        <f>IF(B2244="","",INDEX(Ingredients!$I$1:$I$5013,(MATCH(InterventionCosts!B2244,Ingredients!$A$1:$A$5013,0))))</f>
        <v>9.8100000073501299</v>
      </c>
      <c r="F2244" s="5" t="str">
        <f>INDEX(Ingredients!J$1:J$265,(MATCH(InterventionCosts!B2244,Ingredients!A$1:A$265,0)))</f>
        <v>per day</v>
      </c>
      <c r="G2244">
        <f>IF(B2244="","",INDEX(Ingredients!$E$1:$E$238,(MATCH(InterventionCosts!B2244,Ingredients!A$1:A$238,0))))</f>
        <v>2024</v>
      </c>
      <c r="H2244" t="str">
        <f>INDEX(Ingredients!$F$1:$F$318,(MATCH(InterventionCosts!B2244,Ingredients!A$1:A$318,0)))</f>
        <v>Master Procurement Circular May 2024</v>
      </c>
      <c r="I2244">
        <f>360*'ART kids distribution'!$C$16</f>
        <v>7.2622478386167151</v>
      </c>
      <c r="J2244" t="s">
        <v>406</v>
      </c>
      <c r="K2244" s="85">
        <f t="shared" si="88"/>
        <v>71.242651350208433</v>
      </c>
    </row>
    <row r="2245" spans="1:12">
      <c r="A2245" t="s">
        <v>1444</v>
      </c>
      <c r="B2245" s="273" t="s">
        <v>1147</v>
      </c>
      <c r="C2245" t="s">
        <v>1151</v>
      </c>
      <c r="D2245" t="s">
        <v>67</v>
      </c>
      <c r="E2245" s="70">
        <f>IF(B2245="","",INDEX(Ingredients!$I$1:$I$5013,(MATCH(InterventionCosts!B2245,Ingredients!$A$1:$A$5013,0))))</f>
        <v>96609.835920812693</v>
      </c>
      <c r="F2245" s="5" t="str">
        <f>INDEX(Ingredients!J$1:J$265,(MATCH(InterventionCosts!B2245,Ingredients!A$1:A$265,0)))</f>
        <v>per machine</v>
      </c>
      <c r="G2245">
        <f>IF(B2245="","",INDEX(Ingredients!$E$1:$E$238,(MATCH(InterventionCosts!B2245,Ingredients!A$1:A$238,0))))</f>
        <v>2024</v>
      </c>
      <c r="H2245" t="str">
        <f>INDEX(Ingredients!$F$1:$F$318,(MATCH(InterventionCosts!B2245,Ingredients!A$1:A$318,0)))</f>
        <v>https://www.stoptb.org/sites/default/files/gdf_diagnostics_medical_devices_other_health_products_catalog_0.pdf</v>
      </c>
      <c r="I2245" s="274">
        <f>1/(2300*0.6)</f>
        <v>7.246376811594203E-4</v>
      </c>
      <c r="J2245" s="274" t="s">
        <v>1157</v>
      </c>
      <c r="K2245" s="85">
        <f t="shared" ref="K2245:K2254" si="89">E2245*I2245</f>
        <v>70.007127478849782</v>
      </c>
    </row>
    <row r="2246" spans="1:12">
      <c r="A2246" t="s">
        <v>1444</v>
      </c>
      <c r="B2246" s="273" t="s">
        <v>1148</v>
      </c>
      <c r="C2246" t="s">
        <v>1151</v>
      </c>
      <c r="D2246" t="s">
        <v>21</v>
      </c>
      <c r="E2246" s="70">
        <f>IF(B2246="","",INDEX(Ingredients!$I$1:$I$5013,(MATCH(InterventionCosts!B2246,Ingredients!$A$1:$A$5013,0))))</f>
        <v>319.75037364827585</v>
      </c>
      <c r="F2246" s="5" t="str">
        <f>INDEX(Ingredients!J$1:J$265,(MATCH(InterventionCosts!B2246,Ingredients!A$1:A$265,0)))</f>
        <v>per test</v>
      </c>
      <c r="G2246">
        <f>IF(B2246="","",INDEX(Ingredients!$E$1:$E$238,(MATCH(InterventionCosts!B2246,Ingredients!A$1:A$238,0))))</f>
        <v>2024</v>
      </c>
      <c r="H2246" t="str">
        <f>INDEX(Ingredients!$F$1:$F$318,(MATCH(InterventionCosts!B2246,Ingredients!A$1:A$318,0)))</f>
        <v>https://www.stoptb.org/sites/default/files/gdf_diagnostics_medical_devices_other_health_products_catalog_0.pdf</v>
      </c>
      <c r="I2246" s="274">
        <v>1</v>
      </c>
      <c r="J2246" t="s">
        <v>1151</v>
      </c>
      <c r="K2246" s="85">
        <f t="shared" si="89"/>
        <v>319.75037364827585</v>
      </c>
    </row>
    <row r="2247" spans="1:12">
      <c r="A2247" t="s">
        <v>1444</v>
      </c>
      <c r="B2247" s="273" t="s">
        <v>1149</v>
      </c>
      <c r="C2247" t="s">
        <v>1151</v>
      </c>
      <c r="D2247" t="s">
        <v>81</v>
      </c>
      <c r="E2247" s="70">
        <f>IF(B2247="","",INDEX(Ingredients!$I$1:$I$5013,(MATCH(InterventionCosts!B2247,Ingredients!$A$1:$A$5013,0))))</f>
        <v>34756.611222699823</v>
      </c>
      <c r="F2247" s="5" t="str">
        <f>INDEX(Ingredients!J$1:J$265,(MATCH(InterventionCosts!B2247,Ingredients!A$1:A$265,0)))</f>
        <v>per setup</v>
      </c>
      <c r="G2247">
        <f>IF(B2247="","",INDEX(Ingredients!$E$1:$E$238,(MATCH(InterventionCosts!B2247,Ingredients!A$1:A$238,0))))</f>
        <v>2024</v>
      </c>
      <c r="H2247" t="str">
        <f>INDEX(Ingredients!$F$1:$F$318,(MATCH(InterventionCosts!B2247,Ingredients!A$1:A$318,0)))</f>
        <v>https://www.stoptb.org/sites/default/files/gdf_diagnostics_medical_devices_other_health_products_catalog_0.pdf</v>
      </c>
      <c r="I2247" s="274">
        <f>1/(2300*0.6)</f>
        <v>7.246376811594203E-4</v>
      </c>
      <c r="J2247" s="274" t="s">
        <v>1157</v>
      </c>
      <c r="K2247" s="85">
        <f t="shared" si="89"/>
        <v>25.185950161376685</v>
      </c>
    </row>
    <row r="2248" spans="1:12">
      <c r="A2248" t="s">
        <v>1444</v>
      </c>
      <c r="B2248" s="273" t="s">
        <v>1156</v>
      </c>
      <c r="C2248" t="s">
        <v>1151</v>
      </c>
      <c r="D2248" t="s">
        <v>48</v>
      </c>
      <c r="E2248" s="70">
        <f>IF(B2248="","",INDEX(Ingredients!$I$1:$I$5013,(MATCH(InterventionCosts!B2248,Ingredients!$A$1:$A$5013,0))))</f>
        <v>5619.5309209141369</v>
      </c>
      <c r="F2248" s="5" t="str">
        <f>INDEX(Ingredients!J$1:J$265,(MATCH(InterventionCosts!B2248,Ingredients!A$1:A$265,0)))</f>
        <v>per setup</v>
      </c>
      <c r="G2248">
        <f>IF(B2248="","",INDEX(Ingredients!$E$1:$E$238,(MATCH(InterventionCosts!B2248,Ingredients!A$1:A$238,0))))</f>
        <v>2019</v>
      </c>
      <c r="H2248" t="str">
        <f>INDEX(Ingredients!$F$1:$F$318,(MATCH(InterventionCosts!B2248,Ingredients!A$1:A$318,0)))</f>
        <v>Sarah Girdwood, https://www.ncbi.nlm.nih.gov/pmc/articles/PMC7700965/pdf/main.pdf</v>
      </c>
      <c r="I2248" s="274">
        <f t="shared" ref="I2248:I2252" si="90">1/(2300*0.6)</f>
        <v>7.246376811594203E-4</v>
      </c>
      <c r="J2248" t="s">
        <v>1151</v>
      </c>
      <c r="K2248" s="85">
        <f t="shared" si="89"/>
        <v>4.0721238557348816</v>
      </c>
    </row>
    <row r="2249" spans="1:12">
      <c r="A2249" t="s">
        <v>1444</v>
      </c>
      <c r="B2249" s="273" t="s">
        <v>1150</v>
      </c>
      <c r="C2249" t="s">
        <v>1151</v>
      </c>
      <c r="D2249" t="s">
        <v>48</v>
      </c>
      <c r="E2249" s="70">
        <f>IF(B2249="","",INDEX(Ingredients!$I$1:$I$5013,(MATCH(InterventionCosts!B2249,Ingredients!$A$1:$A$5013,0))))</f>
        <v>5690.1603086312934</v>
      </c>
      <c r="F2249" s="5" t="str">
        <f>INDEX(Ingredients!J$1:J$265,(MATCH(InterventionCosts!B2249,Ingredients!A$1:A$265,0)))</f>
        <v>per setup</v>
      </c>
      <c r="G2249">
        <f>IF(B2249="","",INDEX(Ingredients!$E$1:$E$238,(MATCH(InterventionCosts!B2249,Ingredients!A$1:A$238,0))))</f>
        <v>2019</v>
      </c>
      <c r="H2249" t="str">
        <f>INDEX(Ingredients!$F$1:$F$318,(MATCH(InterventionCosts!B2249,Ingredients!A$1:A$318,0)))</f>
        <v>Sarah Girdwood, https://www.ncbi.nlm.nih.gov/pmc/articles/PMC7700965/pdf/main.pdf</v>
      </c>
      <c r="I2249" s="274">
        <f t="shared" si="90"/>
        <v>7.246376811594203E-4</v>
      </c>
      <c r="J2249" t="s">
        <v>1151</v>
      </c>
      <c r="K2249" s="85">
        <f t="shared" si="89"/>
        <v>4.1233045714719516</v>
      </c>
    </row>
    <row r="2250" spans="1:12">
      <c r="A2250" t="s">
        <v>1444</v>
      </c>
      <c r="B2250" s="273" t="s">
        <v>1155</v>
      </c>
      <c r="C2250" t="s">
        <v>1151</v>
      </c>
      <c r="D2250" t="s">
        <v>67</v>
      </c>
      <c r="E2250" s="70">
        <f>IF(B2250="","",INDEX(Ingredients!$I$1:$I$5013,(MATCH(InterventionCosts!B2250,Ingredients!$A$1:$A$5013,0))))</f>
        <v>11917.103963912978</v>
      </c>
      <c r="F2250" s="5" t="str">
        <f>INDEX(Ingredients!J$1:J$265,(MATCH(InterventionCosts!B2250,Ingredients!A$1:A$265,0)))</f>
        <v>per setup</v>
      </c>
      <c r="G2250">
        <f>IF(B2250="","",INDEX(Ingredients!$E$1:$E$238,(MATCH(InterventionCosts!B2250,Ingredients!A$1:A$238,0))))</f>
        <v>2019</v>
      </c>
      <c r="H2250" t="str">
        <f>INDEX(Ingredients!$F$1:$F$318,(MATCH(InterventionCosts!B2250,Ingredients!A$1:A$318,0)))</f>
        <v>Sarah Girdwood, https://www.ncbi.nlm.nih.gov/pmc/articles/PMC7700965/pdf/main.pdf</v>
      </c>
      <c r="I2250" s="274">
        <f t="shared" si="90"/>
        <v>7.246376811594203E-4</v>
      </c>
      <c r="J2250" t="s">
        <v>1151</v>
      </c>
      <c r="K2250" s="85">
        <f t="shared" si="89"/>
        <v>8.635582582545636</v>
      </c>
    </row>
    <row r="2251" spans="1:12">
      <c r="A2251" t="s">
        <v>1444</v>
      </c>
      <c r="B2251" s="273" t="s">
        <v>1154</v>
      </c>
      <c r="C2251" t="s">
        <v>1151</v>
      </c>
      <c r="D2251" t="s">
        <v>81</v>
      </c>
      <c r="E2251" s="70">
        <f>IF(B2251="","",INDEX(Ingredients!$I$1:$I$5013,(MATCH(InterventionCosts!B2251,Ingredients!$A$1:$A$5013,0))))</f>
        <v>8006.8042257540328</v>
      </c>
      <c r="F2251" s="5" t="str">
        <f>INDEX(Ingredients!J$1:J$265,(MATCH(InterventionCosts!B2251,Ingredients!A$1:A$265,0)))</f>
        <v>per setup</v>
      </c>
      <c r="G2251">
        <f>IF(B2251="","",INDEX(Ingredients!$E$1:$E$238,(MATCH(InterventionCosts!B2251,Ingredients!A$1:A$238,0))))</f>
        <v>2019</v>
      </c>
      <c r="H2251" t="str">
        <f>INDEX(Ingredients!$F$1:$F$318,(MATCH(InterventionCosts!B2251,Ingredients!A$1:A$318,0)))</f>
        <v>https://www.ncbi.nlm.nih.gov/pmc/articles/PMC7700965/pdf/main.pdf</v>
      </c>
      <c r="I2251" s="274">
        <f t="shared" si="90"/>
        <v>7.246376811594203E-4</v>
      </c>
      <c r="J2251" t="s">
        <v>1151</v>
      </c>
      <c r="K2251" s="85">
        <f t="shared" si="89"/>
        <v>5.8020320476478497</v>
      </c>
    </row>
    <row r="2252" spans="1:12">
      <c r="A2252" t="s">
        <v>1444</v>
      </c>
      <c r="B2252" s="273" t="s">
        <v>1153</v>
      </c>
      <c r="C2252" t="s">
        <v>1151</v>
      </c>
      <c r="D2252" t="s">
        <v>81</v>
      </c>
      <c r="E2252" s="70">
        <f>IF(B2252="","",INDEX(Ingredients!$I$1:$I$5013,(MATCH(InterventionCosts!B2252,Ingredients!$A$1:$A$5013,0))))</f>
        <v>22740.094503552911</v>
      </c>
      <c r="F2252" s="5" t="str">
        <f>INDEX(Ingredients!J$1:J$265,(MATCH(InterventionCosts!B2252,Ingredients!A$1:A$265,0)))</f>
        <v>per setup</v>
      </c>
      <c r="G2252">
        <f>IF(B2252="","",INDEX(Ingredients!$E$1:$E$238,(MATCH(InterventionCosts!B2252,Ingredients!A$1:A$238,0))))</f>
        <v>2019</v>
      </c>
      <c r="H2252" t="str">
        <f>INDEX(Ingredients!$F$1:$F$318,(MATCH(InterventionCosts!B2252,Ingredients!A$1:A$318,0)))</f>
        <v>https://www.ncbi.nlm.nih.gov/pmc/articles/PMC7700965/pdf/main.pdf</v>
      </c>
      <c r="I2252" s="274">
        <f t="shared" si="90"/>
        <v>7.246376811594203E-4</v>
      </c>
      <c r="J2252" t="s">
        <v>1151</v>
      </c>
      <c r="K2252" s="85">
        <f t="shared" si="89"/>
        <v>16.47832935040066</v>
      </c>
    </row>
    <row r="2253" spans="1:12">
      <c r="A2253" t="s">
        <v>1444</v>
      </c>
      <c r="B2253" s="273" t="s">
        <v>1152</v>
      </c>
      <c r="C2253" t="s">
        <v>1151</v>
      </c>
      <c r="D2253" t="s">
        <v>21</v>
      </c>
      <c r="E2253" s="70">
        <f>IF(B2253="","",INDEX(Ingredients!$I$1:$I$5013,(MATCH(InterventionCosts!B2253,Ingredients!$A$1:$A$5013,0))))</f>
        <v>3.608519627003822</v>
      </c>
      <c r="F2253" s="5" t="str">
        <f>INDEX(Ingredients!J$1:J$265,(MATCH(InterventionCosts!B2253,Ingredients!A$1:A$265,0)))</f>
        <v>per test</v>
      </c>
      <c r="G2253">
        <f>IF(B2253="","",INDEX(Ingredients!$E$1:$E$238,(MATCH(InterventionCosts!B2253,Ingredients!A$1:A$238,0))))</f>
        <v>2019</v>
      </c>
      <c r="H2253" t="str">
        <f>INDEX(Ingredients!$F$1:$F$318,(MATCH(InterventionCosts!B2253,Ingredients!A$1:A$318,0)))</f>
        <v>Sarah Girdwood, https://www.ncbi.nlm.nih.gov/pmc/articles/PMC7700965/pdf/main.pdf</v>
      </c>
      <c r="I2253" s="274">
        <v>1</v>
      </c>
      <c r="J2253" t="s">
        <v>1151</v>
      </c>
      <c r="K2253" s="85">
        <f t="shared" si="89"/>
        <v>3.608519627003822</v>
      </c>
    </row>
    <row r="2254" spans="1:12">
      <c r="A2254" t="s">
        <v>1444</v>
      </c>
      <c r="B2254" s="273" t="s">
        <v>286</v>
      </c>
      <c r="C2254" t="s">
        <v>1151</v>
      </c>
      <c r="D2254" t="s">
        <v>48</v>
      </c>
      <c r="E2254" s="70">
        <f>IF(B2254="","",INDEX(Ingredients!$I$1:$I$5013,(MATCH(InterventionCosts!B2254,Ingredients!$A$1:$A$5013,0))))</f>
        <v>3.2392279521674139</v>
      </c>
      <c r="F2254" s="5" t="str">
        <f>INDEX(Ingredients!J$1:J$265,(MATCH(InterventionCosts!B2254,Ingredients!A$1:A$265,0)))</f>
        <v>per minute</v>
      </c>
      <c r="G2254">
        <f>IF(B2254="","",INDEX(Ingredients!$E$1:$E$238,(MATCH(InterventionCosts!B2254,Ingredients!A$1:A$238,0))))</f>
        <v>2024</v>
      </c>
      <c r="H2254" t="str">
        <f>INDEX(Ingredients!$F$1:$F$318,(MATCH(InterventionCosts!B2254,Ingredients!A$1:A$318,0)))</f>
        <v xml:space="preserve">April 2024 Salary scale </v>
      </c>
      <c r="I2254" s="274">
        <f>5.6+5.4+17.1+5</f>
        <v>33.1</v>
      </c>
      <c r="J2254" t="s">
        <v>1151</v>
      </c>
      <c r="K2254" s="85">
        <f t="shared" si="89"/>
        <v>107.2184452167414</v>
      </c>
    </row>
    <row r="2255" spans="1:12">
      <c r="A2255" t="s">
        <v>1444</v>
      </c>
      <c r="B2255" t="s">
        <v>458</v>
      </c>
      <c r="C2255" t="s">
        <v>459</v>
      </c>
      <c r="D2255" t="s">
        <v>75</v>
      </c>
      <c r="E2255" s="70">
        <f>IF(B2255="","",INDEX(Ingredients!$I$1:$I$5013,(MATCH(InterventionCosts!B2255,Ingredients!$A$1:$A$5013,0))))</f>
        <v>86.59037211495</v>
      </c>
      <c r="F2255" s="5" t="str">
        <f>INDEX(Ingredients!J$1:J$265,(MATCH(InterventionCosts!B2255,Ingredients!A$1:A$265,0)))</f>
        <v>per test</v>
      </c>
      <c r="G2255">
        <f>IF(B2255="","",INDEX(Ingredients!$E$1:$E$238,(MATCH(InterventionCosts!B2255,Ingredients!A$1:A$238,0))))</f>
        <v>2021</v>
      </c>
      <c r="H2255" t="str">
        <f>INDEX(Ingredients!$F$1:$F$318,(MATCH(InterventionCosts!B2255,Ingredients!A$1:A$318,0)))</f>
        <v>NHLS 2021 price-list</v>
      </c>
      <c r="I2255">
        <v>1</v>
      </c>
      <c r="J2255" t="s">
        <v>459</v>
      </c>
      <c r="K2255" s="85">
        <f t="shared" si="88"/>
        <v>86.59037211495</v>
      </c>
    </row>
    <row r="2256" spans="1:12">
      <c r="A2256" t="s">
        <v>1444</v>
      </c>
      <c r="B2256" t="s">
        <v>52</v>
      </c>
      <c r="C2256" t="s">
        <v>460</v>
      </c>
      <c r="D2256" t="s">
        <v>48</v>
      </c>
      <c r="E2256" s="70">
        <f>IF(B2256="","",INDEX(Ingredients!$I$1:$I$5013,(MATCH(InterventionCosts!B2256,Ingredients!$A$1:$A$5013,0))))</f>
        <v>1.8019482436472347</v>
      </c>
      <c r="F2256" s="5" t="str">
        <f>INDEX(Ingredients!J$1:J$265,(MATCH(InterventionCosts!B2256,Ingredients!A$1:A$265,0)))</f>
        <v>per minute</v>
      </c>
      <c r="G2256">
        <f>IF(B2256="","",INDEX(Ingredients!$E$1:$E$238,(MATCH(InterventionCosts!B2256,Ingredients!A$1:A$238,0))))</f>
        <v>2024</v>
      </c>
      <c r="H2256" t="str">
        <f>INDEX(Ingredients!$F$1:$F$318,(MATCH(InterventionCosts!B2256,Ingredients!A$1:A$318,0)))</f>
        <v xml:space="preserve">April 2024 Salary scale </v>
      </c>
      <c r="I2256">
        <f>4*4*(workminutespa/12/5102)</f>
        <v>27.973343786750295</v>
      </c>
      <c r="J2256" t="s">
        <v>460</v>
      </c>
      <c r="K2256" s="85">
        <f t="shared" si="88"/>
        <v>50.406517705474982</v>
      </c>
      <c r="L2256" s="85" t="s">
        <v>1079</v>
      </c>
    </row>
    <row r="2257" spans="1:14">
      <c r="A2257" t="s">
        <v>1444</v>
      </c>
      <c r="B2257" t="s">
        <v>55</v>
      </c>
      <c r="C2257" t="s">
        <v>460</v>
      </c>
      <c r="D2257" t="s">
        <v>48</v>
      </c>
      <c r="E2257" s="70">
        <f>IF(B2257="","",INDEX(Ingredients!$I$1:$I$5013,(MATCH(InterventionCosts!B2257,Ingredients!$A$1:$A$5013,0))))</f>
        <v>1.8549350710014947</v>
      </c>
      <c r="F2257" s="5" t="str">
        <f>INDEX(Ingredients!J$1:J$265,(MATCH(InterventionCosts!B2257,Ingredients!A$1:A$265,0)))</f>
        <v>per minute</v>
      </c>
      <c r="G2257">
        <f>IF(B2257="","",INDEX(Ingredients!$E$1:$E$238,(MATCH(InterventionCosts!B2257,Ingredients!A$1:A$238,0))))</f>
        <v>2024</v>
      </c>
      <c r="H2257" t="str">
        <f>INDEX(Ingredients!$F$1:$F$318,(MATCH(InterventionCosts!B2257,Ingredients!A$1:A$318,0)))</f>
        <v xml:space="preserve">April 2024 Salary scale </v>
      </c>
      <c r="I2257">
        <f>4*4*(workminutespa/12/5102)</f>
        <v>27.973343786750295</v>
      </c>
      <c r="J2257" t="s">
        <v>460</v>
      </c>
      <c r="K2257" s="85">
        <f t="shared" si="88"/>
        <v>51.888736443224879</v>
      </c>
      <c r="L2257" s="85" t="s">
        <v>1079</v>
      </c>
    </row>
    <row r="2258" spans="1:14">
      <c r="A2258" t="s">
        <v>1444</v>
      </c>
      <c r="B2258" t="s">
        <v>1070</v>
      </c>
      <c r="C2258" t="s">
        <v>460</v>
      </c>
      <c r="D2258" t="s">
        <v>48</v>
      </c>
      <c r="E2258" s="70">
        <f>IF(B2258="","",INDEX(Ingredients!$I$1:$I$5013,(MATCH(InterventionCosts!B2258,Ingredients!$A$1:$A$5013,0))))</f>
        <v>2.443981128550075</v>
      </c>
      <c r="F2258" s="5" t="str">
        <f>INDEX(Ingredients!J$1:J$265,(MATCH(InterventionCosts!B2258,Ingredients!A$1:A$265,0)))</f>
        <v>per minute</v>
      </c>
      <c r="G2258">
        <f>IF(B2258="","",INDEX(Ingredients!$E$1:$E$238,(MATCH(InterventionCosts!B2258,Ingredients!A$1:A$238,0))))</f>
        <v>2024</v>
      </c>
      <c r="H2258" t="str">
        <f>INDEX(Ingredients!$F$1:$F$318,(MATCH(InterventionCosts!B2258,Ingredients!A$1:A$318,0)))</f>
        <v xml:space="preserve">April 2024 Salary scale </v>
      </c>
      <c r="I2258">
        <f>1*4*(workminutespa/12/5102)</f>
        <v>6.9933359466875737</v>
      </c>
      <c r="J2258" t="s">
        <v>460</v>
      </c>
      <c r="K2258" s="85">
        <f t="shared" si="88"/>
        <v>17.091581079315304</v>
      </c>
      <c r="L2258" s="85" t="s">
        <v>1080</v>
      </c>
    </row>
    <row r="2259" spans="1:14">
      <c r="A2259" t="s">
        <v>1444</v>
      </c>
      <c r="B2259" t="s">
        <v>51</v>
      </c>
      <c r="C2259" t="s">
        <v>460</v>
      </c>
      <c r="D2259" t="s">
        <v>48</v>
      </c>
      <c r="E2259" s="70">
        <f>IF(B2259="","",INDEX(Ingredients!$I$1:$I$5013,(MATCH(InterventionCosts!B2259,Ingredients!$A$1:$A$5013,0))))</f>
        <v>4100.2266666666665</v>
      </c>
      <c r="F2259" s="5" t="str">
        <f>INDEX(Ingredients!J$1:J$265,(MATCH(InterventionCosts!B2259,Ingredients!A$1:A$265,0)))</f>
        <v>per month</v>
      </c>
      <c r="G2259">
        <f>IF(B2259="","",INDEX(Ingredients!$E$1:$E$238,(MATCH(InterventionCosts!B2259,Ingredients!A$1:A$238,0))))</f>
        <v>2024</v>
      </c>
      <c r="H2259" t="str">
        <f>INDEX(Ingredients!$F$1:$F$318,(MATCH(InterventionCosts!B2259,Ingredients!A$1:A$318,0)))</f>
        <v>https://www.gov.za/news/media-statements/government-activities/minister-thulas-nxesi-announces-national-minimum-wage</v>
      </c>
      <c r="I2259">
        <f>1*4*(1/5102)</f>
        <v>7.840062720501764E-4</v>
      </c>
      <c r="J2259" t="s">
        <v>460</v>
      </c>
      <c r="K2259" s="85">
        <f t="shared" si="88"/>
        <v>3.2146034234940544</v>
      </c>
      <c r="L2259" s="85" t="s">
        <v>1080</v>
      </c>
    </row>
    <row r="2260" spans="1:14">
      <c r="A2260" t="s">
        <v>1444</v>
      </c>
      <c r="B2260" t="s">
        <v>54</v>
      </c>
      <c r="C2260" t="s">
        <v>460</v>
      </c>
      <c r="D2260" t="s">
        <v>48</v>
      </c>
      <c r="E2260" s="70">
        <f>IF(B2260="","",INDEX(Ingredients!$I$1:$I$5013,(MATCH(InterventionCosts!B2260,Ingredients!$A$1:$A$5013,0))))</f>
        <v>1.2444366591928251</v>
      </c>
      <c r="F2260" s="5" t="str">
        <f>INDEX(Ingredients!J$1:J$265,(MATCH(InterventionCosts!B2260,Ingredients!A$1:A$265,0)))</f>
        <v>per minute</v>
      </c>
      <c r="G2260">
        <f>IF(B2260="","",INDEX(Ingredients!$E$1:$E$238,(MATCH(InterventionCosts!B2260,Ingredients!A$1:A$238,0))))</f>
        <v>2024</v>
      </c>
      <c r="H2260" t="str">
        <f>INDEX(Ingredients!$F$1:$F$318,(MATCH(InterventionCosts!B2260,Ingredients!A$1:A$318,0)))</f>
        <v xml:space="preserve">April 2024 Salary scale </v>
      </c>
      <c r="I2260">
        <f>8*4*(workminutespa/12/5102)</f>
        <v>55.94668757350059</v>
      </c>
      <c r="J2260" t="s">
        <v>460</v>
      </c>
      <c r="K2260" s="85">
        <f t="shared" si="88"/>
        <v>69.622108976871814</v>
      </c>
      <c r="L2260" s="85" t="s">
        <v>1081</v>
      </c>
    </row>
    <row r="2261" spans="1:14">
      <c r="A2261" t="s">
        <v>1444</v>
      </c>
      <c r="B2261" t="s">
        <v>354</v>
      </c>
      <c r="C2261" t="s">
        <v>460</v>
      </c>
      <c r="D2261" t="s">
        <v>48</v>
      </c>
      <c r="E2261" s="70">
        <f>IF(B2261="","",INDEX(Ingredients!$I$1:$I$5013,(MATCH(InterventionCosts!B2261,Ingredients!$A$1:$A$5013,0))))</f>
        <v>4.8996605630293981</v>
      </c>
      <c r="F2261" s="5" t="str">
        <f>INDEX(Ingredients!J$1:J$265,(MATCH(InterventionCosts!B2261,Ingredients!A$1:A$265,0)))</f>
        <v>per minute</v>
      </c>
      <c r="G2261">
        <f>IF(B2261="","",INDEX(Ingredients!$E$1:$E$238,(MATCH(InterventionCosts!B2261,Ingredients!A$1:A$238,0))))</f>
        <v>2024</v>
      </c>
      <c r="H2261" t="str">
        <f>INDEX(Ingredients!$F$1:$F$318,(MATCH(InterventionCosts!B2261,Ingredients!A$1:A$318,0)))</f>
        <v xml:space="preserve">April 2024 Salary scale </v>
      </c>
      <c r="I2261">
        <f>16*4*(workminutespa/12/5102)</f>
        <v>111.89337514700118</v>
      </c>
      <c r="J2261" t="s">
        <v>460</v>
      </c>
      <c r="K2261" s="85">
        <f t="shared" si="88"/>
        <v>548.23955747201546</v>
      </c>
      <c r="L2261" s="85" t="s">
        <v>1082</v>
      </c>
    </row>
    <row r="2262" spans="1:14">
      <c r="A2262" t="s">
        <v>1444</v>
      </c>
      <c r="B2262" t="s">
        <v>286</v>
      </c>
      <c r="C2262" t="s">
        <v>460</v>
      </c>
      <c r="D2262" t="s">
        <v>48</v>
      </c>
      <c r="E2262" s="70">
        <f>IF(B2262="","",INDEX(Ingredients!$I$1:$I$5013,(MATCH(InterventionCosts!B2262,Ingredients!$A$1:$A$5013,0))))</f>
        <v>3.2392279521674139</v>
      </c>
      <c r="F2262" s="5" t="str">
        <f>INDEX(Ingredients!J$1:J$265,(MATCH(InterventionCosts!B2262,Ingredients!A$1:A$265,0)))</f>
        <v>per minute</v>
      </c>
      <c r="G2262">
        <f>IF(B2262="","",INDEX(Ingredients!$E$1:$E$238,(MATCH(InterventionCosts!B2262,Ingredients!A$1:A$238,0))))</f>
        <v>2024</v>
      </c>
      <c r="H2262" t="str">
        <f>INDEX(Ingredients!$F$1:$F$318,(MATCH(InterventionCosts!B2262,Ingredients!A$1:A$318,0)))</f>
        <v xml:space="preserve">April 2024 Salary scale </v>
      </c>
      <c r="I2262">
        <f>4*4*(workminutespa/12/5102)</f>
        <v>27.973343786750295</v>
      </c>
      <c r="J2262" t="s">
        <v>460</v>
      </c>
      <c r="K2262" s="85">
        <f t="shared" si="88"/>
        <v>90.612037109630208</v>
      </c>
      <c r="L2262" s="85" t="s">
        <v>1079</v>
      </c>
    </row>
    <row r="2263" spans="1:14">
      <c r="A2263" t="s">
        <v>1444</v>
      </c>
      <c r="B2263" t="s">
        <v>1072</v>
      </c>
      <c r="C2263" t="s">
        <v>460</v>
      </c>
      <c r="D2263" t="s">
        <v>48</v>
      </c>
      <c r="E2263" s="70">
        <f>IF(B2263="","",INDEX(Ingredients!$I$1:$I$5013,(MATCH(InterventionCosts!B2263,Ingredients!$A$1:$A$5013,0))))</f>
        <v>2.5530496387643251</v>
      </c>
      <c r="F2263" s="5" t="str">
        <f>INDEX(Ingredients!J$1:J$265,(MATCH(InterventionCosts!B2263,Ingredients!A$1:A$265,0)))</f>
        <v>per minute</v>
      </c>
      <c r="G2263">
        <f>IF(B2263="","",INDEX(Ingredients!$E$1:$E$238,(MATCH(InterventionCosts!B2263,Ingredients!A$1:A$238,0))))</f>
        <v>2024</v>
      </c>
      <c r="H2263" t="str">
        <f>INDEX(Ingredients!$F$1:$F$318,(MATCH(InterventionCosts!B2263,Ingredients!A$1:A$318,0)))</f>
        <v xml:space="preserve">April 2024 Salary scale </v>
      </c>
      <c r="I2263">
        <f>1*4*(workminutespa/12/5102)</f>
        <v>6.9933359466875737</v>
      </c>
      <c r="J2263" t="s">
        <v>460</v>
      </c>
      <c r="K2263" s="85">
        <f t="shared" si="88"/>
        <v>17.854333812448278</v>
      </c>
      <c r="L2263" s="85" t="s">
        <v>1080</v>
      </c>
    </row>
    <row r="2264" spans="1:14">
      <c r="A2264" t="s">
        <v>1444</v>
      </c>
      <c r="B2264" t="s">
        <v>1074</v>
      </c>
      <c r="C2264" t="s">
        <v>460</v>
      </c>
      <c r="D2264" t="s">
        <v>48</v>
      </c>
      <c r="E2264" s="70">
        <f>IF(B2264="","",INDEX(Ingredients!$I$1:$I$5013,(MATCH(InterventionCosts!B2264,Ingredients!$A$1:$A$5013,0))))</f>
        <v>2076.8733333333334</v>
      </c>
      <c r="F2264" s="5" t="str">
        <f>INDEX(Ingredients!J$1:J$265,(MATCH(InterventionCosts!B2264,Ingredients!A$1:A$265,0)))</f>
        <v>per month</v>
      </c>
      <c r="G2264">
        <f>IF(B2264="","",INDEX(Ingredients!$E$1:$E$238,(MATCH(InterventionCosts!B2264,Ingredients!A$1:A$238,0))))</f>
        <v>2024</v>
      </c>
      <c r="H2264" t="str">
        <f>INDEX(Ingredients!$F$1:$F$318,(MATCH(InterventionCosts!B2264,Ingredients!A$1:A$318,0)))</f>
        <v>https://www.gov.za/speeches/minister-thulas-nxesi-hikes-minimum-wage-farmworkers-and-domestic-workers-22-feb-2023-0000</v>
      </c>
      <c r="I2264">
        <f>13*4*(1/5102)</f>
        <v>1.0192081536652292E-2</v>
      </c>
      <c r="J2264" t="s">
        <v>460</v>
      </c>
      <c r="K2264" s="85">
        <f t="shared" si="88"/>
        <v>21.167662354632171</v>
      </c>
      <c r="L2264" s="85" t="s">
        <v>1083</v>
      </c>
    </row>
    <row r="2265" spans="1:14">
      <c r="A2265" t="s">
        <v>1444</v>
      </c>
      <c r="B2265" t="s">
        <v>60</v>
      </c>
      <c r="C2265" t="s">
        <v>460</v>
      </c>
      <c r="D2265" t="s">
        <v>48</v>
      </c>
      <c r="E2265" s="70">
        <f>IF(B2265="","",INDEX(Ingredients!$I$1:$I$5013,(MATCH(InterventionCosts!B2265,Ingredients!$A$1:$A$5013,0))))</f>
        <v>9.1192801756352768</v>
      </c>
      <c r="F2265" s="5" t="str">
        <f>INDEX(Ingredients!J$1:J$265,(MATCH(InterventionCosts!B2265,Ingredients!A$1:A$265,0)))</f>
        <v>per minute</v>
      </c>
      <c r="G2265">
        <f>IF(B2265="","",INDEX(Ingredients!$E$1:$E$238,(MATCH(InterventionCosts!B2265,Ingredients!A$1:A$238,0))))</f>
        <v>2024</v>
      </c>
      <c r="H2265" t="str">
        <f>INDEX(Ingredients!$F$1:$F$318,(MATCH(InterventionCosts!B2265,Ingredients!A$1:A$318,0)))</f>
        <v xml:space="preserve">April 2024 Salary scale </v>
      </c>
      <c r="I2265">
        <f>1*4*(workminutespa/12/5102)</f>
        <v>6.9933359466875737</v>
      </c>
      <c r="J2265" t="s">
        <v>460</v>
      </c>
      <c r="K2265" s="85">
        <f t="shared" si="88"/>
        <v>63.774189860185551</v>
      </c>
      <c r="L2265" s="85" t="s">
        <v>1080</v>
      </c>
    </row>
    <row r="2266" spans="1:14">
      <c r="A2266" t="s">
        <v>1444</v>
      </c>
      <c r="B2266" t="s">
        <v>1077</v>
      </c>
      <c r="C2266" t="s">
        <v>460</v>
      </c>
      <c r="D2266" t="s">
        <v>48</v>
      </c>
      <c r="E2266" s="70">
        <f>IF(B2266="","",INDEX(Ingredients!$I$1:$I$5013,(MATCH(InterventionCosts!B2266,Ingredients!$A$1:$A$5013,0))))</f>
        <v>2.1347303967364222</v>
      </c>
      <c r="F2266" s="5" t="str">
        <f>INDEX(Ingredients!J$1:J$265,(MATCH(InterventionCosts!B2266,Ingredients!A$1:A$265,0)))</f>
        <v>per minute</v>
      </c>
      <c r="G2266">
        <f>IF(B2266="","",INDEX(Ingredients!$E$1:$E$238,(MATCH(InterventionCosts!B2266,Ingredients!A$1:A$238,0))))</f>
        <v>2024</v>
      </c>
      <c r="H2266" t="str">
        <f>INDEX(Ingredients!$F$1:$F$318,(MATCH(InterventionCosts!B2266,Ingredients!A$1:A$318,0)))</f>
        <v xml:space="preserve">April 2024 Salary scale </v>
      </c>
      <c r="I2266">
        <f>4*4*(workminutespa/12/5102)</f>
        <v>27.973343786750295</v>
      </c>
      <c r="J2266" t="s">
        <v>460</v>
      </c>
      <c r="K2266" s="85">
        <f t="shared" si="88"/>
        <v>59.715547279933787</v>
      </c>
      <c r="L2266" s="85" t="s">
        <v>1079</v>
      </c>
    </row>
    <row r="2267" spans="1:14">
      <c r="A2267" t="s">
        <v>1444</v>
      </c>
      <c r="B2267" t="s">
        <v>1078</v>
      </c>
      <c r="C2267" t="s">
        <v>460</v>
      </c>
      <c r="D2267" t="s">
        <v>48</v>
      </c>
      <c r="E2267" s="70">
        <f>IF(B2267="","",INDEX(Ingredients!$I$1:$I$5013,(MATCH(InterventionCosts!B2267,Ingredients!$A$1:$A$5013,0))))</f>
        <v>13.503224277528648</v>
      </c>
      <c r="F2267" s="5" t="str">
        <f>INDEX(Ingredients!J$1:J$265,(MATCH(InterventionCosts!B2267,Ingredients!A$1:A$265,0)))</f>
        <v>per minute</v>
      </c>
      <c r="G2267">
        <f>IF(B2267="","",INDEX(Ingredients!$E$1:$E$238,(MATCH(InterventionCosts!B2267,Ingredients!A$1:A$238,0))))</f>
        <v>2024</v>
      </c>
      <c r="H2267" t="str">
        <f>INDEX(Ingredients!$F$1:$F$318,(MATCH(InterventionCosts!B2267,Ingredients!A$1:A$318,0)))</f>
        <v xml:space="preserve">April 2024 Salary scale </v>
      </c>
      <c r="I2267">
        <f>2*4*(workminutespa/12/5102)</f>
        <v>13.986671893375147</v>
      </c>
      <c r="J2267" t="s">
        <v>460</v>
      </c>
      <c r="K2267" s="85">
        <f t="shared" si="88"/>
        <v>188.86516747245088</v>
      </c>
      <c r="L2267" s="85" t="s">
        <v>1084</v>
      </c>
    </row>
    <row r="2268" spans="1:14">
      <c r="A2268" t="s">
        <v>1444</v>
      </c>
      <c r="B2268" t="s">
        <v>477</v>
      </c>
      <c r="C2268" t="s">
        <v>406</v>
      </c>
      <c r="D2268" t="s">
        <v>81</v>
      </c>
      <c r="E2268" s="70">
        <f>IF(B2268="","",INDEX(Ingredients!$I$1:$I$5013,(MATCH(InterventionCosts!B2268,Ingredients!$A$1:$A$5013,0))))</f>
        <v>88.256346376062865</v>
      </c>
      <c r="F2268" s="5" t="str">
        <f>INDEX(Ingredients!J$1:J$265,(MATCH(InterventionCosts!B2268,Ingredients!A$1:A$265,0)))</f>
        <v>per visit</v>
      </c>
      <c r="G2268">
        <f>IF(B2268="","",INDEX(Ingredients!$E$1:$E$238,(MATCH(InterventionCosts!B2268,Ingredients!A$1:A$238,0))))</f>
        <v>2019</v>
      </c>
      <c r="H2268" t="str">
        <f>INDEX(Ingredients!$F$1:$F$318,(MATCH(InterventionCosts!B2268,Ingredients!A$1:A$318,0)))</f>
        <v xml:space="preserve">Long L, Girdwood S, Govender K, Meyer-Rath G, Miot J: Cost and outcomes of routine HIV care and treatment: A comparison of public and private delivery models covering low-income earners in South Africa. Preprint available under DOI: https://doi.org/10.21203/rs.3.rs-960517/v1    </v>
      </c>
      <c r="I2268">
        <v>4</v>
      </c>
      <c r="J2268" t="s">
        <v>485</v>
      </c>
      <c r="K2268" s="85">
        <f t="shared" si="88"/>
        <v>353.02538550425146</v>
      </c>
    </row>
    <row r="2269" spans="1:14" s="89" customFormat="1">
      <c r="A2269" s="4" t="s">
        <v>1444</v>
      </c>
      <c r="F2269" s="89" t="s">
        <v>1164</v>
      </c>
      <c r="K2269" s="90"/>
      <c r="L2269" s="90">
        <f>SUM(K2242:K2268)</f>
        <v>3800.5611768832446</v>
      </c>
      <c r="M2269" s="92"/>
      <c r="N2269" s="4"/>
    </row>
    <row r="2270" spans="1:14" s="89" customFormat="1">
      <c r="A2270" s="4" t="s">
        <v>1444</v>
      </c>
      <c r="F2270" s="89" t="s">
        <v>117</v>
      </c>
      <c r="K2270" s="90"/>
      <c r="L2270" s="90" t="s">
        <v>937</v>
      </c>
    </row>
    <row r="2271" spans="1:14" s="1" customFormat="1">
      <c r="A2271"/>
      <c r="K2271" s="87"/>
      <c r="L2271" s="87"/>
    </row>
    <row r="2272" spans="1:14">
      <c r="A2272" t="s">
        <v>941</v>
      </c>
      <c r="B2272" t="s">
        <v>53</v>
      </c>
      <c r="C2272" t="s">
        <v>953</v>
      </c>
      <c r="D2272" t="s">
        <v>48</v>
      </c>
      <c r="E2272" s="70">
        <f>IF(B2272="","",INDEX(Ingredients!$I$1:$I$5013,(MATCH(InterventionCosts!B2272,Ingredients!$A$1:$A$5013,0))))</f>
        <v>4100.2266666666665</v>
      </c>
      <c r="F2272" s="5" t="str">
        <f>INDEX(Ingredients!J$1:J$265,(MATCH(InterventionCosts!B2272,Ingredients!A$1:A$265,0)))</f>
        <v>per month</v>
      </c>
      <c r="G2272">
        <f>IF(B2272="","",INDEX(Ingredients!$E$1:$E$238,(MATCH(InterventionCosts!B2272,Ingredients!A$1:A$238,0))))</f>
        <v>2024</v>
      </c>
      <c r="H2272" t="str">
        <f>INDEX(Ingredients!$F$1:$F$318,(MATCH(InterventionCosts!B2272,Ingredients!A$1:A$318,0)))</f>
        <v>https://www.health.gov.za/wp-content/uploads/2022/07/Health-Department-welcomes-Bargaining-Council-resolution-to-improve-work-conditions-of-CHWs-27-July-2022.pdf</v>
      </c>
      <c r="I2272">
        <f>4200*0.162350110761*12</f>
        <v>8182.4455823544004</v>
      </c>
      <c r="J2272" t="s">
        <v>951</v>
      </c>
      <c r="K2272" s="85">
        <f t="shared" ref="K2272:K2280" si="91">E2272*I2272</f>
        <v>33549881.575318374</v>
      </c>
      <c r="L2272" s="85" t="s">
        <v>1184</v>
      </c>
      <c r="M2272" s="227"/>
    </row>
    <row r="2273" spans="1:14" ht="12.5" customHeight="1">
      <c r="A2273" t="s">
        <v>941</v>
      </c>
      <c r="B2273" t="s">
        <v>942</v>
      </c>
      <c r="C2273" t="s">
        <v>953</v>
      </c>
      <c r="D2273" t="s">
        <v>48</v>
      </c>
      <c r="E2273" s="70">
        <f>IF(B2273="","",INDEX(Ingredients!$I$1:$I$5013,(MATCH(InterventionCosts!B2273,Ingredients!$A$1:$A$5013,0))))</f>
        <v>4100.2266666666665</v>
      </c>
      <c r="F2273" s="5" t="str">
        <f>INDEX(Ingredients!J$1:J$265,(MATCH(InterventionCosts!B2273,Ingredients!A$1:A$265,0)))</f>
        <v>per month</v>
      </c>
      <c r="G2273">
        <f>IF(B2273="","",INDEX(Ingredients!$E$1:$E$238,(MATCH(InterventionCosts!B2273,Ingredients!A$1:A$238,0))))</f>
        <v>2024</v>
      </c>
      <c r="H2273" t="str">
        <f>INDEX(Ingredients!$F$1:$F$318,(MATCH(InterventionCosts!B2273,Ingredients!A$1:A$318,0)))</f>
        <v>https://www.health.gov.za/wp-content/uploads/2022/07/Health-Department-welcomes-Bargaining-Council-resolution-to-improve-work-conditions-of-CHWs-27-July-2022.pdf</v>
      </c>
      <c r="I2273">
        <f>4200*0.494314719286*12</f>
        <v>24913.461852014403</v>
      </c>
      <c r="J2273" t="s">
        <v>951</v>
      </c>
      <c r="K2273" s="85">
        <f t="shared" si="91"/>
        <v>102150840.64461218</v>
      </c>
      <c r="L2273" s="85" t="s">
        <v>1184</v>
      </c>
      <c r="M2273" s="227"/>
    </row>
    <row r="2274" spans="1:14">
      <c r="A2274" t="s">
        <v>941</v>
      </c>
      <c r="B2274" t="s">
        <v>943</v>
      </c>
      <c r="C2274" t="s">
        <v>953</v>
      </c>
      <c r="D2274" t="s">
        <v>48</v>
      </c>
      <c r="E2274" s="70">
        <f>IF(B2274="","",INDEX(Ingredients!$I$1:$I$5013,(MATCH(InterventionCosts!B2274,Ingredients!$A$1:$A$5013,0))))</f>
        <v>261603.74000000002</v>
      </c>
      <c r="F2274" s="5" t="str">
        <f>INDEX(Ingredients!J$1:J$265,(MATCH(InterventionCosts!B2274,Ingredients!A$1:A$265,0)))</f>
        <v>per year</v>
      </c>
      <c r="G2274">
        <f>IF(B2274="","",INDEX(Ingredients!$E$1:$E$238,(MATCH(InterventionCosts!B2274,Ingredients!A$1:A$238,0))))</f>
        <v>2024</v>
      </c>
      <c r="H2274" t="str">
        <f>INDEX(Ingredients!$F$1:$F$318,(MATCH(InterventionCosts!B2274,Ingredients!A$1:A$318,0)))</f>
        <v xml:space="preserve">April 2024 Salary scale </v>
      </c>
      <c r="I2274">
        <f>4200*1.0520281871*1</f>
        <v>4418.5183858199998</v>
      </c>
      <c r="J2274" t="s">
        <v>951</v>
      </c>
      <c r="K2274" s="85">
        <f t="shared" si="91"/>
        <v>1155900934.989275</v>
      </c>
      <c r="L2274" s="85" t="s">
        <v>1184</v>
      </c>
      <c r="M2274" s="227"/>
    </row>
    <row r="2275" spans="1:14">
      <c r="A2275" t="s">
        <v>941</v>
      </c>
      <c r="B2275" t="s">
        <v>944</v>
      </c>
      <c r="C2275" t="s">
        <v>953</v>
      </c>
      <c r="D2275" t="s">
        <v>48</v>
      </c>
      <c r="E2275" s="70">
        <f>IF(B2275="","",INDEX(Ingredients!$I$1:$I$5013,(MATCH(InterventionCosts!B2275,Ingredients!$A$1:$A$5013,0))))</f>
        <v>165035</v>
      </c>
      <c r="F2275" s="5" t="str">
        <f>INDEX(Ingredients!J$1:J$265,(MATCH(InterventionCosts!B2275,Ingredients!A$1:A$265,0)))</f>
        <v>per year</v>
      </c>
      <c r="G2275">
        <f>IF(B2275="","",INDEX(Ingredients!$E$1:$E$238,(MATCH(InterventionCosts!B2275,Ingredients!A$1:A$238,0))))</f>
        <v>2024</v>
      </c>
      <c r="H2275" t="str">
        <f>INDEX(Ingredients!$F$1:$F$318,(MATCH(InterventionCosts!B2275,Ingredients!A$1:A$318,0)))</f>
        <v xml:space="preserve">April 2024 Salary scale </v>
      </c>
      <c r="I2275">
        <f>4200*0.169527344505*1</f>
        <v>712.01484692100007</v>
      </c>
      <c r="J2275" t="s">
        <v>951</v>
      </c>
      <c r="K2275" s="85">
        <f t="shared" si="91"/>
        <v>117507370.26160724</v>
      </c>
      <c r="L2275" s="85" t="s">
        <v>1184</v>
      </c>
      <c r="M2275" s="227"/>
    </row>
    <row r="2276" spans="1:14">
      <c r="A2276" t="s">
        <v>941</v>
      </c>
      <c r="B2276" t="s">
        <v>945</v>
      </c>
      <c r="C2276" t="s">
        <v>953</v>
      </c>
      <c r="D2276" t="s">
        <v>48</v>
      </c>
      <c r="E2276" s="70">
        <f>IF(B2276="","",INDEX(Ingredients!$I$1:$I$5013,(MATCH(InterventionCosts!B2276,Ingredients!$A$1:$A$5013,0))))</f>
        <v>577710.43999999994</v>
      </c>
      <c r="F2276" s="5" t="str">
        <f>INDEX(Ingredients!J$1:J$265,(MATCH(InterventionCosts!B2276,Ingredients!A$1:A$265,0)))</f>
        <v>per year</v>
      </c>
      <c r="G2276">
        <f>IF(B2276="","",INDEX(Ingredients!$E$1:$E$238,(MATCH(InterventionCosts!B2276,Ingredients!A$1:A$238,0))))</f>
        <v>2024</v>
      </c>
      <c r="H2276" t="str">
        <f>INDEX(Ingredients!$F$1:$F$318,(MATCH(InterventionCosts!B2276,Ingredients!A$1:A$318,0)))</f>
        <v xml:space="preserve">April 2024 Salary scale </v>
      </c>
      <c r="I2276">
        <f>4200*0.058773338575*1</f>
        <v>246.848022015</v>
      </c>
      <c r="J2276" t="s">
        <v>951</v>
      </c>
      <c r="K2276" s="85">
        <f t="shared" si="91"/>
        <v>142606679.41141531</v>
      </c>
      <c r="L2276" s="85" t="s">
        <v>1184</v>
      </c>
      <c r="M2276" s="227"/>
    </row>
    <row r="2277" spans="1:14">
      <c r="A2277" t="s">
        <v>941</v>
      </c>
      <c r="B2277" t="s">
        <v>946</v>
      </c>
      <c r="C2277" t="s">
        <v>953</v>
      </c>
      <c r="D2277" t="s">
        <v>48</v>
      </c>
      <c r="E2277" s="70">
        <f>IF(B2277="","",INDEX(Ingredients!$I$1:$I$5013,(MATCH(InterventionCosts!B2277,Ingredients!$A$1:$A$5013,0))))</f>
        <v>261603.74000000002</v>
      </c>
      <c r="F2277" s="5" t="str">
        <f>INDEX(Ingredients!J$1:J$265,(MATCH(InterventionCosts!B2277,Ingredients!A$1:A$265,0)))</f>
        <v>per year</v>
      </c>
      <c r="G2277">
        <f>IF(B2277="","",INDEX(Ingredients!$E$1:$E$238,(MATCH(InterventionCosts!B2277,Ingredients!A$1:A$238,0))))</f>
        <v>2024</v>
      </c>
      <c r="H2277" t="str">
        <f>INDEX(Ingredients!$F$1:$F$318,(MATCH(InterventionCosts!B2277,Ingredients!A$1:A$318,0)))</f>
        <v xml:space="preserve">April 2024 Salary scale </v>
      </c>
      <c r="I2277">
        <f>4200*0.166062767626*1</f>
        <v>697.46362402919999</v>
      </c>
      <c r="J2277" t="s">
        <v>951</v>
      </c>
      <c r="K2277" s="85">
        <f t="shared" si="91"/>
        <v>182459092.55999261</v>
      </c>
      <c r="L2277" s="85" t="s">
        <v>1184</v>
      </c>
      <c r="M2277" s="227"/>
    </row>
    <row r="2278" spans="1:14">
      <c r="A2278" t="s">
        <v>941</v>
      </c>
      <c r="B2278" t="s">
        <v>947</v>
      </c>
      <c r="C2278" t="s">
        <v>953</v>
      </c>
      <c r="D2278" t="s">
        <v>48</v>
      </c>
      <c r="E2278" s="70">
        <f>IF(B2278="","",INDEX(Ingredients!$I$1:$I$5013,(MATCH(InterventionCosts!B2278,Ingredients!$A$1:$A$5013,0))))</f>
        <v>4100.2266666666665</v>
      </c>
      <c r="F2278" s="5" t="str">
        <f>INDEX(Ingredients!J$1:J$265,(MATCH(InterventionCosts!B2278,Ingredients!A$1:A$265,0)))</f>
        <v>per month</v>
      </c>
      <c r="G2278">
        <f>IF(B2278="","",INDEX(Ingredients!$E$1:$E$238,(MATCH(InterventionCosts!B2278,Ingredients!A$1:A$238,0))))</f>
        <v>2024</v>
      </c>
      <c r="H2278" t="str">
        <f>INDEX(Ingredients!$F$1:$F$318,(MATCH(InterventionCosts!B2278,Ingredients!A$1:A$318,0)))</f>
        <v>https://www.health.gov.za/wp-content/uploads/2022/07/Health-Department-welcomes-Bargaining-Council-resolution-to-improve-work-conditions-of-CHWs-27-July-2022.pdf</v>
      </c>
      <c r="I2278">
        <f>4200*0.691856876875*12</f>
        <v>34869.586594499997</v>
      </c>
      <c r="J2278" t="s">
        <v>951</v>
      </c>
      <c r="K2278" s="85">
        <f t="shared" si="91"/>
        <v>142973208.81041139</v>
      </c>
      <c r="L2278" s="85" t="s">
        <v>1184</v>
      </c>
      <c r="M2278" s="227"/>
    </row>
    <row r="2279" spans="1:14">
      <c r="A2279" t="s">
        <v>941</v>
      </c>
      <c r="B2279" t="s">
        <v>948</v>
      </c>
      <c r="C2279" t="s">
        <v>953</v>
      </c>
      <c r="D2279" t="s">
        <v>48</v>
      </c>
      <c r="E2279" s="70">
        <f>IF(B2279="","",INDEX(Ingredients!$I$1:$I$5013,(MATCH(InterventionCosts!B2279,Ingredients!$A$1:$A$5013,0))))</f>
        <v>4100.2266666666665</v>
      </c>
      <c r="F2279" s="5" t="str">
        <f>INDEX(Ingredients!J$1:J$265,(MATCH(InterventionCosts!B2279,Ingredients!A$1:A$265,0)))</f>
        <v>per month</v>
      </c>
      <c r="G2279">
        <f>IF(B2279="","",INDEX(Ingredients!$E$1:$E$238,(MATCH(InterventionCosts!B2279,Ingredients!A$1:A$238,0))))</f>
        <v>2024</v>
      </c>
      <c r="H2279" t="str">
        <f>INDEX(Ingredients!$F$1:$F$318,(MATCH(InterventionCosts!B2279,Ingredients!A$1:A$318,0)))</f>
        <v>https://www.health.gov.za/wp-content/uploads/2022/07/Health-Department-welcomes-Bargaining-Council-resolution-to-improve-work-conditions-of-CHWs-27-July-2022.pdf</v>
      </c>
      <c r="I2279">
        <f>4200*0.065174994344*12</f>
        <v>3284.8197149375992</v>
      </c>
      <c r="J2279" t="s">
        <v>951</v>
      </c>
      <c r="K2279" s="85">
        <f t="shared" si="91"/>
        <v>13468505.390379542</v>
      </c>
      <c r="L2279" s="85" t="s">
        <v>1184</v>
      </c>
      <c r="M2279" s="227"/>
    </row>
    <row r="2280" spans="1:14">
      <c r="A2280" t="s">
        <v>941</v>
      </c>
      <c r="B2280" t="s">
        <v>949</v>
      </c>
      <c r="C2280" t="s">
        <v>953</v>
      </c>
      <c r="D2280" t="s">
        <v>48</v>
      </c>
      <c r="E2280" s="70">
        <f>IF(B2280="","",INDEX(Ingredients!$I$1:$I$5013,(MATCH(InterventionCosts!B2280,Ingredients!$A$1:$A$5013,0))))</f>
        <v>1071765.8199999998</v>
      </c>
      <c r="F2280" s="5" t="str">
        <f>INDEX(Ingredients!J$1:J$265,(MATCH(InterventionCosts!B2280,Ingredients!A$1:A$265,0)))</f>
        <v>per year</v>
      </c>
      <c r="G2280">
        <f>IF(B2280="","",INDEX(Ingredients!$E$1:$E$238,(MATCH(InterventionCosts!B2280,Ingredients!A$1:A$238,0))))</f>
        <v>2024</v>
      </c>
      <c r="H2280" t="str">
        <f>INDEX(Ingredients!$F$1:$F$318,(MATCH(InterventionCosts!B2280,Ingredients!A$1:A$318,0)))</f>
        <v xml:space="preserve">April 2024 Salary scale </v>
      </c>
      <c r="I2280">
        <f>4200*0.009063720964*1</f>
        <v>38.067628048800003</v>
      </c>
      <c r="J2280" t="s">
        <v>951</v>
      </c>
      <c r="K2280" s="85">
        <f t="shared" si="91"/>
        <v>40799582.591177128</v>
      </c>
      <c r="L2280" s="85" t="s">
        <v>1184</v>
      </c>
      <c r="M2280" s="227"/>
    </row>
    <row r="2281" spans="1:14" s="89" customFormat="1">
      <c r="A2281" s="4" t="s">
        <v>941</v>
      </c>
      <c r="F2281" s="89" t="s">
        <v>1164</v>
      </c>
      <c r="K2281" s="90"/>
      <c r="L2281" s="90">
        <f>SUM(K2272:K2280)</f>
        <v>1931416096.2341888</v>
      </c>
      <c r="M2281" s="92"/>
      <c r="N2281" s="4"/>
    </row>
    <row r="2282" spans="1:14" s="89" customFormat="1">
      <c r="A2282" s="4" t="s">
        <v>941</v>
      </c>
      <c r="F2282" s="89" t="s">
        <v>117</v>
      </c>
      <c r="K2282" s="90"/>
      <c r="L2282" s="90" t="s">
        <v>920</v>
      </c>
    </row>
    <row r="2284" spans="1:14">
      <c r="A2284" t="s">
        <v>1145</v>
      </c>
      <c r="B2284" t="s">
        <v>943</v>
      </c>
      <c r="C2284" t="s">
        <v>953</v>
      </c>
      <c r="D2284" t="s">
        <v>48</v>
      </c>
      <c r="E2284" s="70">
        <f>IF(B2284="","",INDEX(Ingredients!$I$1:$I$5013,(MATCH(InterventionCosts!B2284,Ingredients!$A$1:$A$5013,0))))</f>
        <v>261603.74000000002</v>
      </c>
      <c r="F2284" s="5" t="str">
        <f>INDEX(Ingredients!J$1:J$265,(MATCH(InterventionCosts!B2284,Ingredients!A$1:A$265,0)))</f>
        <v>per year</v>
      </c>
      <c r="G2284">
        <f>IF(B2284="","",INDEX(Ingredients!$E$1:$E$238,(MATCH(InterventionCosts!B2284,Ingredients!A$1:A$238,0))))</f>
        <v>2024</v>
      </c>
      <c r="H2284" t="str">
        <f>INDEX(Ingredients!$F$1:$F$318,(MATCH(InterventionCosts!B2284,Ingredients!A$1:A$318,0)))</f>
        <v xml:space="preserve">April 2024 Salary scale </v>
      </c>
      <c r="I2284">
        <f>4200*1.0520281871*1</f>
        <v>4418.5183858199998</v>
      </c>
      <c r="J2284" t="s">
        <v>951</v>
      </c>
      <c r="K2284" s="85">
        <f>E2284*I2284</f>
        <v>1155900934.989275</v>
      </c>
      <c r="L2284" s="85" t="s">
        <v>1184</v>
      </c>
      <c r="M2284" s="227"/>
    </row>
    <row r="2285" spans="1:14" s="89" customFormat="1">
      <c r="A2285" s="4" t="s">
        <v>1145</v>
      </c>
      <c r="F2285" s="89" t="s">
        <v>1164</v>
      </c>
      <c r="K2285" s="90"/>
      <c r="L2285" s="90">
        <f>SUM(K2284:K2284)</f>
        <v>1155900934.989275</v>
      </c>
      <c r="M2285" s="92"/>
      <c r="N2285" s="4"/>
    </row>
    <row r="2286" spans="1:14" s="89" customFormat="1">
      <c r="A2286" s="4" t="s">
        <v>1145</v>
      </c>
      <c r="F2286" s="89" t="s">
        <v>117</v>
      </c>
      <c r="K2286" s="90"/>
      <c r="L2286" s="90" t="s">
        <v>920</v>
      </c>
    </row>
    <row r="2288" spans="1:14" ht="15" customHeight="1">
      <c r="A2288" t="s">
        <v>1134</v>
      </c>
      <c r="B2288" s="5" t="s">
        <v>1133</v>
      </c>
      <c r="C2288" t="s">
        <v>1137</v>
      </c>
      <c r="D2288" t="s">
        <v>1138</v>
      </c>
      <c r="E2288" s="70">
        <f>IF(B2288="","",INDEX(Ingredients!$I$1:$I$5013,(MATCH(InterventionCosts!B2288,Ingredients!$A$1:$A$5013,0))))</f>
        <v>4044.0269999999996</v>
      </c>
      <c r="F2288" s="5" t="str">
        <f>INDEX(Ingredients!J$1:J$265,(MATCH(InterventionCosts!B2288,Ingredients!A$1:A$265,0)))</f>
        <v>per patient day</v>
      </c>
      <c r="G2288">
        <f>IF(B2288="","",INDEX(Ingredients!$E$1:$E$238,(MATCH(InterventionCosts!B2288,Ingredients!A$1:A$238,0))))</f>
        <v>2023</v>
      </c>
      <c r="H2288" t="str">
        <f>INDEX(Ingredients!$F$1:$F$318,(MATCH(InterventionCosts!B2288,Ingredients!A$1:A$318,0)))</f>
        <v>https://www.hst.org.za/publications/District%20Health%20Barometers/District%20Health%20Barometer_Complete%20Book_March.pdf</v>
      </c>
      <c r="I2288" s="323">
        <f>1759/1460*10.4*(60/602.8)</f>
        <v>1.2471661924716622</v>
      </c>
      <c r="J2288" s="85" t="s">
        <v>1185</v>
      </c>
      <c r="K2288" s="85">
        <f>I2288*E2288</f>
        <v>5043.5737558425981</v>
      </c>
    </row>
    <row r="2289" spans="1:14">
      <c r="A2289" t="s">
        <v>1135</v>
      </c>
      <c r="B2289" s="5" t="s">
        <v>1133</v>
      </c>
      <c r="C2289" t="s">
        <v>1137</v>
      </c>
      <c r="D2289" t="s">
        <v>1138</v>
      </c>
      <c r="E2289" s="70">
        <f>IF(B2289="","",INDEX(Ingredients!$I$1:$I$5013,(MATCH(InterventionCosts!B2289,Ingredients!$A$1:$A$5013,0))))</f>
        <v>4044.0269999999996</v>
      </c>
      <c r="F2289" s="5" t="str">
        <f>INDEX(Ingredients!J$1:J$265,(MATCH(InterventionCosts!B2289,Ingredients!A$1:A$265,0)))</f>
        <v>per patient day</v>
      </c>
      <c r="G2289">
        <f>IF(B2289="","",INDEX(Ingredients!$E$1:$E$238,(MATCH(InterventionCosts!B2289,Ingredients!A$1:A$238,0))))</f>
        <v>2023</v>
      </c>
      <c r="H2289" t="str">
        <f>INDEX(Ingredients!$F$1:$F$318,(MATCH(InterventionCosts!B2289,Ingredients!A$1:A$318,0)))</f>
        <v>https://www.hst.org.za/publications/District%20Health%20Barometers/District%20Health%20Barometer_Complete%20Book_March.pdf</v>
      </c>
      <c r="I2289" s="323">
        <f>1453/1460*8.6*(78/1233.9)</f>
        <v>0.541035607112763</v>
      </c>
      <c r="J2289" s="85" t="s">
        <v>1185</v>
      </c>
      <c r="K2289" s="85">
        <f>I2289*E2289</f>
        <v>2187.9626031254052</v>
      </c>
    </row>
    <row r="2290" spans="1:14">
      <c r="A2290" t="s">
        <v>6</v>
      </c>
      <c r="B2290" s="5" t="s">
        <v>1133</v>
      </c>
      <c r="C2290" t="s">
        <v>1137</v>
      </c>
      <c r="D2290" t="s">
        <v>1138</v>
      </c>
      <c r="E2290" s="70">
        <f>IF(B2290="","",INDEX(Ingredients!$I$1:$I$5013,(MATCH(InterventionCosts!B2290,Ingredients!$A$1:$A$5013,0))))</f>
        <v>4044.0269999999996</v>
      </c>
      <c r="F2290" s="5" t="str">
        <f>INDEX(Ingredients!J$1:J$265,(MATCH(InterventionCosts!B2290,Ingredients!A$1:A$265,0)))</f>
        <v>per patient day</v>
      </c>
      <c r="G2290">
        <f>IF(B2290="","",INDEX(Ingredients!$E$1:$E$238,(MATCH(InterventionCosts!B2290,Ingredients!A$1:A$238,0))))</f>
        <v>2023</v>
      </c>
      <c r="H2290" t="str">
        <f>INDEX(Ingredients!$F$1:$F$318,(MATCH(InterventionCosts!B2290,Ingredients!A$1:A$318,0)))</f>
        <v>https://www.hst.org.za/publications/District%20Health%20Barometers/District%20Health%20Barometer_Complete%20Book_March.pdf</v>
      </c>
      <c r="I2290" s="323">
        <f>1452/1460*8.7*(109/2275.6)</f>
        <v>0.41444183319407552</v>
      </c>
      <c r="J2290" s="85" t="s">
        <v>1185</v>
      </c>
      <c r="K2290" s="85">
        <f>I2290*E2290</f>
        <v>1676.0139633663375</v>
      </c>
    </row>
    <row r="2291" spans="1:14">
      <c r="A2291" t="s">
        <v>1136</v>
      </c>
      <c r="B2291" s="5" t="s">
        <v>1133</v>
      </c>
      <c r="C2291" t="s">
        <v>1137</v>
      </c>
      <c r="D2291" t="s">
        <v>1138</v>
      </c>
      <c r="E2291" s="70">
        <f>IF(B2291="","",INDEX(Ingredients!$I$1:$I$5013,(MATCH(InterventionCosts!B2291,Ingredients!$A$1:$A$5013,0))))</f>
        <v>4044.0269999999996</v>
      </c>
      <c r="F2291" s="5" t="str">
        <f>INDEX(Ingredients!J$1:J$265,(MATCH(InterventionCosts!B2291,Ingredients!A$1:A$265,0)))</f>
        <v>per patient day</v>
      </c>
      <c r="G2291">
        <f>IF(B2291="","",INDEX(Ingredients!$E$1:$E$238,(MATCH(InterventionCosts!B2291,Ingredients!A$1:A$238,0))))</f>
        <v>2023</v>
      </c>
      <c r="H2291" t="str">
        <f>INDEX(Ingredients!$F$1:$F$318,(MATCH(InterventionCosts!B2291,Ingredients!A$1:A$318,0)))</f>
        <v>https://www.hst.org.za/publications/District%20Health%20Barometers/District%20Health%20Barometer_Complete%20Book_March.pdf</v>
      </c>
      <c r="I2291" s="323">
        <f>1290/1460*7.8*(97/2889.5)</f>
        <v>0.23135585385915469</v>
      </c>
      <c r="J2291" s="85" t="s">
        <v>1185</v>
      </c>
      <c r="K2291" s="85">
        <f>I2291*E2291</f>
        <v>935.60931961447568</v>
      </c>
    </row>
    <row r="2292" spans="1:14" s="89" customFormat="1">
      <c r="A2292" s="4" t="s">
        <v>5</v>
      </c>
      <c r="F2292" s="89" t="s">
        <v>1164</v>
      </c>
      <c r="K2292" s="90"/>
      <c r="L2292" s="90">
        <f>(K2288*602.8+K2289*1233.9)/(602.8+1233.9)</f>
        <v>3125.1665029772721</v>
      </c>
      <c r="M2292" s="92"/>
      <c r="N2292" s="4"/>
    </row>
    <row r="2293" spans="1:14" s="89" customFormat="1">
      <c r="A2293" s="4" t="s">
        <v>5</v>
      </c>
      <c r="F2293" s="89" t="s">
        <v>117</v>
      </c>
      <c r="K2293" s="90"/>
      <c r="L2293" s="90" t="s">
        <v>1139</v>
      </c>
      <c r="M2293" s="92"/>
      <c r="N2293" s="4"/>
    </row>
    <row r="2294" spans="1:14" s="89" customFormat="1">
      <c r="A2294" s="4" t="s">
        <v>6</v>
      </c>
      <c r="F2294" s="89" t="s">
        <v>1164</v>
      </c>
      <c r="K2294" s="90"/>
      <c r="L2294" s="90">
        <f>K2290</f>
        <v>1676.0139633663375</v>
      </c>
      <c r="M2294" s="92"/>
      <c r="N2294" s="4"/>
    </row>
    <row r="2295" spans="1:14" s="89" customFormat="1">
      <c r="A2295" s="4" t="s">
        <v>6</v>
      </c>
      <c r="F2295" s="89" t="s">
        <v>117</v>
      </c>
      <c r="K2295" s="90"/>
      <c r="L2295" s="90" t="s">
        <v>1139</v>
      </c>
      <c r="M2295" s="92"/>
      <c r="N2295" s="4"/>
    </row>
    <row r="2296" spans="1:14" s="89" customFormat="1">
      <c r="A2296" s="4" t="s">
        <v>7</v>
      </c>
      <c r="F2296" s="89" t="s">
        <v>1164</v>
      </c>
      <c r="K2296" s="90"/>
      <c r="L2296" s="90">
        <f>K2291</f>
        <v>935.60931961447568</v>
      </c>
      <c r="M2296" s="92"/>
      <c r="N2296" s="4"/>
    </row>
    <row r="2297" spans="1:14" s="89" customFormat="1">
      <c r="A2297" s="4" t="s">
        <v>7</v>
      </c>
      <c r="F2297" s="89" t="s">
        <v>117</v>
      </c>
      <c r="K2297" s="90"/>
      <c r="L2297" s="90" t="s">
        <v>1139</v>
      </c>
      <c r="M2297" s="92"/>
      <c r="N2297" s="4"/>
    </row>
    <row r="2298" spans="1:14" s="89" customFormat="1">
      <c r="A2298" s="4" t="s">
        <v>8</v>
      </c>
      <c r="F2298" s="89" t="s">
        <v>1164</v>
      </c>
      <c r="K2298" s="90"/>
      <c r="L2298" s="90">
        <f>K2291</f>
        <v>935.60931961447568</v>
      </c>
      <c r="M2298" s="92"/>
      <c r="N2298" s="4"/>
    </row>
    <row r="2299" spans="1:14" s="89" customFormat="1">
      <c r="A2299" s="4" t="s">
        <v>8</v>
      </c>
      <c r="F2299" s="89" t="s">
        <v>117</v>
      </c>
      <c r="K2299" s="90"/>
      <c r="L2299" s="90" t="s">
        <v>1139</v>
      </c>
      <c r="M2299" s="92"/>
      <c r="N2299" s="4"/>
    </row>
    <row r="2301" spans="1:14">
      <c r="A2301" t="s">
        <v>1140</v>
      </c>
      <c r="B2301" s="5" t="s">
        <v>1133</v>
      </c>
      <c r="C2301" t="s">
        <v>1137</v>
      </c>
      <c r="D2301" t="s">
        <v>1138</v>
      </c>
      <c r="E2301" s="70">
        <f>IF(B2301="","",INDEX(Ingredients!$I$1:$I$5013,(MATCH(InterventionCosts!B2301,Ingredients!$A$1:$A$5013,0))))</f>
        <v>4044.0269999999996</v>
      </c>
      <c r="F2301" s="5" t="str">
        <f>INDEX(Ingredients!J$1:J$265,(MATCH(InterventionCosts!B2301,Ingredients!A$1:A$265,0)))</f>
        <v>per patient day</v>
      </c>
      <c r="G2301">
        <f>IF(B2301="","",INDEX(Ingredients!$E$1:$E$238,(MATCH(InterventionCosts!B2301,Ingredients!A$1:A$238,0))))</f>
        <v>2023</v>
      </c>
      <c r="H2301" t="str">
        <f>INDEX(Ingredients!$F$1:$F$318,(MATCH(InterventionCosts!B2301,Ingredients!A$1:A$318,0)))</f>
        <v>https://www.hst.org.za/publications/District%20Health%20Barometers/District%20Health%20Barometer_Complete%20Book_March.pdf</v>
      </c>
      <c r="I2301" s="323">
        <f>(2043/1693*12.1)*(27/134.8)</f>
        <v>2.9246281161213652</v>
      </c>
      <c r="J2301" s="85" t="s">
        <v>1185</v>
      </c>
      <c r="K2301" s="85">
        <f>I2301*E2301</f>
        <v>11827.275066553935</v>
      </c>
    </row>
    <row r="2302" spans="1:14">
      <c r="A2302" t="s">
        <v>1141</v>
      </c>
      <c r="B2302" s="5" t="s">
        <v>1133</v>
      </c>
      <c r="C2302" t="s">
        <v>1137</v>
      </c>
      <c r="D2302" t="s">
        <v>1138</v>
      </c>
      <c r="E2302" s="70">
        <f>IF(B2302="","",INDEX(Ingredients!$I$1:$I$5013,(MATCH(InterventionCosts!B2302,Ingredients!$A$1:$A$5013,0))))</f>
        <v>4044.0269999999996</v>
      </c>
      <c r="F2302" s="5" t="str">
        <f>INDEX(Ingredients!J$1:J$265,(MATCH(InterventionCosts!B2302,Ingredients!A$1:A$265,0)))</f>
        <v>per patient day</v>
      </c>
      <c r="G2302">
        <f>IF(B2302="","",INDEX(Ingredients!$E$1:$E$238,(MATCH(InterventionCosts!B2302,Ingredients!A$1:A$238,0))))</f>
        <v>2023</v>
      </c>
      <c r="H2302" t="str">
        <f>INDEX(Ingredients!$F$1:$F$318,(MATCH(InterventionCosts!B2302,Ingredients!A$1:A$318,0)))</f>
        <v>https://www.hst.org.za/publications/District%20Health%20Barometers/District%20Health%20Barometer_Complete%20Book_March.pdf</v>
      </c>
      <c r="I2302" s="323">
        <f>(2241/1693*13.4)*(44/456.9)</f>
        <v>1.708131159977025</v>
      </c>
      <c r="J2302" s="85" t="s">
        <v>1185</v>
      </c>
      <c r="K2302" s="85">
        <f>I2302*E2302</f>
        <v>6907.7285304884081</v>
      </c>
    </row>
    <row r="2303" spans="1:14">
      <c r="A2303" t="s">
        <v>10</v>
      </c>
      <c r="B2303" s="5" t="s">
        <v>1133</v>
      </c>
      <c r="C2303" t="s">
        <v>1137</v>
      </c>
      <c r="D2303" t="s">
        <v>1138</v>
      </c>
      <c r="E2303" s="70">
        <f>IF(B2303="","",INDEX(Ingredients!$I$1:$I$5013,(MATCH(InterventionCosts!B2303,Ingredients!$A$1:$A$5013,0))))</f>
        <v>4044.0269999999996</v>
      </c>
      <c r="F2303" s="5" t="str">
        <f>INDEX(Ingredients!J$1:J$265,(MATCH(InterventionCosts!B2303,Ingredients!A$1:A$265,0)))</f>
        <v>per patient day</v>
      </c>
      <c r="G2303">
        <f>IF(B2303="","",INDEX(Ingredients!$E$1:$E$238,(MATCH(InterventionCosts!B2303,Ingredients!A$1:A$238,0))))</f>
        <v>2023</v>
      </c>
      <c r="H2303" t="str">
        <f>INDEX(Ingredients!$F$1:$F$318,(MATCH(InterventionCosts!B2303,Ingredients!A$1:A$318,0)))</f>
        <v>https://www.hst.org.za/publications/District%20Health%20Barometers/District%20Health%20Barometer_Complete%20Book_March.pdf</v>
      </c>
      <c r="I2303" s="323">
        <f>(1559/1693*9.3)*(75/1024.8)</f>
        <v>0.62674986962433821</v>
      </c>
      <c r="J2303" s="85" t="s">
        <v>1185</v>
      </c>
      <c r="K2303" s="85">
        <f>I2303*E2303</f>
        <v>2534.5933950073031</v>
      </c>
    </row>
    <row r="2304" spans="1:14">
      <c r="A2304" t="s">
        <v>1142</v>
      </c>
      <c r="B2304" s="5" t="s">
        <v>1133</v>
      </c>
      <c r="C2304" t="s">
        <v>1137</v>
      </c>
      <c r="D2304" t="s">
        <v>1138</v>
      </c>
      <c r="E2304" s="70">
        <f>IF(B2304="","",INDEX(Ingredients!$I$1:$I$5013,(MATCH(InterventionCosts!B2304,Ingredients!$A$1:$A$5013,0))))</f>
        <v>4044.0269999999996</v>
      </c>
      <c r="F2304" s="5" t="str">
        <f>INDEX(Ingredients!J$1:J$265,(MATCH(InterventionCosts!B2304,Ingredients!A$1:A$265,0)))</f>
        <v>per patient day</v>
      </c>
      <c r="G2304">
        <f>IF(B2304="","",INDEX(Ingredients!$E$1:$E$238,(MATCH(InterventionCosts!B2304,Ingredients!A$1:A$238,0))))</f>
        <v>2023</v>
      </c>
      <c r="H2304" t="str">
        <f>INDEX(Ingredients!$F$1:$F$318,(MATCH(InterventionCosts!B2304,Ingredients!A$1:A$318,0)))</f>
        <v>https://www.hst.org.za/publications/District%20Health%20Barometers/District%20Health%20Barometer_Complete%20Book_March.pdf</v>
      </c>
      <c r="I2304" s="323">
        <f>(1158/1693*6.9)*(44/1123.7)</f>
        <v>0.18480043435109975</v>
      </c>
      <c r="J2304" s="85" t="s">
        <v>1185</v>
      </c>
      <c r="K2304" s="85">
        <f>I2304*E2304</f>
        <v>747.33794612757481</v>
      </c>
    </row>
    <row r="2305" spans="1:14" s="89" customFormat="1">
      <c r="A2305" s="4" t="s">
        <v>9</v>
      </c>
      <c r="F2305" s="89" t="s">
        <v>1164</v>
      </c>
      <c r="K2305" s="90"/>
      <c r="L2305" s="90">
        <f>(K2301*134.8+K2302*456.9)/(134.8+456.9)</f>
        <v>8028.4905265364605</v>
      </c>
      <c r="M2305" s="92"/>
      <c r="N2305" s="4"/>
    </row>
    <row r="2306" spans="1:14" s="89" customFormat="1">
      <c r="A2306" s="4" t="s">
        <v>9</v>
      </c>
      <c r="F2306" s="89" t="s">
        <v>117</v>
      </c>
      <c r="K2306" s="90"/>
      <c r="L2306" s="90" t="s">
        <v>1139</v>
      </c>
      <c r="M2306" s="92"/>
      <c r="N2306" s="4"/>
    </row>
    <row r="2307" spans="1:14" s="89" customFormat="1">
      <c r="A2307" s="4" t="s">
        <v>10</v>
      </c>
      <c r="F2307" s="89" t="s">
        <v>1164</v>
      </c>
      <c r="K2307" s="90"/>
      <c r="L2307" s="90">
        <f>K2303</f>
        <v>2534.5933950073031</v>
      </c>
      <c r="M2307" s="92"/>
      <c r="N2307" s="4"/>
    </row>
    <row r="2308" spans="1:14" s="89" customFormat="1">
      <c r="A2308" s="4" t="s">
        <v>10</v>
      </c>
      <c r="F2308" s="89" t="s">
        <v>117</v>
      </c>
      <c r="K2308" s="90"/>
      <c r="L2308" s="90" t="s">
        <v>1139</v>
      </c>
      <c r="M2308" s="92"/>
      <c r="N2308" s="4"/>
    </row>
    <row r="2309" spans="1:14" s="89" customFormat="1">
      <c r="A2309" s="4" t="s">
        <v>11</v>
      </c>
      <c r="F2309" s="89" t="s">
        <v>1164</v>
      </c>
      <c r="K2309" s="90"/>
      <c r="L2309" s="90">
        <f>K2304</f>
        <v>747.33794612757481</v>
      </c>
      <c r="M2309" s="92"/>
      <c r="N2309" s="4"/>
    </row>
    <row r="2310" spans="1:14" s="89" customFormat="1">
      <c r="A2310" s="4" t="s">
        <v>11</v>
      </c>
      <c r="F2310" s="89" t="s">
        <v>117</v>
      </c>
      <c r="K2310" s="90"/>
      <c r="L2310" s="90" t="s">
        <v>1139</v>
      </c>
      <c r="M2310" s="92"/>
      <c r="N2310" s="4"/>
    </row>
    <row r="2311" spans="1:14" s="89" customFormat="1">
      <c r="A2311" s="4" t="s">
        <v>12</v>
      </c>
      <c r="F2311" s="89" t="s">
        <v>1164</v>
      </c>
      <c r="K2311" s="90"/>
      <c r="L2311" s="90">
        <f>K2304</f>
        <v>747.33794612757481</v>
      </c>
      <c r="M2311" s="92"/>
      <c r="N2311" s="4"/>
    </row>
    <row r="2312" spans="1:14" s="89" customFormat="1">
      <c r="A2312" s="4" t="s">
        <v>12</v>
      </c>
      <c r="F2312" s="89" t="s">
        <v>117</v>
      </c>
      <c r="K2312" s="90"/>
      <c r="L2312" s="90" t="s">
        <v>1139</v>
      </c>
      <c r="M2312" s="92"/>
      <c r="N2312" s="4"/>
    </row>
    <row r="2314" spans="1:14" ht="15" customHeight="1">
      <c r="A2314" t="s">
        <v>8197</v>
      </c>
      <c r="B2314" s="5" t="s">
        <v>1133</v>
      </c>
      <c r="C2314" t="s">
        <v>1137</v>
      </c>
      <c r="D2314" t="s">
        <v>1138</v>
      </c>
      <c r="E2314" s="70">
        <f>IF(B2314="","",INDEX(Ingredients!$I$1:$I$5013,(MATCH(InterventionCosts!B2314,Ingredients!$A$1:$A$5013,0))))</f>
        <v>4044.0269999999996</v>
      </c>
      <c r="F2314" s="5" t="str">
        <f>INDEX(Ingredients!J$1:J$265,(MATCH(InterventionCosts!B2314,Ingredients!A$1:A$265,0)))</f>
        <v>per patient day</v>
      </c>
      <c r="G2314">
        <f>IF(B2314="","",INDEX(Ingredients!$E$1:$E$238,(MATCH(InterventionCosts!B2314,Ingredients!A$1:A$238,0))))</f>
        <v>2023</v>
      </c>
      <c r="H2314" t="str">
        <f>INDEX(Ingredients!$F$1:$F$318,(MATCH(InterventionCosts!B2314,Ingredients!A$1:A$318,0)))</f>
        <v>https://www.hst.org.za/publications/District%20Health%20Barometers/District%20Health%20Barometer_Complete%20Book_March.pdf</v>
      </c>
      <c r="I2314" s="323">
        <v>10.4</v>
      </c>
      <c r="J2314" s="85" t="s">
        <v>8211</v>
      </c>
      <c r="K2314" s="85">
        <f>I2314*E2314</f>
        <v>42057.880799999999</v>
      </c>
    </row>
    <row r="2315" spans="1:14">
      <c r="A2315" t="s">
        <v>8198</v>
      </c>
      <c r="B2315" s="5" t="s">
        <v>1133</v>
      </c>
      <c r="C2315" t="s">
        <v>1137</v>
      </c>
      <c r="D2315" t="s">
        <v>1138</v>
      </c>
      <c r="E2315" s="70">
        <f>IF(B2315="","",INDEX(Ingredients!$I$1:$I$5013,(MATCH(InterventionCosts!B2315,Ingredients!$A$1:$A$5013,0))))</f>
        <v>4044.0269999999996</v>
      </c>
      <c r="F2315" s="5" t="str">
        <f>INDEX(Ingredients!J$1:J$265,(MATCH(InterventionCosts!B2315,Ingredients!A$1:A$265,0)))</f>
        <v>per patient day</v>
      </c>
      <c r="G2315">
        <f>IF(B2315="","",INDEX(Ingredients!$E$1:$E$238,(MATCH(InterventionCosts!B2315,Ingredients!A$1:A$238,0))))</f>
        <v>2023</v>
      </c>
      <c r="H2315" t="str">
        <f>INDEX(Ingredients!$F$1:$F$318,(MATCH(InterventionCosts!B2315,Ingredients!A$1:A$318,0)))</f>
        <v>https://www.hst.org.za/publications/District%20Health%20Barometers/District%20Health%20Barometer_Complete%20Book_March.pdf</v>
      </c>
      <c r="I2315" s="323">
        <v>8.6</v>
      </c>
      <c r="J2315" s="85" t="s">
        <v>8211</v>
      </c>
      <c r="K2315" s="85">
        <f>I2315*E2315</f>
        <v>34778.632199999993</v>
      </c>
    </row>
    <row r="2316" spans="1:14">
      <c r="A2316" t="s">
        <v>8199</v>
      </c>
      <c r="B2316" s="5" t="s">
        <v>1133</v>
      </c>
      <c r="C2316" t="s">
        <v>1137</v>
      </c>
      <c r="D2316" t="s">
        <v>1138</v>
      </c>
      <c r="E2316" s="70">
        <f>IF(B2316="","",INDEX(Ingredients!$I$1:$I$5013,(MATCH(InterventionCosts!B2316,Ingredients!$A$1:$A$5013,0))))</f>
        <v>4044.0269999999996</v>
      </c>
      <c r="F2316" s="5" t="str">
        <f>INDEX(Ingredients!J$1:J$265,(MATCH(InterventionCosts!B2316,Ingredients!A$1:A$265,0)))</f>
        <v>per patient day</v>
      </c>
      <c r="G2316">
        <f>IF(B2316="","",INDEX(Ingredients!$E$1:$E$238,(MATCH(InterventionCosts!B2316,Ingredients!A$1:A$238,0))))</f>
        <v>2023</v>
      </c>
      <c r="H2316" t="str">
        <f>INDEX(Ingredients!$F$1:$F$318,(MATCH(InterventionCosts!B2316,Ingredients!A$1:A$318,0)))</f>
        <v>https://www.hst.org.za/publications/District%20Health%20Barometers/District%20Health%20Barometer_Complete%20Book_March.pdf</v>
      </c>
      <c r="I2316" s="323">
        <v>8.6999999999999993</v>
      </c>
      <c r="J2316" s="85" t="s">
        <v>8211</v>
      </c>
      <c r="K2316" s="85">
        <f>I2316*E2316</f>
        <v>35183.034899999991</v>
      </c>
    </row>
    <row r="2317" spans="1:14">
      <c r="A2317" t="s">
        <v>8200</v>
      </c>
      <c r="B2317" s="5" t="s">
        <v>1133</v>
      </c>
      <c r="C2317" t="s">
        <v>1137</v>
      </c>
      <c r="D2317" t="s">
        <v>1138</v>
      </c>
      <c r="E2317" s="70">
        <f>IF(B2317="","",INDEX(Ingredients!$I$1:$I$5013,(MATCH(InterventionCosts!B2317,Ingredients!$A$1:$A$5013,0))))</f>
        <v>4044.0269999999996</v>
      </c>
      <c r="F2317" s="5" t="str">
        <f>INDEX(Ingredients!J$1:J$265,(MATCH(InterventionCosts!B2317,Ingredients!A$1:A$265,0)))</f>
        <v>per patient day</v>
      </c>
      <c r="G2317">
        <f>IF(B2317="","",INDEX(Ingredients!$E$1:$E$238,(MATCH(InterventionCosts!B2317,Ingredients!A$1:A$238,0))))</f>
        <v>2023</v>
      </c>
      <c r="H2317" t="str">
        <f>INDEX(Ingredients!$F$1:$F$318,(MATCH(InterventionCosts!B2317,Ingredients!A$1:A$318,0)))</f>
        <v>https://www.hst.org.za/publications/District%20Health%20Barometers/District%20Health%20Barometer_Complete%20Book_March.pdf</v>
      </c>
      <c r="I2317" s="323">
        <v>7.8</v>
      </c>
      <c r="J2317" s="85" t="s">
        <v>8211</v>
      </c>
      <c r="K2317" s="85">
        <f>I2317*E2317</f>
        <v>31543.410599999996</v>
      </c>
    </row>
    <row r="2318" spans="1:14" s="89" customFormat="1">
      <c r="A2318" s="4" t="s">
        <v>8201</v>
      </c>
      <c r="F2318" s="89" t="s">
        <v>1164</v>
      </c>
      <c r="K2318" s="90"/>
      <c r="L2318" s="90">
        <f>(K2314*602.8+K2315*1233.9)/(602.8+1233.9)</f>
        <v>37167.662012206674</v>
      </c>
      <c r="M2318" s="92"/>
      <c r="N2318" s="4"/>
    </row>
    <row r="2319" spans="1:14" s="89" customFormat="1">
      <c r="A2319" s="4" t="s">
        <v>8201</v>
      </c>
      <c r="F2319" s="89" t="s">
        <v>117</v>
      </c>
      <c r="K2319" s="90"/>
      <c r="L2319" s="90" t="s">
        <v>8220</v>
      </c>
      <c r="M2319" s="92"/>
      <c r="N2319" s="4"/>
    </row>
    <row r="2320" spans="1:14" s="89" customFormat="1">
      <c r="A2320" s="4" t="s">
        <v>8199</v>
      </c>
      <c r="F2320" s="89" t="s">
        <v>1164</v>
      </c>
      <c r="K2320" s="90"/>
      <c r="L2320" s="90">
        <f>K2316</f>
        <v>35183.034899999991</v>
      </c>
      <c r="M2320" s="92"/>
      <c r="N2320" s="4"/>
    </row>
    <row r="2321" spans="1:14" s="89" customFormat="1">
      <c r="A2321" s="4" t="s">
        <v>8199</v>
      </c>
      <c r="F2321" s="89" t="s">
        <v>117</v>
      </c>
      <c r="K2321" s="90"/>
      <c r="L2321" s="90" t="s">
        <v>8220</v>
      </c>
      <c r="M2321" s="92"/>
      <c r="N2321" s="4"/>
    </row>
    <row r="2322" spans="1:14" s="89" customFormat="1">
      <c r="A2322" s="4" t="s">
        <v>8202</v>
      </c>
      <c r="F2322" s="89" t="s">
        <v>1164</v>
      </c>
      <c r="K2322" s="90"/>
      <c r="L2322" s="90">
        <f>K2317</f>
        <v>31543.410599999996</v>
      </c>
      <c r="M2322" s="92"/>
      <c r="N2322" s="4"/>
    </row>
    <row r="2323" spans="1:14" s="89" customFormat="1">
      <c r="A2323" s="4" t="s">
        <v>8202</v>
      </c>
      <c r="F2323" s="89" t="s">
        <v>117</v>
      </c>
      <c r="K2323" s="90"/>
      <c r="L2323" s="90" t="s">
        <v>8220</v>
      </c>
      <c r="M2323" s="92"/>
      <c r="N2323" s="4"/>
    </row>
    <row r="2324" spans="1:14" s="89" customFormat="1">
      <c r="A2324" s="4" t="s">
        <v>8203</v>
      </c>
      <c r="F2324" s="89" t="s">
        <v>1164</v>
      </c>
      <c r="K2324" s="90"/>
      <c r="L2324" s="90">
        <f>K2317</f>
        <v>31543.410599999996</v>
      </c>
      <c r="M2324" s="92"/>
      <c r="N2324" s="4"/>
    </row>
    <row r="2325" spans="1:14" s="89" customFormat="1">
      <c r="A2325" s="4" t="s">
        <v>8203</v>
      </c>
      <c r="F2325" s="89" t="s">
        <v>117</v>
      </c>
      <c r="K2325" s="90"/>
      <c r="L2325" s="90" t="s">
        <v>8220</v>
      </c>
      <c r="M2325" s="92"/>
      <c r="N2325" s="4"/>
    </row>
    <row r="2327" spans="1:14">
      <c r="A2327" t="s">
        <v>8204</v>
      </c>
      <c r="B2327" s="5" t="s">
        <v>1133</v>
      </c>
      <c r="C2327" t="s">
        <v>1137</v>
      </c>
      <c r="D2327" t="s">
        <v>1138</v>
      </c>
      <c r="E2327" s="70">
        <f>IF(B2327="","",INDEX(Ingredients!$I$1:$I$5013,(MATCH(InterventionCosts!B2327,Ingredients!$A$1:$A$5013,0))))</f>
        <v>4044.0269999999996</v>
      </c>
      <c r="F2327" s="5" t="str">
        <f>INDEX(Ingredients!J$1:J$265,(MATCH(InterventionCosts!B2327,Ingredients!A$1:A$265,0)))</f>
        <v>per patient day</v>
      </c>
      <c r="G2327">
        <f>IF(B2327="","",INDEX(Ingredients!$E$1:$E$238,(MATCH(InterventionCosts!B2327,Ingredients!A$1:A$238,0))))</f>
        <v>2023</v>
      </c>
      <c r="H2327" t="str">
        <f>INDEX(Ingredients!$F$1:$F$318,(MATCH(InterventionCosts!B2327,Ingredients!A$1:A$318,0)))</f>
        <v>https://www.hst.org.za/publications/District%20Health%20Barometers/District%20Health%20Barometer_Complete%20Book_March.pdf</v>
      </c>
      <c r="I2327" s="323">
        <v>12.1</v>
      </c>
      <c r="J2327" s="85" t="s">
        <v>8211</v>
      </c>
      <c r="K2327" s="85">
        <f>I2327*E2327</f>
        <v>48932.726699999992</v>
      </c>
    </row>
    <row r="2328" spans="1:14">
      <c r="A2328" t="s">
        <v>8205</v>
      </c>
      <c r="B2328" s="5" t="s">
        <v>1133</v>
      </c>
      <c r="C2328" t="s">
        <v>1137</v>
      </c>
      <c r="D2328" t="s">
        <v>1138</v>
      </c>
      <c r="E2328" s="70">
        <f>IF(B2328="","",INDEX(Ingredients!$I$1:$I$5013,(MATCH(InterventionCosts!B2328,Ingredients!$A$1:$A$5013,0))))</f>
        <v>4044.0269999999996</v>
      </c>
      <c r="F2328" s="5" t="str">
        <f>INDEX(Ingredients!J$1:J$265,(MATCH(InterventionCosts!B2328,Ingredients!A$1:A$265,0)))</f>
        <v>per patient day</v>
      </c>
      <c r="G2328">
        <f>IF(B2328="","",INDEX(Ingredients!$E$1:$E$238,(MATCH(InterventionCosts!B2328,Ingredients!A$1:A$238,0))))</f>
        <v>2023</v>
      </c>
      <c r="H2328" t="str">
        <f>INDEX(Ingredients!$F$1:$F$318,(MATCH(InterventionCosts!B2328,Ingredients!A$1:A$318,0)))</f>
        <v>https://www.hst.org.za/publications/District%20Health%20Barometers/District%20Health%20Barometer_Complete%20Book_March.pdf</v>
      </c>
      <c r="I2328" s="323">
        <v>13.4</v>
      </c>
      <c r="J2328" s="85" t="s">
        <v>8211</v>
      </c>
      <c r="K2328" s="85">
        <f>I2328*E2328</f>
        <v>54189.961799999997</v>
      </c>
    </row>
    <row r="2329" spans="1:14">
      <c r="A2329" t="s">
        <v>8206</v>
      </c>
      <c r="B2329" s="5" t="s">
        <v>1133</v>
      </c>
      <c r="C2329" t="s">
        <v>1137</v>
      </c>
      <c r="D2329" t="s">
        <v>1138</v>
      </c>
      <c r="E2329" s="70">
        <f>IF(B2329="","",INDEX(Ingredients!$I$1:$I$5013,(MATCH(InterventionCosts!B2329,Ingredients!$A$1:$A$5013,0))))</f>
        <v>4044.0269999999996</v>
      </c>
      <c r="F2329" s="5" t="str">
        <f>INDEX(Ingredients!J$1:J$265,(MATCH(InterventionCosts!B2329,Ingredients!A$1:A$265,0)))</f>
        <v>per patient day</v>
      </c>
      <c r="G2329">
        <f>IF(B2329="","",INDEX(Ingredients!$E$1:$E$238,(MATCH(InterventionCosts!B2329,Ingredients!A$1:A$238,0))))</f>
        <v>2023</v>
      </c>
      <c r="H2329" t="str">
        <f>INDEX(Ingredients!$F$1:$F$318,(MATCH(InterventionCosts!B2329,Ingredients!A$1:A$318,0)))</f>
        <v>https://www.hst.org.za/publications/District%20Health%20Barometers/District%20Health%20Barometer_Complete%20Book_March.pdf</v>
      </c>
      <c r="I2329" s="323">
        <v>9.3000000000000007</v>
      </c>
      <c r="J2329" s="85" t="s">
        <v>8211</v>
      </c>
      <c r="K2329" s="85">
        <f>I2329*E2329</f>
        <v>37609.451099999998</v>
      </c>
    </row>
    <row r="2330" spans="1:14">
      <c r="A2330" t="s">
        <v>8207</v>
      </c>
      <c r="B2330" s="5" t="s">
        <v>1133</v>
      </c>
      <c r="C2330" t="s">
        <v>1137</v>
      </c>
      <c r="D2330" t="s">
        <v>1138</v>
      </c>
      <c r="E2330" s="70">
        <f>IF(B2330="","",INDEX(Ingredients!$I$1:$I$5013,(MATCH(InterventionCosts!B2330,Ingredients!$A$1:$A$5013,0))))</f>
        <v>4044.0269999999996</v>
      </c>
      <c r="F2330" s="5" t="str">
        <f>INDEX(Ingredients!J$1:J$265,(MATCH(InterventionCosts!B2330,Ingredients!A$1:A$265,0)))</f>
        <v>per patient day</v>
      </c>
      <c r="G2330">
        <f>IF(B2330="","",INDEX(Ingredients!$E$1:$E$238,(MATCH(InterventionCosts!B2330,Ingredients!A$1:A$238,0))))</f>
        <v>2023</v>
      </c>
      <c r="H2330" t="str">
        <f>INDEX(Ingredients!$F$1:$F$318,(MATCH(InterventionCosts!B2330,Ingredients!A$1:A$318,0)))</f>
        <v>https://www.hst.org.za/publications/District%20Health%20Barometers/District%20Health%20Barometer_Complete%20Book_March.pdf</v>
      </c>
      <c r="I2330" s="323">
        <v>6.9</v>
      </c>
      <c r="J2330" s="85" t="s">
        <v>8211</v>
      </c>
      <c r="K2330" s="85">
        <f>I2330*E2330</f>
        <v>27903.7863</v>
      </c>
    </row>
    <row r="2331" spans="1:14" s="89" customFormat="1">
      <c r="A2331" s="4" t="s">
        <v>8208</v>
      </c>
      <c r="F2331" s="89" t="s">
        <v>1164</v>
      </c>
      <c r="K2331" s="90"/>
      <c r="L2331" s="90">
        <f>(K2327*134.8+K2328*456.9)/(134.8+456.9)</f>
        <v>52992.268219672114</v>
      </c>
      <c r="M2331" s="92"/>
      <c r="N2331" s="4"/>
    </row>
    <row r="2332" spans="1:14" s="89" customFormat="1">
      <c r="A2332" s="4" t="s">
        <v>8208</v>
      </c>
      <c r="F2332" s="89" t="s">
        <v>117</v>
      </c>
      <c r="K2332" s="90"/>
      <c r="L2332" s="90" t="s">
        <v>8220</v>
      </c>
      <c r="M2332" s="92"/>
      <c r="N2332" s="4"/>
    </row>
    <row r="2333" spans="1:14" s="89" customFormat="1">
      <c r="A2333" s="4" t="s">
        <v>8206</v>
      </c>
      <c r="F2333" s="89" t="s">
        <v>1164</v>
      </c>
      <c r="K2333" s="90"/>
      <c r="L2333" s="90">
        <f>K2329</f>
        <v>37609.451099999998</v>
      </c>
      <c r="M2333" s="92"/>
      <c r="N2333" s="4"/>
    </row>
    <row r="2334" spans="1:14" s="89" customFormat="1">
      <c r="A2334" s="4" t="s">
        <v>8206</v>
      </c>
      <c r="F2334" s="89" t="s">
        <v>117</v>
      </c>
      <c r="K2334" s="90"/>
      <c r="L2334" s="90" t="s">
        <v>8220</v>
      </c>
      <c r="M2334" s="92"/>
      <c r="N2334" s="4"/>
    </row>
    <row r="2335" spans="1:14" s="89" customFormat="1">
      <c r="A2335" s="4" t="s">
        <v>8209</v>
      </c>
      <c r="F2335" s="89" t="s">
        <v>1164</v>
      </c>
      <c r="K2335" s="90"/>
      <c r="L2335" s="90">
        <f>K2330</f>
        <v>27903.7863</v>
      </c>
      <c r="M2335" s="92"/>
      <c r="N2335" s="4"/>
    </row>
    <row r="2336" spans="1:14" s="89" customFormat="1">
      <c r="A2336" s="4" t="s">
        <v>8209</v>
      </c>
      <c r="F2336" s="89" t="s">
        <v>117</v>
      </c>
      <c r="K2336" s="90"/>
      <c r="L2336" s="90" t="s">
        <v>8220</v>
      </c>
      <c r="M2336" s="92"/>
      <c r="N2336" s="4"/>
    </row>
    <row r="2337" spans="1:14" s="89" customFormat="1">
      <c r="A2337" s="4" t="s">
        <v>8210</v>
      </c>
      <c r="F2337" s="89" t="s">
        <v>1164</v>
      </c>
      <c r="K2337" s="90"/>
      <c r="L2337" s="90">
        <f>K2330</f>
        <v>27903.7863</v>
      </c>
      <c r="M2337" s="92"/>
      <c r="N2337" s="4"/>
    </row>
    <row r="2338" spans="1:14" s="89" customFormat="1">
      <c r="A2338" s="4" t="s">
        <v>8210</v>
      </c>
      <c r="F2338" s="89" t="s">
        <v>117</v>
      </c>
      <c r="K2338" s="90"/>
      <c r="L2338" s="90" t="s">
        <v>8220</v>
      </c>
      <c r="M2338" s="92"/>
      <c r="N2338" s="4"/>
    </row>
    <row r="2340" spans="1:14">
      <c r="A2340" t="s">
        <v>1146</v>
      </c>
      <c r="B2340" s="273" t="s">
        <v>1147</v>
      </c>
      <c r="C2340" t="s">
        <v>1151</v>
      </c>
      <c r="D2340" t="s">
        <v>67</v>
      </c>
      <c r="E2340" s="70">
        <f>IF(B2340="","",INDEX(Ingredients!$I$1:$I$5013,(MATCH(InterventionCosts!B2340,Ingredients!$A$1:$A$5013,0))))</f>
        <v>96609.835920812693</v>
      </c>
      <c r="F2340" s="5" t="str">
        <f>INDEX(Ingredients!J$1:J$265,(MATCH(InterventionCosts!B2340,Ingredients!A$1:A$265,0)))</f>
        <v>per machine</v>
      </c>
      <c r="G2340">
        <f>IF(B2340="","",INDEX(Ingredients!$E$1:$E$238,(MATCH(InterventionCosts!B2340,Ingredients!A$1:A$238,0))))</f>
        <v>2024</v>
      </c>
      <c r="H2340" t="str">
        <f>INDEX(Ingredients!$F$1:$F$318,(MATCH(InterventionCosts!B2340,Ingredients!A$1:A$318,0)))</f>
        <v>https://www.stoptb.org/sites/default/files/gdf_diagnostics_medical_devices_other_health_products_catalog_0.pdf</v>
      </c>
      <c r="I2340" s="274">
        <f>1/(2300*0.6)</f>
        <v>7.246376811594203E-4</v>
      </c>
      <c r="J2340" s="274" t="s">
        <v>1157</v>
      </c>
      <c r="K2340" s="85">
        <f t="shared" ref="K2340:K2349" si="92">E2340*I2340</f>
        <v>70.007127478849782</v>
      </c>
    </row>
    <row r="2341" spans="1:14">
      <c r="A2341" t="s">
        <v>1146</v>
      </c>
      <c r="B2341" s="273" t="s">
        <v>1148</v>
      </c>
      <c r="C2341" t="s">
        <v>1151</v>
      </c>
      <c r="D2341" t="s">
        <v>21</v>
      </c>
      <c r="E2341" s="70">
        <f>IF(B2341="","",INDEX(Ingredients!$I$1:$I$5013,(MATCH(InterventionCosts!B2341,Ingredients!$A$1:$A$5013,0))))</f>
        <v>319.75037364827585</v>
      </c>
      <c r="F2341" s="5" t="str">
        <f>INDEX(Ingredients!J$1:J$265,(MATCH(InterventionCosts!B2341,Ingredients!A$1:A$265,0)))</f>
        <v>per test</v>
      </c>
      <c r="G2341">
        <f>IF(B2341="","",INDEX(Ingredients!$E$1:$E$238,(MATCH(InterventionCosts!B2341,Ingredients!A$1:A$238,0))))</f>
        <v>2024</v>
      </c>
      <c r="H2341" t="str">
        <f>INDEX(Ingredients!$F$1:$F$318,(MATCH(InterventionCosts!B2341,Ingredients!A$1:A$318,0)))</f>
        <v>https://www.stoptb.org/sites/default/files/gdf_diagnostics_medical_devices_other_health_products_catalog_0.pdf</v>
      </c>
      <c r="I2341" s="274">
        <v>1</v>
      </c>
      <c r="J2341" t="s">
        <v>1151</v>
      </c>
      <c r="K2341" s="85">
        <f t="shared" si="92"/>
        <v>319.75037364827585</v>
      </c>
    </row>
    <row r="2342" spans="1:14">
      <c r="A2342" t="s">
        <v>1146</v>
      </c>
      <c r="B2342" s="273" t="s">
        <v>1149</v>
      </c>
      <c r="C2342" t="s">
        <v>1151</v>
      </c>
      <c r="D2342" t="s">
        <v>81</v>
      </c>
      <c r="E2342" s="70">
        <f>IF(B2342="","",INDEX(Ingredients!$I$1:$I$5013,(MATCH(InterventionCosts!B2342,Ingredients!$A$1:$A$5013,0))))</f>
        <v>34756.611222699823</v>
      </c>
      <c r="F2342" s="5" t="str">
        <f>INDEX(Ingredients!J$1:J$265,(MATCH(InterventionCosts!B2342,Ingredients!A$1:A$265,0)))</f>
        <v>per setup</v>
      </c>
      <c r="G2342">
        <f>IF(B2342="","",INDEX(Ingredients!$E$1:$E$238,(MATCH(InterventionCosts!B2342,Ingredients!A$1:A$238,0))))</f>
        <v>2024</v>
      </c>
      <c r="H2342" t="str">
        <f>INDEX(Ingredients!$F$1:$F$318,(MATCH(InterventionCosts!B2342,Ingredients!A$1:A$318,0)))</f>
        <v>https://www.stoptb.org/sites/default/files/gdf_diagnostics_medical_devices_other_health_products_catalog_0.pdf</v>
      </c>
      <c r="I2342" s="274">
        <f>1/(2300*0.6)</f>
        <v>7.246376811594203E-4</v>
      </c>
      <c r="J2342" s="274" t="s">
        <v>1157</v>
      </c>
      <c r="K2342" s="85">
        <f t="shared" si="92"/>
        <v>25.185950161376685</v>
      </c>
    </row>
    <row r="2343" spans="1:14">
      <c r="A2343" t="s">
        <v>1146</v>
      </c>
      <c r="B2343" s="273" t="s">
        <v>1156</v>
      </c>
      <c r="C2343" t="s">
        <v>1151</v>
      </c>
      <c r="D2343" t="s">
        <v>48</v>
      </c>
      <c r="E2343" s="70">
        <f>IF(B2343="","",INDEX(Ingredients!$I$1:$I$5013,(MATCH(InterventionCosts!B2343,Ingredients!$A$1:$A$5013,0))))</f>
        <v>5619.5309209141369</v>
      </c>
      <c r="F2343" s="5" t="str">
        <f>INDEX(Ingredients!J$1:J$265,(MATCH(InterventionCosts!B2343,Ingredients!A$1:A$265,0)))</f>
        <v>per setup</v>
      </c>
      <c r="G2343">
        <f>IF(B2343="","",INDEX(Ingredients!$E$1:$E$238,(MATCH(InterventionCosts!B2343,Ingredients!A$1:A$238,0))))</f>
        <v>2019</v>
      </c>
      <c r="H2343" t="str">
        <f>INDEX(Ingredients!$F$1:$F$318,(MATCH(InterventionCosts!B2343,Ingredients!A$1:A$318,0)))</f>
        <v>Sarah Girdwood, https://www.ncbi.nlm.nih.gov/pmc/articles/PMC7700965/pdf/main.pdf</v>
      </c>
      <c r="I2343" s="274">
        <f t="shared" ref="I2343:I2347" si="93">1/(2300*0.6)</f>
        <v>7.246376811594203E-4</v>
      </c>
      <c r="J2343" t="s">
        <v>1151</v>
      </c>
      <c r="K2343" s="85">
        <f t="shared" si="92"/>
        <v>4.0721238557348816</v>
      </c>
    </row>
    <row r="2344" spans="1:14">
      <c r="A2344" t="s">
        <v>1146</v>
      </c>
      <c r="B2344" s="273" t="s">
        <v>1150</v>
      </c>
      <c r="C2344" t="s">
        <v>1151</v>
      </c>
      <c r="D2344" t="s">
        <v>48</v>
      </c>
      <c r="E2344" s="70">
        <f>IF(B2344="","",INDEX(Ingredients!$I$1:$I$5013,(MATCH(InterventionCosts!B2344,Ingredients!$A$1:$A$5013,0))))</f>
        <v>5690.1603086312934</v>
      </c>
      <c r="F2344" s="5" t="str">
        <f>INDEX(Ingredients!J$1:J$265,(MATCH(InterventionCosts!B2344,Ingredients!A$1:A$265,0)))</f>
        <v>per setup</v>
      </c>
      <c r="G2344">
        <f>IF(B2344="","",INDEX(Ingredients!$E$1:$E$238,(MATCH(InterventionCosts!B2344,Ingredients!A$1:A$238,0))))</f>
        <v>2019</v>
      </c>
      <c r="H2344" t="str">
        <f>INDEX(Ingredients!$F$1:$F$318,(MATCH(InterventionCosts!B2344,Ingredients!A$1:A$318,0)))</f>
        <v>Sarah Girdwood, https://www.ncbi.nlm.nih.gov/pmc/articles/PMC7700965/pdf/main.pdf</v>
      </c>
      <c r="I2344" s="274">
        <f t="shared" si="93"/>
        <v>7.246376811594203E-4</v>
      </c>
      <c r="J2344" t="s">
        <v>1151</v>
      </c>
      <c r="K2344" s="85">
        <f t="shared" si="92"/>
        <v>4.1233045714719516</v>
      </c>
    </row>
    <row r="2345" spans="1:14">
      <c r="A2345" t="s">
        <v>1146</v>
      </c>
      <c r="B2345" s="273" t="s">
        <v>1155</v>
      </c>
      <c r="C2345" t="s">
        <v>1151</v>
      </c>
      <c r="D2345" t="s">
        <v>67</v>
      </c>
      <c r="E2345" s="70">
        <f>IF(B2345="","",INDEX(Ingredients!$I$1:$I$5013,(MATCH(InterventionCosts!B2345,Ingredients!$A$1:$A$5013,0))))</f>
        <v>11917.103963912978</v>
      </c>
      <c r="F2345" s="5" t="str">
        <f>INDEX(Ingredients!J$1:J$265,(MATCH(InterventionCosts!B2345,Ingredients!A$1:A$265,0)))</f>
        <v>per setup</v>
      </c>
      <c r="G2345">
        <f>IF(B2345="","",INDEX(Ingredients!$E$1:$E$238,(MATCH(InterventionCosts!B2345,Ingredients!A$1:A$238,0))))</f>
        <v>2019</v>
      </c>
      <c r="H2345" t="str">
        <f>INDEX(Ingredients!$F$1:$F$318,(MATCH(InterventionCosts!B2345,Ingredients!A$1:A$318,0)))</f>
        <v>Sarah Girdwood, https://www.ncbi.nlm.nih.gov/pmc/articles/PMC7700965/pdf/main.pdf</v>
      </c>
      <c r="I2345" s="274">
        <f t="shared" si="93"/>
        <v>7.246376811594203E-4</v>
      </c>
      <c r="J2345" t="s">
        <v>1151</v>
      </c>
      <c r="K2345" s="85">
        <f t="shared" si="92"/>
        <v>8.635582582545636</v>
      </c>
    </row>
    <row r="2346" spans="1:14">
      <c r="A2346" t="s">
        <v>1146</v>
      </c>
      <c r="B2346" s="273" t="s">
        <v>1154</v>
      </c>
      <c r="C2346" t="s">
        <v>1151</v>
      </c>
      <c r="D2346" t="s">
        <v>81</v>
      </c>
      <c r="E2346" s="70">
        <f>IF(B2346="","",INDEX(Ingredients!$I$1:$I$5013,(MATCH(InterventionCosts!B2346,Ingredients!$A$1:$A$5013,0))))</f>
        <v>8006.8042257540328</v>
      </c>
      <c r="F2346" s="5" t="str">
        <f>INDEX(Ingredients!J$1:J$265,(MATCH(InterventionCosts!B2346,Ingredients!A$1:A$265,0)))</f>
        <v>per setup</v>
      </c>
      <c r="G2346">
        <f>IF(B2346="","",INDEX(Ingredients!$E$1:$E$238,(MATCH(InterventionCosts!B2346,Ingredients!A$1:A$238,0))))</f>
        <v>2019</v>
      </c>
      <c r="H2346" t="str">
        <f>INDEX(Ingredients!$F$1:$F$318,(MATCH(InterventionCosts!B2346,Ingredients!A$1:A$318,0)))</f>
        <v>https://www.ncbi.nlm.nih.gov/pmc/articles/PMC7700965/pdf/main.pdf</v>
      </c>
      <c r="I2346" s="274">
        <f t="shared" si="93"/>
        <v>7.246376811594203E-4</v>
      </c>
      <c r="J2346" t="s">
        <v>1151</v>
      </c>
      <c r="K2346" s="85">
        <f t="shared" si="92"/>
        <v>5.8020320476478497</v>
      </c>
    </row>
    <row r="2347" spans="1:14">
      <c r="A2347" t="s">
        <v>1146</v>
      </c>
      <c r="B2347" s="273" t="s">
        <v>1153</v>
      </c>
      <c r="C2347" t="s">
        <v>1151</v>
      </c>
      <c r="D2347" t="s">
        <v>81</v>
      </c>
      <c r="E2347" s="70">
        <f>IF(B2347="","",INDEX(Ingredients!$I$1:$I$5013,(MATCH(InterventionCosts!B2347,Ingredients!$A$1:$A$5013,0))))</f>
        <v>22740.094503552911</v>
      </c>
      <c r="F2347" s="5" t="str">
        <f>INDEX(Ingredients!J$1:J$265,(MATCH(InterventionCosts!B2347,Ingredients!A$1:A$265,0)))</f>
        <v>per setup</v>
      </c>
      <c r="G2347">
        <f>IF(B2347="","",INDEX(Ingredients!$E$1:$E$238,(MATCH(InterventionCosts!B2347,Ingredients!A$1:A$238,0))))</f>
        <v>2019</v>
      </c>
      <c r="H2347" t="str">
        <f>INDEX(Ingredients!$F$1:$F$318,(MATCH(InterventionCosts!B2347,Ingredients!A$1:A$318,0)))</f>
        <v>https://www.ncbi.nlm.nih.gov/pmc/articles/PMC7700965/pdf/main.pdf</v>
      </c>
      <c r="I2347" s="274">
        <f t="shared" si="93"/>
        <v>7.246376811594203E-4</v>
      </c>
      <c r="J2347" t="s">
        <v>1151</v>
      </c>
      <c r="K2347" s="85">
        <f t="shared" si="92"/>
        <v>16.47832935040066</v>
      </c>
    </row>
    <row r="2348" spans="1:14">
      <c r="A2348" t="s">
        <v>1146</v>
      </c>
      <c r="B2348" s="273" t="s">
        <v>1152</v>
      </c>
      <c r="C2348" t="s">
        <v>1151</v>
      </c>
      <c r="D2348" t="s">
        <v>21</v>
      </c>
      <c r="E2348" s="70">
        <f>IF(B2348="","",INDEX(Ingredients!$I$1:$I$5013,(MATCH(InterventionCosts!B2348,Ingredients!$A$1:$A$5013,0))))</f>
        <v>3.608519627003822</v>
      </c>
      <c r="F2348" s="5" t="str">
        <f>INDEX(Ingredients!J$1:J$265,(MATCH(InterventionCosts!B2348,Ingredients!A$1:A$265,0)))</f>
        <v>per test</v>
      </c>
      <c r="G2348">
        <f>IF(B2348="","",INDEX(Ingredients!$E$1:$E$238,(MATCH(InterventionCosts!B2348,Ingredients!A$1:A$238,0))))</f>
        <v>2019</v>
      </c>
      <c r="H2348" t="str">
        <f>INDEX(Ingredients!$F$1:$F$318,(MATCH(InterventionCosts!B2348,Ingredients!A$1:A$318,0)))</f>
        <v>Sarah Girdwood, https://www.ncbi.nlm.nih.gov/pmc/articles/PMC7700965/pdf/main.pdf</v>
      </c>
      <c r="I2348" s="274">
        <v>1</v>
      </c>
      <c r="J2348" t="s">
        <v>1151</v>
      </c>
      <c r="K2348" s="85">
        <f t="shared" si="92"/>
        <v>3.608519627003822</v>
      </c>
    </row>
    <row r="2349" spans="1:14">
      <c r="A2349" t="s">
        <v>1146</v>
      </c>
      <c r="B2349" s="273" t="s">
        <v>286</v>
      </c>
      <c r="C2349" t="s">
        <v>1151</v>
      </c>
      <c r="D2349" t="s">
        <v>48</v>
      </c>
      <c r="E2349" s="70">
        <f>IF(B2349="","",INDEX(Ingredients!$I$1:$I$5013,(MATCH(InterventionCosts!B2349,Ingredients!$A$1:$A$5013,0))))</f>
        <v>3.2392279521674139</v>
      </c>
      <c r="F2349" s="5" t="str">
        <f>INDEX(Ingredients!J$1:J$265,(MATCH(InterventionCosts!B2349,Ingredients!A$1:A$265,0)))</f>
        <v>per minute</v>
      </c>
      <c r="G2349">
        <f>IF(B2349="","",INDEX(Ingredients!$E$1:$E$238,(MATCH(InterventionCosts!B2349,Ingredients!A$1:A$238,0))))</f>
        <v>2024</v>
      </c>
      <c r="H2349" t="str">
        <f>INDEX(Ingredients!$F$1:$F$318,(MATCH(InterventionCosts!B2349,Ingredients!A$1:A$318,0)))</f>
        <v xml:space="preserve">April 2024 Salary scale </v>
      </c>
      <c r="I2349" s="274">
        <f>5.6+5.4+17.1+5</f>
        <v>33.1</v>
      </c>
      <c r="J2349" t="s">
        <v>1151</v>
      </c>
      <c r="K2349" s="85">
        <f t="shared" si="92"/>
        <v>107.2184452167414</v>
      </c>
    </row>
    <row r="2350" spans="1:14" s="89" customFormat="1">
      <c r="A2350" s="4" t="s">
        <v>1146</v>
      </c>
      <c r="F2350" s="89" t="s">
        <v>1164</v>
      </c>
      <c r="K2350" s="90"/>
      <c r="L2350" s="90">
        <f>SUM(K2340:K2349)</f>
        <v>564.88178854004855</v>
      </c>
      <c r="M2350" s="92"/>
      <c r="N2350" s="4"/>
    </row>
    <row r="2351" spans="1:14" s="89" customFormat="1">
      <c r="A2351" s="4" t="s">
        <v>1146</v>
      </c>
      <c r="F2351" s="89" t="s">
        <v>117</v>
      </c>
      <c r="K2351" s="90"/>
      <c r="L2351" s="90" t="s">
        <v>76</v>
      </c>
      <c r="M2351" s="92"/>
      <c r="N2351" s="4"/>
    </row>
    <row r="2353" spans="1:14">
      <c r="A2353" t="s">
        <v>1342</v>
      </c>
      <c r="B2353" t="s">
        <v>1343</v>
      </c>
      <c r="C2353" t="s">
        <v>1151</v>
      </c>
      <c r="D2353" t="s">
        <v>48</v>
      </c>
      <c r="E2353" s="70">
        <f>IF(B2353="","",INDEX(Ingredients!$I$1:$I$5013,(MATCH(InterventionCosts!B2353,Ingredients!$A$1:$A$5013,0))))</f>
        <v>4100.2266666666665</v>
      </c>
      <c r="F2353" s="5" t="str">
        <f>INDEX(Ingredients!J$1:J$265,(MATCH(InterventionCosts!B2353,Ingredients!A$1:A$265,0)))</f>
        <v>per month</v>
      </c>
      <c r="G2353">
        <f>IF(B2353="","",INDEX(Ingredients!$E$1:$E$238,(MATCH(InterventionCosts!B2353,Ingredients!A$1:A$238,0))))</f>
        <v>2024</v>
      </c>
      <c r="H2353" t="str">
        <f>INDEX(Ingredients!$F$1:$F$318,(MATCH(InterventionCosts!B2353,Ingredients!A$1:A$318,0)))</f>
        <v xml:space="preserve">April 2024 Salary scale </v>
      </c>
      <c r="I2353">
        <f>3/19</f>
        <v>0.15789473684210525</v>
      </c>
      <c r="J2353" t="s">
        <v>1345</v>
      </c>
      <c r="K2353" s="85">
        <f t="shared" ref="K2353:K2359" si="94">E2353*I2353</f>
        <v>647.40421052631575</v>
      </c>
      <c r="L2353" s="85" t="s">
        <v>1346</v>
      </c>
    </row>
    <row r="2354" spans="1:14">
      <c r="A2354" t="s">
        <v>1342</v>
      </c>
      <c r="B2354" s="273" t="s">
        <v>286</v>
      </c>
      <c r="C2354" t="s">
        <v>1151</v>
      </c>
      <c r="D2354" t="s">
        <v>48</v>
      </c>
      <c r="E2354" s="70">
        <f>IF(B2354="","",INDEX(Ingredients!$I$1:$I$5013,(MATCH(InterventionCosts!B2354,Ingredients!$A$1:$A$5013,0))))</f>
        <v>3.2392279521674139</v>
      </c>
      <c r="F2354" s="5" t="str">
        <f>INDEX(Ingredients!J$1:J$265,(MATCH(InterventionCosts!B2354,Ingredients!A$1:A$265,0)))</f>
        <v>per minute</v>
      </c>
      <c r="G2354">
        <f>IF(B2354="","",INDEX(Ingredients!$E$1:$E$238,(MATCH(InterventionCosts!B2354,Ingredients!A$1:A$238,0))))</f>
        <v>2024</v>
      </c>
      <c r="H2354" t="str">
        <f>INDEX(Ingredients!$F$1:$F$318,(MATCH(InterventionCosts!B2354,Ingredients!A$1:A$318,0)))</f>
        <v xml:space="preserve">April 2024 Salary scale </v>
      </c>
      <c r="I2354">
        <f>Staff_costs!workdayspermonth*workhoursperday*3*0.1</f>
        <v>44.6</v>
      </c>
      <c r="J2354" t="s">
        <v>1345</v>
      </c>
      <c r="K2354" s="85">
        <f t="shared" si="94"/>
        <v>144.46956666666665</v>
      </c>
      <c r="L2354" s="85" t="s">
        <v>1347</v>
      </c>
    </row>
    <row r="2355" spans="1:14">
      <c r="A2355" t="s">
        <v>1342</v>
      </c>
      <c r="B2355" s="138" t="s">
        <v>1348</v>
      </c>
      <c r="C2355" t="s">
        <v>1151</v>
      </c>
      <c r="D2355" t="s">
        <v>21</v>
      </c>
      <c r="E2355" s="70">
        <f>IF(B2355="","",INDEX(Ingredients!$I$1:$I$5013,(MATCH(InterventionCosts!B2355,Ingredients!$A$1:$A$5013,0))))</f>
        <v>80.329672532379035</v>
      </c>
      <c r="F2355" s="5" t="str">
        <f>INDEX(Ingredients!J$1:J$265,(MATCH(InterventionCosts!B2355,Ingredients!A$1:A$265,0)))</f>
        <v>per client</v>
      </c>
      <c r="G2355">
        <f>IF(B2355="","",INDEX(Ingredients!$E$1:$E$238,(MATCH(InterventionCosts!B2355,Ingredients!A$1:A$238,0))))</f>
        <v>2023</v>
      </c>
      <c r="H2355" t="str">
        <f>INDEX(Ingredients!$F$1:$F$318,(MATCH(InterventionCosts!B2355,Ingredients!A$1:A$318,0)))</f>
        <v>https://doi.org/10.1097/qai.0000000000003371</v>
      </c>
      <c r="I2355">
        <v>1</v>
      </c>
      <c r="J2355" t="s">
        <v>1350</v>
      </c>
      <c r="K2355" s="85">
        <f t="shared" si="94"/>
        <v>80.329672532379035</v>
      </c>
      <c r="L2355" s="85" t="s">
        <v>1354</v>
      </c>
    </row>
    <row r="2356" spans="1:14">
      <c r="A2356" t="s">
        <v>1342</v>
      </c>
      <c r="B2356" s="138" t="s">
        <v>1351</v>
      </c>
      <c r="C2356" t="s">
        <v>1151</v>
      </c>
      <c r="D2356" t="s">
        <v>21</v>
      </c>
      <c r="E2356" s="70">
        <f>IF(B2356="","",INDEX(Ingredients!$I$1:$I$5013,(MATCH(InterventionCosts!B2356,Ingredients!$A$1:$A$5013,0))))</f>
        <v>28.863</v>
      </c>
      <c r="F2356" s="5" t="str">
        <f>INDEX(Ingredients!J$1:J$265,(MATCH(InterventionCosts!B2356,Ingredients!A$1:A$265,0)))</f>
        <v>per client</v>
      </c>
      <c r="G2356">
        <f>IF(B2356="","",INDEX(Ingredients!$E$1:$E$238,(MATCH(InterventionCosts!B2356,Ingredients!A$1:A$238,0))))</f>
        <v>2023</v>
      </c>
      <c r="H2356" t="str">
        <f>INDEX(Ingredients!$F$1:$F$318,(MATCH(InterventionCosts!B2356,Ingredients!A$1:A$318,0)))</f>
        <v>https://doi.org/10.1097/qai.0000000000003371</v>
      </c>
      <c r="I2356">
        <v>1</v>
      </c>
      <c r="J2356" t="s">
        <v>1350</v>
      </c>
      <c r="K2356" s="85">
        <f t="shared" si="94"/>
        <v>28.863</v>
      </c>
      <c r="L2356" s="85" t="s">
        <v>1354</v>
      </c>
    </row>
    <row r="2357" spans="1:14">
      <c r="A2357" t="s">
        <v>1342</v>
      </c>
      <c r="B2357" s="138" t="s">
        <v>1352</v>
      </c>
      <c r="C2357" t="s">
        <v>1151</v>
      </c>
      <c r="D2357" t="s">
        <v>21</v>
      </c>
      <c r="E2357" s="70">
        <f>IF(B2357="","",INDEX(Ingredients!$I$1:$I$5013,(MATCH(InterventionCosts!B2357,Ingredients!$A$1:$A$5013,0))))</f>
        <v>1.069</v>
      </c>
      <c r="F2357" s="5" t="str">
        <f>INDEX(Ingredients!J$1:J$265,(MATCH(InterventionCosts!B2357,Ingredients!A$1:A$265,0)))</f>
        <v>per client</v>
      </c>
      <c r="G2357">
        <f>IF(B2357="","",INDEX(Ingredients!$E$1:$E$238,(MATCH(InterventionCosts!B2357,Ingredients!A$1:A$238,0))))</f>
        <v>2023</v>
      </c>
      <c r="H2357" t="str">
        <f>INDEX(Ingredients!$F$1:$F$318,(MATCH(InterventionCosts!B2357,Ingredients!A$1:A$318,0)))</f>
        <v>https://doi.org/10.1097/qai.0000000000003371</v>
      </c>
      <c r="I2357">
        <v>1</v>
      </c>
      <c r="J2357" t="s">
        <v>1350</v>
      </c>
      <c r="K2357" s="85">
        <f t="shared" si="94"/>
        <v>1.069</v>
      </c>
      <c r="L2357" s="85" t="s">
        <v>1354</v>
      </c>
    </row>
    <row r="2358" spans="1:14">
      <c r="A2358" t="s">
        <v>1342</v>
      </c>
      <c r="B2358" t="s">
        <v>1353</v>
      </c>
      <c r="C2358" t="s">
        <v>1151</v>
      </c>
      <c r="D2358" t="s">
        <v>67</v>
      </c>
      <c r="E2358" s="70">
        <f>IF(B2358="","",INDEX(Ingredients!$I$1:$I$5013,(MATCH(InterventionCosts!B2358,Ingredients!$A$1:$A$5013,0))))</f>
        <v>312.14799999999997</v>
      </c>
      <c r="F2358" s="5" t="str">
        <f>INDEX(Ingredients!J$1:J$265,(MATCH(InterventionCosts!B2358,Ingredients!A$1:A$265,0)))</f>
        <v>per client</v>
      </c>
      <c r="G2358">
        <f>IF(B2358="","",INDEX(Ingredients!$E$1:$E$238,(MATCH(InterventionCosts!B2358,Ingredients!A$1:A$238,0))))</f>
        <v>2023</v>
      </c>
      <c r="H2358" t="str">
        <f>INDEX(Ingredients!$F$1:$F$318,(MATCH(InterventionCosts!B2358,Ingredients!A$1:A$318,0)))</f>
        <v>https://doi.org/10.1097/qai.0000000000003371</v>
      </c>
      <c r="I2358">
        <v>1</v>
      </c>
      <c r="J2358" t="s">
        <v>1350</v>
      </c>
      <c r="K2358" s="85">
        <f t="shared" si="94"/>
        <v>312.14799999999997</v>
      </c>
      <c r="L2358" s="85" t="s">
        <v>1354</v>
      </c>
    </row>
    <row r="2359" spans="1:14">
      <c r="A2359" t="s">
        <v>1342</v>
      </c>
      <c r="B2359" t="s">
        <v>1355</v>
      </c>
      <c r="C2359" t="s">
        <v>1151</v>
      </c>
      <c r="D2359" t="s">
        <v>81</v>
      </c>
      <c r="E2359" s="70">
        <f>IF(B2359="","",INDEX(Ingredients!$I$1:$I$5013,(MATCH(InterventionCosts!B2359,Ingredients!$A$1:$A$5013,0))))</f>
        <v>215.52826143822583</v>
      </c>
      <c r="F2359" s="5" t="str">
        <f>INDEX(Ingredients!J$1:J$265,(MATCH(InterventionCosts!B2359,Ingredients!A$1:A$265,0)))</f>
        <v>per client</v>
      </c>
      <c r="G2359">
        <f>IF(B2359="","",INDEX(Ingredients!$E$1:$E$238,(MATCH(InterventionCosts!B2359,Ingredients!A$1:A$238,0))))</f>
        <v>2023</v>
      </c>
      <c r="H2359" t="str">
        <f>INDEX(Ingredients!$F$1:$F$318,(MATCH(InterventionCosts!B2359,Ingredients!A$1:A$318,0)))</f>
        <v>https://doi.org/10.1097/qai.0000000000003371</v>
      </c>
      <c r="I2359">
        <v>1</v>
      </c>
      <c r="J2359" t="s">
        <v>1350</v>
      </c>
      <c r="K2359" s="85">
        <f t="shared" si="94"/>
        <v>215.52826143822583</v>
      </c>
      <c r="L2359" s="85" t="s">
        <v>1354</v>
      </c>
    </row>
    <row r="2360" spans="1:14">
      <c r="A2360" t="s">
        <v>1342</v>
      </c>
      <c r="B2360" s="138" t="s">
        <v>1356</v>
      </c>
      <c r="C2360" t="s">
        <v>1151</v>
      </c>
      <c r="D2360" t="s">
        <v>81</v>
      </c>
      <c r="E2360" s="70">
        <f>IF(B2360="","",INDEX(Ingredients!$I$1:$I$5013,(MATCH(InterventionCosts!B2360,Ingredients!$A$1:$A$5013,0))))</f>
        <v>52.381</v>
      </c>
      <c r="F2360" s="5" t="str">
        <f>INDEX(Ingredients!J$1:J$265,(MATCH(InterventionCosts!B2360,Ingredients!A$1:A$265,0)))</f>
        <v>per client</v>
      </c>
      <c r="G2360">
        <f>IF(B2360="","",INDEX(Ingredients!$E$1:$E$238,(MATCH(InterventionCosts!B2360,Ingredients!A$1:A$238,0))))</f>
        <v>2023</v>
      </c>
      <c r="H2360" t="str">
        <f>INDEX(Ingredients!$F$1:$F$318,(MATCH(InterventionCosts!B2360,Ingredients!A$1:A$318,0)))</f>
        <v>https://doi.org/10.1097/qai.0000000000003371</v>
      </c>
      <c r="I2360">
        <v>1</v>
      </c>
      <c r="J2360" t="s">
        <v>1350</v>
      </c>
      <c r="K2360" s="85">
        <f t="shared" ref="K2360" si="95">E2360*I2360</f>
        <v>52.381</v>
      </c>
      <c r="L2360" s="85" t="s">
        <v>1354</v>
      </c>
    </row>
    <row r="2361" spans="1:14" s="89" customFormat="1">
      <c r="A2361" s="4" t="s">
        <v>1342</v>
      </c>
      <c r="F2361" s="89" t="s">
        <v>1164</v>
      </c>
      <c r="K2361" s="90"/>
      <c r="L2361" s="90">
        <f>SUM(K2353:K2360)</f>
        <v>1482.1927111635873</v>
      </c>
      <c r="M2361" s="92"/>
      <c r="N2361" s="4"/>
    </row>
    <row r="2362" spans="1:14" s="89" customFormat="1">
      <c r="A2362" s="4" t="s">
        <v>1342</v>
      </c>
      <c r="F2362" s="89" t="s">
        <v>117</v>
      </c>
      <c r="K2362" s="90"/>
      <c r="L2362" s="90" t="s">
        <v>1349</v>
      </c>
      <c r="M2362" s="92"/>
      <c r="N2362" s="4"/>
    </row>
    <row r="2364" spans="1:14">
      <c r="A2364" t="s">
        <v>1369</v>
      </c>
      <c r="B2364" s="140" t="s">
        <v>1462</v>
      </c>
      <c r="C2364" s="140"/>
      <c r="D2364" s="140"/>
      <c r="E2364" s="140"/>
      <c r="F2364" s="140"/>
      <c r="G2364" s="140"/>
      <c r="H2364" s="140" t="str">
        <f>IF(E2364="","",INDEX(Ingredients!$F$1:$F$318,(MATCH(InterventionCosts!B2364,Ingredients!A$1:A$318,0))))</f>
        <v/>
      </c>
      <c r="I2364" s="140"/>
      <c r="J2364" s="140"/>
      <c r="K2364" s="140"/>
    </row>
    <row r="2365" spans="1:14">
      <c r="A2365" t="s">
        <v>1369</v>
      </c>
      <c r="B2365" t="s">
        <v>1360</v>
      </c>
      <c r="D2365" t="s">
        <v>21</v>
      </c>
      <c r="E2365" s="70">
        <f>IF(B2365="","",INDEX(Ingredients!$I$1:$I$5013,(MATCH(InterventionCosts!B2365,Ingredients!$A$1:$A$5013,0))))</f>
        <v>0.16400000000000001</v>
      </c>
      <c r="F2365" s="5" t="str">
        <f>INDEX(Ingredients!J$1:J$265,(MATCH(InterventionCosts!B2365,Ingredients!A$1:A$265,0)))</f>
        <v>per page</v>
      </c>
      <c r="G2365">
        <f>IF(F2365="","",INDEX(Ingredients!$E$1:$E$238,(MATCH(InterventionCosts!B2365,Ingredients!A$1:A$238,0))))</f>
        <v>2024</v>
      </c>
      <c r="H2365" t="str">
        <f>IF(E2365="","",INDEX(Ingredients!$F$1:$F$318,(MATCH(InterventionCosts!B2365,Ingredients!A$1:A$318,0))))</f>
        <v>https://www.makro.co.za/stationery-office-furniture/paper-filing/paper/white-paper/copy-paper/typek-a4-office-paper-80-gsm/p/000000000000012434_BOX</v>
      </c>
      <c r="I2365">
        <f>12/3</f>
        <v>4</v>
      </c>
      <c r="J2365" t="s">
        <v>1364</v>
      </c>
      <c r="K2365" s="85">
        <f>E2365*I2365</f>
        <v>0.65600000000000003</v>
      </c>
    </row>
    <row r="2366" spans="1:14">
      <c r="A2366" t="s">
        <v>1369</v>
      </c>
      <c r="B2366" t="s">
        <v>54</v>
      </c>
      <c r="D2366" t="s">
        <v>48</v>
      </c>
      <c r="E2366" s="70">
        <f>IF(B2366="","",INDEX(Ingredients!$I$1:$I$5013,(MATCH(InterventionCosts!B2366,Ingredients!$A$1:$A$5013,0))))</f>
        <v>1.2444366591928251</v>
      </c>
      <c r="F2366" s="5" t="str">
        <f>INDEX(Ingredients!J$1:J$265,(MATCH(InterventionCosts!B2366,Ingredients!A$1:A$265,0)))</f>
        <v>per minute</v>
      </c>
      <c r="G2366">
        <f>IF(F2366="","",INDEX(Ingredients!$E$1:$E$238,(MATCH(InterventionCosts!B2366,Ingredients!A$1:A$238,0))))</f>
        <v>2024</v>
      </c>
      <c r="H2366" t="str">
        <f>IF(E2366="","",INDEX(Ingredients!$F$1:$F$318,(MATCH(InterventionCosts!B2366,Ingredients!A$1:A$318,0))))</f>
        <v xml:space="preserve">April 2024 Salary scale </v>
      </c>
      <c r="I2366">
        <f>5*12/3</f>
        <v>20</v>
      </c>
      <c r="J2366" s="85" t="s">
        <v>1361</v>
      </c>
      <c r="K2366" s="85">
        <f t="shared" ref="K2366:K2367" si="96">E2366*I2366</f>
        <v>24.888733183856502</v>
      </c>
    </row>
    <row r="2367" spans="1:14">
      <c r="A2367" t="s">
        <v>1369</v>
      </c>
      <c r="B2367" t="s">
        <v>354</v>
      </c>
      <c r="D2367" t="s">
        <v>48</v>
      </c>
      <c r="E2367" s="70">
        <f>IF(B2367="","",INDEX(Ingredients!$I$1:$I$5013,(MATCH(InterventionCosts!B2367,Ingredients!$A$1:$A$5013,0))))</f>
        <v>4.8996605630293981</v>
      </c>
      <c r="F2367" s="5" t="str">
        <f>INDEX(Ingredients!J$1:J$265,(MATCH(InterventionCosts!B2367,Ingredients!A$1:A$265,0)))</f>
        <v>per minute</v>
      </c>
      <c r="G2367">
        <f>IF(F2367="","",INDEX(Ingredients!$E$1:$E$238,(MATCH(InterventionCosts!B2367,Ingredients!A$1:A$238,0))))</f>
        <v>2024</v>
      </c>
      <c r="H2367" t="str">
        <f>IF(E2367="","",INDEX(Ingredients!$F$1:$F$318,(MATCH(InterventionCosts!B2367,Ingredients!A$1:A$318,0))))</f>
        <v xml:space="preserve">April 2024 Salary scale </v>
      </c>
      <c r="I2367" s="320">
        <f>15*5%</f>
        <v>0.75</v>
      </c>
      <c r="J2367" s="85" t="s">
        <v>1362</v>
      </c>
      <c r="K2367" s="85">
        <f t="shared" si="96"/>
        <v>3.6747454222720486</v>
      </c>
    </row>
    <row r="2368" spans="1:14">
      <c r="A2368" t="s">
        <v>1369</v>
      </c>
      <c r="B2368" s="319" t="s">
        <v>1357</v>
      </c>
      <c r="E2368" s="70"/>
      <c r="F2368" s="5"/>
    </row>
    <row r="2369" spans="1:14">
      <c r="A2369" t="s">
        <v>1369</v>
      </c>
      <c r="B2369" s="139" t="s">
        <v>1358</v>
      </c>
      <c r="D2369" t="s">
        <v>70</v>
      </c>
      <c r="E2369" s="70">
        <f>IF(B2369="","",INDEX(Ingredients!$I$1:$I$5013,(MATCH(InterventionCosts!B2369,Ingredients!$A$1:$A$5013,0))))</f>
        <v>5.2450000000000001</v>
      </c>
      <c r="F2369" s="5" t="str">
        <f>INDEX(Ingredients!J$1:J$265,(MATCH(InterventionCosts!B2369,Ingredients!A$1:A$265,0)))</f>
        <v>per vial</v>
      </c>
      <c r="G2369">
        <f>IF(F2369="","",INDEX(Ingredients!$E$1:$E$238,(MATCH(InterventionCosts!B2369,Ingredients!A$1:A$238,0))))</f>
        <v>2024</v>
      </c>
      <c r="H2369" t="str">
        <f>IF(E2369="","",INDEX(Ingredients!$F$1:$F$318,(MATCH(InterventionCosts!B2369,Ingredients!A$1:A$318,0))))</f>
        <v>Master Procurement Circular May 2024</v>
      </c>
      <c r="I2369" s="320">
        <v>0.05</v>
      </c>
      <c r="J2369" s="5" t="s">
        <v>1363</v>
      </c>
      <c r="K2369" s="85">
        <f t="shared" ref="K2369:K2370" si="97">E2369*I2369</f>
        <v>0.26225000000000004</v>
      </c>
    </row>
    <row r="2370" spans="1:14">
      <c r="A2370" t="s">
        <v>1369</v>
      </c>
      <c r="B2370" s="139" t="s">
        <v>1359</v>
      </c>
      <c r="D2370" t="s">
        <v>70</v>
      </c>
      <c r="E2370" s="70">
        <f>IF(B2370="","",INDEX(Ingredients!$I$1:$I$5013,(MATCH(InterventionCosts!B2370,Ingredients!$A$1:$A$5013,0))))</f>
        <v>7.94</v>
      </c>
      <c r="F2370" s="5" t="str">
        <f>INDEX(Ingredients!J$1:J$265,(MATCH(InterventionCosts!B2370,Ingredients!A$1:A$265,0)))</f>
        <v>per dose (1g)</v>
      </c>
      <c r="G2370">
        <f>IF(F2370="","",INDEX(Ingredients!$E$1:$E$238,(MATCH(InterventionCosts!B2370,Ingredients!A$1:A$238,0))))</f>
        <v>2024</v>
      </c>
      <c r="H2370" t="str">
        <f>IF(E2370="","",INDEX(Ingredients!$F$1:$F$318,(MATCH(InterventionCosts!B2370,Ingredients!A$1:A$318,0))))</f>
        <v>Master Procurement Circular May 2024</v>
      </c>
      <c r="I2370" s="320">
        <v>0.05</v>
      </c>
      <c r="J2370" s="5" t="s">
        <v>1363</v>
      </c>
      <c r="K2370" s="85">
        <f t="shared" si="97"/>
        <v>0.39700000000000002</v>
      </c>
    </row>
    <row r="2371" spans="1:14">
      <c r="A2371" t="s">
        <v>1369</v>
      </c>
    </row>
    <row r="2372" spans="1:14" s="89" customFormat="1">
      <c r="A2372" s="4" t="s">
        <v>1369</v>
      </c>
      <c r="F2372" s="89" t="s">
        <v>1164</v>
      </c>
      <c r="K2372" s="90"/>
      <c r="L2372" s="90">
        <f>SUM(K2364:K2371)</f>
        <v>29.878728606128551</v>
      </c>
      <c r="M2372" s="92"/>
      <c r="N2372" s="4"/>
    </row>
    <row r="2373" spans="1:14" s="89" customFormat="1">
      <c r="A2373" s="4" t="s">
        <v>1369</v>
      </c>
      <c r="F2373" s="89" t="s">
        <v>117</v>
      </c>
      <c r="K2373" s="90"/>
      <c r="L2373" s="90" t="s">
        <v>937</v>
      </c>
      <c r="M2373" s="92"/>
      <c r="N2373" s="4"/>
    </row>
  </sheetData>
  <autoFilter ref="A1:J2373" xr:uid="{06B861BD-1E56-478B-8C4F-60CC395411E9}"/>
  <sortState xmlns:xlrd2="http://schemas.microsoft.com/office/spreadsheetml/2017/richdata2" ref="A1662:B1675">
    <sortCondition ref="B1662:B1675"/>
  </sortState>
  <dataValidations count="5">
    <dataValidation type="list" allowBlank="1" showInputMessage="1" showErrorMessage="1" sqref="B1 B6:B8 B27:B29 B715:B754 B215:B239 B328:B340 B350:B360 B276:B294 B304:B314 B756:B855 B2009:B2033 B1155:B1260 L1689:M1689 J1689 B15:B21 J1790:J1792 B1690:B1707 L1708:L1710 B1772:B1789 J1749:J1750 J1708:J1710 J1769:J1771 B1814:B1831 B1711:B1728 B1731:B1748 B1751:B1768 B1856:B1873 B1793:B1810 B1835:B1852 B104:B120 B122:B146 B148:B152 B154:B181 B183:B207 B209:B213 B241 B243:B267 B269:B274 B297:B302 B317:B322 B324:B326 B343:B348 B363:B368 B1472:B1574 B438:B454 B370:B372 B461:B480 B482:B498 B456:B459 B500:B503 B415:B420 B573:B592 B594:B596 B48:B50 B41:B43 B552:B571 B2292:B2300 B598:B621 J1729:J1730 B2247:B2287 B1665:B1688 B1576:B1642 B1644:B1663 B2371:B1048576 B2366:B2367 B2359:B2364 B1927:B1950 B2245 B1897:B1920 B2217:B2241 B2342:B2357 B1877:B1895 B1922:B1925 B1952:B1955 B2215 B1957:B1984 L1985:M1985 J1985 J2122:J2124 B1986:B2003 J2004:J2006 B2157:B2181 J2063:J2064 B2185 J2092:J2094 J2034:J2035 B2097:B2121 B2127:B2151 B2187:B2211 B2155 B2038:B2062 B2036 B2095 B2067:B2091 B2065 B2125 L2004:L2006 B2007 B857:B955 B1056:B1153 B1262:B1366 B957:B1054 B1368:B1470 B396:B398 B374:B386 B389:B394 I381:I403 B422:B436 B400:B412 B505:B524 B526:B529 B531:B550 B655:B713 B623:B647 B649:B653 B2305:B2313 B2331:B2340 B2318:B2326" xr:uid="{00000000-0002-0000-0200-000000000000}">
      <formula1>ING</formula1>
    </dataValidation>
    <dataValidation type="list" allowBlank="1" showInputMessage="1" showErrorMessage="1" sqref="D1:D12 D315:D339 D295:D313 D341:D359 D2371:D1048576 D361:D385 D15:D293 D387:D411 F1579 D413:D1578 D1580:D2364" xr:uid="{00000000-0002-0000-0200-000001000000}">
      <formula1>ING_TYPE</formula1>
    </dataValidation>
    <dataValidation type="list" allowBlank="1" showInputMessage="1" showErrorMessage="1" sqref="B361:B362 B315:B316 B341:B342 B295:B296 B387:B388 B413:B414" xr:uid="{00000000-0002-0000-0200-000002000000}">
      <formula1>Staff</formula1>
    </dataValidation>
    <dataValidation type="list" allowBlank="1" showInputMessage="1" showErrorMessage="1" sqref="B93:B103 B44:B47 B2:B5 B84:B91 B56:B65 B9:B14 B51:B54 B30:B40 B67:B78 B80:B82" xr:uid="{00000000-0002-0000-0200-000003000000}">
      <formula1>$A$1:$A$103</formula1>
    </dataValidation>
    <dataValidation allowBlank="1" showInputMessage="1" showErrorMessage="1" sqref="J424:J426 J577:J580 J1500:J1509 J688:J690 F792:H792 J760:J763 J2017 J782:J788 J745:J748 J790:J793 J838 J843 J846:J849 J851:J854 F893:H893 J956:J958 J857:J858 J898 J939 J944 J961:J964 J980:J981 F768 J1198:J1201 J1038 J1043 J1051:J1053 J1055:J1057 J742 J1137 J1142 J750:J757 F1200:H1200 J1154:J1156 J1183 J1195:J1196 J1148 F1172:H1172 J1594:J1595 J1170:J1173 J1150:J1152 J1185:J1193 J1175:J1177 L1240 L1290:L1292 L1274 J486:J488 J737 J983:J989 F1307:H1307 J1097 J1277:J1280 F1279:H1279 J1383:J1386 J1203:J1204 J1209:J1239 L1364:L1366 J1282:J1284 Q833 N1239:N1240 J1292:J1300 J1453 L1415:L1416 J1351 J1356 J1315:J1346 F1412:H1412 J1266:J1275 J1290 J1407:J1408 F1385:H1385 J1362 J556:J559 J1468:J1473 N1347:N1348 L1451 L1580 J1487:J1490 L1351 L1356 L1368:L1370 F1516:H1516 J1372:J1381 J1393 F1489:H1489 J1354 L1362 J1497 J1396:J1405 N1450:N1451 N1456:N1457 J1643:J1646 J1665:J1667 J1772:J1773 J1705:J1707 J1690:J1691 J1726:J1728 J1711:J1712 J1731:J1732 J1751:J1752 J1746:J1748 J1766:J1768 J1787:J1789 J1849:J1857 J1159:J1168 J1686:J1688 J1559 J1562:J1564 J1567:J1570 J1524:J1554 J1557 F1591:H1591 J1349 J1808:J1815 J1793:J1794 J1828:J1836 J1870:J1878 J2342 J2292:J2300 J628:J630 J1572:J1587 J2371:J1048576 J1599:J1625 J2247 J2268:J2287 J2255 J2225 J2217 J1952:J1955 J1957 J1921:J1925 J1927 J1891:J1895 J1897 J2238:J2245 J1982:J1984 J2208:J2215 J2157 J2001:J2003 J1986:J1987 J2031:J2033 J2097 J2127 J2060:J2062 J2089:J2091 J2119:J2121 J2149:J2155 J2187 J2165 J2105 J2046 J2038 J2036 J2095 J2195 J2135 J2075 J2067 J2065 J2125 J2178:J2185 J2009 J2007 J722:J732 J797 J773 J768:J769 J779 J952:J954 J861:J864 J803:J833 J880:J881 J874 J869:J870 H869 J904:J934 J891:J894 F993:H993 J1049 J883:J889 J1004:J1033 J974 J969:J970 H969 J950 J1079:J1080 J998 F1092:H1092 J1082:J1088 J1090:J1093 J1103:J1132 J1073 J1068:J1069 H1068 J991:J994 L1400:L1405 J1410:J1413 J1060:J1063 J1420:J1450 J1492:J1494 J34:J36 J41:J43 J48:J103 J127:J129 J161:J163 J188:J190 J222:J224 J248:J250 J286:J288 J306:J308 J332:J334 J352:J354 J1:J29 J442:J444 J468:J470 J1244 J1249 J1261:J1263 J1255 J1257:J1259 L1279:L1282 L1276:L1277 L1284:L1285 J1305:J1308 J1302:J1303 J1310:J1311 L1410:L1413 L1407:L1408 L1421:L1423 J1415:J1416 J1364:J1369 L1383:L1386 L1388:L1390 L1396 L1398 L1380:L1381 L1373 L1344:L1346 J1455 J1460 J1466 J1589:J1592 L1562 J1287 J1463 J1458 J1388:J1390 J1359 J1476:J1485 J1511:J1512 J1514:J1517 J1519:J1520 L1557 L1572:L1577 L1552:L1554 L1559 L1564 L1570 L1567 J2350:J2364 J378:J380 J404:J406 J512:J514 J538:J540 J602:J604 J662:J664 J2305:J2313 J2331:J2340 J2318:J2326" xr:uid="{00000000-0002-0000-0200-000004000000}"/>
  </dataValidations>
  <hyperlinks>
    <hyperlink ref="J235" r:id="rId1" xr:uid="{9DA58C01-465A-4DDB-A2ED-6D81FCC9FE6A}"/>
    <hyperlink ref="C314" r:id="rId2" xr:uid="{D38A669E-4069-4426-85FC-5906A1DF31C8}"/>
    <hyperlink ref="C393" r:id="rId3" xr:uid="{6AA56C99-48C4-4D76-937D-0A9C19503C14}"/>
  </hyperlinks>
  <pageMargins left="0.7" right="0.7" top="0.75" bottom="0.75" header="0.3" footer="0.3"/>
  <pageSetup orientation="portrait" r:id="rId4"/>
  <drawing r:id="rId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5000000}">
          <x14:formula1>
            <xm:f>'/Users/brookenichols/Library/CloudStorage/Dropbox/IAAL/Project/Palladium/C:\Users\calvinc\Downloads\[UnitCostModelV1 6 steve 2 Nov 5pm (1).xlsx]List'!#REF!</xm:f>
          </x14:formula1>
          <xm:sqref>D13:D14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3"/>
  <sheetViews>
    <sheetView zoomScale="85" workbookViewId="0">
      <selection activeCell="L21" sqref="L21"/>
    </sheetView>
  </sheetViews>
  <sheetFormatPr baseColWidth="10" defaultColWidth="8.83203125" defaultRowHeight="15"/>
  <cols>
    <col min="2" max="2" width="13.83203125" customWidth="1"/>
    <col min="4" max="4" width="9.5" bestFit="1" customWidth="1"/>
    <col min="6" max="6" width="29.1640625" customWidth="1"/>
  </cols>
  <sheetData>
    <row r="1" spans="1:10">
      <c r="A1" t="s">
        <v>228</v>
      </c>
      <c r="B1" s="132">
        <v>2024</v>
      </c>
      <c r="F1" t="s">
        <v>25</v>
      </c>
      <c r="G1" t="s">
        <v>387</v>
      </c>
    </row>
    <row r="3" spans="1:10">
      <c r="A3" t="s">
        <v>229</v>
      </c>
      <c r="B3" t="s">
        <v>230</v>
      </c>
    </row>
    <row r="4" spans="1:10">
      <c r="A4" t="s">
        <v>146</v>
      </c>
      <c r="B4" t="s">
        <v>231</v>
      </c>
      <c r="C4" t="s">
        <v>232</v>
      </c>
      <c r="D4" t="s">
        <v>233</v>
      </c>
    </row>
    <row r="5" spans="1:10">
      <c r="A5">
        <v>2009</v>
      </c>
      <c r="B5" s="71">
        <v>7.0999999999999994E-2</v>
      </c>
      <c r="C5">
        <f>$B$1-A5</f>
        <v>15</v>
      </c>
      <c r="D5" s="24">
        <f t="shared" ref="D5:D18" si="0">IF(C5=0,1,D6*(1+B5))</f>
        <v>2.1887113245056664</v>
      </c>
    </row>
    <row r="6" spans="1:10">
      <c r="A6">
        <v>2010</v>
      </c>
      <c r="B6" s="71">
        <v>4.2999999999999997E-2</v>
      </c>
      <c r="C6">
        <f t="shared" ref="C6:C17" si="1">$B$1-A6</f>
        <v>14</v>
      </c>
      <c r="D6" s="24">
        <f t="shared" si="0"/>
        <v>2.04361468207812</v>
      </c>
    </row>
    <row r="7" spans="1:10">
      <c r="A7">
        <v>2011</v>
      </c>
      <c r="B7" s="71">
        <v>0.05</v>
      </c>
      <c r="C7">
        <f t="shared" si="1"/>
        <v>13</v>
      </c>
      <c r="D7" s="24">
        <f t="shared" si="0"/>
        <v>1.9593621112925408</v>
      </c>
    </row>
    <row r="8" spans="1:10">
      <c r="A8">
        <v>2012</v>
      </c>
      <c r="B8" s="71">
        <v>5.6000000000000001E-2</v>
      </c>
      <c r="C8">
        <f t="shared" si="1"/>
        <v>12</v>
      </c>
      <c r="D8" s="24">
        <f t="shared" si="0"/>
        <v>1.8660591536119435</v>
      </c>
    </row>
    <row r="9" spans="1:10">
      <c r="A9">
        <v>2013</v>
      </c>
      <c r="B9" s="71">
        <v>5.7000000000000002E-2</v>
      </c>
      <c r="C9">
        <f t="shared" si="1"/>
        <v>11</v>
      </c>
      <c r="D9" s="24">
        <f t="shared" si="0"/>
        <v>1.7671014712234312</v>
      </c>
    </row>
    <row r="10" spans="1:10">
      <c r="A10">
        <v>2014</v>
      </c>
      <c r="B10" s="71">
        <v>6.0999999999999999E-2</v>
      </c>
      <c r="C10">
        <f t="shared" si="1"/>
        <v>10</v>
      </c>
      <c r="D10" s="24">
        <f t="shared" si="0"/>
        <v>1.6718083928320069</v>
      </c>
    </row>
    <row r="11" spans="1:10">
      <c r="A11">
        <v>2015</v>
      </c>
      <c r="B11" s="71">
        <v>4.5999999999999999E-2</v>
      </c>
      <c r="C11">
        <f>$B$1-A11</f>
        <v>9</v>
      </c>
      <c r="D11" s="24">
        <f t="shared" si="0"/>
        <v>1.5756912279283761</v>
      </c>
    </row>
    <row r="12" spans="1:10">
      <c r="A12">
        <v>2016</v>
      </c>
      <c r="B12" s="71">
        <v>6.4000000000000001E-2</v>
      </c>
      <c r="C12">
        <f t="shared" si="1"/>
        <v>8</v>
      </c>
      <c r="D12" s="24">
        <f t="shared" si="0"/>
        <v>1.5063969674267457</v>
      </c>
    </row>
    <row r="13" spans="1:10">
      <c r="A13">
        <v>2017</v>
      </c>
      <c r="B13" s="83">
        <v>5.2999999999999999E-2</v>
      </c>
      <c r="C13">
        <f t="shared" si="1"/>
        <v>7</v>
      </c>
      <c r="D13" s="24">
        <f t="shared" si="0"/>
        <v>1.4157866235213774</v>
      </c>
      <c r="J13" s="82"/>
    </row>
    <row r="14" spans="1:10">
      <c r="A14">
        <v>2018</v>
      </c>
      <c r="B14" s="104">
        <v>4.7E-2</v>
      </c>
      <c r="C14">
        <f t="shared" si="1"/>
        <v>6</v>
      </c>
      <c r="D14" s="24">
        <f t="shared" si="0"/>
        <v>1.3445267079975094</v>
      </c>
    </row>
    <row r="15" spans="1:10">
      <c r="A15">
        <v>2019</v>
      </c>
      <c r="B15" s="128">
        <v>4.1000000000000002E-2</v>
      </c>
      <c r="C15">
        <f t="shared" si="1"/>
        <v>5</v>
      </c>
      <c r="D15" s="24">
        <f t="shared" si="0"/>
        <v>1.2841706857664847</v>
      </c>
    </row>
    <row r="16" spans="1:10">
      <c r="A16">
        <v>2020</v>
      </c>
      <c r="B16" s="61">
        <v>3.3000000000000002E-2</v>
      </c>
      <c r="C16">
        <f t="shared" si="1"/>
        <v>4</v>
      </c>
      <c r="D16" s="24">
        <f t="shared" si="0"/>
        <v>1.2335933580849998</v>
      </c>
    </row>
    <row r="17" spans="1:4">
      <c r="A17">
        <v>2021</v>
      </c>
      <c r="B17" s="129">
        <v>4.4999999999999998E-2</v>
      </c>
      <c r="C17">
        <f t="shared" si="1"/>
        <v>3</v>
      </c>
      <c r="D17" s="24">
        <f t="shared" si="0"/>
        <v>1.1941852449999999</v>
      </c>
    </row>
    <row r="18" spans="1:4">
      <c r="A18">
        <v>2022</v>
      </c>
      <c r="B18" s="129">
        <v>6.9000000000000006E-2</v>
      </c>
      <c r="C18">
        <f>$B$1-A18</f>
        <v>2</v>
      </c>
      <c r="D18" s="24">
        <f t="shared" si="0"/>
        <v>1.1427609999999999</v>
      </c>
    </row>
    <row r="19" spans="1:4">
      <c r="A19">
        <v>2023</v>
      </c>
      <c r="B19" s="129">
        <v>6.9000000000000006E-2</v>
      </c>
      <c r="C19">
        <f>$B$1-A19</f>
        <v>1</v>
      </c>
      <c r="D19" s="24">
        <f>IF(C19=0,1,D20*(1+B19))</f>
        <v>1.069</v>
      </c>
    </row>
    <row r="20" spans="1:4">
      <c r="A20">
        <v>2024</v>
      </c>
      <c r="C20">
        <f>$B$1-A20</f>
        <v>0</v>
      </c>
      <c r="D20" s="24">
        <f>IF(C20=0,1,D22*(1+B20))</f>
        <v>1</v>
      </c>
    </row>
    <row r="23" spans="1:4">
      <c r="D23" s="24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49"/>
  <sheetViews>
    <sheetView workbookViewId="0">
      <selection activeCell="D8" sqref="D8"/>
    </sheetView>
  </sheetViews>
  <sheetFormatPr baseColWidth="10" defaultColWidth="8.83203125" defaultRowHeight="15"/>
  <sheetData>
    <row r="1" spans="1:6">
      <c r="A1" t="s">
        <v>913</v>
      </c>
      <c r="B1" t="s">
        <v>22</v>
      </c>
    </row>
    <row r="2" spans="1:6">
      <c r="A2" t="s">
        <v>914</v>
      </c>
      <c r="B2" t="s">
        <v>915</v>
      </c>
    </row>
    <row r="3" spans="1:6">
      <c r="A3" t="s">
        <v>25</v>
      </c>
      <c r="B3" t="s">
        <v>1033</v>
      </c>
    </row>
    <row r="4" spans="1:6">
      <c r="A4" t="s">
        <v>916</v>
      </c>
      <c r="B4" t="s">
        <v>917</v>
      </c>
    </row>
    <row r="5" spans="1:6">
      <c r="A5" t="s">
        <v>1374</v>
      </c>
      <c r="B5">
        <v>18.314900000000002</v>
      </c>
      <c r="F5">
        <f>AVERAGE(B5:B254)</f>
        <v>18.660657931034486</v>
      </c>
    </row>
    <row r="6" spans="1:6">
      <c r="A6" t="s">
        <v>1375</v>
      </c>
      <c r="B6">
        <v>18.370200000000001</v>
      </c>
    </row>
    <row r="7" spans="1:6">
      <c r="A7" t="s">
        <v>1376</v>
      </c>
      <c r="B7">
        <v>18.265799999999999</v>
      </c>
    </row>
    <row r="8" spans="1:6">
      <c r="A8" t="s">
        <v>1377</v>
      </c>
      <c r="B8">
        <v>18.508500000000002</v>
      </c>
    </row>
    <row r="9" spans="1:6">
      <c r="A9" t="s">
        <v>1378</v>
      </c>
      <c r="B9">
        <v>18.381599999999999</v>
      </c>
    </row>
    <row r="10" spans="1:6">
      <c r="A10" t="s">
        <v>1379</v>
      </c>
      <c r="B10">
        <v>18.3809</v>
      </c>
    </row>
    <row r="11" spans="1:6">
      <c r="A11" t="s">
        <v>1380</v>
      </c>
      <c r="B11">
        <v>18.2516</v>
      </c>
    </row>
    <row r="12" spans="1:6">
      <c r="A12" t="s">
        <v>1381</v>
      </c>
      <c r="B12">
        <v>18.350000000000001</v>
      </c>
    </row>
    <row r="13" spans="1:6">
      <c r="A13" t="s">
        <v>1382</v>
      </c>
      <c r="B13">
        <v>18.175999999999998</v>
      </c>
    </row>
    <row r="14" spans="1:6">
      <c r="A14" t="s">
        <v>1383</v>
      </c>
      <c r="B14">
        <v>18.167300000000001</v>
      </c>
    </row>
    <row r="15" spans="1:6">
      <c r="A15" t="s">
        <v>1384</v>
      </c>
      <c r="B15">
        <v>18.174399999999999</v>
      </c>
    </row>
    <row r="16" spans="1:6">
      <c r="A16" t="s">
        <v>1385</v>
      </c>
      <c r="B16">
        <v>18.062999999999999</v>
      </c>
    </row>
    <row r="17" spans="1:2">
      <c r="A17" t="s">
        <v>1386</v>
      </c>
      <c r="B17">
        <v>17.953299999999999</v>
      </c>
    </row>
    <row r="18" spans="1:2">
      <c r="A18" t="s">
        <v>1387</v>
      </c>
      <c r="B18">
        <v>18.081</v>
      </c>
    </row>
    <row r="19" spans="1:2">
      <c r="A19" t="s">
        <v>1388</v>
      </c>
      <c r="B19">
        <v>18.087599999999998</v>
      </c>
    </row>
    <row r="20" spans="1:2">
      <c r="A20" t="s">
        <v>1389</v>
      </c>
      <c r="B20">
        <v>18.0916</v>
      </c>
    </row>
    <row r="21" spans="1:2">
      <c r="A21" t="s">
        <v>1390</v>
      </c>
      <c r="B21">
        <v>18.153099999999998</v>
      </c>
    </row>
    <row r="22" spans="1:2">
      <c r="A22" t="s">
        <v>1391</v>
      </c>
      <c r="B22">
        <v>18.202200000000001</v>
      </c>
    </row>
    <row r="23" spans="1:2">
      <c r="A23" t="s">
        <v>1392</v>
      </c>
      <c r="B23">
        <v>18.350200000000001</v>
      </c>
    </row>
    <row r="24" spans="1:2">
      <c r="A24" t="s">
        <v>1393</v>
      </c>
      <c r="B24">
        <v>18.493099999999998</v>
      </c>
    </row>
    <row r="25" spans="1:2">
      <c r="A25" t="s">
        <v>1394</v>
      </c>
      <c r="B25">
        <v>18.446400000000001</v>
      </c>
    </row>
    <row r="26" spans="1:2">
      <c r="A26" t="s">
        <v>1395</v>
      </c>
      <c r="B26">
        <v>18.3232</v>
      </c>
    </row>
    <row r="27" spans="1:2">
      <c r="A27" t="s">
        <v>1396</v>
      </c>
      <c r="B27">
        <v>18.213799999999999</v>
      </c>
    </row>
    <row r="28" spans="1:2">
      <c r="A28" t="s">
        <v>1397</v>
      </c>
      <c r="B28">
        <v>18.316600000000001</v>
      </c>
    </row>
    <row r="29" spans="1:2">
      <c r="A29" t="s">
        <v>1398</v>
      </c>
      <c r="B29">
        <v>18.2727</v>
      </c>
    </row>
    <row r="30" spans="1:2">
      <c r="A30" t="s">
        <v>1399</v>
      </c>
      <c r="B30">
        <v>18.1416</v>
      </c>
    </row>
    <row r="31" spans="1:2">
      <c r="A31" t="s">
        <v>1400</v>
      </c>
      <c r="B31">
        <v>18.076599999999999</v>
      </c>
    </row>
    <row r="32" spans="1:2">
      <c r="A32" t="s">
        <v>1401</v>
      </c>
      <c r="B32">
        <v>17.9574</v>
      </c>
    </row>
    <row r="33" spans="1:2">
      <c r="A33" t="s">
        <v>1402</v>
      </c>
      <c r="B33">
        <v>18.1006</v>
      </c>
    </row>
    <row r="34" spans="1:2">
      <c r="A34" t="s">
        <v>1403</v>
      </c>
      <c r="B34">
        <v>17.966799999999999</v>
      </c>
    </row>
    <row r="35" spans="1:2">
      <c r="A35" t="s">
        <v>1404</v>
      </c>
      <c r="B35">
        <v>18.188800000000001</v>
      </c>
    </row>
    <row r="36" spans="1:2">
      <c r="A36" t="s">
        <v>1405</v>
      </c>
      <c r="B36">
        <v>18.3748</v>
      </c>
    </row>
    <row r="37" spans="1:2">
      <c r="A37" t="s">
        <v>1406</v>
      </c>
      <c r="B37">
        <v>18.415400000000002</v>
      </c>
    </row>
    <row r="38" spans="1:2">
      <c r="A38" t="s">
        <v>1407</v>
      </c>
      <c r="B38">
        <v>18.5517</v>
      </c>
    </row>
    <row r="39" spans="1:2">
      <c r="A39" t="s">
        <v>1408</v>
      </c>
      <c r="B39">
        <v>18.674600000000002</v>
      </c>
    </row>
    <row r="40" spans="1:2">
      <c r="A40" t="s">
        <v>1409</v>
      </c>
      <c r="B40">
        <v>18.781300000000002</v>
      </c>
    </row>
    <row r="41" spans="1:2">
      <c r="A41" t="s">
        <v>1410</v>
      </c>
      <c r="B41">
        <v>18.8447</v>
      </c>
    </row>
    <row r="42" spans="1:2">
      <c r="A42" t="s">
        <v>1411</v>
      </c>
      <c r="B42">
        <v>18.9072</v>
      </c>
    </row>
    <row r="43" spans="1:2">
      <c r="A43" t="s">
        <v>1412</v>
      </c>
      <c r="B43">
        <v>18.802900000000001</v>
      </c>
    </row>
    <row r="44" spans="1:2">
      <c r="A44" t="s">
        <v>1413</v>
      </c>
      <c r="B44">
        <v>18.734500000000001</v>
      </c>
    </row>
    <row r="45" spans="1:2">
      <c r="A45" t="s">
        <v>1414</v>
      </c>
      <c r="B45">
        <v>18.697800000000001</v>
      </c>
    </row>
    <row r="46" spans="1:2">
      <c r="A46" t="s">
        <v>1415</v>
      </c>
      <c r="B46">
        <v>18.8538</v>
      </c>
    </row>
    <row r="47" spans="1:2">
      <c r="A47" t="s">
        <v>1416</v>
      </c>
      <c r="B47">
        <v>18.6982</v>
      </c>
    </row>
    <row r="48" spans="1:2">
      <c r="A48" t="s">
        <v>1417</v>
      </c>
      <c r="B48">
        <v>18.376200000000001</v>
      </c>
    </row>
    <row r="49" spans="1:2">
      <c r="A49" t="s">
        <v>1418</v>
      </c>
      <c r="B49">
        <v>18.428599999999999</v>
      </c>
    </row>
    <row r="50" spans="1:2">
      <c r="A50" t="s">
        <v>1419</v>
      </c>
      <c r="B50">
        <v>18.418600000000001</v>
      </c>
    </row>
    <row r="51" spans="1:2">
      <c r="A51" t="s">
        <v>1420</v>
      </c>
      <c r="B51">
        <v>18.366900000000001</v>
      </c>
    </row>
    <row r="52" spans="1:2">
      <c r="A52" t="s">
        <v>1421</v>
      </c>
      <c r="B52">
        <v>18.187100000000001</v>
      </c>
    </row>
    <row r="53" spans="1:2">
      <c r="A53" t="s">
        <v>1422</v>
      </c>
      <c r="B53">
        <v>18.1951</v>
      </c>
    </row>
    <row r="54" spans="1:2">
      <c r="A54" t="s">
        <v>1423</v>
      </c>
      <c r="B54">
        <v>18.133500000000002</v>
      </c>
    </row>
    <row r="55" spans="1:2">
      <c r="A55" t="s">
        <v>1424</v>
      </c>
      <c r="B55">
        <v>18.2194</v>
      </c>
    </row>
    <row r="56" spans="1:2">
      <c r="A56" t="s">
        <v>1425</v>
      </c>
      <c r="B56">
        <v>18.231400000000001</v>
      </c>
    </row>
    <row r="57" spans="1:2">
      <c r="A57" t="s">
        <v>1426</v>
      </c>
      <c r="B57">
        <v>18.3385</v>
      </c>
    </row>
    <row r="58" spans="1:2">
      <c r="A58" t="s">
        <v>1427</v>
      </c>
      <c r="B58">
        <v>18.441500000000001</v>
      </c>
    </row>
    <row r="59" spans="1:2">
      <c r="A59" t="s">
        <v>1428</v>
      </c>
      <c r="B59">
        <v>18.398399999999999</v>
      </c>
    </row>
    <row r="60" spans="1:2">
      <c r="A60" t="s">
        <v>1429</v>
      </c>
      <c r="B60">
        <v>18.401199999999999</v>
      </c>
    </row>
    <row r="61" spans="1:2">
      <c r="A61" t="s">
        <v>1430</v>
      </c>
      <c r="B61">
        <v>18.542999999999999</v>
      </c>
    </row>
    <row r="62" spans="1:2">
      <c r="A62" t="s">
        <v>1431</v>
      </c>
      <c r="B62">
        <v>18.589500000000001</v>
      </c>
    </row>
    <row r="63" spans="1:2">
      <c r="A63" t="s">
        <v>1432</v>
      </c>
      <c r="B63">
        <v>18.472300000000001</v>
      </c>
    </row>
    <row r="64" spans="1:2">
      <c r="A64" t="s">
        <v>1433</v>
      </c>
      <c r="B64">
        <v>18.465699999999998</v>
      </c>
    </row>
    <row r="65" spans="1:2">
      <c r="A65" t="s">
        <v>1434</v>
      </c>
      <c r="B65">
        <v>18.562200000000001</v>
      </c>
    </row>
    <row r="66" spans="1:2">
      <c r="A66" t="s">
        <v>1187</v>
      </c>
      <c r="B66">
        <v>18.566299999999998</v>
      </c>
    </row>
    <row r="67" spans="1:2">
      <c r="A67" t="s">
        <v>1188</v>
      </c>
      <c r="B67">
        <v>18.706099999999999</v>
      </c>
    </row>
    <row r="68" spans="1:2">
      <c r="A68" t="s">
        <v>1189</v>
      </c>
      <c r="B68">
        <v>18.797000000000001</v>
      </c>
    </row>
    <row r="69" spans="1:2">
      <c r="A69" t="s">
        <v>1190</v>
      </c>
      <c r="B69">
        <v>18.9895</v>
      </c>
    </row>
    <row r="70" spans="1:2">
      <c r="A70" t="s">
        <v>1191</v>
      </c>
      <c r="B70">
        <v>19.082999999999998</v>
      </c>
    </row>
    <row r="71" spans="1:2">
      <c r="A71" t="s">
        <v>1192</v>
      </c>
      <c r="B71">
        <v>19.126200000000001</v>
      </c>
    </row>
    <row r="72" spans="1:2">
      <c r="A72" t="s">
        <v>1193</v>
      </c>
      <c r="B72">
        <v>19.199200000000001</v>
      </c>
    </row>
    <row r="73" spans="1:2">
      <c r="A73" t="s">
        <v>1194</v>
      </c>
      <c r="B73">
        <v>19.0886</v>
      </c>
    </row>
    <row r="74" spans="1:2">
      <c r="A74" t="s">
        <v>1195</v>
      </c>
      <c r="B74">
        <v>19.246700000000001</v>
      </c>
    </row>
    <row r="75" spans="1:2">
      <c r="A75" t="s">
        <v>1196</v>
      </c>
      <c r="B75">
        <v>19.0337</v>
      </c>
    </row>
    <row r="76" spans="1:2">
      <c r="A76" t="s">
        <v>1197</v>
      </c>
      <c r="B76">
        <v>18.964099999999998</v>
      </c>
    </row>
    <row r="77" spans="1:2">
      <c r="A77" t="s">
        <v>1198</v>
      </c>
      <c r="B77">
        <v>19.108599999999999</v>
      </c>
    </row>
    <row r="78" spans="1:2">
      <c r="A78" t="s">
        <v>1199</v>
      </c>
      <c r="B78">
        <v>18.8782</v>
      </c>
    </row>
    <row r="79" spans="1:2">
      <c r="A79" t="s">
        <v>1200</v>
      </c>
      <c r="B79">
        <v>18.686599999999999</v>
      </c>
    </row>
    <row r="80" spans="1:2">
      <c r="A80" t="s">
        <v>1201</v>
      </c>
      <c r="B80">
        <v>18.8005</v>
      </c>
    </row>
    <row r="81" spans="1:2">
      <c r="A81" t="s">
        <v>1202</v>
      </c>
      <c r="B81">
        <v>18.572600000000001</v>
      </c>
    </row>
    <row r="82" spans="1:2">
      <c r="A82" t="s">
        <v>1203</v>
      </c>
      <c r="B82">
        <v>18.5259</v>
      </c>
    </row>
    <row r="83" spans="1:2">
      <c r="A83" t="s">
        <v>1204</v>
      </c>
      <c r="B83">
        <v>18.618600000000001</v>
      </c>
    </row>
    <row r="84" spans="1:2">
      <c r="A84" t="s">
        <v>1205</v>
      </c>
      <c r="B84">
        <v>18.666799999999999</v>
      </c>
    </row>
    <row r="85" spans="1:2">
      <c r="A85" t="s">
        <v>1206</v>
      </c>
      <c r="B85">
        <v>18.615400000000001</v>
      </c>
    </row>
    <row r="86" spans="1:2">
      <c r="A86" t="s">
        <v>1207</v>
      </c>
      <c r="B86">
        <v>18.853200000000001</v>
      </c>
    </row>
    <row r="87" spans="1:2">
      <c r="A87" t="s">
        <v>1208</v>
      </c>
      <c r="B87">
        <v>18.8384</v>
      </c>
    </row>
    <row r="88" spans="1:2">
      <c r="A88" t="s">
        <v>1209</v>
      </c>
      <c r="B88">
        <v>18.992599999999999</v>
      </c>
    </row>
    <row r="89" spans="1:2">
      <c r="A89" t="s">
        <v>1210</v>
      </c>
      <c r="B89">
        <v>18.945499999999999</v>
      </c>
    </row>
    <row r="90" spans="1:2">
      <c r="A90" t="s">
        <v>1211</v>
      </c>
      <c r="B90">
        <v>18.9041</v>
      </c>
    </row>
    <row r="91" spans="1:2">
      <c r="A91" t="s">
        <v>1212</v>
      </c>
      <c r="B91">
        <v>19.0001</v>
      </c>
    </row>
    <row r="92" spans="1:2">
      <c r="A92" t="s">
        <v>1213</v>
      </c>
      <c r="B92">
        <v>18.9907</v>
      </c>
    </row>
    <row r="93" spans="1:2">
      <c r="A93" t="s">
        <v>1214</v>
      </c>
      <c r="B93">
        <v>18.952200000000001</v>
      </c>
    </row>
    <row r="94" spans="1:2">
      <c r="A94" t="s">
        <v>1215</v>
      </c>
      <c r="B94">
        <v>19.014500000000002</v>
      </c>
    </row>
    <row r="95" spans="1:2">
      <c r="A95" t="s">
        <v>1216</v>
      </c>
      <c r="B95">
        <v>18.772200000000002</v>
      </c>
    </row>
    <row r="96" spans="1:2">
      <c r="A96" t="s">
        <v>1217</v>
      </c>
      <c r="B96">
        <v>18.6815</v>
      </c>
    </row>
    <row r="97" spans="1:2">
      <c r="A97" t="s">
        <v>1218</v>
      </c>
      <c r="B97">
        <v>18.6221</v>
      </c>
    </row>
    <row r="98" spans="1:2">
      <c r="A98" t="s">
        <v>1219</v>
      </c>
      <c r="B98">
        <v>18.6934</v>
      </c>
    </row>
    <row r="99" spans="1:2">
      <c r="A99" t="s">
        <v>1220</v>
      </c>
      <c r="B99">
        <v>18.6281</v>
      </c>
    </row>
    <row r="100" spans="1:2">
      <c r="A100" t="s">
        <v>1221</v>
      </c>
      <c r="B100">
        <v>18.695799999999998</v>
      </c>
    </row>
    <row r="101" spans="1:2">
      <c r="A101" t="s">
        <v>1222</v>
      </c>
      <c r="B101">
        <v>18.6616</v>
      </c>
    </row>
    <row r="102" spans="1:2">
      <c r="A102" t="s">
        <v>1223</v>
      </c>
      <c r="B102">
        <v>18.782399999999999</v>
      </c>
    </row>
    <row r="103" spans="1:2">
      <c r="A103" t="s">
        <v>1224</v>
      </c>
      <c r="B103">
        <v>18.889299999999999</v>
      </c>
    </row>
    <row r="104" spans="1:2">
      <c r="A104" t="s">
        <v>1225</v>
      </c>
      <c r="B104">
        <v>19.0608</v>
      </c>
    </row>
    <row r="105" spans="1:2">
      <c r="A105" t="s">
        <v>1226</v>
      </c>
      <c r="B105">
        <v>19.026800000000001</v>
      </c>
    </row>
    <row r="106" spans="1:2">
      <c r="A106" t="s">
        <v>1227</v>
      </c>
      <c r="B106">
        <v>19.227900000000002</v>
      </c>
    </row>
    <row r="107" spans="1:2">
      <c r="A107" t="s">
        <v>1228</v>
      </c>
      <c r="B107">
        <v>19.215499999999999</v>
      </c>
    </row>
    <row r="108" spans="1:2">
      <c r="A108" t="s">
        <v>1229</v>
      </c>
      <c r="B108">
        <v>19.1936</v>
      </c>
    </row>
    <row r="109" spans="1:2">
      <c r="A109" t="s">
        <v>1230</v>
      </c>
      <c r="B109">
        <v>19.243600000000001</v>
      </c>
    </row>
    <row r="110" spans="1:2">
      <c r="A110" t="s">
        <v>1231</v>
      </c>
      <c r="B110">
        <v>19.3231</v>
      </c>
    </row>
    <row r="111" spans="1:2">
      <c r="A111" t="s">
        <v>1232</v>
      </c>
      <c r="B111">
        <v>19.245200000000001</v>
      </c>
    </row>
    <row r="112" spans="1:2">
      <c r="A112" t="s">
        <v>1233</v>
      </c>
      <c r="B112">
        <v>18.853999999999999</v>
      </c>
    </row>
    <row r="113" spans="1:2">
      <c r="A113" t="s">
        <v>1234</v>
      </c>
      <c r="B113">
        <v>18.887699999999999</v>
      </c>
    </row>
    <row r="114" spans="1:2">
      <c r="A114" t="s">
        <v>1235</v>
      </c>
      <c r="B114">
        <v>19.068100000000001</v>
      </c>
    </row>
    <row r="115" spans="1:2">
      <c r="A115" t="s">
        <v>1236</v>
      </c>
      <c r="B115">
        <v>18.89</v>
      </c>
    </row>
    <row r="116" spans="1:2">
      <c r="A116" t="s">
        <v>1237</v>
      </c>
      <c r="B116">
        <v>18.885200000000001</v>
      </c>
    </row>
    <row r="117" spans="1:2">
      <c r="A117" t="s">
        <v>1238</v>
      </c>
      <c r="B117">
        <v>18.999099999999999</v>
      </c>
    </row>
    <row r="118" spans="1:2">
      <c r="A118" t="s">
        <v>1239</v>
      </c>
      <c r="B118">
        <v>19.178100000000001</v>
      </c>
    </row>
    <row r="119" spans="1:2">
      <c r="A119" t="s">
        <v>1240</v>
      </c>
      <c r="B119">
        <v>18.843499999999999</v>
      </c>
    </row>
    <row r="120" spans="1:2">
      <c r="A120" t="s">
        <v>1241</v>
      </c>
      <c r="B120">
        <v>18.9877</v>
      </c>
    </row>
    <row r="121" spans="1:2">
      <c r="A121" t="s">
        <v>1242</v>
      </c>
      <c r="B121">
        <v>19.011299999999999</v>
      </c>
    </row>
    <row r="122" spans="1:2">
      <c r="A122" t="s">
        <v>1243</v>
      </c>
      <c r="B122">
        <v>18.969100000000001</v>
      </c>
    </row>
    <row r="123" spans="1:2">
      <c r="A123" t="s">
        <v>1244</v>
      </c>
      <c r="B123">
        <v>18.851199999999999</v>
      </c>
    </row>
    <row r="124" spans="1:2">
      <c r="A124" t="s">
        <v>1245</v>
      </c>
      <c r="B124">
        <v>18.945699999999999</v>
      </c>
    </row>
    <row r="125" spans="1:2">
      <c r="A125" t="s">
        <v>1246</v>
      </c>
      <c r="B125">
        <v>18.956299999999999</v>
      </c>
    </row>
    <row r="126" spans="1:2">
      <c r="A126" t="s">
        <v>1247</v>
      </c>
      <c r="B126">
        <v>18.634</v>
      </c>
    </row>
    <row r="127" spans="1:2">
      <c r="A127" t="s">
        <v>1248</v>
      </c>
      <c r="B127">
        <v>18.7164</v>
      </c>
    </row>
    <row r="128" spans="1:2">
      <c r="A128" t="s">
        <v>1249</v>
      </c>
      <c r="B128">
        <v>18.706299999999999</v>
      </c>
    </row>
    <row r="129" spans="1:2">
      <c r="A129" t="s">
        <v>1250</v>
      </c>
      <c r="B129">
        <v>18.863700000000001</v>
      </c>
    </row>
    <row r="130" spans="1:2">
      <c r="A130" t="s">
        <v>1251</v>
      </c>
      <c r="B130">
        <v>18.766500000000001</v>
      </c>
    </row>
    <row r="131" spans="1:2">
      <c r="A131" t="s">
        <v>1252</v>
      </c>
      <c r="B131">
        <v>18.915600000000001</v>
      </c>
    </row>
    <row r="132" spans="1:2">
      <c r="A132" t="s">
        <v>1253</v>
      </c>
      <c r="B132">
        <v>18.894600000000001</v>
      </c>
    </row>
    <row r="133" spans="1:2">
      <c r="A133" t="s">
        <v>1254</v>
      </c>
      <c r="B133">
        <v>18.866299999999999</v>
      </c>
    </row>
    <row r="134" spans="1:2">
      <c r="A134" t="s">
        <v>1255</v>
      </c>
      <c r="B134">
        <v>19.098299999999998</v>
      </c>
    </row>
    <row r="135" spans="1:2">
      <c r="A135" t="s">
        <v>1256</v>
      </c>
      <c r="B135">
        <v>19.144400000000001</v>
      </c>
    </row>
    <row r="136" spans="1:2">
      <c r="A136" t="s">
        <v>1257</v>
      </c>
      <c r="B136">
        <v>18.990400000000001</v>
      </c>
    </row>
    <row r="137" spans="1:2">
      <c r="A137" t="s">
        <v>1258</v>
      </c>
      <c r="B137">
        <v>19.004999999999999</v>
      </c>
    </row>
    <row r="138" spans="1:2">
      <c r="A138" t="s">
        <v>1259</v>
      </c>
      <c r="B138">
        <v>19.0093</v>
      </c>
    </row>
    <row r="139" spans="1:2">
      <c r="A139" t="s">
        <v>1260</v>
      </c>
      <c r="B139">
        <v>18.854700000000001</v>
      </c>
    </row>
    <row r="140" spans="1:2">
      <c r="A140" t="s">
        <v>1261</v>
      </c>
      <c r="B140">
        <v>18.672999999999998</v>
      </c>
    </row>
    <row r="141" spans="1:2">
      <c r="A141" t="s">
        <v>1262</v>
      </c>
      <c r="B141">
        <v>18.581800000000001</v>
      </c>
    </row>
    <row r="142" spans="1:2">
      <c r="A142" t="s">
        <v>1263</v>
      </c>
      <c r="B142">
        <v>18.6279</v>
      </c>
    </row>
    <row r="143" spans="1:2">
      <c r="A143" t="s">
        <v>1264</v>
      </c>
      <c r="B143">
        <v>18.6495</v>
      </c>
    </row>
    <row r="144" spans="1:2">
      <c r="A144" t="s">
        <v>1265</v>
      </c>
      <c r="B144">
        <v>18.6387</v>
      </c>
    </row>
    <row r="145" spans="1:2">
      <c r="A145" t="s">
        <v>1266</v>
      </c>
      <c r="B145">
        <v>18.8003</v>
      </c>
    </row>
    <row r="146" spans="1:2">
      <c r="A146" t="s">
        <v>1267</v>
      </c>
      <c r="B146">
        <v>18.790600000000001</v>
      </c>
    </row>
    <row r="147" spans="1:2">
      <c r="A147" t="s">
        <v>1268</v>
      </c>
      <c r="B147">
        <v>18.656199999999998</v>
      </c>
    </row>
    <row r="148" spans="1:2">
      <c r="A148" t="s">
        <v>1269</v>
      </c>
      <c r="B148">
        <v>18.580300000000001</v>
      </c>
    </row>
    <row r="149" spans="1:2">
      <c r="A149" t="s">
        <v>1270</v>
      </c>
      <c r="B149">
        <v>18.350000000000001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/>
  <dimension ref="A1:I17"/>
  <sheetViews>
    <sheetView zoomScale="85" zoomScaleNormal="85" workbookViewId="0">
      <pane xSplit="1" ySplit="1" topLeftCell="B2" activePane="bottomRight" state="frozen"/>
      <selection activeCell="R13" sqref="R13"/>
      <selection pane="topRight" activeCell="R13" sqref="R13"/>
      <selection pane="bottomLeft" activeCell="R13" sqref="R13"/>
      <selection pane="bottomRight" activeCell="B34" sqref="B34"/>
    </sheetView>
  </sheetViews>
  <sheetFormatPr baseColWidth="10" defaultColWidth="8.83203125" defaultRowHeight="15"/>
  <cols>
    <col min="1" max="1" width="59.5" customWidth="1"/>
    <col min="2" max="2" width="25.83203125" customWidth="1"/>
    <col min="3" max="3" width="41.33203125" customWidth="1"/>
    <col min="4" max="4" width="14.83203125" customWidth="1"/>
    <col min="5" max="5" width="9.33203125" bestFit="1" customWidth="1"/>
    <col min="6" max="6" width="15.1640625" style="13" bestFit="1" customWidth="1"/>
    <col min="7" max="7" width="17.5" bestFit="1" customWidth="1"/>
    <col min="8" max="8" width="11.6640625" bestFit="1" customWidth="1"/>
    <col min="9" max="9" width="16.5" customWidth="1"/>
    <col min="10" max="10" width="14.5" bestFit="1" customWidth="1"/>
  </cols>
  <sheetData>
    <row r="1" spans="1:9" ht="30" customHeight="1">
      <c r="A1" s="17" t="s">
        <v>0</v>
      </c>
      <c r="B1" s="18" t="s">
        <v>25</v>
      </c>
      <c r="C1" s="18" t="s">
        <v>954</v>
      </c>
      <c r="D1" s="18" t="s">
        <v>139</v>
      </c>
      <c r="E1" s="18" t="s">
        <v>24</v>
      </c>
      <c r="F1" s="19" t="s">
        <v>26</v>
      </c>
      <c r="G1" s="20" t="s">
        <v>23</v>
      </c>
      <c r="H1" s="18" t="s">
        <v>238</v>
      </c>
      <c r="I1" s="1" t="s">
        <v>140</v>
      </c>
    </row>
    <row r="2" spans="1:9">
      <c r="A2" t="s">
        <v>4</v>
      </c>
      <c r="B2" t="s">
        <v>922</v>
      </c>
      <c r="C2" t="s">
        <v>1579</v>
      </c>
      <c r="D2" t="s">
        <v>1580</v>
      </c>
      <c r="E2">
        <v>2012</v>
      </c>
      <c r="F2" s="21">
        <v>683</v>
      </c>
      <c r="G2" t="s">
        <v>141</v>
      </c>
      <c r="H2">
        <f>Inflation!$B$1-E2</f>
        <v>12</v>
      </c>
      <c r="I2" s="13">
        <f>IF(H2=0,F2,F2*VLOOKUP(H2,Inflation!$C$5:$D$20,2,FALSE))</f>
        <v>1274.5184019169574</v>
      </c>
    </row>
    <row r="3" spans="1:9">
      <c r="A3" t="s">
        <v>17</v>
      </c>
      <c r="B3" t="s">
        <v>144</v>
      </c>
      <c r="C3" t="s">
        <v>1579</v>
      </c>
      <c r="E3">
        <v>2014</v>
      </c>
      <c r="F3" s="68">
        <v>29342477</v>
      </c>
      <c r="G3" t="s">
        <v>143</v>
      </c>
      <c r="H3">
        <f>Inflation!$B$1-E3</f>
        <v>10</v>
      </c>
      <c r="I3" s="13">
        <f>IF(H3=0,F3,F3*VLOOKUP(H3,Inflation!$C$5:$D$20,2,FALSE))</f>
        <v>49054999.315080129</v>
      </c>
    </row>
    <row r="4" spans="1:9">
      <c r="A4" t="s">
        <v>18</v>
      </c>
      <c r="B4" t="s">
        <v>144</v>
      </c>
      <c r="C4" t="s">
        <v>1579</v>
      </c>
      <c r="E4">
        <v>2014</v>
      </c>
      <c r="F4" s="68">
        <v>13776000</v>
      </c>
      <c r="G4" t="s">
        <v>143</v>
      </c>
      <c r="H4">
        <f>Inflation!$B$1-E4</f>
        <v>10</v>
      </c>
      <c r="I4" s="13">
        <f>IF(H4=0,F4,F4*VLOOKUP(H4,Inflation!$C$5:$D$20,2,FALSE))</f>
        <v>23030832.419653729</v>
      </c>
    </row>
    <row r="5" spans="1:9">
      <c r="A5" t="s">
        <v>19</v>
      </c>
      <c r="B5" t="s">
        <v>144</v>
      </c>
      <c r="C5" t="s">
        <v>1579</v>
      </c>
      <c r="D5" t="s">
        <v>957</v>
      </c>
      <c r="E5">
        <v>2014</v>
      </c>
      <c r="F5" s="22">
        <f>298000*9</f>
        <v>2682000</v>
      </c>
      <c r="G5" t="s">
        <v>143</v>
      </c>
      <c r="H5">
        <f>Inflation!$B$1-E5</f>
        <v>10</v>
      </c>
      <c r="I5" s="13">
        <f>IF(H5=0,F5,F5*VLOOKUP(H5,Inflation!$C$5:$D$20,2,FALSE))</f>
        <v>4483790.109575442</v>
      </c>
    </row>
    <row r="6" spans="1:9">
      <c r="A6" t="s">
        <v>20</v>
      </c>
      <c r="B6" t="s">
        <v>145</v>
      </c>
      <c r="C6" t="s">
        <v>1579</v>
      </c>
      <c r="E6">
        <v>2015</v>
      </c>
      <c r="F6" s="23">
        <v>179946913.88</v>
      </c>
      <c r="G6" t="s">
        <v>143</v>
      </c>
      <c r="H6">
        <f>Inflation!$B$1-E6</f>
        <v>9</v>
      </c>
      <c r="I6" s="13">
        <f>IF(H6=0,F6,F6*VLOOKUP(H6,Inflation!$C$5:$D$20,2,FALSE))</f>
        <v>283540773.69349897</v>
      </c>
    </row>
    <row r="7" spans="1:9">
      <c r="A7" s="289" t="s">
        <v>147</v>
      </c>
      <c r="E7">
        <v>2015</v>
      </c>
      <c r="F7" s="68">
        <v>31926988</v>
      </c>
      <c r="H7">
        <f>Inflation!$B$1-E7</f>
        <v>9</v>
      </c>
      <c r="I7" s="13">
        <f>IF(H7=0,F7,F7*VLOOKUP(H7,Inflation!$C$5:$D$20,2,FALSE))</f>
        <v>50307074.92577453</v>
      </c>
    </row>
    <row r="8" spans="1:9">
      <c r="A8" s="289" t="s">
        <v>148</v>
      </c>
      <c r="E8">
        <v>2015</v>
      </c>
      <c r="F8" s="68">
        <v>33977439</v>
      </c>
      <c r="H8">
        <f>Inflation!$B$1-E8</f>
        <v>9</v>
      </c>
      <c r="I8" s="13">
        <f>IF(H8=0,F8,F8*VLOOKUP(H8,Inflation!$C$5:$D$20,2,FALSE))</f>
        <v>53537952.579771496</v>
      </c>
    </row>
    <row r="9" spans="1:9">
      <c r="A9" s="289" t="s">
        <v>149</v>
      </c>
      <c r="E9">
        <v>2015</v>
      </c>
      <c r="F9" s="68">
        <v>40802422</v>
      </c>
      <c r="H9">
        <f>Inflation!$B$1-E9</f>
        <v>9</v>
      </c>
      <c r="I9" s="13">
        <f>IF(H9=0,F9,F9*VLOOKUP(H9,Inflation!$C$5:$D$20,2,FALSE))</f>
        <v>64292018.423631787</v>
      </c>
    </row>
    <row r="10" spans="1:9">
      <c r="A10" s="289" t="s">
        <v>341</v>
      </c>
      <c r="E10">
        <v>2015</v>
      </c>
      <c r="F10" s="68">
        <v>43600265</v>
      </c>
      <c r="H10">
        <f>Inflation!$B$1-E10</f>
        <v>9</v>
      </c>
      <c r="I10" s="13">
        <f>IF(H10=0,F10,F10*VLOOKUP(H10,Inflation!$C$5:$D$20,2,FALSE))</f>
        <v>68700555.095852599</v>
      </c>
    </row>
    <row r="11" spans="1:9">
      <c r="A11" s="79" t="s">
        <v>926</v>
      </c>
      <c r="B11" t="s">
        <v>923</v>
      </c>
      <c r="C11" t="s">
        <v>921</v>
      </c>
      <c r="D11" t="s">
        <v>929</v>
      </c>
      <c r="E11">
        <v>2023</v>
      </c>
      <c r="F11" s="13">
        <v>135.96517498332969</v>
      </c>
      <c r="G11" t="s">
        <v>930</v>
      </c>
      <c r="H11">
        <f>Inflation!$B$1-E11</f>
        <v>1</v>
      </c>
      <c r="I11" s="13">
        <f>IF(H11=0,F11,F11*VLOOKUP(H11,Inflation!$C$5:$D$20,2,FALSE))</f>
        <v>145.34677205717944</v>
      </c>
    </row>
    <row r="12" spans="1:9">
      <c r="A12" s="79" t="s">
        <v>925</v>
      </c>
      <c r="B12" t="s">
        <v>923</v>
      </c>
      <c r="C12" t="s">
        <v>921</v>
      </c>
      <c r="D12" t="s">
        <v>929</v>
      </c>
      <c r="E12">
        <v>2023</v>
      </c>
      <c r="F12" s="13">
        <v>263.63157783962833</v>
      </c>
      <c r="G12" t="s">
        <v>930</v>
      </c>
      <c r="H12">
        <f>Inflation!$B$1-E12</f>
        <v>1</v>
      </c>
      <c r="I12" s="13">
        <f>IF(H12=0,F12,F12*VLOOKUP(H12,Inflation!$C$5:$D$20,2,FALSE))</f>
        <v>281.82215671056269</v>
      </c>
    </row>
    <row r="13" spans="1:9">
      <c r="A13" s="79" t="s">
        <v>924</v>
      </c>
      <c r="B13" t="s">
        <v>923</v>
      </c>
      <c r="C13" t="s">
        <v>921</v>
      </c>
      <c r="D13" t="s">
        <v>929</v>
      </c>
      <c r="E13">
        <v>2023</v>
      </c>
      <c r="F13" s="13">
        <v>251.01712023135642</v>
      </c>
      <c r="G13" t="s">
        <v>930</v>
      </c>
      <c r="H13">
        <f>Inflation!$B$1-E13</f>
        <v>1</v>
      </c>
      <c r="I13" s="13">
        <f>IF(H13=0,F13,F13*VLOOKUP(H13,Inflation!$C$5:$D$20,2,FALSE))</f>
        <v>268.33730152731999</v>
      </c>
    </row>
    <row r="14" spans="1:9">
      <c r="A14" s="79" t="s">
        <v>927</v>
      </c>
      <c r="B14" t="s">
        <v>923</v>
      </c>
      <c r="C14" t="s">
        <v>921</v>
      </c>
      <c r="D14" t="s">
        <v>929</v>
      </c>
      <c r="E14">
        <v>2023</v>
      </c>
      <c r="F14" s="13">
        <v>130.87399814080601</v>
      </c>
      <c r="G14" t="s">
        <v>930</v>
      </c>
      <c r="H14">
        <f>Inflation!$B$1-E14</f>
        <v>1</v>
      </c>
      <c r="I14" s="13">
        <f>IF(H14=0,F14,F14*VLOOKUP(H14,Inflation!$C$5:$D$20,2,FALSE))</f>
        <v>139.90430401252161</v>
      </c>
    </row>
    <row r="15" spans="1:9">
      <c r="A15" s="79" t="s">
        <v>928</v>
      </c>
      <c r="B15" t="s">
        <v>923</v>
      </c>
      <c r="C15" s="82" t="s">
        <v>921</v>
      </c>
      <c r="D15" t="s">
        <v>929</v>
      </c>
      <c r="E15">
        <v>2023</v>
      </c>
      <c r="F15" s="13">
        <v>122.06023869321794</v>
      </c>
      <c r="G15" t="s">
        <v>930</v>
      </c>
      <c r="H15">
        <f>Inflation!$B$1-E15</f>
        <v>1</v>
      </c>
      <c r="I15" s="13">
        <f>IF(H15=0,F15,F15*VLOOKUP(H15,Inflation!$C$5:$D$20,2,FALSE))</f>
        <v>130.48239516304997</v>
      </c>
    </row>
    <row r="16" spans="1:9">
      <c r="A16" s="79" t="s">
        <v>1566</v>
      </c>
      <c r="B16" t="s">
        <v>956</v>
      </c>
      <c r="C16" t="s">
        <v>1581</v>
      </c>
      <c r="E16">
        <v>2023</v>
      </c>
      <c r="F16" s="13">
        <v>177.07750071257232</v>
      </c>
      <c r="G16" t="s">
        <v>955</v>
      </c>
      <c r="H16">
        <f>Inflation!$B$1-E16</f>
        <v>1</v>
      </c>
      <c r="I16" s="13">
        <f>IF(H16=0,F16,F16*VLOOKUP(H16,Inflation!$C$5:$D$20,2,FALSE))</f>
        <v>189.29584826173979</v>
      </c>
    </row>
    <row r="17" spans="1:9">
      <c r="A17" t="s">
        <v>1567</v>
      </c>
      <c r="B17" t="s">
        <v>956</v>
      </c>
      <c r="C17" t="s">
        <v>1581</v>
      </c>
      <c r="E17">
        <v>2023</v>
      </c>
      <c r="F17" s="13">
        <v>39.35055571390496</v>
      </c>
      <c r="G17" t="s">
        <v>955</v>
      </c>
      <c r="H17">
        <f>Inflation!$B$1-E17</f>
        <v>1</v>
      </c>
      <c r="I17" s="13">
        <f>IF(H17=0,F17,F17*VLOOKUP(H17,Inflation!$C$5:$D$20,2,FALSE))</f>
        <v>42.065744058164398</v>
      </c>
    </row>
  </sheetData>
  <hyperlinks>
    <hyperlink ref="C15" r:id="rId1" xr:uid="{E2F7E73E-3ABB-49F6-B0B6-1C79E20EA32D}"/>
  </hyperlink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5D524-1C08-4878-9992-79D672A7AA83}">
  <dimension ref="A1:L1263"/>
  <sheetViews>
    <sheetView workbookViewId="0">
      <selection activeCell="F7" sqref="F7"/>
    </sheetView>
  </sheetViews>
  <sheetFormatPr baseColWidth="10" defaultColWidth="11.5" defaultRowHeight="15"/>
  <cols>
    <col min="1" max="1" width="10.1640625" style="372" customWidth="1"/>
    <col min="2" max="2" width="14.6640625" style="372" customWidth="1"/>
    <col min="3" max="3" width="18.83203125" style="372" customWidth="1"/>
    <col min="4" max="4" width="11.33203125" style="372" customWidth="1"/>
    <col min="5" max="5" width="15.5" style="372" customWidth="1"/>
    <col min="6" max="6" width="15.83203125" style="372" customWidth="1"/>
    <col min="7" max="9" width="11.5" style="372"/>
    <col min="10" max="10" width="24.1640625" style="372" customWidth="1"/>
    <col min="11" max="11" width="13.1640625" style="372" customWidth="1"/>
    <col min="12" max="12" width="18.1640625" style="372" customWidth="1"/>
    <col min="13" max="16384" width="11.5" style="372"/>
  </cols>
  <sheetData>
    <row r="1" spans="1:12" s="370" customFormat="1">
      <c r="A1" s="370" t="s">
        <v>1586</v>
      </c>
      <c r="B1" s="370" t="s">
        <v>1587</v>
      </c>
      <c r="C1" s="370" t="s">
        <v>1588</v>
      </c>
      <c r="D1" s="370" t="s">
        <v>1589</v>
      </c>
      <c r="E1" s="370" t="s">
        <v>1590</v>
      </c>
      <c r="F1" s="370" t="s">
        <v>1591</v>
      </c>
      <c r="G1" s="370" t="s">
        <v>1592</v>
      </c>
      <c r="H1" s="370" t="s">
        <v>1593</v>
      </c>
      <c r="K1" s="371"/>
      <c r="L1" s="372"/>
    </row>
    <row r="2" spans="1:12">
      <c r="A2" s="372">
        <v>2</v>
      </c>
      <c r="B2" s="373">
        <v>43000</v>
      </c>
      <c r="C2" s="373">
        <v>43382</v>
      </c>
      <c r="D2" s="372">
        <v>225</v>
      </c>
      <c r="E2" s="372">
        <v>56</v>
      </c>
      <c r="F2" s="372">
        <f>IFERROR(INDEX('NonART prices by med'!$D$2:$D$102,MATCH(D2,'NonART prices by med'!$A$2:$A$102,0)),"")</f>
        <v>0.19315423345580862</v>
      </c>
      <c r="G2" s="372">
        <f>IFERROR(E2*F2,"")</f>
        <v>10.816637073525282</v>
      </c>
      <c r="H2" s="372">
        <f t="shared" ref="H2" si="0">IF(C2-B2&lt;=365,1,0)</f>
        <v>0</v>
      </c>
      <c r="J2" s="370"/>
      <c r="K2" s="374"/>
    </row>
    <row r="3" spans="1:12">
      <c r="A3" s="372">
        <v>2</v>
      </c>
      <c r="B3" s="373">
        <v>43000</v>
      </c>
      <c r="C3" s="373">
        <v>43430</v>
      </c>
      <c r="D3" s="372">
        <v>179</v>
      </c>
      <c r="E3" s="372">
        <v>1</v>
      </c>
      <c r="F3" s="372">
        <f>IFERROR(INDEX('NonART prices by med'!$D$2:$D$102,MATCH(D3,'NonART prices by med'!$A$2:$A$102,0)),"")</f>
        <v>12.69</v>
      </c>
      <c r="G3" s="372">
        <f t="shared" ref="G3:G66" si="1">IFERROR(E3*F3,"")</f>
        <v>12.69</v>
      </c>
      <c r="H3" s="372">
        <f>IF(C3-B3&lt;=365,1,0)</f>
        <v>0</v>
      </c>
      <c r="J3" s="370"/>
      <c r="K3" s="375"/>
    </row>
    <row r="4" spans="1:12">
      <c r="A4" s="372">
        <v>2</v>
      </c>
      <c r="B4" s="373">
        <v>43000</v>
      </c>
      <c r="C4" s="373">
        <v>43447</v>
      </c>
      <c r="D4" s="372">
        <v>225</v>
      </c>
      <c r="E4" s="372">
        <v>28</v>
      </c>
      <c r="F4" s="372">
        <f>IFERROR(INDEX('NonART prices by med'!$D$2:$D$102,MATCH(D4,'NonART prices by med'!$A$2:$A$102,0)),"")</f>
        <v>0.19315423345580862</v>
      </c>
      <c r="G4" s="372">
        <f t="shared" si="1"/>
        <v>5.408318536762641</v>
      </c>
      <c r="H4" s="372">
        <f t="shared" ref="H4:H67" si="2">IF(C4-B4&lt;=365,1,0)</f>
        <v>0</v>
      </c>
      <c r="J4" s="370" t="s">
        <v>1594</v>
      </c>
    </row>
    <row r="5" spans="1:12">
      <c r="A5" s="372">
        <v>3</v>
      </c>
      <c r="B5" s="373">
        <v>42970</v>
      </c>
      <c r="C5" s="373">
        <v>43062</v>
      </c>
      <c r="D5" s="372">
        <v>342</v>
      </c>
      <c r="E5" s="372">
        <v>56</v>
      </c>
      <c r="F5" s="372">
        <f>IFERROR(INDEX('NonART prices by med'!$D$2:$D$102,MATCH(D5,'NonART prices by med'!$A$2:$A$102,0)),"")</f>
        <v>0.26590000152587889</v>
      </c>
      <c r="G5" s="372">
        <f t="shared" si="1"/>
        <v>14.890400085449219</v>
      </c>
      <c r="H5" s="372">
        <f t="shared" si="2"/>
        <v>1</v>
      </c>
      <c r="J5" s="372" t="s">
        <v>1595</v>
      </c>
      <c r="K5" s="371">
        <f>SUMPRODUCT($G$2:$G$1263,$H$2:$H$1263)</f>
        <v>17038.184360947711</v>
      </c>
      <c r="L5" s="372" t="s">
        <v>1596</v>
      </c>
    </row>
    <row r="6" spans="1:12" ht="16" thickBot="1">
      <c r="A6" s="372">
        <v>3</v>
      </c>
      <c r="B6" s="373">
        <v>42970</v>
      </c>
      <c r="C6" s="373">
        <v>43105</v>
      </c>
      <c r="D6" s="372">
        <v>225</v>
      </c>
      <c r="E6" s="372">
        <v>28</v>
      </c>
      <c r="F6" s="372">
        <f>IFERROR(INDEX('NonART prices by med'!$D$2:$D$102,MATCH(D6,'NonART prices by med'!$A$2:$A$102,0)),"")</f>
        <v>0.19315423345580862</v>
      </c>
      <c r="G6" s="372">
        <f t="shared" si="1"/>
        <v>5.408318536762641</v>
      </c>
      <c r="H6" s="372">
        <f t="shared" si="2"/>
        <v>1</v>
      </c>
      <c r="J6" s="372" t="s">
        <v>1597</v>
      </c>
      <c r="K6" s="374">
        <v>573</v>
      </c>
      <c r="L6" s="372" t="s">
        <v>1598</v>
      </c>
    </row>
    <row r="7" spans="1:12" ht="17" thickTop="1" thickBot="1">
      <c r="A7" s="372">
        <v>4</v>
      </c>
      <c r="B7" s="373">
        <v>42970</v>
      </c>
      <c r="C7" s="373">
        <v>42970</v>
      </c>
      <c r="D7" s="372">
        <v>402</v>
      </c>
      <c r="E7" s="372">
        <v>1</v>
      </c>
      <c r="F7" s="372">
        <f>IFERROR(INDEX('NonART prices by med'!$D$2:$D$102,MATCH(D7,'NonART prices by med'!$A$2:$A$102,0)),"")</f>
        <v>84.57</v>
      </c>
      <c r="G7" s="372">
        <f t="shared" si="1"/>
        <v>84.57</v>
      </c>
      <c r="H7" s="372">
        <f t="shared" si="2"/>
        <v>1</v>
      </c>
      <c r="J7" s="376" t="s">
        <v>1599</v>
      </c>
      <c r="K7" s="377">
        <f>K5/K6</f>
        <v>29.73505124074644</v>
      </c>
    </row>
    <row r="8" spans="1:12" ht="16" thickTop="1">
      <c r="A8" s="372">
        <v>4</v>
      </c>
      <c r="B8" s="373">
        <v>42970</v>
      </c>
      <c r="C8" s="373">
        <v>43040</v>
      </c>
      <c r="D8" s="372">
        <v>59</v>
      </c>
      <c r="E8" s="372">
        <v>56</v>
      </c>
      <c r="F8" s="372">
        <f>IFERROR(INDEX('NonART prices by med'!$D$2:$D$102,MATCH(D8,'NonART prices by med'!$A$2:$A$102,0)),"")</f>
        <v>1.6595</v>
      </c>
      <c r="G8" s="372">
        <f t="shared" si="1"/>
        <v>92.932000000000002</v>
      </c>
      <c r="H8" s="372">
        <f t="shared" si="2"/>
        <v>1</v>
      </c>
    </row>
    <row r="9" spans="1:12">
      <c r="A9" s="372">
        <v>4</v>
      </c>
      <c r="B9" s="373">
        <v>42970</v>
      </c>
      <c r="C9" s="373">
        <v>43040</v>
      </c>
      <c r="D9" s="372">
        <v>215</v>
      </c>
      <c r="E9" s="372">
        <v>28</v>
      </c>
      <c r="F9" s="372">
        <f>IFERROR(INDEX('NonART prices by med'!$D$2:$D$102,MATCH(D9,'NonART prices by med'!$A$2:$A$102,0)),"")</f>
        <v>0.27607142857142858</v>
      </c>
      <c r="G9" s="372">
        <f t="shared" si="1"/>
        <v>7.73</v>
      </c>
      <c r="H9" s="372">
        <f t="shared" si="2"/>
        <v>1</v>
      </c>
    </row>
    <row r="10" spans="1:12">
      <c r="A10" s="372">
        <v>6</v>
      </c>
      <c r="B10" s="373">
        <v>42970</v>
      </c>
      <c r="C10" s="373">
        <v>43138</v>
      </c>
      <c r="D10" s="372">
        <v>35</v>
      </c>
      <c r="E10" s="372">
        <v>28</v>
      </c>
      <c r="F10" s="372">
        <f>IFERROR(INDEX('NonART prices by med'!$D$2:$D$102,MATCH(D10,'NonART prices by med'!$A$2:$A$102,0)),"")</f>
        <v>0.60205838048342708</v>
      </c>
      <c r="G10" s="372">
        <f t="shared" si="1"/>
        <v>16.857634653535957</v>
      </c>
      <c r="H10" s="372">
        <f t="shared" si="2"/>
        <v>1</v>
      </c>
    </row>
    <row r="11" spans="1:12">
      <c r="A11" s="372">
        <v>6</v>
      </c>
      <c r="B11" s="373">
        <v>42970</v>
      </c>
      <c r="C11" s="373">
        <v>43389</v>
      </c>
      <c r="D11" s="372">
        <v>7</v>
      </c>
      <c r="E11" s="372">
        <v>28</v>
      </c>
      <c r="F11" s="372">
        <f>IFERROR(INDEX('NonART prices by med'!$D$2:$D$102,MATCH(D11,'NonART prices by med'!$A$2:$A$102,0)),"")</f>
        <v>0.16680357240796304</v>
      </c>
      <c r="G11" s="372">
        <f t="shared" si="1"/>
        <v>4.6705000274229649</v>
      </c>
      <c r="H11" s="372">
        <f t="shared" si="2"/>
        <v>0</v>
      </c>
    </row>
    <row r="12" spans="1:12">
      <c r="A12" s="372">
        <v>8</v>
      </c>
      <c r="B12" s="373">
        <v>42971</v>
      </c>
      <c r="C12" s="373">
        <v>43062</v>
      </c>
      <c r="D12" s="372">
        <v>225</v>
      </c>
      <c r="E12" s="372">
        <v>28</v>
      </c>
      <c r="F12" s="372">
        <f>IFERROR(INDEX('NonART prices by med'!$D$2:$D$102,MATCH(D12,'NonART prices by med'!$A$2:$A$102,0)),"")</f>
        <v>0.19315423345580862</v>
      </c>
      <c r="G12" s="372">
        <f t="shared" si="1"/>
        <v>5.408318536762641</v>
      </c>
      <c r="H12" s="372">
        <f t="shared" si="2"/>
        <v>1</v>
      </c>
    </row>
    <row r="13" spans="1:12">
      <c r="A13" s="372">
        <v>8</v>
      </c>
      <c r="B13" s="373">
        <v>42971</v>
      </c>
      <c r="C13" s="373">
        <v>43103</v>
      </c>
      <c r="D13" s="372">
        <v>225</v>
      </c>
      <c r="E13" s="372">
        <v>28</v>
      </c>
      <c r="F13" s="372">
        <f>IFERROR(INDEX('NonART prices by med'!$D$2:$D$102,MATCH(D13,'NonART prices by med'!$A$2:$A$102,0)),"")</f>
        <v>0.19315423345580862</v>
      </c>
      <c r="G13" s="372">
        <f t="shared" si="1"/>
        <v>5.408318536762641</v>
      </c>
      <c r="H13" s="372">
        <f t="shared" si="2"/>
        <v>1</v>
      </c>
    </row>
    <row r="14" spans="1:12">
      <c r="A14" s="372">
        <v>12</v>
      </c>
      <c r="B14" s="373">
        <v>42977</v>
      </c>
      <c r="C14" s="373">
        <v>42976</v>
      </c>
      <c r="D14" s="372">
        <v>318</v>
      </c>
      <c r="E14" s="372">
        <v>20</v>
      </c>
      <c r="F14" s="372">
        <f>IFERROR(INDEX('NonART prices by med'!$D$2:$D$102,MATCH(D14,'NonART prices by med'!$A$2:$A$102,0)),"")</f>
        <v>0.19286066077210379</v>
      </c>
      <c r="G14" s="372">
        <f t="shared" si="1"/>
        <v>3.8572132154420755</v>
      </c>
      <c r="H14" s="372">
        <f t="shared" si="2"/>
        <v>1</v>
      </c>
    </row>
    <row r="15" spans="1:12">
      <c r="A15" s="372">
        <v>12</v>
      </c>
      <c r="B15" s="373">
        <v>42977</v>
      </c>
      <c r="C15" s="373">
        <v>43062</v>
      </c>
      <c r="D15" s="372">
        <v>35</v>
      </c>
      <c r="E15" s="372">
        <v>28</v>
      </c>
      <c r="F15" s="372">
        <f>IFERROR(INDEX('NonART prices by med'!$D$2:$D$102,MATCH(D15,'NonART prices by med'!$A$2:$A$102,0)),"")</f>
        <v>0.60205838048342708</v>
      </c>
      <c r="G15" s="372">
        <f t="shared" si="1"/>
        <v>16.857634653535957</v>
      </c>
      <c r="H15" s="372">
        <f t="shared" si="2"/>
        <v>1</v>
      </c>
    </row>
    <row r="16" spans="1:12">
      <c r="A16" s="372">
        <v>12</v>
      </c>
      <c r="B16" s="373">
        <v>42977</v>
      </c>
      <c r="C16" s="373">
        <v>43145</v>
      </c>
      <c r="D16" s="372">
        <v>59</v>
      </c>
      <c r="E16" s="372">
        <v>28</v>
      </c>
      <c r="F16" s="372">
        <f>IFERROR(INDEX('NonART prices by med'!$D$2:$D$102,MATCH(D16,'NonART prices by med'!$A$2:$A$102,0)),"")</f>
        <v>1.6595</v>
      </c>
      <c r="G16" s="372">
        <f t="shared" si="1"/>
        <v>46.466000000000001</v>
      </c>
      <c r="H16" s="372">
        <f t="shared" si="2"/>
        <v>1</v>
      </c>
    </row>
    <row r="17" spans="1:8">
      <c r="A17" s="372">
        <v>12</v>
      </c>
      <c r="B17" s="373">
        <v>42977</v>
      </c>
      <c r="C17" s="373">
        <v>43173</v>
      </c>
      <c r="D17" s="372">
        <v>230</v>
      </c>
      <c r="F17" s="372">
        <f>IFERROR(INDEX('NonART prices by med'!$D$2:$D$102,MATCH(D17,'NonART prices by med'!$A$2:$A$102,0)),"")</f>
        <v>0.14064285714285715</v>
      </c>
      <c r="G17" s="372">
        <f t="shared" si="1"/>
        <v>0</v>
      </c>
      <c r="H17" s="372">
        <f t="shared" si="2"/>
        <v>1</v>
      </c>
    </row>
    <row r="18" spans="1:8">
      <c r="A18" s="372">
        <v>12</v>
      </c>
      <c r="B18" s="373">
        <v>42977</v>
      </c>
      <c r="C18" s="373">
        <v>43182</v>
      </c>
      <c r="D18" s="372">
        <v>229</v>
      </c>
      <c r="E18" s="372">
        <v>28</v>
      </c>
      <c r="F18" s="372">
        <f>IFERROR(INDEX('NonART prices by med'!$D$2:$D$102,MATCH(D18,'NonART prices by med'!$A$2:$A$102,0)),"")</f>
        <v>0.1577857140947122</v>
      </c>
      <c r="G18" s="372">
        <f t="shared" si="1"/>
        <v>4.4179999946519413</v>
      </c>
      <c r="H18" s="372">
        <f t="shared" si="2"/>
        <v>1</v>
      </c>
    </row>
    <row r="19" spans="1:8">
      <c r="A19" s="372">
        <v>12</v>
      </c>
      <c r="B19" s="373">
        <v>42977</v>
      </c>
      <c r="C19" s="373">
        <v>43278</v>
      </c>
      <c r="D19" s="372">
        <v>217</v>
      </c>
      <c r="E19" s="372">
        <v>84</v>
      </c>
      <c r="F19" s="372">
        <f>IFERROR(INDEX('NonART prices by med'!$D$2:$D$102,MATCH(D19,'NonART prices by med'!$A$2:$A$102,0)),"")</f>
        <v>0.24476190476190474</v>
      </c>
      <c r="G19" s="372">
        <f t="shared" si="1"/>
        <v>20.56</v>
      </c>
      <c r="H19" s="372">
        <f t="shared" si="2"/>
        <v>1</v>
      </c>
    </row>
    <row r="20" spans="1:8">
      <c r="A20" s="372">
        <v>13</v>
      </c>
      <c r="B20" s="373">
        <v>42977</v>
      </c>
      <c r="C20" s="373">
        <v>42977</v>
      </c>
      <c r="D20" s="372">
        <v>318</v>
      </c>
      <c r="E20" s="372">
        <v>20</v>
      </c>
      <c r="F20" s="372">
        <f>IFERROR(INDEX('NonART prices by med'!$D$2:$D$102,MATCH(D20,'NonART prices by med'!$A$2:$A$102,0)),"")</f>
        <v>0.19286066077210379</v>
      </c>
      <c r="G20" s="372">
        <f t="shared" si="1"/>
        <v>3.8572132154420755</v>
      </c>
      <c r="H20" s="372">
        <f t="shared" si="2"/>
        <v>1</v>
      </c>
    </row>
    <row r="21" spans="1:8">
      <c r="A21" s="372">
        <v>13</v>
      </c>
      <c r="B21" s="373">
        <v>42977</v>
      </c>
      <c r="C21" s="373">
        <v>43138</v>
      </c>
      <c r="D21" s="372">
        <v>35</v>
      </c>
      <c r="E21" s="372">
        <v>28</v>
      </c>
      <c r="F21" s="372">
        <f>IFERROR(INDEX('NonART prices by med'!$D$2:$D$102,MATCH(D21,'NonART prices by med'!$A$2:$A$102,0)),"")</f>
        <v>0.60205838048342708</v>
      </c>
      <c r="G21" s="372">
        <f t="shared" si="1"/>
        <v>16.857634653535957</v>
      </c>
      <c r="H21" s="372">
        <f t="shared" si="2"/>
        <v>1</v>
      </c>
    </row>
    <row r="22" spans="1:8">
      <c r="A22" s="372">
        <v>13</v>
      </c>
      <c r="B22" s="373">
        <v>42977</v>
      </c>
      <c r="C22" s="373">
        <v>43362</v>
      </c>
      <c r="D22" s="372">
        <v>225</v>
      </c>
      <c r="E22" s="372">
        <v>56</v>
      </c>
      <c r="F22" s="372">
        <f>IFERROR(INDEX('NonART prices by med'!$D$2:$D$102,MATCH(D22,'NonART prices by med'!$A$2:$A$102,0)),"")</f>
        <v>0.19315423345580862</v>
      </c>
      <c r="G22" s="372">
        <f t="shared" si="1"/>
        <v>10.816637073525282</v>
      </c>
      <c r="H22" s="372">
        <f t="shared" si="2"/>
        <v>0</v>
      </c>
    </row>
    <row r="23" spans="1:8">
      <c r="A23" s="372">
        <v>14</v>
      </c>
      <c r="B23" s="373">
        <v>42977</v>
      </c>
      <c r="C23" s="373">
        <v>43292</v>
      </c>
      <c r="D23" s="372">
        <v>318</v>
      </c>
      <c r="E23" s="372">
        <v>20</v>
      </c>
      <c r="F23" s="372">
        <f>IFERROR(INDEX('NonART prices by med'!$D$2:$D$102,MATCH(D23,'NonART prices by med'!$A$2:$A$102,0)),"")</f>
        <v>0.19286066077210379</v>
      </c>
      <c r="G23" s="372">
        <f t="shared" si="1"/>
        <v>3.8572132154420755</v>
      </c>
      <c r="H23" s="372">
        <f t="shared" si="2"/>
        <v>1</v>
      </c>
    </row>
    <row r="24" spans="1:8">
      <c r="A24" s="372">
        <v>15</v>
      </c>
      <c r="B24" s="373">
        <v>42977</v>
      </c>
      <c r="C24" s="373">
        <v>42984</v>
      </c>
      <c r="D24" s="372">
        <v>35</v>
      </c>
      <c r="E24" s="372">
        <v>28</v>
      </c>
      <c r="F24" s="372">
        <f>IFERROR(INDEX('NonART prices by med'!$D$2:$D$102,MATCH(D24,'NonART prices by med'!$A$2:$A$102,0)),"")</f>
        <v>0.60205838048342708</v>
      </c>
      <c r="G24" s="372">
        <f t="shared" si="1"/>
        <v>16.857634653535957</v>
      </c>
      <c r="H24" s="372">
        <f t="shared" si="2"/>
        <v>1</v>
      </c>
    </row>
    <row r="25" spans="1:8">
      <c r="A25" s="372">
        <v>15</v>
      </c>
      <c r="B25" s="373">
        <v>42977</v>
      </c>
      <c r="C25" s="373">
        <v>43088</v>
      </c>
      <c r="D25" s="372">
        <v>35</v>
      </c>
      <c r="E25" s="372">
        <v>56</v>
      </c>
      <c r="F25" s="372">
        <f>IFERROR(INDEX('NonART prices by med'!$D$2:$D$102,MATCH(D25,'NonART prices by med'!$A$2:$A$102,0)),"")</f>
        <v>0.60205838048342708</v>
      </c>
      <c r="G25" s="372">
        <f t="shared" si="1"/>
        <v>33.715269307071914</v>
      </c>
      <c r="H25" s="372">
        <f t="shared" si="2"/>
        <v>1</v>
      </c>
    </row>
    <row r="26" spans="1:8">
      <c r="A26" s="372">
        <v>15</v>
      </c>
      <c r="B26" s="373">
        <v>42977</v>
      </c>
      <c r="C26" s="373">
        <v>43313</v>
      </c>
      <c r="D26" s="372">
        <v>318</v>
      </c>
      <c r="E26" s="372">
        <v>20</v>
      </c>
      <c r="F26" s="372">
        <f>IFERROR(INDEX('NonART prices by med'!$D$2:$D$102,MATCH(D26,'NonART prices by med'!$A$2:$A$102,0)),"")</f>
        <v>0.19286066077210379</v>
      </c>
      <c r="G26" s="372">
        <f t="shared" si="1"/>
        <v>3.8572132154420755</v>
      </c>
      <c r="H26" s="372">
        <f t="shared" si="2"/>
        <v>1</v>
      </c>
    </row>
    <row r="27" spans="1:8">
      <c r="A27" s="372">
        <v>16</v>
      </c>
      <c r="B27" s="373">
        <v>42978</v>
      </c>
      <c r="C27" s="373">
        <v>43370</v>
      </c>
      <c r="D27" s="372">
        <v>24</v>
      </c>
      <c r="E27" s="372">
        <v>28</v>
      </c>
      <c r="F27" s="372">
        <f>IFERROR(INDEX('NonART prices by med'!$D$2:$D$102,MATCH(D27,'NonART prices by med'!$A$2:$A$102,0)),"")</f>
        <v>0.1467857142857143</v>
      </c>
      <c r="G27" s="372">
        <f t="shared" si="1"/>
        <v>4.1100000000000003</v>
      </c>
      <c r="H27" s="372">
        <f t="shared" si="2"/>
        <v>0</v>
      </c>
    </row>
    <row r="28" spans="1:8">
      <c r="A28" s="372">
        <v>17</v>
      </c>
      <c r="B28" s="373">
        <v>42970</v>
      </c>
      <c r="C28" s="373">
        <v>42970</v>
      </c>
      <c r="D28" s="372">
        <v>402</v>
      </c>
      <c r="E28" s="372">
        <v>1</v>
      </c>
      <c r="F28" s="372">
        <f>IFERROR(INDEX('NonART prices by med'!$D$2:$D$102,MATCH(D28,'NonART prices by med'!$A$2:$A$102,0)),"")</f>
        <v>84.57</v>
      </c>
      <c r="G28" s="372">
        <f t="shared" si="1"/>
        <v>84.57</v>
      </c>
      <c r="H28" s="372">
        <f t="shared" si="2"/>
        <v>1</v>
      </c>
    </row>
    <row r="29" spans="1:8">
      <c r="A29" s="372">
        <v>17</v>
      </c>
      <c r="B29" s="373">
        <v>42970</v>
      </c>
      <c r="C29" s="373">
        <v>43040</v>
      </c>
      <c r="D29" s="372">
        <v>35</v>
      </c>
      <c r="E29" s="372">
        <v>56</v>
      </c>
      <c r="F29" s="372">
        <f>IFERROR(INDEX('NonART prices by med'!$D$2:$D$102,MATCH(D29,'NonART prices by med'!$A$2:$A$102,0)),"")</f>
        <v>0.60205838048342708</v>
      </c>
      <c r="G29" s="372">
        <f t="shared" si="1"/>
        <v>33.715269307071914</v>
      </c>
      <c r="H29" s="372">
        <f t="shared" si="2"/>
        <v>1</v>
      </c>
    </row>
    <row r="30" spans="1:8">
      <c r="A30" s="372">
        <v>18</v>
      </c>
      <c r="B30" s="373">
        <v>43032</v>
      </c>
      <c r="C30" s="373">
        <v>43032</v>
      </c>
      <c r="D30" s="372">
        <v>402</v>
      </c>
      <c r="E30" s="372">
        <v>1</v>
      </c>
      <c r="F30" s="372">
        <f>IFERROR(INDEX('NonART prices by med'!$D$2:$D$102,MATCH(D30,'NonART prices by med'!$A$2:$A$102,0)),"")</f>
        <v>84.57</v>
      </c>
      <c r="G30" s="372">
        <f t="shared" si="1"/>
        <v>84.57</v>
      </c>
      <c r="H30" s="372">
        <f t="shared" si="2"/>
        <v>1</v>
      </c>
    </row>
    <row r="31" spans="1:8">
      <c r="A31" s="372">
        <v>18</v>
      </c>
      <c r="B31" s="373">
        <v>43032</v>
      </c>
      <c r="C31" s="373">
        <v>43131</v>
      </c>
      <c r="D31" s="372">
        <v>132</v>
      </c>
      <c r="E31" s="372">
        <v>60</v>
      </c>
      <c r="F31" s="372">
        <f>IFERROR(INDEX('NonART prices by med'!$D$2:$D$102,MATCH(D31,'NonART prices by med'!$A$2:$A$102,0)),"")</f>
        <v>7.0309523809523822E-2</v>
      </c>
      <c r="G31" s="372">
        <f t="shared" si="1"/>
        <v>4.2185714285714297</v>
      </c>
      <c r="H31" s="372">
        <f t="shared" si="2"/>
        <v>1</v>
      </c>
    </row>
    <row r="32" spans="1:8">
      <c r="A32" s="372">
        <v>18</v>
      </c>
      <c r="B32" s="373">
        <v>43032</v>
      </c>
      <c r="C32" s="373">
        <v>43202</v>
      </c>
      <c r="D32" s="372">
        <v>225</v>
      </c>
      <c r="E32" s="372">
        <v>28</v>
      </c>
      <c r="F32" s="372">
        <f>IFERROR(INDEX('NonART prices by med'!$D$2:$D$102,MATCH(D32,'NonART prices by med'!$A$2:$A$102,0)),"")</f>
        <v>0.19315423345580862</v>
      </c>
      <c r="G32" s="372">
        <f t="shared" si="1"/>
        <v>5.408318536762641</v>
      </c>
      <c r="H32" s="372">
        <f t="shared" si="2"/>
        <v>1</v>
      </c>
    </row>
    <row r="33" spans="1:8">
      <c r="A33" s="372">
        <v>19</v>
      </c>
      <c r="B33" s="373">
        <v>42969</v>
      </c>
      <c r="C33" s="373">
        <v>43054</v>
      </c>
      <c r="D33" s="372">
        <v>59</v>
      </c>
      <c r="E33" s="372">
        <v>28</v>
      </c>
      <c r="F33" s="372">
        <f>IFERROR(INDEX('NonART prices by med'!$D$2:$D$102,MATCH(D33,'NonART prices by med'!$A$2:$A$102,0)),"")</f>
        <v>1.6595</v>
      </c>
      <c r="G33" s="372">
        <f t="shared" si="1"/>
        <v>46.466000000000001</v>
      </c>
      <c r="H33" s="372">
        <f t="shared" si="2"/>
        <v>1</v>
      </c>
    </row>
    <row r="34" spans="1:8">
      <c r="A34" s="372">
        <v>20</v>
      </c>
      <c r="B34" s="373">
        <v>42968</v>
      </c>
      <c r="C34" s="373">
        <v>42935</v>
      </c>
      <c r="D34" s="372">
        <v>25</v>
      </c>
      <c r="E34" s="372">
        <v>56</v>
      </c>
      <c r="F34" s="372">
        <f>IFERROR(INDEX('NonART prices by med'!$D$2:$D$102,MATCH(D34,'NonART prices by med'!$A$2:$A$102,0)),"")</f>
        <v>0.14207142845452692</v>
      </c>
      <c r="G34" s="372">
        <f t="shared" si="1"/>
        <v>7.9559999934535073</v>
      </c>
      <c r="H34" s="372">
        <f t="shared" si="2"/>
        <v>1</v>
      </c>
    </row>
    <row r="35" spans="1:8">
      <c r="A35" s="372">
        <v>20</v>
      </c>
      <c r="B35" s="373">
        <v>42968</v>
      </c>
      <c r="C35" s="373">
        <v>42954</v>
      </c>
      <c r="D35" s="372">
        <v>283</v>
      </c>
      <c r="E35" s="372">
        <v>20</v>
      </c>
      <c r="F35" s="372">
        <f>IFERROR(INDEX('NonART prices by med'!$D$2:$D$102,MATCH(D35,'NonART prices by med'!$A$2:$A$102,0)),"")</f>
        <v>0.17899999898380203</v>
      </c>
      <c r="G35" s="372">
        <f t="shared" si="1"/>
        <v>3.5799999796760407</v>
      </c>
      <c r="H35" s="372">
        <f t="shared" si="2"/>
        <v>1</v>
      </c>
    </row>
    <row r="36" spans="1:8">
      <c r="A36" s="372">
        <v>20</v>
      </c>
      <c r="B36" s="373">
        <v>42968</v>
      </c>
      <c r="C36" s="373">
        <v>42991</v>
      </c>
      <c r="D36" s="372">
        <v>342</v>
      </c>
      <c r="E36" s="372">
        <v>28</v>
      </c>
      <c r="F36" s="372">
        <f>IFERROR(INDEX('NonART prices by med'!$D$2:$D$102,MATCH(D36,'NonART prices by med'!$A$2:$A$102,0)),"")</f>
        <v>0.26590000152587889</v>
      </c>
      <c r="G36" s="372">
        <f t="shared" si="1"/>
        <v>7.4452000427246094</v>
      </c>
      <c r="H36" s="372">
        <f t="shared" si="2"/>
        <v>1</v>
      </c>
    </row>
    <row r="37" spans="1:8">
      <c r="A37" s="372">
        <v>20</v>
      </c>
      <c r="B37" s="373">
        <v>42968</v>
      </c>
      <c r="C37" s="373">
        <v>43018</v>
      </c>
      <c r="D37" s="372">
        <v>24</v>
      </c>
      <c r="E37" s="372">
        <v>112</v>
      </c>
      <c r="F37" s="372">
        <f>IFERROR(INDEX('NonART prices by med'!$D$2:$D$102,MATCH(D37,'NonART prices by med'!$A$2:$A$102,0)),"")</f>
        <v>0.1467857142857143</v>
      </c>
      <c r="G37" s="372">
        <f t="shared" si="1"/>
        <v>16.440000000000001</v>
      </c>
      <c r="H37" s="372">
        <f t="shared" si="2"/>
        <v>1</v>
      </c>
    </row>
    <row r="38" spans="1:8">
      <c r="A38" s="372">
        <v>20</v>
      </c>
      <c r="B38" s="373">
        <v>42968</v>
      </c>
      <c r="C38" s="373">
        <v>43154</v>
      </c>
      <c r="D38" s="372">
        <v>24</v>
      </c>
      <c r="E38" s="372">
        <v>28</v>
      </c>
      <c r="F38" s="372">
        <f>IFERROR(INDEX('NonART prices by med'!$D$2:$D$102,MATCH(D38,'NonART prices by med'!$A$2:$A$102,0)),"")</f>
        <v>0.1467857142857143</v>
      </c>
      <c r="G38" s="372">
        <f t="shared" si="1"/>
        <v>4.1100000000000003</v>
      </c>
      <c r="H38" s="372">
        <f t="shared" si="2"/>
        <v>1</v>
      </c>
    </row>
    <row r="39" spans="1:8">
      <c r="A39" s="372">
        <v>20</v>
      </c>
      <c r="B39" s="373">
        <v>42968</v>
      </c>
      <c r="C39" s="373">
        <v>43206</v>
      </c>
      <c r="D39" s="372">
        <v>24</v>
      </c>
      <c r="E39" s="372">
        <v>56</v>
      </c>
      <c r="F39" s="372">
        <f>IFERROR(INDEX('NonART prices by med'!$D$2:$D$102,MATCH(D39,'NonART prices by med'!$A$2:$A$102,0)),"")</f>
        <v>0.1467857142857143</v>
      </c>
      <c r="G39" s="372">
        <f t="shared" si="1"/>
        <v>8.2200000000000006</v>
      </c>
      <c r="H39" s="372">
        <f t="shared" si="2"/>
        <v>1</v>
      </c>
    </row>
    <row r="40" spans="1:8">
      <c r="A40" s="372">
        <v>20</v>
      </c>
      <c r="B40" s="373">
        <v>42968</v>
      </c>
      <c r="C40" s="373">
        <v>43234</v>
      </c>
      <c r="D40" s="372">
        <v>13</v>
      </c>
      <c r="E40" s="372">
        <v>56</v>
      </c>
      <c r="F40" s="372">
        <f>IFERROR(INDEX('NonART prices by med'!$D$2:$D$102,MATCH(D40,'NonART prices by med'!$A$2:$A$102,0)),"")</f>
        <v>0.15256434030246604</v>
      </c>
      <c r="G40" s="372">
        <f t="shared" si="1"/>
        <v>8.5436030569380979</v>
      </c>
      <c r="H40" s="372">
        <f t="shared" si="2"/>
        <v>1</v>
      </c>
    </row>
    <row r="41" spans="1:8">
      <c r="A41" s="372">
        <v>20</v>
      </c>
      <c r="B41" s="373">
        <v>42968</v>
      </c>
      <c r="C41" s="373">
        <v>43313</v>
      </c>
      <c r="D41" s="372">
        <v>13</v>
      </c>
      <c r="E41" s="372">
        <v>28</v>
      </c>
      <c r="F41" s="372">
        <f>IFERROR(INDEX('NonART prices by med'!$D$2:$D$102,MATCH(D41,'NonART prices by med'!$A$2:$A$102,0)),"")</f>
        <v>0.15256434030246604</v>
      </c>
      <c r="G41" s="372">
        <f t="shared" si="1"/>
        <v>4.2718015284690489</v>
      </c>
      <c r="H41" s="372">
        <f t="shared" si="2"/>
        <v>1</v>
      </c>
    </row>
    <row r="42" spans="1:8">
      <c r="A42" s="372">
        <v>20</v>
      </c>
      <c r="B42" s="373">
        <v>42968</v>
      </c>
      <c r="C42" s="373">
        <v>43370</v>
      </c>
      <c r="D42" s="372">
        <v>286</v>
      </c>
      <c r="E42" s="372">
        <v>20</v>
      </c>
      <c r="F42" s="372">
        <f>IFERROR(INDEX('NonART prices by med'!$D$2:$D$102,MATCH(D42,'NonART prices by med'!$A$2:$A$102,0)),"")</f>
        <v>0.15535714285714283</v>
      </c>
      <c r="G42" s="372">
        <f t="shared" si="1"/>
        <v>3.1071428571428568</v>
      </c>
      <c r="H42" s="372">
        <f t="shared" si="2"/>
        <v>0</v>
      </c>
    </row>
    <row r="43" spans="1:8">
      <c r="A43" s="372">
        <v>20</v>
      </c>
      <c r="B43" s="373">
        <v>42968</v>
      </c>
      <c r="C43" s="373">
        <v>43402</v>
      </c>
      <c r="D43" s="372">
        <v>162</v>
      </c>
      <c r="E43" s="372">
        <v>10</v>
      </c>
      <c r="F43" s="372">
        <f>IFERROR(INDEX('NonART prices by med'!$D$2:$D$102,MATCH(D43,'NonART prices by med'!$A$2:$A$102,0)),"")</f>
        <v>0.126</v>
      </c>
      <c r="G43" s="372">
        <f t="shared" si="1"/>
        <v>1.26</v>
      </c>
      <c r="H43" s="372">
        <f t="shared" si="2"/>
        <v>0</v>
      </c>
    </row>
    <row r="44" spans="1:8">
      <c r="A44" s="372">
        <v>21</v>
      </c>
      <c r="B44" s="373">
        <v>42968</v>
      </c>
      <c r="C44" s="373">
        <v>42961</v>
      </c>
      <c r="D44" s="372">
        <v>100</v>
      </c>
      <c r="E44" s="372">
        <v>5</v>
      </c>
      <c r="F44" s="372">
        <f>IFERROR(INDEX('NonART prices by med'!$D$2:$D$102,MATCH(D44,'NonART prices by med'!$A$2:$A$102,0)),"")</f>
        <v>0.55516046284546272</v>
      </c>
      <c r="G44" s="372">
        <f t="shared" si="1"/>
        <v>2.7758023142273136</v>
      </c>
      <c r="H44" s="372">
        <f t="shared" si="2"/>
        <v>1</v>
      </c>
    </row>
    <row r="45" spans="1:8">
      <c r="A45" s="372">
        <v>21</v>
      </c>
      <c r="B45" s="373">
        <v>42968</v>
      </c>
      <c r="C45" s="373">
        <v>43370</v>
      </c>
      <c r="D45" s="372">
        <v>219</v>
      </c>
      <c r="E45" s="372">
        <v>40</v>
      </c>
      <c r="F45" s="372">
        <f>IFERROR(INDEX('NonART prices by med'!$D$2:$D$102,MATCH(D45,'NonART prices by med'!$A$2:$A$102,0)),"")</f>
        <v>0.55532131597376833</v>
      </c>
      <c r="G45" s="372">
        <f t="shared" si="1"/>
        <v>22.212852638950732</v>
      </c>
      <c r="H45" s="372">
        <f t="shared" si="2"/>
        <v>0</v>
      </c>
    </row>
    <row r="46" spans="1:8">
      <c r="A46" s="372">
        <v>22</v>
      </c>
      <c r="B46" s="373">
        <v>42968</v>
      </c>
      <c r="C46" s="373">
        <v>42954</v>
      </c>
      <c r="D46" s="372">
        <v>35</v>
      </c>
      <c r="E46" s="372">
        <v>28</v>
      </c>
      <c r="F46" s="372">
        <f>IFERROR(INDEX('NonART prices by med'!$D$2:$D$102,MATCH(D46,'NonART prices by med'!$A$2:$A$102,0)),"")</f>
        <v>0.60205838048342708</v>
      </c>
      <c r="G46" s="372">
        <f t="shared" si="1"/>
        <v>16.857634653535957</v>
      </c>
      <c r="H46" s="372">
        <f t="shared" si="2"/>
        <v>1</v>
      </c>
    </row>
    <row r="47" spans="1:8">
      <c r="A47" s="372">
        <v>22</v>
      </c>
      <c r="B47" s="373">
        <v>42968</v>
      </c>
      <c r="C47" s="373">
        <v>43082</v>
      </c>
      <c r="D47" s="372">
        <v>35</v>
      </c>
      <c r="E47" s="372">
        <v>28</v>
      </c>
      <c r="F47" s="372">
        <f>IFERROR(INDEX('NonART prices by med'!$D$2:$D$102,MATCH(D47,'NonART prices by med'!$A$2:$A$102,0)),"")</f>
        <v>0.60205838048342708</v>
      </c>
      <c r="G47" s="372">
        <f t="shared" si="1"/>
        <v>16.857634653535957</v>
      </c>
      <c r="H47" s="372">
        <f t="shared" si="2"/>
        <v>1</v>
      </c>
    </row>
    <row r="48" spans="1:8">
      <c r="A48" s="372">
        <v>24</v>
      </c>
      <c r="B48" s="373">
        <v>42958</v>
      </c>
      <c r="C48" s="373">
        <v>43182</v>
      </c>
      <c r="D48" s="372">
        <v>98</v>
      </c>
      <c r="E48" s="372">
        <v>10</v>
      </c>
      <c r="F48" s="372">
        <f>IFERROR(INDEX('NonART prices by med'!$D$2:$D$102,MATCH(D48,'NonART prices by med'!$A$2:$A$102,0)),"")</f>
        <v>0.35317052202446847</v>
      </c>
      <c r="G48" s="372">
        <f t="shared" si="1"/>
        <v>3.5317052202446848</v>
      </c>
      <c r="H48" s="372">
        <f t="shared" si="2"/>
        <v>1</v>
      </c>
    </row>
    <row r="49" spans="1:8">
      <c r="A49" s="372">
        <v>24</v>
      </c>
      <c r="B49" s="373">
        <v>42958</v>
      </c>
      <c r="C49" s="373">
        <v>43196</v>
      </c>
      <c r="D49" s="372">
        <v>35</v>
      </c>
      <c r="E49" s="372">
        <v>30</v>
      </c>
      <c r="F49" s="372">
        <f>IFERROR(INDEX('NonART prices by med'!$D$2:$D$102,MATCH(D49,'NonART prices by med'!$A$2:$A$102,0)),"")</f>
        <v>0.60205838048342708</v>
      </c>
      <c r="G49" s="372">
        <f t="shared" si="1"/>
        <v>18.061751414502812</v>
      </c>
      <c r="H49" s="372">
        <f t="shared" si="2"/>
        <v>1</v>
      </c>
    </row>
    <row r="50" spans="1:8">
      <c r="A50" s="372">
        <v>24</v>
      </c>
      <c r="B50" s="373">
        <v>42958</v>
      </c>
      <c r="C50" s="373">
        <v>43201</v>
      </c>
      <c r="D50" s="372">
        <v>273</v>
      </c>
      <c r="E50" s="372">
        <v>6</v>
      </c>
      <c r="F50" s="372">
        <f>IFERROR(INDEX('NonART prices by med'!$D$2:$D$102,MATCH(D50,'NonART prices by med'!$A$2:$A$102,0)),"")</f>
        <v>0.24683334111326952</v>
      </c>
      <c r="G50" s="372">
        <f t="shared" si="1"/>
        <v>1.4810000466796172</v>
      </c>
      <c r="H50" s="372">
        <f t="shared" si="2"/>
        <v>1</v>
      </c>
    </row>
    <row r="51" spans="1:8">
      <c r="A51" s="372">
        <v>24</v>
      </c>
      <c r="B51" s="373">
        <v>42958</v>
      </c>
      <c r="C51" s="373">
        <v>43214</v>
      </c>
      <c r="D51" s="372">
        <v>342</v>
      </c>
      <c r="E51" s="372">
        <v>28</v>
      </c>
      <c r="F51" s="372">
        <f>IFERROR(INDEX('NonART prices by med'!$D$2:$D$102,MATCH(D51,'NonART prices by med'!$A$2:$A$102,0)),"")</f>
        <v>0.26590000152587889</v>
      </c>
      <c r="G51" s="372">
        <f t="shared" si="1"/>
        <v>7.4452000427246094</v>
      </c>
      <c r="H51" s="372">
        <f t="shared" si="2"/>
        <v>1</v>
      </c>
    </row>
    <row r="52" spans="1:8">
      <c r="A52" s="372">
        <v>24</v>
      </c>
      <c r="B52" s="373">
        <v>42958</v>
      </c>
      <c r="C52" s="373">
        <v>43242</v>
      </c>
      <c r="D52" s="372">
        <v>35</v>
      </c>
      <c r="E52" s="372">
        <v>28</v>
      </c>
      <c r="F52" s="372">
        <f>IFERROR(INDEX('NonART prices by med'!$D$2:$D$102,MATCH(D52,'NonART prices by med'!$A$2:$A$102,0)),"")</f>
        <v>0.60205838048342708</v>
      </c>
      <c r="G52" s="372">
        <f t="shared" si="1"/>
        <v>16.857634653535957</v>
      </c>
      <c r="H52" s="372">
        <f t="shared" si="2"/>
        <v>1</v>
      </c>
    </row>
    <row r="53" spans="1:8">
      <c r="A53" s="372">
        <v>24</v>
      </c>
      <c r="B53" s="373">
        <v>42958</v>
      </c>
      <c r="C53" s="373">
        <v>43270</v>
      </c>
      <c r="D53" s="372">
        <v>35</v>
      </c>
      <c r="E53" s="372">
        <v>56</v>
      </c>
      <c r="F53" s="372">
        <f>IFERROR(INDEX('NonART prices by med'!$D$2:$D$102,MATCH(D53,'NonART prices by med'!$A$2:$A$102,0)),"")</f>
        <v>0.60205838048342708</v>
      </c>
      <c r="G53" s="372">
        <f t="shared" si="1"/>
        <v>33.715269307071914</v>
      </c>
      <c r="H53" s="372">
        <f t="shared" si="2"/>
        <v>1</v>
      </c>
    </row>
    <row r="54" spans="1:8">
      <c r="A54" s="372">
        <v>26</v>
      </c>
      <c r="B54" s="373">
        <v>42963</v>
      </c>
      <c r="C54" s="373">
        <v>43069</v>
      </c>
      <c r="D54" s="372">
        <v>172</v>
      </c>
      <c r="E54" s="372">
        <v>7</v>
      </c>
      <c r="F54" s="372">
        <f>IFERROR(INDEX('NonART prices by med'!$D$2:$D$102,MATCH(D54,'NonART prices by med'!$A$2:$A$102,0)),"")</f>
        <v>0.75050000000000017</v>
      </c>
      <c r="G54" s="372">
        <f t="shared" si="1"/>
        <v>5.2535000000000007</v>
      </c>
      <c r="H54" s="372">
        <f t="shared" si="2"/>
        <v>1</v>
      </c>
    </row>
    <row r="55" spans="1:8">
      <c r="A55" s="372">
        <v>26</v>
      </c>
      <c r="B55" s="373">
        <v>42963</v>
      </c>
      <c r="C55" s="373">
        <v>43109</v>
      </c>
      <c r="D55" s="372">
        <v>35</v>
      </c>
      <c r="E55" s="372">
        <v>28</v>
      </c>
      <c r="F55" s="372">
        <f>IFERROR(INDEX('NonART prices by med'!$D$2:$D$102,MATCH(D55,'NonART prices by med'!$A$2:$A$102,0)),"")</f>
        <v>0.60205838048342708</v>
      </c>
      <c r="G55" s="372">
        <f t="shared" si="1"/>
        <v>16.857634653535957</v>
      </c>
      <c r="H55" s="372">
        <f t="shared" si="2"/>
        <v>1</v>
      </c>
    </row>
    <row r="56" spans="1:8">
      <c r="A56" s="372">
        <v>26</v>
      </c>
      <c r="B56" s="373">
        <v>42963</v>
      </c>
      <c r="C56" s="373">
        <v>43153</v>
      </c>
      <c r="D56" s="372">
        <v>35</v>
      </c>
      <c r="E56" s="372">
        <v>28</v>
      </c>
      <c r="F56" s="372">
        <f>IFERROR(INDEX('NonART prices by med'!$D$2:$D$102,MATCH(D56,'NonART prices by med'!$A$2:$A$102,0)),"")</f>
        <v>0.60205838048342708</v>
      </c>
      <c r="G56" s="372">
        <f t="shared" si="1"/>
        <v>16.857634653535957</v>
      </c>
      <c r="H56" s="372">
        <f t="shared" si="2"/>
        <v>1</v>
      </c>
    </row>
    <row r="57" spans="1:8">
      <c r="A57" s="372">
        <v>26</v>
      </c>
      <c r="B57" s="373">
        <v>42963</v>
      </c>
      <c r="C57" s="373">
        <v>43348</v>
      </c>
      <c r="D57" s="372">
        <v>145</v>
      </c>
      <c r="E57" s="372">
        <v>1</v>
      </c>
      <c r="F57" s="372">
        <f>IFERROR(INDEX('NonART prices by med'!$D$2:$D$102,MATCH(D57,'NonART prices by med'!$A$2:$A$102,0)),"")</f>
        <v>6.7068644322852524</v>
      </c>
      <c r="G57" s="372">
        <f t="shared" si="1"/>
        <v>6.7068644322852524</v>
      </c>
      <c r="H57" s="372">
        <f t="shared" si="2"/>
        <v>0</v>
      </c>
    </row>
    <row r="58" spans="1:8">
      <c r="A58" s="372">
        <v>27</v>
      </c>
      <c r="B58" s="373">
        <v>42961</v>
      </c>
      <c r="C58" s="373">
        <v>43060</v>
      </c>
      <c r="D58" s="372">
        <v>35</v>
      </c>
      <c r="E58" s="372">
        <v>28</v>
      </c>
      <c r="F58" s="372">
        <f>IFERROR(INDEX('NonART prices by med'!$D$2:$D$102,MATCH(D58,'NonART prices by med'!$A$2:$A$102,0)),"")</f>
        <v>0.60205838048342708</v>
      </c>
      <c r="G58" s="372">
        <f t="shared" si="1"/>
        <v>16.857634653535957</v>
      </c>
      <c r="H58" s="372">
        <f t="shared" si="2"/>
        <v>1</v>
      </c>
    </row>
    <row r="59" spans="1:8">
      <c r="A59" s="372">
        <v>27</v>
      </c>
      <c r="B59" s="373">
        <v>42961</v>
      </c>
      <c r="C59" s="373">
        <v>43081</v>
      </c>
      <c r="D59" s="372">
        <v>134</v>
      </c>
      <c r="E59" s="372">
        <v>60</v>
      </c>
      <c r="F59" s="372">
        <f>IFERROR(INDEX('NonART prices by med'!$D$2:$D$102,MATCH(D59,'NonART prices by med'!$A$2:$A$102,0)),"")</f>
        <v>0.39033333366993345</v>
      </c>
      <c r="G59" s="372">
        <f t="shared" si="1"/>
        <v>23.420000020196007</v>
      </c>
      <c r="H59" s="372">
        <f t="shared" si="2"/>
        <v>1</v>
      </c>
    </row>
    <row r="60" spans="1:8">
      <c r="A60" s="372">
        <v>27</v>
      </c>
      <c r="B60" s="373">
        <v>42961</v>
      </c>
      <c r="C60" s="373">
        <v>43110</v>
      </c>
      <c r="D60" s="372">
        <v>35</v>
      </c>
      <c r="E60" s="372">
        <v>56</v>
      </c>
      <c r="F60" s="372">
        <f>IFERROR(INDEX('NonART prices by med'!$D$2:$D$102,MATCH(D60,'NonART prices by med'!$A$2:$A$102,0)),"")</f>
        <v>0.60205838048342708</v>
      </c>
      <c r="G60" s="372">
        <f t="shared" si="1"/>
        <v>33.715269307071914</v>
      </c>
      <c r="H60" s="372">
        <f t="shared" si="2"/>
        <v>1</v>
      </c>
    </row>
    <row r="61" spans="1:8">
      <c r="A61" s="372">
        <v>29</v>
      </c>
      <c r="B61" s="373">
        <v>42961</v>
      </c>
      <c r="C61" s="373">
        <v>43185</v>
      </c>
      <c r="D61" s="372">
        <v>342</v>
      </c>
      <c r="E61" s="372">
        <v>56</v>
      </c>
      <c r="F61" s="372">
        <f>IFERROR(INDEX('NonART prices by med'!$D$2:$D$102,MATCH(D61,'NonART prices by med'!$A$2:$A$102,0)),"")</f>
        <v>0.26590000152587889</v>
      </c>
      <c r="G61" s="372">
        <f t="shared" si="1"/>
        <v>14.890400085449219</v>
      </c>
      <c r="H61" s="372">
        <f t="shared" si="2"/>
        <v>1</v>
      </c>
    </row>
    <row r="62" spans="1:8">
      <c r="A62" s="372">
        <v>32</v>
      </c>
      <c r="B62" s="373">
        <v>42961</v>
      </c>
      <c r="C62" s="373">
        <v>42975</v>
      </c>
      <c r="D62" s="372">
        <v>35</v>
      </c>
      <c r="E62" s="372">
        <v>28</v>
      </c>
      <c r="F62" s="372">
        <f>IFERROR(INDEX('NonART prices by med'!$D$2:$D$102,MATCH(D62,'NonART prices by med'!$A$2:$A$102,0)),"")</f>
        <v>0.60205838048342708</v>
      </c>
      <c r="G62" s="372">
        <f t="shared" si="1"/>
        <v>16.857634653535957</v>
      </c>
      <c r="H62" s="372">
        <f t="shared" si="2"/>
        <v>1</v>
      </c>
    </row>
    <row r="63" spans="1:8">
      <c r="A63" s="372">
        <v>33</v>
      </c>
      <c r="B63" s="373">
        <v>42957</v>
      </c>
      <c r="C63" s="373">
        <v>42972</v>
      </c>
      <c r="D63" s="372">
        <v>146</v>
      </c>
      <c r="E63" s="372">
        <v>1</v>
      </c>
      <c r="F63" s="372">
        <f>IFERROR(INDEX('NonART prices by med'!$D$2:$D$102,MATCH(D63,'NonART prices by med'!$A$2:$A$102,0)),"")</f>
        <v>4.2040000000000006</v>
      </c>
      <c r="G63" s="372">
        <f t="shared" si="1"/>
        <v>4.2040000000000006</v>
      </c>
      <c r="H63" s="372">
        <f t="shared" si="2"/>
        <v>1</v>
      </c>
    </row>
    <row r="64" spans="1:8">
      <c r="A64" s="372">
        <v>33</v>
      </c>
      <c r="B64" s="373">
        <v>42957</v>
      </c>
      <c r="C64" s="373">
        <v>43013</v>
      </c>
      <c r="D64" s="372">
        <v>184</v>
      </c>
      <c r="E64" s="372">
        <v>56</v>
      </c>
      <c r="F64" s="372">
        <f>IFERROR(INDEX('NonART prices by med'!$D$2:$D$102,MATCH(D64,'NonART prices by med'!$A$2:$A$102,0)),"")</f>
        <v>0.21851785714285715</v>
      </c>
      <c r="G64" s="372">
        <f t="shared" si="1"/>
        <v>12.237</v>
      </c>
      <c r="H64" s="372">
        <f t="shared" si="2"/>
        <v>1</v>
      </c>
    </row>
    <row r="65" spans="1:8">
      <c r="A65" s="372">
        <v>33</v>
      </c>
      <c r="B65" s="373">
        <v>42957</v>
      </c>
      <c r="C65" s="373">
        <v>43104</v>
      </c>
      <c r="D65" s="372">
        <v>225</v>
      </c>
      <c r="E65" s="372">
        <v>28</v>
      </c>
      <c r="F65" s="372">
        <f>IFERROR(INDEX('NonART prices by med'!$D$2:$D$102,MATCH(D65,'NonART prices by med'!$A$2:$A$102,0)),"")</f>
        <v>0.19315423345580862</v>
      </c>
      <c r="G65" s="372">
        <f t="shared" si="1"/>
        <v>5.408318536762641</v>
      </c>
      <c r="H65" s="372">
        <f t="shared" si="2"/>
        <v>1</v>
      </c>
    </row>
    <row r="66" spans="1:8">
      <c r="A66" s="372">
        <v>33</v>
      </c>
      <c r="B66" s="373">
        <v>42957</v>
      </c>
      <c r="C66" s="373">
        <v>43327</v>
      </c>
      <c r="D66" s="372">
        <v>184</v>
      </c>
      <c r="E66" s="372">
        <v>56</v>
      </c>
      <c r="F66" s="372">
        <f>IFERROR(INDEX('NonART prices by med'!$D$2:$D$102,MATCH(D66,'NonART prices by med'!$A$2:$A$102,0)),"")</f>
        <v>0.21851785714285715</v>
      </c>
      <c r="G66" s="372">
        <f t="shared" si="1"/>
        <v>12.237</v>
      </c>
      <c r="H66" s="372">
        <f t="shared" si="2"/>
        <v>0</v>
      </c>
    </row>
    <row r="67" spans="1:8">
      <c r="A67" s="372">
        <v>37</v>
      </c>
      <c r="B67" s="373">
        <v>42954</v>
      </c>
      <c r="C67" s="373">
        <v>43241</v>
      </c>
      <c r="D67" s="372">
        <v>35</v>
      </c>
      <c r="E67" s="372">
        <v>56</v>
      </c>
      <c r="F67" s="372">
        <f>IFERROR(INDEX('NonART prices by med'!$D$2:$D$102,MATCH(D67,'NonART prices by med'!$A$2:$A$102,0)),"")</f>
        <v>0.60205838048342708</v>
      </c>
      <c r="G67" s="372">
        <f t="shared" ref="G67:G130" si="3">IFERROR(E67*F67,"")</f>
        <v>33.715269307071914</v>
      </c>
      <c r="H67" s="372">
        <f t="shared" si="2"/>
        <v>1</v>
      </c>
    </row>
    <row r="68" spans="1:8">
      <c r="A68" s="372">
        <v>37</v>
      </c>
      <c r="B68" s="373">
        <v>42954</v>
      </c>
      <c r="C68" s="373">
        <v>43325</v>
      </c>
      <c r="D68" s="372">
        <v>35</v>
      </c>
      <c r="E68" s="372">
        <v>28</v>
      </c>
      <c r="F68" s="372">
        <f>IFERROR(INDEX('NonART prices by med'!$D$2:$D$102,MATCH(D68,'NonART prices by med'!$A$2:$A$102,0)),"")</f>
        <v>0.60205838048342708</v>
      </c>
      <c r="G68" s="372">
        <f t="shared" si="3"/>
        <v>16.857634653535957</v>
      </c>
      <c r="H68" s="372">
        <f t="shared" ref="H68:H131" si="4">IF(C68-B68&lt;=365,1,0)</f>
        <v>0</v>
      </c>
    </row>
    <row r="69" spans="1:8">
      <c r="A69" s="372">
        <v>41</v>
      </c>
      <c r="B69" s="373">
        <v>42950</v>
      </c>
      <c r="C69" s="373">
        <v>42926</v>
      </c>
      <c r="D69" s="372">
        <v>35</v>
      </c>
      <c r="E69" s="372">
        <v>28</v>
      </c>
      <c r="F69" s="372">
        <f>IFERROR(INDEX('NonART prices by med'!$D$2:$D$102,MATCH(D69,'NonART prices by med'!$A$2:$A$102,0)),"")</f>
        <v>0.60205838048342708</v>
      </c>
      <c r="G69" s="372">
        <f t="shared" si="3"/>
        <v>16.857634653535957</v>
      </c>
      <c r="H69" s="372">
        <f t="shared" si="4"/>
        <v>1</v>
      </c>
    </row>
    <row r="70" spans="1:8">
      <c r="A70" s="372">
        <v>41</v>
      </c>
      <c r="B70" s="373">
        <v>42950</v>
      </c>
      <c r="C70" s="373">
        <v>42979</v>
      </c>
      <c r="D70" s="372">
        <v>35</v>
      </c>
      <c r="E70" s="372">
        <v>28</v>
      </c>
      <c r="F70" s="372">
        <f>IFERROR(INDEX('NonART prices by med'!$D$2:$D$102,MATCH(D70,'NonART prices by med'!$A$2:$A$102,0)),"")</f>
        <v>0.60205838048342708</v>
      </c>
      <c r="G70" s="372">
        <f t="shared" si="3"/>
        <v>16.857634653535957</v>
      </c>
      <c r="H70" s="372">
        <f t="shared" si="4"/>
        <v>1</v>
      </c>
    </row>
    <row r="71" spans="1:8">
      <c r="A71" s="372">
        <v>41</v>
      </c>
      <c r="B71" s="373">
        <v>42950</v>
      </c>
      <c r="C71" s="373">
        <v>43062</v>
      </c>
      <c r="D71" s="372">
        <v>35</v>
      </c>
      <c r="E71" s="372">
        <v>28</v>
      </c>
      <c r="F71" s="372">
        <f>IFERROR(INDEX('NonART prices by med'!$D$2:$D$102,MATCH(D71,'NonART prices by med'!$A$2:$A$102,0)),"")</f>
        <v>0.60205838048342708</v>
      </c>
      <c r="G71" s="372">
        <f t="shared" si="3"/>
        <v>16.857634653535957</v>
      </c>
      <c r="H71" s="372">
        <f t="shared" si="4"/>
        <v>1</v>
      </c>
    </row>
    <row r="72" spans="1:8">
      <c r="A72" s="372">
        <v>41</v>
      </c>
      <c r="B72" s="373">
        <v>42950</v>
      </c>
      <c r="C72" s="373">
        <v>43231</v>
      </c>
      <c r="D72" s="372">
        <v>358</v>
      </c>
      <c r="E72" s="372">
        <v>28</v>
      </c>
      <c r="F72" s="372">
        <f>IFERROR(INDEX('NonART prices by med'!$D$2:$D$102,MATCH(D72,'NonART prices by med'!$A$2:$A$102,0)),"")</f>
        <v>0.1839316921343207</v>
      </c>
      <c r="G72" s="372">
        <f t="shared" si="3"/>
        <v>5.1500873797609792</v>
      </c>
      <c r="H72" s="372">
        <f t="shared" si="4"/>
        <v>1</v>
      </c>
    </row>
    <row r="73" spans="1:8">
      <c r="A73" s="372">
        <v>41</v>
      </c>
      <c r="B73" s="373">
        <v>42950</v>
      </c>
      <c r="C73" s="373">
        <v>43313</v>
      </c>
      <c r="D73" s="372">
        <v>24</v>
      </c>
      <c r="E73" s="372">
        <v>28</v>
      </c>
      <c r="F73" s="372">
        <f>IFERROR(INDEX('NonART prices by med'!$D$2:$D$102,MATCH(D73,'NonART prices by med'!$A$2:$A$102,0)),"")</f>
        <v>0.1467857142857143</v>
      </c>
      <c r="G73" s="372">
        <f t="shared" si="3"/>
        <v>4.1100000000000003</v>
      </c>
      <c r="H73" s="372">
        <f t="shared" si="4"/>
        <v>1</v>
      </c>
    </row>
    <row r="74" spans="1:8">
      <c r="A74" s="372">
        <v>41</v>
      </c>
      <c r="B74" s="373">
        <v>42950</v>
      </c>
      <c r="C74" s="373">
        <v>43341</v>
      </c>
      <c r="D74" s="372">
        <v>24</v>
      </c>
      <c r="E74" s="372">
        <v>28</v>
      </c>
      <c r="F74" s="372">
        <f>IFERROR(INDEX('NonART prices by med'!$D$2:$D$102,MATCH(D74,'NonART prices by med'!$A$2:$A$102,0)),"")</f>
        <v>0.1467857142857143</v>
      </c>
      <c r="G74" s="372">
        <f t="shared" si="3"/>
        <v>4.1100000000000003</v>
      </c>
      <c r="H74" s="372">
        <f t="shared" si="4"/>
        <v>0</v>
      </c>
    </row>
    <row r="75" spans="1:8">
      <c r="A75" s="372">
        <v>41</v>
      </c>
      <c r="B75" s="373">
        <v>42950</v>
      </c>
      <c r="C75" s="373">
        <v>43355</v>
      </c>
      <c r="D75" s="372">
        <v>402</v>
      </c>
      <c r="E75" s="372">
        <v>1</v>
      </c>
      <c r="F75" s="372">
        <f>IFERROR(INDEX('NonART prices by med'!$D$2:$D$102,MATCH(D75,'NonART prices by med'!$A$2:$A$102,0)),"")</f>
        <v>84.57</v>
      </c>
      <c r="G75" s="372">
        <f t="shared" si="3"/>
        <v>84.57</v>
      </c>
      <c r="H75" s="372">
        <f t="shared" si="4"/>
        <v>0</v>
      </c>
    </row>
    <row r="76" spans="1:8">
      <c r="A76" s="372">
        <v>43</v>
      </c>
      <c r="B76" s="373">
        <v>42949</v>
      </c>
      <c r="C76" s="373">
        <v>42935</v>
      </c>
      <c r="D76" s="372">
        <v>342</v>
      </c>
      <c r="E76" s="372">
        <v>52</v>
      </c>
      <c r="F76" s="372">
        <f>IFERROR(INDEX('NonART prices by med'!$D$2:$D$102,MATCH(D76,'NonART prices by med'!$A$2:$A$102,0)),"")</f>
        <v>0.26590000152587889</v>
      </c>
      <c r="G76" s="372">
        <f t="shared" si="3"/>
        <v>13.826800079345702</v>
      </c>
      <c r="H76" s="372">
        <f t="shared" si="4"/>
        <v>1</v>
      </c>
    </row>
    <row r="77" spans="1:8">
      <c r="A77" s="372">
        <v>43</v>
      </c>
      <c r="B77" s="373">
        <v>42949</v>
      </c>
      <c r="C77" s="373">
        <v>42949</v>
      </c>
      <c r="D77" s="372">
        <v>225</v>
      </c>
      <c r="E77" s="372">
        <v>28</v>
      </c>
      <c r="F77" s="372">
        <f>IFERROR(INDEX('NonART prices by med'!$D$2:$D$102,MATCH(D77,'NonART prices by med'!$A$2:$A$102,0)),"")</f>
        <v>0.19315423345580862</v>
      </c>
      <c r="G77" s="372">
        <f t="shared" si="3"/>
        <v>5.408318536762641</v>
      </c>
      <c r="H77" s="372">
        <f t="shared" si="4"/>
        <v>1</v>
      </c>
    </row>
    <row r="78" spans="1:8">
      <c r="A78" s="372">
        <v>43</v>
      </c>
      <c r="B78" s="373">
        <v>42949</v>
      </c>
      <c r="C78" s="373">
        <v>42962</v>
      </c>
      <c r="D78" s="372">
        <v>55</v>
      </c>
      <c r="E78" s="372">
        <v>112</v>
      </c>
      <c r="F78" s="372">
        <f>IFERROR(INDEX('NonART prices by med'!$D$2:$D$102,MATCH(D78,'NonART prices by med'!$A$2:$A$102,0)),"")</f>
        <v>2.0690178571428572</v>
      </c>
      <c r="G78" s="372">
        <f t="shared" si="3"/>
        <v>231.73000000000002</v>
      </c>
      <c r="H78" s="372">
        <f t="shared" si="4"/>
        <v>1</v>
      </c>
    </row>
    <row r="79" spans="1:8">
      <c r="A79" s="372">
        <v>43</v>
      </c>
      <c r="B79" s="373">
        <v>42949</v>
      </c>
      <c r="C79" s="373">
        <v>42975</v>
      </c>
      <c r="D79" s="372">
        <v>413</v>
      </c>
      <c r="E79" s="372">
        <v>1</v>
      </c>
      <c r="F79" s="372">
        <f>IFERROR(INDEX('NonART prices by med'!$D$2:$D$102,MATCH(D79,'NonART prices by med'!$A$2:$A$102,0)),"")</f>
        <v>4.2699999999999995E-2</v>
      </c>
      <c r="G79" s="372">
        <f t="shared" si="3"/>
        <v>4.2699999999999995E-2</v>
      </c>
      <c r="H79" s="372">
        <f t="shared" si="4"/>
        <v>1</v>
      </c>
    </row>
    <row r="80" spans="1:8">
      <c r="A80" s="372">
        <v>43</v>
      </c>
      <c r="B80" s="373">
        <v>42949</v>
      </c>
      <c r="C80" s="373">
        <v>42990</v>
      </c>
      <c r="D80" s="372">
        <v>284</v>
      </c>
      <c r="E80" s="372">
        <v>10</v>
      </c>
      <c r="F80" s="372">
        <f>IFERROR(INDEX('NonART prices by med'!$D$2:$D$102,MATCH(D80,'NonART prices by med'!$A$2:$A$102,0)),"")</f>
        <v>2.2000000476837158</v>
      </c>
      <c r="G80" s="372">
        <f t="shared" si="3"/>
        <v>22.000000476837158</v>
      </c>
      <c r="H80" s="372">
        <f t="shared" si="4"/>
        <v>1</v>
      </c>
    </row>
    <row r="81" spans="1:8">
      <c r="A81" s="372">
        <v>43</v>
      </c>
      <c r="B81" s="373">
        <v>42949</v>
      </c>
      <c r="C81" s="373">
        <v>42992</v>
      </c>
      <c r="D81" s="372">
        <v>35</v>
      </c>
      <c r="E81" s="372">
        <v>56</v>
      </c>
      <c r="F81" s="372">
        <f>IFERROR(INDEX('NonART prices by med'!$D$2:$D$102,MATCH(D81,'NonART prices by med'!$A$2:$A$102,0)),"")</f>
        <v>0.60205838048342708</v>
      </c>
      <c r="G81" s="372">
        <f t="shared" si="3"/>
        <v>33.715269307071914</v>
      </c>
      <c r="H81" s="372">
        <f t="shared" si="4"/>
        <v>1</v>
      </c>
    </row>
    <row r="82" spans="1:8">
      <c r="A82" s="372">
        <v>43</v>
      </c>
      <c r="B82" s="373">
        <v>42949</v>
      </c>
      <c r="C82" s="373">
        <v>43018</v>
      </c>
      <c r="D82" s="372">
        <v>342</v>
      </c>
      <c r="E82" s="372">
        <v>56</v>
      </c>
      <c r="F82" s="372">
        <f>IFERROR(INDEX('NonART prices by med'!$D$2:$D$102,MATCH(D82,'NonART prices by med'!$A$2:$A$102,0)),"")</f>
        <v>0.26590000152587889</v>
      </c>
      <c r="G82" s="372">
        <f t="shared" si="3"/>
        <v>14.890400085449219</v>
      </c>
      <c r="H82" s="372">
        <f t="shared" si="4"/>
        <v>1</v>
      </c>
    </row>
    <row r="83" spans="1:8">
      <c r="A83" s="372">
        <v>43</v>
      </c>
      <c r="B83" s="373">
        <v>42949</v>
      </c>
      <c r="C83" s="373">
        <v>43046</v>
      </c>
      <c r="D83" s="372">
        <v>59</v>
      </c>
      <c r="E83" s="372">
        <v>70</v>
      </c>
      <c r="F83" s="372">
        <f>IFERROR(INDEX('NonART prices by med'!$D$2:$D$102,MATCH(D83,'NonART prices by med'!$A$2:$A$102,0)),"")</f>
        <v>1.6595</v>
      </c>
      <c r="G83" s="372">
        <f t="shared" si="3"/>
        <v>116.16499999999999</v>
      </c>
      <c r="H83" s="372">
        <f t="shared" si="4"/>
        <v>1</v>
      </c>
    </row>
    <row r="84" spans="1:8">
      <c r="A84" s="372">
        <v>43</v>
      </c>
      <c r="B84" s="373">
        <v>42949</v>
      </c>
      <c r="C84" s="373">
        <v>43074</v>
      </c>
      <c r="D84" s="372">
        <v>59</v>
      </c>
      <c r="E84" s="372">
        <v>70</v>
      </c>
      <c r="F84" s="372">
        <f>IFERROR(INDEX('NonART prices by med'!$D$2:$D$102,MATCH(D84,'NonART prices by med'!$A$2:$A$102,0)),"")</f>
        <v>1.6595</v>
      </c>
      <c r="G84" s="372">
        <f t="shared" si="3"/>
        <v>116.16499999999999</v>
      </c>
      <c r="H84" s="372">
        <f t="shared" si="4"/>
        <v>1</v>
      </c>
    </row>
    <row r="85" spans="1:8">
      <c r="A85" s="372">
        <v>43</v>
      </c>
      <c r="B85" s="373">
        <v>42949</v>
      </c>
      <c r="C85" s="373">
        <v>43115</v>
      </c>
      <c r="D85" s="372">
        <v>59</v>
      </c>
      <c r="F85" s="372">
        <f>IFERROR(INDEX('NonART prices by med'!$D$2:$D$102,MATCH(D85,'NonART prices by med'!$A$2:$A$102,0)),"")</f>
        <v>1.6595</v>
      </c>
      <c r="G85" s="372">
        <f t="shared" si="3"/>
        <v>0</v>
      </c>
      <c r="H85" s="372">
        <f t="shared" si="4"/>
        <v>1</v>
      </c>
    </row>
    <row r="86" spans="1:8">
      <c r="A86" s="372">
        <v>43</v>
      </c>
      <c r="B86" s="373">
        <v>42949</v>
      </c>
      <c r="C86" s="373">
        <v>43118</v>
      </c>
      <c r="D86" s="372">
        <v>283</v>
      </c>
      <c r="F86" s="372">
        <f>IFERROR(INDEX('NonART prices by med'!$D$2:$D$102,MATCH(D86,'NonART prices by med'!$A$2:$A$102,0)),"")</f>
        <v>0.17899999898380203</v>
      </c>
      <c r="G86" s="372">
        <f t="shared" si="3"/>
        <v>0</v>
      </c>
      <c r="H86" s="372">
        <f t="shared" si="4"/>
        <v>1</v>
      </c>
    </row>
    <row r="87" spans="1:8">
      <c r="A87" s="372">
        <v>43</v>
      </c>
      <c r="B87" s="373">
        <v>42949</v>
      </c>
      <c r="C87" s="373">
        <v>43388</v>
      </c>
      <c r="D87" s="372">
        <v>263</v>
      </c>
      <c r="E87" s="372">
        <v>4</v>
      </c>
      <c r="F87" s="372">
        <f>IFERROR(INDEX('NonART prices by med'!$D$2:$D$102,MATCH(D87,'NonART prices by med'!$A$2:$A$102,0)),"")</f>
        <v>0.47387143543788363</v>
      </c>
      <c r="G87" s="372">
        <f t="shared" si="3"/>
        <v>1.8954857417515345</v>
      </c>
      <c r="H87" s="372">
        <f t="shared" si="4"/>
        <v>0</v>
      </c>
    </row>
    <row r="88" spans="1:8">
      <c r="A88" s="372">
        <v>44</v>
      </c>
      <c r="B88" s="373">
        <v>42949</v>
      </c>
      <c r="C88" s="373">
        <v>43027</v>
      </c>
      <c r="D88" s="372">
        <v>342</v>
      </c>
      <c r="E88" s="372">
        <v>28</v>
      </c>
      <c r="F88" s="372">
        <f>IFERROR(INDEX('NonART prices by med'!$D$2:$D$102,MATCH(D88,'NonART prices by med'!$A$2:$A$102,0)),"")</f>
        <v>0.26590000152587889</v>
      </c>
      <c r="G88" s="372">
        <f t="shared" si="3"/>
        <v>7.4452000427246094</v>
      </c>
      <c r="H88" s="372">
        <f t="shared" si="4"/>
        <v>1</v>
      </c>
    </row>
    <row r="89" spans="1:8">
      <c r="A89" s="372">
        <v>45</v>
      </c>
      <c r="B89" s="373">
        <v>42949</v>
      </c>
      <c r="C89" s="373">
        <v>42923</v>
      </c>
      <c r="D89" s="372">
        <v>318</v>
      </c>
      <c r="E89" s="372">
        <v>20</v>
      </c>
      <c r="F89" s="372">
        <f>IFERROR(INDEX('NonART prices by med'!$D$2:$D$102,MATCH(D89,'NonART prices by med'!$A$2:$A$102,0)),"")</f>
        <v>0.19286066077210379</v>
      </c>
      <c r="G89" s="372">
        <f t="shared" si="3"/>
        <v>3.8572132154420755</v>
      </c>
      <c r="H89" s="372">
        <f t="shared" si="4"/>
        <v>1</v>
      </c>
    </row>
    <row r="90" spans="1:8">
      <c r="A90" s="372">
        <v>45</v>
      </c>
      <c r="B90" s="373">
        <v>42949</v>
      </c>
      <c r="C90" s="373">
        <v>42926</v>
      </c>
      <c r="D90" s="372">
        <v>100</v>
      </c>
      <c r="E90" s="372">
        <v>15</v>
      </c>
      <c r="F90" s="372">
        <f>IFERROR(INDEX('NonART prices by med'!$D$2:$D$102,MATCH(D90,'NonART prices by med'!$A$2:$A$102,0)),"")</f>
        <v>0.55516046284546272</v>
      </c>
      <c r="G90" s="372">
        <f t="shared" si="3"/>
        <v>8.3274069426819413</v>
      </c>
      <c r="H90" s="372">
        <f t="shared" si="4"/>
        <v>1</v>
      </c>
    </row>
    <row r="91" spans="1:8">
      <c r="A91" s="372">
        <v>45</v>
      </c>
      <c r="B91" s="373">
        <v>42949</v>
      </c>
      <c r="C91" s="373">
        <v>42930</v>
      </c>
      <c r="D91" s="372">
        <v>229</v>
      </c>
      <c r="E91" s="372">
        <v>28</v>
      </c>
      <c r="F91" s="372">
        <f>IFERROR(INDEX('NonART prices by med'!$D$2:$D$102,MATCH(D91,'NonART prices by med'!$A$2:$A$102,0)),"")</f>
        <v>0.1577857140947122</v>
      </c>
      <c r="G91" s="372">
        <f t="shared" si="3"/>
        <v>4.4179999946519413</v>
      </c>
      <c r="H91" s="372">
        <f t="shared" si="4"/>
        <v>1</v>
      </c>
    </row>
    <row r="92" spans="1:8">
      <c r="A92" s="372">
        <v>45</v>
      </c>
      <c r="B92" s="373">
        <v>42949</v>
      </c>
      <c r="C92" s="373">
        <v>42944</v>
      </c>
      <c r="D92" s="372">
        <v>184</v>
      </c>
      <c r="E92" s="372">
        <v>52</v>
      </c>
      <c r="F92" s="372">
        <f>IFERROR(INDEX('NonART prices by med'!$D$2:$D$102,MATCH(D92,'NonART prices by med'!$A$2:$A$102,0)),"")</f>
        <v>0.21851785714285715</v>
      </c>
      <c r="G92" s="372">
        <f t="shared" si="3"/>
        <v>11.362928571428572</v>
      </c>
      <c r="H92" s="372">
        <f t="shared" si="4"/>
        <v>1</v>
      </c>
    </row>
    <row r="93" spans="1:8">
      <c r="A93" s="372">
        <v>46</v>
      </c>
      <c r="B93" s="373">
        <v>42949</v>
      </c>
      <c r="C93" s="373">
        <v>42949</v>
      </c>
      <c r="D93" s="372">
        <v>117</v>
      </c>
      <c r="E93" s="372">
        <v>3</v>
      </c>
      <c r="F93" s="372">
        <f>IFERROR(INDEX('NonART prices by med'!$D$2:$D$102,MATCH(D93,'NonART prices by med'!$A$2:$A$102,0)),"")</f>
        <v>2.9786666870117187</v>
      </c>
      <c r="G93" s="372">
        <f t="shared" si="3"/>
        <v>8.9360000610351555</v>
      </c>
      <c r="H93" s="372">
        <f t="shared" si="4"/>
        <v>1</v>
      </c>
    </row>
    <row r="94" spans="1:8">
      <c r="A94" s="372">
        <v>46</v>
      </c>
      <c r="B94" s="373">
        <v>42949</v>
      </c>
      <c r="C94" s="373">
        <v>43061</v>
      </c>
      <c r="D94" s="372">
        <v>35</v>
      </c>
      <c r="E94" s="372">
        <v>28</v>
      </c>
      <c r="F94" s="372">
        <f>IFERROR(INDEX('NonART prices by med'!$D$2:$D$102,MATCH(D94,'NonART prices by med'!$A$2:$A$102,0)),"")</f>
        <v>0.60205838048342708</v>
      </c>
      <c r="G94" s="372">
        <f t="shared" si="3"/>
        <v>16.857634653535957</v>
      </c>
      <c r="H94" s="372">
        <f t="shared" si="4"/>
        <v>1</v>
      </c>
    </row>
    <row r="95" spans="1:8">
      <c r="A95" s="372">
        <v>46</v>
      </c>
      <c r="B95" s="373">
        <v>42949</v>
      </c>
      <c r="C95" s="373">
        <v>43089</v>
      </c>
      <c r="D95" s="372">
        <v>35</v>
      </c>
      <c r="E95" s="372">
        <v>56</v>
      </c>
      <c r="F95" s="372">
        <f>IFERROR(INDEX('NonART prices by med'!$D$2:$D$102,MATCH(D95,'NonART prices by med'!$A$2:$A$102,0)),"")</f>
        <v>0.60205838048342708</v>
      </c>
      <c r="G95" s="372">
        <f t="shared" si="3"/>
        <v>33.715269307071914</v>
      </c>
      <c r="H95" s="372">
        <f t="shared" si="4"/>
        <v>1</v>
      </c>
    </row>
    <row r="96" spans="1:8">
      <c r="A96" s="372">
        <v>46</v>
      </c>
      <c r="B96" s="373">
        <v>42949</v>
      </c>
      <c r="C96" s="373">
        <v>43102</v>
      </c>
      <c r="D96" s="372">
        <v>219</v>
      </c>
      <c r="E96" s="372">
        <v>40</v>
      </c>
      <c r="F96" s="372">
        <f>IFERROR(INDEX('NonART prices by med'!$D$2:$D$102,MATCH(D96,'NonART prices by med'!$A$2:$A$102,0)),"")</f>
        <v>0.55532131597376833</v>
      </c>
      <c r="G96" s="372">
        <f t="shared" si="3"/>
        <v>22.212852638950732</v>
      </c>
      <c r="H96" s="372">
        <f t="shared" si="4"/>
        <v>1</v>
      </c>
    </row>
    <row r="97" spans="1:8">
      <c r="A97" s="372">
        <v>46</v>
      </c>
      <c r="B97" s="373">
        <v>42949</v>
      </c>
      <c r="C97" s="373">
        <v>43256</v>
      </c>
      <c r="D97" s="372">
        <v>52</v>
      </c>
      <c r="E97" s="372">
        <v>56</v>
      </c>
      <c r="F97" s="372">
        <f>IFERROR(INDEX('NonART prices by med'!$D$2:$D$102,MATCH(D97,'NonART prices by med'!$A$2:$A$102,0)),"")</f>
        <v>0.61873312838750838</v>
      </c>
      <c r="G97" s="372">
        <f t="shared" si="3"/>
        <v>34.649055189700469</v>
      </c>
      <c r="H97" s="372">
        <f t="shared" si="4"/>
        <v>1</v>
      </c>
    </row>
    <row r="98" spans="1:8">
      <c r="A98" s="372">
        <v>46</v>
      </c>
      <c r="B98" s="373">
        <v>42949</v>
      </c>
      <c r="C98" s="373">
        <v>43313</v>
      </c>
      <c r="D98" s="372">
        <v>342</v>
      </c>
      <c r="E98" s="372">
        <v>28</v>
      </c>
      <c r="F98" s="372">
        <f>IFERROR(INDEX('NonART prices by med'!$D$2:$D$102,MATCH(D98,'NonART prices by med'!$A$2:$A$102,0)),"")</f>
        <v>0.26590000152587889</v>
      </c>
      <c r="G98" s="372">
        <f t="shared" si="3"/>
        <v>7.4452000427246094</v>
      </c>
      <c r="H98" s="372">
        <f t="shared" si="4"/>
        <v>1</v>
      </c>
    </row>
    <row r="99" spans="1:8">
      <c r="A99" s="372">
        <v>46</v>
      </c>
      <c r="B99" s="373">
        <v>42949</v>
      </c>
      <c r="C99" s="373">
        <v>43341</v>
      </c>
      <c r="D99" s="372">
        <v>35</v>
      </c>
      <c r="E99" s="372">
        <v>28</v>
      </c>
      <c r="F99" s="372">
        <f>IFERROR(INDEX('NonART prices by med'!$D$2:$D$102,MATCH(D99,'NonART prices by med'!$A$2:$A$102,0)),"")</f>
        <v>0.60205838048342708</v>
      </c>
      <c r="G99" s="372">
        <f t="shared" si="3"/>
        <v>16.857634653535957</v>
      </c>
      <c r="H99" s="372">
        <f t="shared" si="4"/>
        <v>0</v>
      </c>
    </row>
    <row r="100" spans="1:8">
      <c r="A100" s="372">
        <v>48</v>
      </c>
      <c r="B100" s="373">
        <v>42947</v>
      </c>
      <c r="C100" s="373">
        <v>43041</v>
      </c>
      <c r="D100" s="372">
        <v>215</v>
      </c>
      <c r="E100" s="372">
        <v>30</v>
      </c>
      <c r="F100" s="372">
        <f>IFERROR(INDEX('NonART prices by med'!$D$2:$D$102,MATCH(D100,'NonART prices by med'!$A$2:$A$102,0)),"")</f>
        <v>0.27607142857142858</v>
      </c>
      <c r="G100" s="372">
        <f t="shared" si="3"/>
        <v>8.2821428571428566</v>
      </c>
      <c r="H100" s="372">
        <f t="shared" si="4"/>
        <v>1</v>
      </c>
    </row>
    <row r="101" spans="1:8">
      <c r="A101" s="372">
        <v>49</v>
      </c>
      <c r="B101" s="373">
        <v>42948</v>
      </c>
      <c r="C101" s="373">
        <v>42934</v>
      </c>
      <c r="D101" s="372">
        <v>219</v>
      </c>
      <c r="E101" s="372">
        <v>40</v>
      </c>
      <c r="F101" s="372">
        <f>IFERROR(INDEX('NonART prices by med'!$D$2:$D$102,MATCH(D101,'NonART prices by med'!$A$2:$A$102,0)),"")</f>
        <v>0.55532131597376833</v>
      </c>
      <c r="G101" s="372">
        <f t="shared" si="3"/>
        <v>22.212852638950732</v>
      </c>
      <c r="H101" s="372">
        <f t="shared" si="4"/>
        <v>1</v>
      </c>
    </row>
    <row r="102" spans="1:8">
      <c r="A102" s="372">
        <v>49</v>
      </c>
      <c r="B102" s="373">
        <v>42948</v>
      </c>
      <c r="C102" s="373">
        <v>43165</v>
      </c>
      <c r="D102" s="372">
        <v>184</v>
      </c>
      <c r="E102" s="372">
        <v>56</v>
      </c>
      <c r="F102" s="372">
        <f>IFERROR(INDEX('NonART prices by med'!$D$2:$D$102,MATCH(D102,'NonART prices by med'!$A$2:$A$102,0)),"")</f>
        <v>0.21851785714285715</v>
      </c>
      <c r="G102" s="372">
        <f t="shared" si="3"/>
        <v>12.237</v>
      </c>
      <c r="H102" s="372">
        <f t="shared" si="4"/>
        <v>1</v>
      </c>
    </row>
    <row r="103" spans="1:8">
      <c r="A103" s="372">
        <v>49</v>
      </c>
      <c r="B103" s="373">
        <v>42948</v>
      </c>
      <c r="C103" s="373">
        <v>43255</v>
      </c>
      <c r="D103" s="372">
        <v>184</v>
      </c>
      <c r="E103" s="372">
        <v>112</v>
      </c>
      <c r="F103" s="372">
        <f>IFERROR(INDEX('NonART prices by med'!$D$2:$D$102,MATCH(D103,'NonART prices by med'!$A$2:$A$102,0)),"")</f>
        <v>0.21851785714285715</v>
      </c>
      <c r="G103" s="372">
        <f t="shared" si="3"/>
        <v>24.474</v>
      </c>
      <c r="H103" s="372">
        <f t="shared" si="4"/>
        <v>1</v>
      </c>
    </row>
    <row r="104" spans="1:8">
      <c r="A104" s="372">
        <v>49</v>
      </c>
      <c r="B104" s="373">
        <v>42948</v>
      </c>
      <c r="C104" s="373">
        <v>43397</v>
      </c>
      <c r="D104" s="372">
        <v>408</v>
      </c>
      <c r="E104" s="372">
        <v>56</v>
      </c>
      <c r="F104" s="372">
        <f>IFERROR(INDEX('NonART prices by med'!$D$2:$D$102,MATCH(D104,'NonART prices by med'!$A$2:$A$102,0)),"")</f>
        <v>5.5E-2</v>
      </c>
      <c r="G104" s="372">
        <f t="shared" si="3"/>
        <v>3.08</v>
      </c>
      <c r="H104" s="372">
        <f t="shared" si="4"/>
        <v>0</v>
      </c>
    </row>
    <row r="105" spans="1:8">
      <c r="A105" s="372">
        <v>49</v>
      </c>
      <c r="B105" s="373">
        <v>42948</v>
      </c>
      <c r="C105" s="373">
        <v>43447</v>
      </c>
      <c r="D105" s="372">
        <v>184</v>
      </c>
      <c r="E105" s="372">
        <v>56</v>
      </c>
      <c r="F105" s="372">
        <f>IFERROR(INDEX('NonART prices by med'!$D$2:$D$102,MATCH(D105,'NonART prices by med'!$A$2:$A$102,0)),"")</f>
        <v>0.21851785714285715</v>
      </c>
      <c r="G105" s="372">
        <f t="shared" si="3"/>
        <v>12.237</v>
      </c>
      <c r="H105" s="372">
        <f t="shared" si="4"/>
        <v>0</v>
      </c>
    </row>
    <row r="106" spans="1:8">
      <c r="A106" s="372">
        <v>51</v>
      </c>
      <c r="B106" s="373">
        <v>42944</v>
      </c>
      <c r="C106" s="373">
        <v>42982</v>
      </c>
      <c r="D106" s="372">
        <v>225</v>
      </c>
      <c r="E106" s="372">
        <v>28</v>
      </c>
      <c r="F106" s="372">
        <f>IFERROR(INDEX('NonART prices by med'!$D$2:$D$102,MATCH(D106,'NonART prices by med'!$A$2:$A$102,0)),"")</f>
        <v>0.19315423345580862</v>
      </c>
      <c r="G106" s="372">
        <f t="shared" si="3"/>
        <v>5.408318536762641</v>
      </c>
      <c r="H106" s="372">
        <f t="shared" si="4"/>
        <v>1</v>
      </c>
    </row>
    <row r="107" spans="1:8">
      <c r="A107" s="372">
        <v>51</v>
      </c>
      <c r="B107" s="373">
        <v>42944</v>
      </c>
      <c r="C107" s="373">
        <v>43031</v>
      </c>
      <c r="D107" s="372">
        <v>214</v>
      </c>
      <c r="F107" s="372">
        <f>IFERROR(INDEX('NonART prices by med'!$D$2:$D$102,MATCH(D107,'NonART prices by med'!$A$2:$A$102,0)),"")</f>
        <v>0.24476190476190474</v>
      </c>
      <c r="G107" s="372">
        <f t="shared" si="3"/>
        <v>0</v>
      </c>
      <c r="H107" s="372">
        <f t="shared" si="4"/>
        <v>1</v>
      </c>
    </row>
    <row r="108" spans="1:8">
      <c r="A108" s="372">
        <v>52</v>
      </c>
      <c r="B108" s="373">
        <v>42943</v>
      </c>
      <c r="C108" s="373">
        <v>42937</v>
      </c>
      <c r="D108" s="372">
        <v>151</v>
      </c>
      <c r="E108" s="372">
        <v>1</v>
      </c>
      <c r="F108" s="372">
        <f>IFERROR(INDEX('NonART prices by med'!$D$2:$D$102,MATCH(D108,'NonART prices by med'!$A$2:$A$102,0)),"")</f>
        <v>9.74</v>
      </c>
      <c r="G108" s="372">
        <f t="shared" si="3"/>
        <v>9.74</v>
      </c>
      <c r="H108" s="372">
        <f t="shared" si="4"/>
        <v>1</v>
      </c>
    </row>
    <row r="109" spans="1:8">
      <c r="A109" s="372">
        <v>52</v>
      </c>
      <c r="B109" s="373">
        <v>42943</v>
      </c>
      <c r="C109" s="373">
        <v>43103</v>
      </c>
      <c r="D109" s="372">
        <v>133</v>
      </c>
      <c r="F109" s="372">
        <f>IFERROR(INDEX('NonART prices by med'!$D$2:$D$102,MATCH(D109,'NonART prices by med'!$A$2:$A$102,0)),"")</f>
        <v>0.68440000098466458</v>
      </c>
      <c r="G109" s="372">
        <f t="shared" si="3"/>
        <v>0</v>
      </c>
      <c r="H109" s="372">
        <f t="shared" si="4"/>
        <v>1</v>
      </c>
    </row>
    <row r="110" spans="1:8">
      <c r="A110" s="372">
        <v>52</v>
      </c>
      <c r="B110" s="373">
        <v>42943</v>
      </c>
      <c r="C110" s="373">
        <v>43370</v>
      </c>
      <c r="D110" s="372">
        <v>225</v>
      </c>
      <c r="E110" s="372">
        <v>28</v>
      </c>
      <c r="F110" s="372">
        <f>IFERROR(INDEX('NonART prices by med'!$D$2:$D$102,MATCH(D110,'NonART prices by med'!$A$2:$A$102,0)),"")</f>
        <v>0.19315423345580862</v>
      </c>
      <c r="G110" s="372">
        <f t="shared" si="3"/>
        <v>5.408318536762641</v>
      </c>
      <c r="H110" s="372">
        <f t="shared" si="4"/>
        <v>0</v>
      </c>
    </row>
    <row r="111" spans="1:8">
      <c r="A111" s="372">
        <v>52</v>
      </c>
      <c r="B111" s="373">
        <v>42943</v>
      </c>
      <c r="C111" s="373">
        <v>43412</v>
      </c>
      <c r="D111" s="372">
        <v>225</v>
      </c>
      <c r="E111" s="372">
        <v>28</v>
      </c>
      <c r="F111" s="372">
        <f>IFERROR(INDEX('NonART prices by med'!$D$2:$D$102,MATCH(D111,'NonART prices by med'!$A$2:$A$102,0)),"")</f>
        <v>0.19315423345580862</v>
      </c>
      <c r="G111" s="372">
        <f t="shared" si="3"/>
        <v>5.408318536762641</v>
      </c>
      <c r="H111" s="372">
        <f t="shared" si="4"/>
        <v>0</v>
      </c>
    </row>
    <row r="112" spans="1:8">
      <c r="A112" s="372">
        <v>54</v>
      </c>
      <c r="B112" s="373">
        <v>42941</v>
      </c>
      <c r="C112" s="373">
        <v>42969</v>
      </c>
      <c r="D112" s="372">
        <v>184</v>
      </c>
      <c r="E112" s="372">
        <v>56</v>
      </c>
      <c r="F112" s="372">
        <f>IFERROR(INDEX('NonART prices by med'!$D$2:$D$102,MATCH(D112,'NonART prices by med'!$A$2:$A$102,0)),"")</f>
        <v>0.21851785714285715</v>
      </c>
      <c r="G112" s="372">
        <f t="shared" si="3"/>
        <v>12.237</v>
      </c>
      <c r="H112" s="372">
        <f t="shared" si="4"/>
        <v>1</v>
      </c>
    </row>
    <row r="113" spans="1:8">
      <c r="A113" s="372">
        <v>54</v>
      </c>
      <c r="B113" s="373">
        <v>42941</v>
      </c>
      <c r="C113" s="373">
        <v>43109</v>
      </c>
      <c r="D113" s="372">
        <v>24</v>
      </c>
      <c r="E113" s="372">
        <v>28</v>
      </c>
      <c r="F113" s="372">
        <f>IFERROR(INDEX('NonART prices by med'!$D$2:$D$102,MATCH(D113,'NonART prices by med'!$A$2:$A$102,0)),"")</f>
        <v>0.1467857142857143</v>
      </c>
      <c r="G113" s="372">
        <f t="shared" si="3"/>
        <v>4.1100000000000003</v>
      </c>
      <c r="H113" s="372">
        <f t="shared" si="4"/>
        <v>1</v>
      </c>
    </row>
    <row r="114" spans="1:8">
      <c r="A114" s="372">
        <v>54</v>
      </c>
      <c r="B114" s="373">
        <v>42941</v>
      </c>
      <c r="C114" s="373">
        <v>43325</v>
      </c>
      <c r="D114" s="372">
        <v>24</v>
      </c>
      <c r="E114" s="372">
        <v>28</v>
      </c>
      <c r="F114" s="372">
        <f>IFERROR(INDEX('NonART prices by med'!$D$2:$D$102,MATCH(D114,'NonART prices by med'!$A$2:$A$102,0)),"")</f>
        <v>0.1467857142857143</v>
      </c>
      <c r="G114" s="372">
        <f t="shared" si="3"/>
        <v>4.1100000000000003</v>
      </c>
      <c r="H114" s="372">
        <f t="shared" si="4"/>
        <v>0</v>
      </c>
    </row>
    <row r="115" spans="1:8">
      <c r="A115" s="372">
        <v>55</v>
      </c>
      <c r="B115" s="373">
        <v>42941</v>
      </c>
      <c r="C115" s="373">
        <v>43026</v>
      </c>
      <c r="D115" s="372">
        <v>225</v>
      </c>
      <c r="E115" s="372">
        <v>28</v>
      </c>
      <c r="F115" s="372">
        <f>IFERROR(INDEX('NonART prices by med'!$D$2:$D$102,MATCH(D115,'NonART prices by med'!$A$2:$A$102,0)),"")</f>
        <v>0.19315423345580862</v>
      </c>
      <c r="G115" s="372">
        <f t="shared" si="3"/>
        <v>5.408318536762641</v>
      </c>
      <c r="H115" s="372">
        <f t="shared" si="4"/>
        <v>1</v>
      </c>
    </row>
    <row r="116" spans="1:8">
      <c r="A116" s="372">
        <v>55</v>
      </c>
      <c r="B116" s="373">
        <v>42941</v>
      </c>
      <c r="C116" s="373">
        <v>43082</v>
      </c>
      <c r="D116" s="372">
        <v>35</v>
      </c>
      <c r="E116" s="372">
        <v>56</v>
      </c>
      <c r="F116" s="372">
        <f>IFERROR(INDEX('NonART prices by med'!$D$2:$D$102,MATCH(D116,'NonART prices by med'!$A$2:$A$102,0)),"")</f>
        <v>0.60205838048342708</v>
      </c>
      <c r="G116" s="372">
        <f t="shared" si="3"/>
        <v>33.715269307071914</v>
      </c>
      <c r="H116" s="372">
        <f t="shared" si="4"/>
        <v>1</v>
      </c>
    </row>
    <row r="117" spans="1:8">
      <c r="A117" s="372">
        <v>55</v>
      </c>
      <c r="B117" s="373">
        <v>42941</v>
      </c>
      <c r="C117" s="373">
        <v>43129</v>
      </c>
      <c r="D117" s="372">
        <v>35</v>
      </c>
      <c r="E117" s="372">
        <v>28</v>
      </c>
      <c r="F117" s="372">
        <f>IFERROR(INDEX('NonART prices by med'!$D$2:$D$102,MATCH(D117,'NonART prices by med'!$A$2:$A$102,0)),"")</f>
        <v>0.60205838048342708</v>
      </c>
      <c r="G117" s="372">
        <f t="shared" si="3"/>
        <v>16.857634653535957</v>
      </c>
      <c r="H117" s="372">
        <f t="shared" si="4"/>
        <v>1</v>
      </c>
    </row>
    <row r="118" spans="1:8">
      <c r="A118" s="372">
        <v>56</v>
      </c>
      <c r="B118" s="373">
        <v>42941</v>
      </c>
      <c r="C118" s="373">
        <v>42927</v>
      </c>
      <c r="D118" s="372">
        <v>318</v>
      </c>
      <c r="E118" s="372">
        <v>20</v>
      </c>
      <c r="F118" s="372">
        <f>IFERROR(INDEX('NonART prices by med'!$D$2:$D$102,MATCH(D118,'NonART prices by med'!$A$2:$A$102,0)),"")</f>
        <v>0.19286066077210379</v>
      </c>
      <c r="G118" s="372">
        <f t="shared" si="3"/>
        <v>3.8572132154420755</v>
      </c>
      <c r="H118" s="372">
        <f t="shared" si="4"/>
        <v>1</v>
      </c>
    </row>
    <row r="119" spans="1:8">
      <c r="A119" s="372">
        <v>56</v>
      </c>
      <c r="B119" s="373">
        <v>42941</v>
      </c>
      <c r="C119" s="373">
        <v>42941</v>
      </c>
      <c r="D119" s="372">
        <v>225</v>
      </c>
      <c r="F119" s="372">
        <f>IFERROR(INDEX('NonART prices by med'!$D$2:$D$102,MATCH(D119,'NonART prices by med'!$A$2:$A$102,0)),"")</f>
        <v>0.19315423345580862</v>
      </c>
      <c r="G119" s="372">
        <f t="shared" si="3"/>
        <v>0</v>
      </c>
      <c r="H119" s="372">
        <f t="shared" si="4"/>
        <v>1</v>
      </c>
    </row>
    <row r="120" spans="1:8">
      <c r="A120" s="372">
        <v>56</v>
      </c>
      <c r="B120" s="373">
        <v>42941</v>
      </c>
      <c r="C120" s="373">
        <v>43017</v>
      </c>
      <c r="D120" s="372">
        <v>225</v>
      </c>
      <c r="E120" s="372">
        <v>28</v>
      </c>
      <c r="F120" s="372">
        <f>IFERROR(INDEX('NonART prices by med'!$D$2:$D$102,MATCH(D120,'NonART prices by med'!$A$2:$A$102,0)),"")</f>
        <v>0.19315423345580862</v>
      </c>
      <c r="G120" s="372">
        <f t="shared" si="3"/>
        <v>5.408318536762641</v>
      </c>
      <c r="H120" s="372">
        <f t="shared" si="4"/>
        <v>1</v>
      </c>
    </row>
    <row r="121" spans="1:8">
      <c r="A121" s="372">
        <v>56</v>
      </c>
      <c r="B121" s="373">
        <v>42941</v>
      </c>
      <c r="C121" s="373">
        <v>43059</v>
      </c>
      <c r="D121" s="372">
        <v>35</v>
      </c>
      <c r="E121" s="372">
        <v>28</v>
      </c>
      <c r="F121" s="372">
        <f>IFERROR(INDEX('NonART prices by med'!$D$2:$D$102,MATCH(D121,'NonART prices by med'!$A$2:$A$102,0)),"")</f>
        <v>0.60205838048342708</v>
      </c>
      <c r="G121" s="372">
        <f t="shared" si="3"/>
        <v>16.857634653535957</v>
      </c>
      <c r="H121" s="372">
        <f t="shared" si="4"/>
        <v>1</v>
      </c>
    </row>
    <row r="122" spans="1:8">
      <c r="A122" s="372">
        <v>56</v>
      </c>
      <c r="B122" s="373">
        <v>42941</v>
      </c>
      <c r="C122" s="373">
        <v>43080</v>
      </c>
      <c r="D122" s="372">
        <v>35</v>
      </c>
      <c r="E122" s="372">
        <v>56</v>
      </c>
      <c r="F122" s="372">
        <f>IFERROR(INDEX('NonART prices by med'!$D$2:$D$102,MATCH(D122,'NonART prices by med'!$A$2:$A$102,0)),"")</f>
        <v>0.60205838048342708</v>
      </c>
      <c r="G122" s="372">
        <f t="shared" si="3"/>
        <v>33.715269307071914</v>
      </c>
      <c r="H122" s="372">
        <f t="shared" si="4"/>
        <v>1</v>
      </c>
    </row>
    <row r="123" spans="1:8">
      <c r="A123" s="372">
        <v>57</v>
      </c>
      <c r="B123" s="373">
        <v>42895</v>
      </c>
      <c r="C123" s="373">
        <v>43031</v>
      </c>
      <c r="D123" s="372">
        <v>318</v>
      </c>
      <c r="E123" s="372">
        <v>20</v>
      </c>
      <c r="F123" s="372">
        <f>IFERROR(INDEX('NonART prices by med'!$D$2:$D$102,MATCH(D123,'NonART prices by med'!$A$2:$A$102,0)),"")</f>
        <v>0.19286066077210379</v>
      </c>
      <c r="G123" s="372">
        <f t="shared" si="3"/>
        <v>3.8572132154420755</v>
      </c>
      <c r="H123" s="372">
        <f t="shared" si="4"/>
        <v>1</v>
      </c>
    </row>
    <row r="124" spans="1:8">
      <c r="A124" s="372">
        <v>58</v>
      </c>
      <c r="B124" s="373">
        <v>42933</v>
      </c>
      <c r="C124" s="373">
        <v>42970</v>
      </c>
      <c r="D124" s="372">
        <v>411</v>
      </c>
      <c r="E124" s="372">
        <v>56</v>
      </c>
      <c r="F124" s="372">
        <f>IFERROR(INDEX('NonART prices by med'!$D$2:$D$102,MATCH(D124,'NonART prices by med'!$A$2:$A$102,0)),"")</f>
        <v>0.10354499389265867</v>
      </c>
      <c r="G124" s="372">
        <f t="shared" si="3"/>
        <v>5.7985196579888854</v>
      </c>
      <c r="H124" s="372">
        <f t="shared" si="4"/>
        <v>1</v>
      </c>
    </row>
    <row r="125" spans="1:8">
      <c r="A125" s="372">
        <v>60</v>
      </c>
      <c r="B125" s="373">
        <v>42926</v>
      </c>
      <c r="C125" s="373">
        <v>42941</v>
      </c>
      <c r="D125" s="372">
        <v>290</v>
      </c>
      <c r="E125" s="372">
        <v>2</v>
      </c>
      <c r="F125" s="372">
        <f>IFERROR(INDEX('NonART prices by med'!$D$2:$D$102,MATCH(D125,'NonART prices by med'!$A$2:$A$102,0)),"")</f>
        <v>0.37279999999999996</v>
      </c>
      <c r="G125" s="372">
        <f t="shared" si="3"/>
        <v>0.74559999999999993</v>
      </c>
      <c r="H125" s="372">
        <f t="shared" si="4"/>
        <v>1</v>
      </c>
    </row>
    <row r="126" spans="1:8">
      <c r="A126" s="372">
        <v>60</v>
      </c>
      <c r="B126" s="373">
        <v>42926</v>
      </c>
      <c r="C126" s="373">
        <v>42969</v>
      </c>
      <c r="D126" s="372">
        <v>146</v>
      </c>
      <c r="E126" s="372">
        <v>1</v>
      </c>
      <c r="F126" s="372">
        <f>IFERROR(INDEX('NonART prices by med'!$D$2:$D$102,MATCH(D126,'NonART prices by med'!$A$2:$A$102,0)),"")</f>
        <v>4.2040000000000006</v>
      </c>
      <c r="G126" s="372">
        <f t="shared" si="3"/>
        <v>4.2040000000000006</v>
      </c>
      <c r="H126" s="372">
        <f t="shared" si="4"/>
        <v>1</v>
      </c>
    </row>
    <row r="127" spans="1:8">
      <c r="A127" s="372">
        <v>60</v>
      </c>
      <c r="B127" s="373">
        <v>42926</v>
      </c>
      <c r="C127" s="373">
        <v>43171</v>
      </c>
      <c r="D127" s="372">
        <v>1</v>
      </c>
      <c r="E127" s="372">
        <v>2</v>
      </c>
      <c r="F127" s="372" t="str">
        <f>IFERROR(INDEX('NonART prices by med'!$D$2:$D$102,MATCH(D127,'NonART prices by med'!$A$2:$A$102,0)),"")</f>
        <v/>
      </c>
      <c r="G127" s="372" t="str">
        <f t="shared" si="3"/>
        <v/>
      </c>
      <c r="H127" s="372">
        <f t="shared" si="4"/>
        <v>1</v>
      </c>
    </row>
    <row r="128" spans="1:8">
      <c r="A128" s="372">
        <v>60</v>
      </c>
      <c r="B128" s="373">
        <v>42926</v>
      </c>
      <c r="C128" s="373">
        <v>43313</v>
      </c>
      <c r="D128" s="372">
        <v>358</v>
      </c>
      <c r="E128" s="372">
        <v>56</v>
      </c>
      <c r="F128" s="372">
        <f>IFERROR(INDEX('NonART prices by med'!$D$2:$D$102,MATCH(D128,'NonART prices by med'!$A$2:$A$102,0)),"")</f>
        <v>0.1839316921343207</v>
      </c>
      <c r="G128" s="372">
        <f t="shared" si="3"/>
        <v>10.300174759521958</v>
      </c>
      <c r="H128" s="372">
        <f t="shared" si="4"/>
        <v>0</v>
      </c>
    </row>
    <row r="129" spans="1:8">
      <c r="A129" s="372">
        <v>60</v>
      </c>
      <c r="B129" s="373">
        <v>42926</v>
      </c>
      <c r="C129" s="373">
        <v>43397</v>
      </c>
      <c r="D129" s="372">
        <v>24</v>
      </c>
      <c r="E129" s="372">
        <v>56</v>
      </c>
      <c r="F129" s="372">
        <f>IFERROR(INDEX('NonART prices by med'!$D$2:$D$102,MATCH(D129,'NonART prices by med'!$A$2:$A$102,0)),"")</f>
        <v>0.1467857142857143</v>
      </c>
      <c r="G129" s="372">
        <f t="shared" si="3"/>
        <v>8.2200000000000006</v>
      </c>
      <c r="H129" s="372">
        <f t="shared" si="4"/>
        <v>0</v>
      </c>
    </row>
    <row r="130" spans="1:8">
      <c r="A130" s="372">
        <v>62</v>
      </c>
      <c r="B130" s="373">
        <v>42936</v>
      </c>
      <c r="C130" s="373">
        <v>43103</v>
      </c>
      <c r="D130" s="372">
        <v>225</v>
      </c>
      <c r="E130" s="372">
        <v>28</v>
      </c>
      <c r="F130" s="372">
        <f>IFERROR(INDEX('NonART prices by med'!$D$2:$D$102,MATCH(D130,'NonART prices by med'!$A$2:$A$102,0)),"")</f>
        <v>0.19315423345580862</v>
      </c>
      <c r="G130" s="372">
        <f t="shared" si="3"/>
        <v>5.408318536762641</v>
      </c>
      <c r="H130" s="372">
        <f t="shared" si="4"/>
        <v>1</v>
      </c>
    </row>
    <row r="131" spans="1:8">
      <c r="A131" s="372">
        <v>63</v>
      </c>
      <c r="B131" s="373">
        <v>42935</v>
      </c>
      <c r="C131" s="373">
        <v>43014</v>
      </c>
      <c r="D131" s="372">
        <v>146</v>
      </c>
      <c r="E131" s="372">
        <v>1</v>
      </c>
      <c r="F131" s="372">
        <f>IFERROR(INDEX('NonART prices by med'!$D$2:$D$102,MATCH(D131,'NonART prices by med'!$A$2:$A$102,0)),"")</f>
        <v>4.2040000000000006</v>
      </c>
      <c r="G131" s="372">
        <f t="shared" ref="G131:G194" si="5">IFERROR(E131*F131,"")</f>
        <v>4.2040000000000006</v>
      </c>
      <c r="H131" s="372">
        <f t="shared" si="4"/>
        <v>1</v>
      </c>
    </row>
    <row r="132" spans="1:8">
      <c r="A132" s="372">
        <v>63</v>
      </c>
      <c r="B132" s="373">
        <v>42935</v>
      </c>
      <c r="C132" s="373">
        <v>43041</v>
      </c>
      <c r="D132" s="372">
        <v>225</v>
      </c>
      <c r="E132" s="372">
        <v>28</v>
      </c>
      <c r="F132" s="372">
        <f>IFERROR(INDEX('NonART prices by med'!$D$2:$D$102,MATCH(D132,'NonART prices by med'!$A$2:$A$102,0)),"")</f>
        <v>0.19315423345580862</v>
      </c>
      <c r="G132" s="372">
        <f t="shared" si="5"/>
        <v>5.408318536762641</v>
      </c>
      <c r="H132" s="372">
        <f t="shared" ref="H132:H195" si="6">IF(C132-B132&lt;=365,1,0)</f>
        <v>1</v>
      </c>
    </row>
    <row r="133" spans="1:8">
      <c r="A133" s="372">
        <v>65</v>
      </c>
      <c r="B133" s="373">
        <v>42936</v>
      </c>
      <c r="C133" s="373">
        <v>42936</v>
      </c>
      <c r="D133" s="372">
        <v>402</v>
      </c>
      <c r="E133" s="372">
        <v>1</v>
      </c>
      <c r="F133" s="372">
        <f>IFERROR(INDEX('NonART prices by med'!$D$2:$D$102,MATCH(D133,'NonART prices by med'!$A$2:$A$102,0)),"")</f>
        <v>84.57</v>
      </c>
      <c r="G133" s="372">
        <f t="shared" si="5"/>
        <v>84.57</v>
      </c>
      <c r="H133" s="372">
        <f t="shared" si="6"/>
        <v>1</v>
      </c>
    </row>
    <row r="134" spans="1:8">
      <c r="A134" s="372">
        <v>65</v>
      </c>
      <c r="B134" s="373">
        <v>42936</v>
      </c>
      <c r="C134" s="373">
        <v>43103</v>
      </c>
      <c r="D134" s="372">
        <v>225</v>
      </c>
      <c r="E134" s="372">
        <v>28</v>
      </c>
      <c r="F134" s="372">
        <f>IFERROR(INDEX('NonART prices by med'!$D$2:$D$102,MATCH(D134,'NonART prices by med'!$A$2:$A$102,0)),"")</f>
        <v>0.19315423345580862</v>
      </c>
      <c r="G134" s="372">
        <f t="shared" si="5"/>
        <v>5.408318536762641</v>
      </c>
      <c r="H134" s="372">
        <f t="shared" si="6"/>
        <v>1</v>
      </c>
    </row>
    <row r="135" spans="1:8">
      <c r="A135" s="372">
        <v>65</v>
      </c>
      <c r="B135" s="373">
        <v>42936</v>
      </c>
      <c r="C135" s="373">
        <v>43257</v>
      </c>
      <c r="D135" s="372">
        <v>121</v>
      </c>
      <c r="E135" s="372">
        <v>2</v>
      </c>
      <c r="F135" s="372">
        <f>IFERROR(INDEX('NonART prices by med'!$D$2:$D$102,MATCH(D135,'NonART prices by med'!$A$2:$A$102,0)),"")</f>
        <v>78.239999999999995</v>
      </c>
      <c r="G135" s="372">
        <f t="shared" si="5"/>
        <v>156.47999999999999</v>
      </c>
      <c r="H135" s="372">
        <f t="shared" si="6"/>
        <v>1</v>
      </c>
    </row>
    <row r="136" spans="1:8">
      <c r="A136" s="372">
        <v>66</v>
      </c>
      <c r="B136" s="373">
        <v>42935</v>
      </c>
      <c r="C136" s="373">
        <v>42997</v>
      </c>
      <c r="D136" s="372">
        <v>35</v>
      </c>
      <c r="E136" s="372">
        <v>28</v>
      </c>
      <c r="F136" s="372">
        <f>IFERROR(INDEX('NonART prices by med'!$D$2:$D$102,MATCH(D136,'NonART prices by med'!$A$2:$A$102,0)),"")</f>
        <v>0.60205838048342708</v>
      </c>
      <c r="G136" s="372">
        <f t="shared" si="5"/>
        <v>16.857634653535957</v>
      </c>
      <c r="H136" s="372">
        <f t="shared" si="6"/>
        <v>1</v>
      </c>
    </row>
    <row r="137" spans="1:8">
      <c r="A137" s="372">
        <v>67</v>
      </c>
      <c r="B137" s="373">
        <v>42935</v>
      </c>
      <c r="C137" s="373">
        <v>42935</v>
      </c>
      <c r="D137" s="372">
        <v>225</v>
      </c>
      <c r="E137" s="372">
        <v>28</v>
      </c>
      <c r="F137" s="372">
        <f>IFERROR(INDEX('NonART prices by med'!$D$2:$D$102,MATCH(D137,'NonART prices by med'!$A$2:$A$102,0)),"")</f>
        <v>0.19315423345580862</v>
      </c>
      <c r="G137" s="372">
        <f t="shared" si="5"/>
        <v>5.408318536762641</v>
      </c>
      <c r="H137" s="372">
        <f t="shared" si="6"/>
        <v>1</v>
      </c>
    </row>
    <row r="138" spans="1:8">
      <c r="A138" s="372">
        <v>67</v>
      </c>
      <c r="B138" s="373">
        <v>42935</v>
      </c>
      <c r="C138" s="373">
        <v>42992</v>
      </c>
      <c r="D138" s="372">
        <v>215</v>
      </c>
      <c r="E138" s="372">
        <v>28</v>
      </c>
      <c r="F138" s="372">
        <f>IFERROR(INDEX('NonART prices by med'!$D$2:$D$102,MATCH(D138,'NonART prices by med'!$A$2:$A$102,0)),"")</f>
        <v>0.27607142857142858</v>
      </c>
      <c r="G138" s="372">
        <f t="shared" si="5"/>
        <v>7.73</v>
      </c>
      <c r="H138" s="372">
        <f t="shared" si="6"/>
        <v>1</v>
      </c>
    </row>
    <row r="139" spans="1:8">
      <c r="A139" s="372">
        <v>67</v>
      </c>
      <c r="B139" s="373">
        <v>42935</v>
      </c>
      <c r="C139" s="373">
        <v>43034</v>
      </c>
      <c r="D139" s="372">
        <v>225</v>
      </c>
      <c r="E139" s="372">
        <v>28</v>
      </c>
      <c r="F139" s="372">
        <f>IFERROR(INDEX('NonART prices by med'!$D$2:$D$102,MATCH(D139,'NonART prices by med'!$A$2:$A$102,0)),"")</f>
        <v>0.19315423345580862</v>
      </c>
      <c r="G139" s="372">
        <f t="shared" si="5"/>
        <v>5.408318536762641</v>
      </c>
      <c r="H139" s="372">
        <f t="shared" si="6"/>
        <v>1</v>
      </c>
    </row>
    <row r="140" spans="1:8">
      <c r="A140" s="372">
        <v>71</v>
      </c>
      <c r="B140" s="373">
        <v>42934</v>
      </c>
      <c r="C140" s="373">
        <v>42962</v>
      </c>
      <c r="D140" s="372">
        <v>184</v>
      </c>
      <c r="F140" s="372">
        <f>IFERROR(INDEX('NonART prices by med'!$D$2:$D$102,MATCH(D140,'NonART prices by med'!$A$2:$A$102,0)),"")</f>
        <v>0.21851785714285715</v>
      </c>
      <c r="G140" s="372">
        <f t="shared" si="5"/>
        <v>0</v>
      </c>
      <c r="H140" s="372">
        <f t="shared" si="6"/>
        <v>1</v>
      </c>
    </row>
    <row r="141" spans="1:8">
      <c r="A141" s="372">
        <v>72</v>
      </c>
      <c r="B141" s="373">
        <v>42934</v>
      </c>
      <c r="C141" s="373">
        <v>42948</v>
      </c>
      <c r="D141" s="372">
        <v>318</v>
      </c>
      <c r="E141" s="372">
        <v>20</v>
      </c>
      <c r="F141" s="372">
        <f>IFERROR(INDEX('NonART prices by med'!$D$2:$D$102,MATCH(D141,'NonART prices by med'!$A$2:$A$102,0)),"")</f>
        <v>0.19286066077210379</v>
      </c>
      <c r="G141" s="372">
        <f t="shared" si="5"/>
        <v>3.8572132154420755</v>
      </c>
      <c r="H141" s="372">
        <f t="shared" si="6"/>
        <v>1</v>
      </c>
    </row>
    <row r="142" spans="1:8">
      <c r="A142" s="372">
        <v>72</v>
      </c>
      <c r="B142" s="373">
        <v>42934</v>
      </c>
      <c r="C142" s="373">
        <v>42972</v>
      </c>
      <c r="D142" s="372">
        <v>378</v>
      </c>
      <c r="E142" s="372">
        <v>1</v>
      </c>
      <c r="F142" s="372">
        <f>IFERROR(INDEX('NonART prices by med'!$D$2:$D$102,MATCH(D142,'NonART prices by med'!$A$2:$A$102,0)),"")</f>
        <v>196.82000732421875</v>
      </c>
      <c r="G142" s="372">
        <f t="shared" si="5"/>
        <v>196.82000732421875</v>
      </c>
      <c r="H142" s="372">
        <f t="shared" si="6"/>
        <v>1</v>
      </c>
    </row>
    <row r="143" spans="1:8">
      <c r="A143" s="372">
        <v>72</v>
      </c>
      <c r="B143" s="373">
        <v>42934</v>
      </c>
      <c r="C143" s="373">
        <v>43215</v>
      </c>
      <c r="D143" s="372">
        <v>396</v>
      </c>
      <c r="E143" s="372">
        <v>1</v>
      </c>
      <c r="F143" s="372">
        <f>IFERROR(INDEX('NonART prices by med'!$D$2:$D$102,MATCH(D143,'NonART prices by med'!$A$2:$A$102,0)),"")</f>
        <v>59.67</v>
      </c>
      <c r="G143" s="372">
        <f t="shared" si="5"/>
        <v>59.67</v>
      </c>
      <c r="H143" s="372">
        <f t="shared" si="6"/>
        <v>1</v>
      </c>
    </row>
    <row r="144" spans="1:8">
      <c r="A144" s="372">
        <v>73</v>
      </c>
      <c r="B144" s="373">
        <v>42936</v>
      </c>
      <c r="C144" s="373">
        <v>42957</v>
      </c>
      <c r="D144" s="372">
        <v>342</v>
      </c>
      <c r="E144" s="372">
        <v>56</v>
      </c>
      <c r="F144" s="372">
        <f>IFERROR(INDEX('NonART prices by med'!$D$2:$D$102,MATCH(D144,'NonART prices by med'!$A$2:$A$102,0)),"")</f>
        <v>0.26590000152587889</v>
      </c>
      <c r="G144" s="372">
        <f t="shared" si="5"/>
        <v>14.890400085449219</v>
      </c>
      <c r="H144" s="372">
        <f t="shared" si="6"/>
        <v>1</v>
      </c>
    </row>
    <row r="145" spans="1:8">
      <c r="A145" s="372">
        <v>73</v>
      </c>
      <c r="B145" s="373">
        <v>42936</v>
      </c>
      <c r="C145" s="373">
        <v>43012</v>
      </c>
      <c r="D145" s="372">
        <v>35</v>
      </c>
      <c r="E145" s="372">
        <v>28</v>
      </c>
      <c r="F145" s="372">
        <f>IFERROR(INDEX('NonART prices by med'!$D$2:$D$102,MATCH(D145,'NonART prices by med'!$A$2:$A$102,0)),"")</f>
        <v>0.60205838048342708</v>
      </c>
      <c r="G145" s="372">
        <f t="shared" si="5"/>
        <v>16.857634653535957</v>
      </c>
      <c r="H145" s="372">
        <f t="shared" si="6"/>
        <v>1</v>
      </c>
    </row>
    <row r="146" spans="1:8">
      <c r="A146" s="372">
        <v>74</v>
      </c>
      <c r="B146" s="373">
        <v>42929</v>
      </c>
      <c r="C146" s="373">
        <v>42929</v>
      </c>
      <c r="D146" s="372">
        <v>402</v>
      </c>
      <c r="E146" s="372">
        <v>1</v>
      </c>
      <c r="F146" s="372">
        <f>IFERROR(INDEX('NonART prices by med'!$D$2:$D$102,MATCH(D146,'NonART prices by med'!$A$2:$A$102,0)),"")</f>
        <v>84.57</v>
      </c>
      <c r="G146" s="372">
        <f t="shared" si="5"/>
        <v>84.57</v>
      </c>
      <c r="H146" s="372">
        <f t="shared" si="6"/>
        <v>1</v>
      </c>
    </row>
    <row r="147" spans="1:8">
      <c r="A147" s="372">
        <v>74</v>
      </c>
      <c r="B147" s="373">
        <v>42929</v>
      </c>
      <c r="C147" s="373">
        <v>42943</v>
      </c>
      <c r="D147" s="372">
        <v>146</v>
      </c>
      <c r="E147" s="372">
        <v>1</v>
      </c>
      <c r="F147" s="372">
        <f>IFERROR(INDEX('NonART prices by med'!$D$2:$D$102,MATCH(D147,'NonART prices by med'!$A$2:$A$102,0)),"")</f>
        <v>4.2040000000000006</v>
      </c>
      <c r="G147" s="372">
        <f t="shared" si="5"/>
        <v>4.2040000000000006</v>
      </c>
      <c r="H147" s="372">
        <f t="shared" si="6"/>
        <v>1</v>
      </c>
    </row>
    <row r="148" spans="1:8">
      <c r="A148" s="372">
        <v>74</v>
      </c>
      <c r="B148" s="373">
        <v>42929</v>
      </c>
      <c r="C148" s="373">
        <v>42965</v>
      </c>
      <c r="D148" s="372">
        <v>290</v>
      </c>
      <c r="E148" s="372">
        <v>5</v>
      </c>
      <c r="F148" s="372">
        <f>IFERROR(INDEX('NonART prices by med'!$D$2:$D$102,MATCH(D148,'NonART prices by med'!$A$2:$A$102,0)),"")</f>
        <v>0.37279999999999996</v>
      </c>
      <c r="G148" s="372">
        <f t="shared" si="5"/>
        <v>1.8639999999999999</v>
      </c>
      <c r="H148" s="372">
        <f t="shared" si="6"/>
        <v>1</v>
      </c>
    </row>
    <row r="149" spans="1:8">
      <c r="A149" s="372">
        <v>74</v>
      </c>
      <c r="B149" s="373">
        <v>42929</v>
      </c>
      <c r="C149" s="373">
        <v>43041</v>
      </c>
      <c r="D149" s="372">
        <v>225</v>
      </c>
      <c r="E149" s="372">
        <v>28</v>
      </c>
      <c r="F149" s="372">
        <f>IFERROR(INDEX('NonART prices by med'!$D$2:$D$102,MATCH(D149,'NonART prices by med'!$A$2:$A$102,0)),"")</f>
        <v>0.19315423345580862</v>
      </c>
      <c r="G149" s="372">
        <f t="shared" si="5"/>
        <v>5.408318536762641</v>
      </c>
      <c r="H149" s="372">
        <f t="shared" si="6"/>
        <v>1</v>
      </c>
    </row>
    <row r="150" spans="1:8">
      <c r="A150" s="372">
        <v>74</v>
      </c>
      <c r="B150" s="373">
        <v>42929</v>
      </c>
      <c r="C150" s="373">
        <v>43421</v>
      </c>
      <c r="D150" s="372">
        <v>179</v>
      </c>
      <c r="E150" s="372">
        <v>2</v>
      </c>
      <c r="F150" s="372">
        <f>IFERROR(INDEX('NonART prices by med'!$D$2:$D$102,MATCH(D150,'NonART prices by med'!$A$2:$A$102,0)),"")</f>
        <v>12.69</v>
      </c>
      <c r="G150" s="372">
        <f t="shared" si="5"/>
        <v>25.38</v>
      </c>
      <c r="H150" s="372">
        <f t="shared" si="6"/>
        <v>0</v>
      </c>
    </row>
    <row r="151" spans="1:8">
      <c r="A151" s="372">
        <v>75</v>
      </c>
      <c r="B151" s="373">
        <v>42928</v>
      </c>
      <c r="C151" s="373">
        <v>42999</v>
      </c>
      <c r="D151" s="372">
        <v>35</v>
      </c>
      <c r="E151" s="372">
        <v>28</v>
      </c>
      <c r="F151" s="372">
        <f>IFERROR(INDEX('NonART prices by med'!$D$2:$D$102,MATCH(D151,'NonART prices by med'!$A$2:$A$102,0)),"")</f>
        <v>0.60205838048342708</v>
      </c>
      <c r="G151" s="372">
        <f t="shared" si="5"/>
        <v>16.857634653535957</v>
      </c>
      <c r="H151" s="372">
        <f t="shared" si="6"/>
        <v>1</v>
      </c>
    </row>
    <row r="152" spans="1:8">
      <c r="A152" s="372">
        <v>75</v>
      </c>
      <c r="B152" s="373">
        <v>42928</v>
      </c>
      <c r="C152" s="373">
        <v>43299</v>
      </c>
      <c r="D152" s="372">
        <v>162</v>
      </c>
      <c r="E152" s="372">
        <v>10</v>
      </c>
      <c r="F152" s="372">
        <f>IFERROR(INDEX('NonART prices by med'!$D$2:$D$102,MATCH(D152,'NonART prices by med'!$A$2:$A$102,0)),"")</f>
        <v>0.126</v>
      </c>
      <c r="G152" s="372">
        <f t="shared" si="5"/>
        <v>1.26</v>
      </c>
      <c r="H152" s="372">
        <f t="shared" si="6"/>
        <v>0</v>
      </c>
    </row>
    <row r="153" spans="1:8">
      <c r="A153" s="372">
        <v>76</v>
      </c>
      <c r="B153" s="373">
        <v>42927</v>
      </c>
      <c r="C153" s="373">
        <v>43013</v>
      </c>
      <c r="D153" s="372">
        <v>34</v>
      </c>
      <c r="E153" s="372">
        <v>28</v>
      </c>
      <c r="F153" s="372">
        <f>IFERROR(INDEX('NonART prices by med'!$D$2:$D$102,MATCH(D153,'NonART prices by med'!$A$2:$A$102,0)),"")</f>
        <v>0.38757142857142851</v>
      </c>
      <c r="G153" s="372">
        <f t="shared" si="5"/>
        <v>10.851999999999999</v>
      </c>
      <c r="H153" s="372">
        <f t="shared" si="6"/>
        <v>1</v>
      </c>
    </row>
    <row r="154" spans="1:8">
      <c r="A154" s="372">
        <v>76</v>
      </c>
      <c r="B154" s="373">
        <v>42927</v>
      </c>
      <c r="C154" s="373">
        <v>43320</v>
      </c>
      <c r="D154" s="372">
        <v>146</v>
      </c>
      <c r="E154" s="372">
        <v>1</v>
      </c>
      <c r="F154" s="372">
        <f>IFERROR(INDEX('NonART prices by med'!$D$2:$D$102,MATCH(D154,'NonART prices by med'!$A$2:$A$102,0)),"")</f>
        <v>4.2040000000000006</v>
      </c>
      <c r="G154" s="372">
        <f t="shared" si="5"/>
        <v>4.2040000000000006</v>
      </c>
      <c r="H154" s="372">
        <f t="shared" si="6"/>
        <v>0</v>
      </c>
    </row>
    <row r="155" spans="1:8">
      <c r="A155" s="372">
        <v>1</v>
      </c>
      <c r="B155" s="373">
        <v>42972</v>
      </c>
      <c r="C155" s="373">
        <v>42972</v>
      </c>
      <c r="D155" s="372">
        <v>225</v>
      </c>
      <c r="E155" s="372">
        <v>28</v>
      </c>
      <c r="F155" s="372">
        <f>IFERROR(INDEX('NonART prices by med'!$D$2:$D$102,MATCH(D155,'NonART prices by med'!$A$2:$A$102,0)),"")</f>
        <v>0.19315423345580862</v>
      </c>
      <c r="G155" s="372">
        <f t="shared" si="5"/>
        <v>5.408318536762641</v>
      </c>
      <c r="H155" s="372">
        <f t="shared" si="6"/>
        <v>1</v>
      </c>
    </row>
    <row r="156" spans="1:8">
      <c r="A156" s="372">
        <v>1</v>
      </c>
      <c r="B156" s="373">
        <v>42972</v>
      </c>
      <c r="C156" s="373">
        <v>42986</v>
      </c>
      <c r="D156" s="372">
        <v>35</v>
      </c>
      <c r="E156" s="372">
        <v>56</v>
      </c>
      <c r="F156" s="372">
        <f>IFERROR(INDEX('NonART prices by med'!$D$2:$D$102,MATCH(D156,'NonART prices by med'!$A$2:$A$102,0)),"")</f>
        <v>0.60205838048342708</v>
      </c>
      <c r="G156" s="372">
        <f t="shared" si="5"/>
        <v>33.715269307071914</v>
      </c>
      <c r="H156" s="372">
        <f t="shared" si="6"/>
        <v>1</v>
      </c>
    </row>
    <row r="157" spans="1:8">
      <c r="A157" s="372">
        <v>2</v>
      </c>
      <c r="B157" s="373">
        <v>43000</v>
      </c>
      <c r="C157" s="373">
        <v>43000</v>
      </c>
      <c r="D157" s="372">
        <v>149</v>
      </c>
      <c r="E157" s="372">
        <v>28</v>
      </c>
      <c r="F157" s="372">
        <f>IFERROR(INDEX('NonART prices by med'!$D$2:$D$102,MATCH(D157,'NonART prices by med'!$A$2:$A$102,0)),"")</f>
        <v>0.14128571459723807</v>
      </c>
      <c r="G157" s="372">
        <f t="shared" si="5"/>
        <v>3.9560000087226661</v>
      </c>
      <c r="H157" s="372">
        <f t="shared" si="6"/>
        <v>1</v>
      </c>
    </row>
    <row r="158" spans="1:8">
      <c r="A158" s="372">
        <v>2</v>
      </c>
      <c r="B158" s="373">
        <v>43000</v>
      </c>
      <c r="C158" s="373">
        <v>43027</v>
      </c>
      <c r="D158" s="372">
        <v>156</v>
      </c>
      <c r="F158" s="372">
        <f>IFERROR(INDEX('NonART prices by med'!$D$2:$D$102,MATCH(D158,'NonART prices by med'!$A$2:$A$102,0)),"")</f>
        <v>0.3252000045776367</v>
      </c>
      <c r="G158" s="372">
        <f t="shared" si="5"/>
        <v>0</v>
      </c>
      <c r="H158" s="372">
        <f t="shared" si="6"/>
        <v>1</v>
      </c>
    </row>
    <row r="159" spans="1:8">
      <c r="A159" s="372">
        <v>2</v>
      </c>
      <c r="B159" s="373">
        <v>43000</v>
      </c>
      <c r="C159" s="373">
        <v>43115</v>
      </c>
      <c r="D159" s="372">
        <v>35</v>
      </c>
      <c r="E159" s="372">
        <v>28</v>
      </c>
      <c r="F159" s="372">
        <f>IFERROR(INDEX('NonART prices by med'!$D$2:$D$102,MATCH(D159,'NonART prices by med'!$A$2:$A$102,0)),"")</f>
        <v>0.60205838048342708</v>
      </c>
      <c r="G159" s="372">
        <f t="shared" si="5"/>
        <v>16.857634653535957</v>
      </c>
      <c r="H159" s="372">
        <f t="shared" si="6"/>
        <v>1</v>
      </c>
    </row>
    <row r="160" spans="1:8">
      <c r="A160" s="372">
        <v>2</v>
      </c>
      <c r="B160" s="373">
        <v>43000</v>
      </c>
      <c r="C160" s="373">
        <v>43143</v>
      </c>
      <c r="D160" s="372">
        <v>35</v>
      </c>
      <c r="E160" s="372">
        <v>28</v>
      </c>
      <c r="F160" s="372">
        <f>IFERROR(INDEX('NonART prices by med'!$D$2:$D$102,MATCH(D160,'NonART prices by med'!$A$2:$A$102,0)),"")</f>
        <v>0.60205838048342708</v>
      </c>
      <c r="G160" s="372">
        <f t="shared" si="5"/>
        <v>16.857634653535957</v>
      </c>
      <c r="H160" s="372">
        <f t="shared" si="6"/>
        <v>1</v>
      </c>
    </row>
    <row r="161" spans="1:8">
      <c r="A161" s="372">
        <v>2</v>
      </c>
      <c r="B161" s="373">
        <v>43000</v>
      </c>
      <c r="C161" s="373">
        <v>43171</v>
      </c>
      <c r="D161" s="372">
        <v>35</v>
      </c>
      <c r="E161" s="372">
        <v>56</v>
      </c>
      <c r="F161" s="372">
        <f>IFERROR(INDEX('NonART prices by med'!$D$2:$D$102,MATCH(D161,'NonART prices by med'!$A$2:$A$102,0)),"")</f>
        <v>0.60205838048342708</v>
      </c>
      <c r="G161" s="372">
        <f t="shared" si="5"/>
        <v>33.715269307071914</v>
      </c>
      <c r="H161" s="372">
        <f t="shared" si="6"/>
        <v>1</v>
      </c>
    </row>
    <row r="162" spans="1:8">
      <c r="A162" s="372">
        <v>2</v>
      </c>
      <c r="B162" s="373">
        <v>43000</v>
      </c>
      <c r="C162" s="373">
        <v>43228</v>
      </c>
      <c r="D162" s="372">
        <v>35</v>
      </c>
      <c r="E162" s="372">
        <v>56</v>
      </c>
      <c r="F162" s="372">
        <f>IFERROR(INDEX('NonART prices by med'!$D$2:$D$102,MATCH(D162,'NonART prices by med'!$A$2:$A$102,0)),"")</f>
        <v>0.60205838048342708</v>
      </c>
      <c r="G162" s="372">
        <f t="shared" si="5"/>
        <v>33.715269307071914</v>
      </c>
      <c r="H162" s="372">
        <f t="shared" si="6"/>
        <v>1</v>
      </c>
    </row>
    <row r="163" spans="1:8">
      <c r="A163" s="372">
        <v>2</v>
      </c>
      <c r="B163" s="373">
        <v>43000</v>
      </c>
      <c r="C163" s="373">
        <v>43293</v>
      </c>
      <c r="D163" s="372">
        <v>134</v>
      </c>
      <c r="E163" s="372">
        <v>28</v>
      </c>
      <c r="F163" s="372">
        <f>IFERROR(INDEX('NonART prices by med'!$D$2:$D$102,MATCH(D163,'NonART prices by med'!$A$2:$A$102,0)),"")</f>
        <v>0.39033333366993345</v>
      </c>
      <c r="G163" s="372">
        <f t="shared" si="5"/>
        <v>10.929333342758136</v>
      </c>
      <c r="H163" s="372">
        <f t="shared" si="6"/>
        <v>1</v>
      </c>
    </row>
    <row r="164" spans="1:8">
      <c r="A164" s="372">
        <v>2</v>
      </c>
      <c r="B164" s="373">
        <v>43000</v>
      </c>
      <c r="C164" s="373">
        <v>43349</v>
      </c>
      <c r="D164" s="372">
        <v>225</v>
      </c>
      <c r="E164" s="372">
        <v>28</v>
      </c>
      <c r="F164" s="372">
        <f>IFERROR(INDEX('NonART prices by med'!$D$2:$D$102,MATCH(D164,'NonART prices by med'!$A$2:$A$102,0)),"")</f>
        <v>0.19315423345580862</v>
      </c>
      <c r="G164" s="372">
        <f t="shared" si="5"/>
        <v>5.408318536762641</v>
      </c>
      <c r="H164" s="372">
        <f t="shared" si="6"/>
        <v>1</v>
      </c>
    </row>
    <row r="165" spans="1:8">
      <c r="A165" s="372">
        <v>2</v>
      </c>
      <c r="B165" s="373">
        <v>43000</v>
      </c>
      <c r="C165" s="373">
        <v>43382</v>
      </c>
      <c r="D165" s="372">
        <v>215</v>
      </c>
      <c r="E165" s="372">
        <v>56</v>
      </c>
      <c r="F165" s="372">
        <f>IFERROR(INDEX('NonART prices by med'!$D$2:$D$102,MATCH(D165,'NonART prices by med'!$A$2:$A$102,0)),"")</f>
        <v>0.27607142857142858</v>
      </c>
      <c r="G165" s="372">
        <f t="shared" si="5"/>
        <v>15.46</v>
      </c>
      <c r="H165" s="372">
        <f t="shared" si="6"/>
        <v>0</v>
      </c>
    </row>
    <row r="166" spans="1:8">
      <c r="A166" s="372">
        <v>2</v>
      </c>
      <c r="B166" s="373">
        <v>43000</v>
      </c>
      <c r="C166" s="373">
        <v>43430</v>
      </c>
      <c r="D166" s="372">
        <v>290</v>
      </c>
      <c r="E166" s="372">
        <v>5</v>
      </c>
      <c r="F166" s="372">
        <f>IFERROR(INDEX('NonART prices by med'!$D$2:$D$102,MATCH(D166,'NonART prices by med'!$A$2:$A$102,0)),"")</f>
        <v>0.37279999999999996</v>
      </c>
      <c r="G166" s="372">
        <f t="shared" si="5"/>
        <v>1.8639999999999999</v>
      </c>
      <c r="H166" s="372">
        <f t="shared" si="6"/>
        <v>0</v>
      </c>
    </row>
    <row r="167" spans="1:8">
      <c r="A167" s="372">
        <v>2</v>
      </c>
      <c r="B167" s="373">
        <v>43000</v>
      </c>
      <c r="C167" s="373">
        <v>43447</v>
      </c>
      <c r="D167" s="372">
        <v>215</v>
      </c>
      <c r="E167" s="372">
        <v>28</v>
      </c>
      <c r="F167" s="372">
        <f>IFERROR(INDEX('NonART prices by med'!$D$2:$D$102,MATCH(D167,'NonART prices by med'!$A$2:$A$102,0)),"")</f>
        <v>0.27607142857142858</v>
      </c>
      <c r="G167" s="372">
        <f t="shared" si="5"/>
        <v>7.73</v>
      </c>
      <c r="H167" s="372">
        <f t="shared" si="6"/>
        <v>0</v>
      </c>
    </row>
    <row r="168" spans="1:8">
      <c r="A168" s="372">
        <v>3</v>
      </c>
      <c r="B168" s="373">
        <v>42970</v>
      </c>
      <c r="C168" s="373">
        <v>42970</v>
      </c>
      <c r="D168" s="372">
        <v>225</v>
      </c>
      <c r="E168" s="372">
        <v>28</v>
      </c>
      <c r="F168" s="372">
        <f>IFERROR(INDEX('NonART prices by med'!$D$2:$D$102,MATCH(D168,'NonART prices by med'!$A$2:$A$102,0)),"")</f>
        <v>0.19315423345580862</v>
      </c>
      <c r="G168" s="372">
        <f t="shared" si="5"/>
        <v>5.408318536762641</v>
      </c>
      <c r="H168" s="372">
        <f t="shared" si="6"/>
        <v>1</v>
      </c>
    </row>
    <row r="169" spans="1:8">
      <c r="A169" s="372">
        <v>3</v>
      </c>
      <c r="B169" s="373">
        <v>42970</v>
      </c>
      <c r="C169" s="373">
        <v>43006</v>
      </c>
      <c r="D169" s="372">
        <v>35</v>
      </c>
      <c r="E169" s="372">
        <v>56</v>
      </c>
      <c r="F169" s="372">
        <f>IFERROR(INDEX('NonART prices by med'!$D$2:$D$102,MATCH(D169,'NonART prices by med'!$A$2:$A$102,0)),"")</f>
        <v>0.60205838048342708</v>
      </c>
      <c r="G169" s="372">
        <f t="shared" si="5"/>
        <v>33.715269307071914</v>
      </c>
      <c r="H169" s="372">
        <f t="shared" si="6"/>
        <v>1</v>
      </c>
    </row>
    <row r="170" spans="1:8">
      <c r="A170" s="372">
        <v>3</v>
      </c>
      <c r="B170" s="373">
        <v>42970</v>
      </c>
      <c r="C170" s="373">
        <v>43062</v>
      </c>
      <c r="D170" s="372">
        <v>35</v>
      </c>
      <c r="E170" s="372">
        <v>56</v>
      </c>
      <c r="F170" s="372">
        <f>IFERROR(INDEX('NonART prices by med'!$D$2:$D$102,MATCH(D170,'NonART prices by med'!$A$2:$A$102,0)),"")</f>
        <v>0.60205838048342708</v>
      </c>
      <c r="G170" s="372">
        <f t="shared" si="5"/>
        <v>33.715269307071914</v>
      </c>
      <c r="H170" s="372">
        <f t="shared" si="6"/>
        <v>1</v>
      </c>
    </row>
    <row r="171" spans="1:8">
      <c r="A171" s="372">
        <v>3</v>
      </c>
      <c r="B171" s="373">
        <v>42970</v>
      </c>
      <c r="C171" s="373">
        <v>43105</v>
      </c>
      <c r="D171" s="372">
        <v>215</v>
      </c>
      <c r="E171" s="372">
        <v>28</v>
      </c>
      <c r="F171" s="372">
        <f>IFERROR(INDEX('NonART prices by med'!$D$2:$D$102,MATCH(D171,'NonART prices by med'!$A$2:$A$102,0)),"")</f>
        <v>0.27607142857142858</v>
      </c>
      <c r="G171" s="372">
        <f t="shared" si="5"/>
        <v>7.73</v>
      </c>
      <c r="H171" s="372">
        <f t="shared" si="6"/>
        <v>1</v>
      </c>
    </row>
    <row r="172" spans="1:8">
      <c r="A172" s="372">
        <v>3</v>
      </c>
      <c r="B172" s="373">
        <v>42970</v>
      </c>
      <c r="C172" s="373">
        <v>43133</v>
      </c>
      <c r="D172" s="372">
        <v>35</v>
      </c>
      <c r="E172" s="372">
        <v>28</v>
      </c>
      <c r="F172" s="372">
        <f>IFERROR(INDEX('NonART prices by med'!$D$2:$D$102,MATCH(D172,'NonART prices by med'!$A$2:$A$102,0)),"")</f>
        <v>0.60205838048342708</v>
      </c>
      <c r="G172" s="372">
        <f t="shared" si="5"/>
        <v>16.857634653535957</v>
      </c>
      <c r="H172" s="372">
        <f t="shared" si="6"/>
        <v>1</v>
      </c>
    </row>
    <row r="173" spans="1:8">
      <c r="A173" s="372">
        <v>3</v>
      </c>
      <c r="B173" s="373">
        <v>42970</v>
      </c>
      <c r="C173" s="373">
        <v>43192</v>
      </c>
      <c r="D173" s="372">
        <v>35</v>
      </c>
      <c r="E173" s="372">
        <v>56</v>
      </c>
      <c r="F173" s="372">
        <f>IFERROR(INDEX('NonART prices by med'!$D$2:$D$102,MATCH(D173,'NonART prices by med'!$A$2:$A$102,0)),"")</f>
        <v>0.60205838048342708</v>
      </c>
      <c r="G173" s="372">
        <f t="shared" si="5"/>
        <v>33.715269307071914</v>
      </c>
      <c r="H173" s="372">
        <f t="shared" si="6"/>
        <v>1</v>
      </c>
    </row>
    <row r="174" spans="1:8">
      <c r="A174" s="372">
        <v>4</v>
      </c>
      <c r="B174" s="373">
        <v>42970</v>
      </c>
      <c r="C174" s="373">
        <v>42970</v>
      </c>
      <c r="D174" s="372">
        <v>225</v>
      </c>
      <c r="E174" s="372">
        <v>28</v>
      </c>
      <c r="F174" s="372">
        <f>IFERROR(INDEX('NonART prices by med'!$D$2:$D$102,MATCH(D174,'NonART prices by med'!$A$2:$A$102,0)),"")</f>
        <v>0.19315423345580862</v>
      </c>
      <c r="G174" s="372">
        <f t="shared" si="5"/>
        <v>5.408318536762641</v>
      </c>
      <c r="H174" s="372">
        <f t="shared" si="6"/>
        <v>1</v>
      </c>
    </row>
    <row r="175" spans="1:8">
      <c r="A175" s="372">
        <v>4</v>
      </c>
      <c r="B175" s="373">
        <v>42970</v>
      </c>
      <c r="C175" s="373">
        <v>42998</v>
      </c>
      <c r="D175" s="372">
        <v>402</v>
      </c>
      <c r="E175" s="372">
        <v>1</v>
      </c>
      <c r="F175" s="372">
        <f>IFERROR(INDEX('NonART prices by med'!$D$2:$D$102,MATCH(D175,'NonART prices by med'!$A$2:$A$102,0)),"")</f>
        <v>84.57</v>
      </c>
      <c r="G175" s="372">
        <f t="shared" si="5"/>
        <v>84.57</v>
      </c>
      <c r="H175" s="372">
        <f t="shared" si="6"/>
        <v>1</v>
      </c>
    </row>
    <row r="176" spans="1:8">
      <c r="A176" s="372">
        <v>4</v>
      </c>
      <c r="B176" s="373">
        <v>42970</v>
      </c>
      <c r="C176" s="373">
        <v>43040</v>
      </c>
      <c r="D176" s="372">
        <v>342</v>
      </c>
      <c r="E176" s="372">
        <v>56</v>
      </c>
      <c r="F176" s="372">
        <f>IFERROR(INDEX('NonART prices by med'!$D$2:$D$102,MATCH(D176,'NonART prices by med'!$A$2:$A$102,0)),"")</f>
        <v>0.26590000152587889</v>
      </c>
      <c r="G176" s="372">
        <f t="shared" si="5"/>
        <v>14.890400085449219</v>
      </c>
      <c r="H176" s="372">
        <f t="shared" si="6"/>
        <v>1</v>
      </c>
    </row>
    <row r="177" spans="1:8">
      <c r="A177" s="372">
        <v>4</v>
      </c>
      <c r="B177" s="373">
        <v>42970</v>
      </c>
      <c r="C177" s="373">
        <v>43040</v>
      </c>
      <c r="D177" s="372">
        <v>134</v>
      </c>
      <c r="E177" s="372">
        <v>60</v>
      </c>
      <c r="F177" s="372">
        <f>IFERROR(INDEX('NonART prices by med'!$D$2:$D$102,MATCH(D177,'NonART prices by med'!$A$2:$A$102,0)),"")</f>
        <v>0.39033333366993345</v>
      </c>
      <c r="G177" s="372">
        <f t="shared" si="5"/>
        <v>23.420000020196007</v>
      </c>
      <c r="H177" s="372">
        <f t="shared" si="6"/>
        <v>1</v>
      </c>
    </row>
    <row r="178" spans="1:8">
      <c r="A178" s="372">
        <v>4</v>
      </c>
      <c r="B178" s="373">
        <v>42970</v>
      </c>
      <c r="C178" s="373">
        <v>43089</v>
      </c>
      <c r="D178" s="372">
        <v>133</v>
      </c>
      <c r="E178" s="372">
        <v>56</v>
      </c>
      <c r="F178" s="372">
        <f>IFERROR(INDEX('NonART prices by med'!$D$2:$D$102,MATCH(D178,'NonART prices by med'!$A$2:$A$102,0)),"")</f>
        <v>0.68440000098466458</v>
      </c>
      <c r="G178" s="372">
        <f t="shared" si="5"/>
        <v>38.326400055141214</v>
      </c>
      <c r="H178" s="372">
        <f t="shared" si="6"/>
        <v>1</v>
      </c>
    </row>
    <row r="179" spans="1:8">
      <c r="A179" s="372">
        <v>4</v>
      </c>
      <c r="B179" s="373">
        <v>42970</v>
      </c>
      <c r="C179" s="373">
        <v>43118</v>
      </c>
      <c r="D179" s="372">
        <v>59</v>
      </c>
      <c r="E179" s="372">
        <v>28</v>
      </c>
      <c r="F179" s="372">
        <f>IFERROR(INDEX('NonART prices by med'!$D$2:$D$102,MATCH(D179,'NonART prices by med'!$A$2:$A$102,0)),"")</f>
        <v>1.6595</v>
      </c>
      <c r="G179" s="372">
        <f t="shared" si="5"/>
        <v>46.466000000000001</v>
      </c>
      <c r="H179" s="372">
        <f t="shared" si="6"/>
        <v>1</v>
      </c>
    </row>
    <row r="180" spans="1:8">
      <c r="A180" s="372">
        <v>4</v>
      </c>
      <c r="B180" s="373">
        <v>42970</v>
      </c>
      <c r="C180" s="373">
        <v>43347</v>
      </c>
      <c r="D180" s="372">
        <v>408</v>
      </c>
      <c r="E180" s="372">
        <v>28</v>
      </c>
      <c r="F180" s="372">
        <f>IFERROR(INDEX('NonART prices by med'!$D$2:$D$102,MATCH(D180,'NonART prices by med'!$A$2:$A$102,0)),"")</f>
        <v>5.5E-2</v>
      </c>
      <c r="G180" s="372">
        <f t="shared" si="5"/>
        <v>1.54</v>
      </c>
      <c r="H180" s="372">
        <f t="shared" si="6"/>
        <v>0</v>
      </c>
    </row>
    <row r="181" spans="1:8">
      <c r="A181" s="372">
        <v>5</v>
      </c>
      <c r="B181" s="373">
        <v>42963</v>
      </c>
      <c r="C181" s="373">
        <v>42963</v>
      </c>
      <c r="D181" s="372">
        <v>225</v>
      </c>
      <c r="E181" s="372">
        <v>28</v>
      </c>
      <c r="F181" s="372">
        <f>IFERROR(INDEX('NonART prices by med'!$D$2:$D$102,MATCH(D181,'NonART prices by med'!$A$2:$A$102,0)),"")</f>
        <v>0.19315423345580862</v>
      </c>
      <c r="G181" s="372">
        <f t="shared" si="5"/>
        <v>5.408318536762641</v>
      </c>
      <c r="H181" s="372">
        <f t="shared" si="6"/>
        <v>1</v>
      </c>
    </row>
    <row r="182" spans="1:8">
      <c r="A182" s="372">
        <v>5</v>
      </c>
      <c r="B182" s="373">
        <v>42963</v>
      </c>
      <c r="C182" s="373">
        <v>43005</v>
      </c>
      <c r="D182" s="372">
        <v>35</v>
      </c>
      <c r="E182" s="372">
        <v>56</v>
      </c>
      <c r="F182" s="372">
        <f>IFERROR(INDEX('NonART prices by med'!$D$2:$D$102,MATCH(D182,'NonART prices by med'!$A$2:$A$102,0)),"")</f>
        <v>0.60205838048342708</v>
      </c>
      <c r="G182" s="372">
        <f t="shared" si="5"/>
        <v>33.715269307071914</v>
      </c>
      <c r="H182" s="372">
        <f t="shared" si="6"/>
        <v>1</v>
      </c>
    </row>
    <row r="183" spans="1:8">
      <c r="A183" s="372">
        <v>5</v>
      </c>
      <c r="B183" s="373">
        <v>42963</v>
      </c>
      <c r="C183" s="373">
        <v>43047</v>
      </c>
      <c r="D183" s="372">
        <v>225</v>
      </c>
      <c r="E183" s="372">
        <v>28</v>
      </c>
      <c r="F183" s="372">
        <f>IFERROR(INDEX('NonART prices by med'!$D$2:$D$102,MATCH(D183,'NonART prices by med'!$A$2:$A$102,0)),"")</f>
        <v>0.19315423345580862</v>
      </c>
      <c r="G183" s="372">
        <f t="shared" si="5"/>
        <v>5.408318536762641</v>
      </c>
      <c r="H183" s="372">
        <f t="shared" si="6"/>
        <v>1</v>
      </c>
    </row>
    <row r="184" spans="1:8">
      <c r="A184" s="372">
        <v>5</v>
      </c>
      <c r="B184" s="373">
        <v>42963</v>
      </c>
      <c r="C184" s="373">
        <v>43091</v>
      </c>
      <c r="D184" s="372">
        <v>342</v>
      </c>
      <c r="E184" s="372">
        <v>56</v>
      </c>
      <c r="F184" s="372">
        <f>IFERROR(INDEX('NonART prices by med'!$D$2:$D$102,MATCH(D184,'NonART prices by med'!$A$2:$A$102,0)),"")</f>
        <v>0.26590000152587889</v>
      </c>
      <c r="G184" s="372">
        <f t="shared" si="5"/>
        <v>14.890400085449219</v>
      </c>
      <c r="H184" s="372">
        <f t="shared" si="6"/>
        <v>1</v>
      </c>
    </row>
    <row r="185" spans="1:8">
      <c r="A185" s="372">
        <v>5</v>
      </c>
      <c r="B185" s="373">
        <v>42963</v>
      </c>
      <c r="C185" s="373">
        <v>43139</v>
      </c>
      <c r="D185" s="372">
        <v>35</v>
      </c>
      <c r="E185" s="372">
        <v>28</v>
      </c>
      <c r="F185" s="372">
        <f>IFERROR(INDEX('NonART prices by med'!$D$2:$D$102,MATCH(D185,'NonART prices by med'!$A$2:$A$102,0)),"")</f>
        <v>0.60205838048342708</v>
      </c>
      <c r="G185" s="372">
        <f t="shared" si="5"/>
        <v>16.857634653535957</v>
      </c>
      <c r="H185" s="372">
        <f t="shared" si="6"/>
        <v>1</v>
      </c>
    </row>
    <row r="186" spans="1:8">
      <c r="A186" s="372">
        <v>5</v>
      </c>
      <c r="B186" s="373">
        <v>42963</v>
      </c>
      <c r="C186" s="373">
        <v>43167</v>
      </c>
      <c r="D186" s="372">
        <v>35</v>
      </c>
      <c r="E186" s="372">
        <v>56</v>
      </c>
      <c r="F186" s="372">
        <f>IFERROR(INDEX('NonART prices by med'!$D$2:$D$102,MATCH(D186,'NonART prices by med'!$A$2:$A$102,0)),"")</f>
        <v>0.60205838048342708</v>
      </c>
      <c r="G186" s="372">
        <f t="shared" si="5"/>
        <v>33.715269307071914</v>
      </c>
      <c r="H186" s="372">
        <f t="shared" si="6"/>
        <v>1</v>
      </c>
    </row>
    <row r="187" spans="1:8">
      <c r="A187" s="372">
        <v>6</v>
      </c>
      <c r="B187" s="373">
        <v>42970</v>
      </c>
      <c r="C187" s="373">
        <v>42970</v>
      </c>
      <c r="D187" s="372">
        <v>8</v>
      </c>
      <c r="E187" s="372">
        <v>28</v>
      </c>
      <c r="F187" s="372">
        <f>IFERROR(INDEX('NonART prices by med'!$D$2:$D$102,MATCH(D187,'NonART prices by med'!$A$2:$A$102,0)),"")</f>
        <v>0.12772849588143914</v>
      </c>
      <c r="G187" s="372">
        <f t="shared" si="5"/>
        <v>3.5763978846802962</v>
      </c>
      <c r="H187" s="372">
        <f t="shared" si="6"/>
        <v>1</v>
      </c>
    </row>
    <row r="188" spans="1:8">
      <c r="A188" s="372">
        <v>6</v>
      </c>
      <c r="B188" s="373">
        <v>42970</v>
      </c>
      <c r="C188" s="373">
        <v>42998</v>
      </c>
      <c r="D188" s="372">
        <v>8</v>
      </c>
      <c r="E188" s="372">
        <v>56</v>
      </c>
      <c r="F188" s="372">
        <f>IFERROR(INDEX('NonART prices by med'!$D$2:$D$102,MATCH(D188,'NonART prices by med'!$A$2:$A$102,0)),"")</f>
        <v>0.12772849588143914</v>
      </c>
      <c r="G188" s="372">
        <f t="shared" si="5"/>
        <v>7.1527957693605924</v>
      </c>
      <c r="H188" s="372">
        <f t="shared" si="6"/>
        <v>1</v>
      </c>
    </row>
    <row r="189" spans="1:8">
      <c r="A189" s="372">
        <v>6</v>
      </c>
      <c r="B189" s="373">
        <v>42970</v>
      </c>
      <c r="C189" s="373">
        <v>43054</v>
      </c>
      <c r="D189" s="372">
        <v>8</v>
      </c>
      <c r="E189" s="372">
        <v>28</v>
      </c>
      <c r="F189" s="372">
        <f>IFERROR(INDEX('NonART prices by med'!$D$2:$D$102,MATCH(D189,'NonART prices by med'!$A$2:$A$102,0)),"")</f>
        <v>0.12772849588143914</v>
      </c>
      <c r="G189" s="372">
        <f t="shared" si="5"/>
        <v>3.5763978846802962</v>
      </c>
      <c r="H189" s="372">
        <f t="shared" si="6"/>
        <v>1</v>
      </c>
    </row>
    <row r="190" spans="1:8">
      <c r="A190" s="372">
        <v>6</v>
      </c>
      <c r="B190" s="373">
        <v>42970</v>
      </c>
      <c r="C190" s="373">
        <v>43082</v>
      </c>
      <c r="D190" s="372">
        <v>8</v>
      </c>
      <c r="E190" s="372">
        <v>56</v>
      </c>
      <c r="F190" s="372">
        <f>IFERROR(INDEX('NonART prices by med'!$D$2:$D$102,MATCH(D190,'NonART prices by med'!$A$2:$A$102,0)),"")</f>
        <v>0.12772849588143914</v>
      </c>
      <c r="G190" s="372">
        <f t="shared" si="5"/>
        <v>7.1527957693605924</v>
      </c>
      <c r="H190" s="372">
        <f t="shared" si="6"/>
        <v>1</v>
      </c>
    </row>
    <row r="191" spans="1:8">
      <c r="A191" s="372">
        <v>6</v>
      </c>
      <c r="B191" s="373">
        <v>42970</v>
      </c>
      <c r="C191" s="373">
        <v>43138</v>
      </c>
      <c r="D191" s="372">
        <v>8</v>
      </c>
      <c r="E191" s="372">
        <v>28</v>
      </c>
      <c r="F191" s="372">
        <f>IFERROR(INDEX('NonART prices by med'!$D$2:$D$102,MATCH(D191,'NonART prices by med'!$A$2:$A$102,0)),"")</f>
        <v>0.12772849588143914</v>
      </c>
      <c r="G191" s="372">
        <f t="shared" si="5"/>
        <v>3.5763978846802962</v>
      </c>
      <c r="H191" s="372">
        <f t="shared" si="6"/>
        <v>1</v>
      </c>
    </row>
    <row r="192" spans="1:8">
      <c r="A192" s="372">
        <v>6</v>
      </c>
      <c r="B192" s="373">
        <v>42970</v>
      </c>
      <c r="C192" s="373">
        <v>43138</v>
      </c>
      <c r="D192" s="372">
        <v>342</v>
      </c>
      <c r="E192" s="372">
        <v>28</v>
      </c>
      <c r="F192" s="372">
        <f>IFERROR(INDEX('NonART prices by med'!$D$2:$D$102,MATCH(D192,'NonART prices by med'!$A$2:$A$102,0)),"")</f>
        <v>0.26590000152587889</v>
      </c>
      <c r="G192" s="372">
        <f t="shared" si="5"/>
        <v>7.4452000427246094</v>
      </c>
      <c r="H192" s="372">
        <f t="shared" si="6"/>
        <v>1</v>
      </c>
    </row>
    <row r="193" spans="1:8">
      <c r="A193" s="372">
        <v>6</v>
      </c>
      <c r="B193" s="373">
        <v>42970</v>
      </c>
      <c r="C193" s="373">
        <v>43335</v>
      </c>
      <c r="D193" s="372">
        <v>8</v>
      </c>
      <c r="E193" s="372">
        <v>28</v>
      </c>
      <c r="F193" s="372">
        <f>IFERROR(INDEX('NonART prices by med'!$D$2:$D$102,MATCH(D193,'NonART prices by med'!$A$2:$A$102,0)),"")</f>
        <v>0.12772849588143914</v>
      </c>
      <c r="G193" s="372">
        <f t="shared" si="5"/>
        <v>3.5763978846802962</v>
      </c>
      <c r="H193" s="372">
        <f t="shared" si="6"/>
        <v>1</v>
      </c>
    </row>
    <row r="194" spans="1:8">
      <c r="A194" s="372">
        <v>6</v>
      </c>
      <c r="B194" s="373">
        <v>42970</v>
      </c>
      <c r="C194" s="373">
        <v>43361</v>
      </c>
      <c r="D194" s="372">
        <v>7</v>
      </c>
      <c r="E194" s="372">
        <v>28</v>
      </c>
      <c r="F194" s="372">
        <f>IFERROR(INDEX('NonART prices by med'!$D$2:$D$102,MATCH(D194,'NonART prices by med'!$A$2:$A$102,0)),"")</f>
        <v>0.16680357240796304</v>
      </c>
      <c r="G194" s="372">
        <f t="shared" si="5"/>
        <v>4.6705000274229649</v>
      </c>
      <c r="H194" s="372">
        <f t="shared" si="6"/>
        <v>0</v>
      </c>
    </row>
    <row r="195" spans="1:8">
      <c r="A195" s="372">
        <v>7</v>
      </c>
      <c r="B195" s="373">
        <v>43048</v>
      </c>
      <c r="C195" s="373">
        <v>42971</v>
      </c>
      <c r="D195" s="372">
        <v>402</v>
      </c>
      <c r="E195" s="372">
        <v>1</v>
      </c>
      <c r="F195" s="372">
        <f>IFERROR(INDEX('NonART prices by med'!$D$2:$D$102,MATCH(D195,'NonART prices by med'!$A$2:$A$102,0)),"")</f>
        <v>84.57</v>
      </c>
      <c r="G195" s="372">
        <f t="shared" ref="G195:G258" si="7">IFERROR(E195*F195,"")</f>
        <v>84.57</v>
      </c>
      <c r="H195" s="372">
        <f t="shared" si="6"/>
        <v>1</v>
      </c>
    </row>
    <row r="196" spans="1:8">
      <c r="A196" s="372">
        <v>8</v>
      </c>
      <c r="B196" s="373">
        <v>42971</v>
      </c>
      <c r="C196" s="373">
        <v>42971</v>
      </c>
      <c r="D196" s="372">
        <v>225</v>
      </c>
      <c r="E196" s="372">
        <v>28</v>
      </c>
      <c r="F196" s="372">
        <f>IFERROR(INDEX('NonART prices by med'!$D$2:$D$102,MATCH(D196,'NonART prices by med'!$A$2:$A$102,0)),"")</f>
        <v>0.19315423345580862</v>
      </c>
      <c r="G196" s="372">
        <f t="shared" si="7"/>
        <v>5.408318536762641</v>
      </c>
      <c r="H196" s="372">
        <f t="shared" ref="H196:H259" si="8">IF(C196-B196&lt;=365,1,0)</f>
        <v>1</v>
      </c>
    </row>
    <row r="197" spans="1:8">
      <c r="A197" s="372">
        <v>8</v>
      </c>
      <c r="B197" s="373">
        <v>42971</v>
      </c>
      <c r="C197" s="373">
        <v>42985</v>
      </c>
      <c r="D197" s="372">
        <v>35</v>
      </c>
      <c r="E197" s="372">
        <v>28</v>
      </c>
      <c r="F197" s="372">
        <f>IFERROR(INDEX('NonART prices by med'!$D$2:$D$102,MATCH(D197,'NonART prices by med'!$A$2:$A$102,0)),"")</f>
        <v>0.60205838048342708</v>
      </c>
      <c r="G197" s="372">
        <f t="shared" si="7"/>
        <v>16.857634653535957</v>
      </c>
      <c r="H197" s="372">
        <f t="shared" si="8"/>
        <v>1</v>
      </c>
    </row>
    <row r="198" spans="1:8">
      <c r="A198" s="372">
        <v>8</v>
      </c>
      <c r="B198" s="373">
        <v>42971</v>
      </c>
      <c r="C198" s="373">
        <v>43013</v>
      </c>
      <c r="D198" s="372">
        <v>35</v>
      </c>
      <c r="E198" s="372">
        <v>56</v>
      </c>
      <c r="F198" s="372">
        <f>IFERROR(INDEX('NonART prices by med'!$D$2:$D$102,MATCH(D198,'NonART prices by med'!$A$2:$A$102,0)),"")</f>
        <v>0.60205838048342708</v>
      </c>
      <c r="G198" s="372">
        <f t="shared" si="7"/>
        <v>33.715269307071914</v>
      </c>
      <c r="H198" s="372">
        <f t="shared" si="8"/>
        <v>1</v>
      </c>
    </row>
    <row r="199" spans="1:8">
      <c r="A199" s="372">
        <v>8</v>
      </c>
      <c r="B199" s="373">
        <v>42971</v>
      </c>
      <c r="C199" s="373">
        <v>43062</v>
      </c>
      <c r="D199" s="372">
        <v>214</v>
      </c>
      <c r="F199" s="372">
        <f>IFERROR(INDEX('NonART prices by med'!$D$2:$D$102,MATCH(D199,'NonART prices by med'!$A$2:$A$102,0)),"")</f>
        <v>0.24476190476190474</v>
      </c>
      <c r="G199" s="372">
        <f t="shared" si="7"/>
        <v>0</v>
      </c>
      <c r="H199" s="372">
        <f t="shared" si="8"/>
        <v>1</v>
      </c>
    </row>
    <row r="200" spans="1:8">
      <c r="A200" s="372">
        <v>8</v>
      </c>
      <c r="B200" s="373">
        <v>42971</v>
      </c>
      <c r="C200" s="373">
        <v>43103</v>
      </c>
      <c r="D200" s="372">
        <v>134</v>
      </c>
      <c r="E200" s="372">
        <v>60</v>
      </c>
      <c r="F200" s="372">
        <f>IFERROR(INDEX('NonART prices by med'!$D$2:$D$102,MATCH(D200,'NonART prices by med'!$A$2:$A$102,0)),"")</f>
        <v>0.39033333366993345</v>
      </c>
      <c r="G200" s="372">
        <f t="shared" si="7"/>
        <v>23.420000020196007</v>
      </c>
      <c r="H200" s="372">
        <f t="shared" si="8"/>
        <v>1</v>
      </c>
    </row>
    <row r="201" spans="1:8">
      <c r="A201" s="372">
        <v>8</v>
      </c>
      <c r="B201" s="373">
        <v>42971</v>
      </c>
      <c r="C201" s="373">
        <v>43103</v>
      </c>
      <c r="D201" s="372">
        <v>35</v>
      </c>
      <c r="E201" s="372">
        <v>56</v>
      </c>
      <c r="F201" s="372">
        <f>IFERROR(INDEX('NonART prices by med'!$D$2:$D$102,MATCH(D201,'NonART prices by med'!$A$2:$A$102,0)),"")</f>
        <v>0.60205838048342708</v>
      </c>
      <c r="G201" s="372">
        <f t="shared" si="7"/>
        <v>33.715269307071914</v>
      </c>
      <c r="H201" s="372">
        <f t="shared" si="8"/>
        <v>1</v>
      </c>
    </row>
    <row r="202" spans="1:8">
      <c r="A202" s="372">
        <v>8</v>
      </c>
      <c r="B202" s="373">
        <v>42971</v>
      </c>
      <c r="C202" s="373">
        <v>43146</v>
      </c>
      <c r="D202" s="372">
        <v>35</v>
      </c>
      <c r="E202" s="372">
        <v>28</v>
      </c>
      <c r="F202" s="372">
        <f>IFERROR(INDEX('NonART prices by med'!$D$2:$D$102,MATCH(D202,'NonART prices by med'!$A$2:$A$102,0)),"")</f>
        <v>0.60205838048342708</v>
      </c>
      <c r="G202" s="372">
        <f t="shared" si="7"/>
        <v>16.857634653535957</v>
      </c>
      <c r="H202" s="372">
        <f t="shared" si="8"/>
        <v>1</v>
      </c>
    </row>
    <row r="203" spans="1:8">
      <c r="A203" s="372">
        <v>8</v>
      </c>
      <c r="B203" s="373">
        <v>42971</v>
      </c>
      <c r="C203" s="373">
        <v>43178</v>
      </c>
      <c r="D203" s="372">
        <v>35</v>
      </c>
      <c r="E203" s="372">
        <v>28</v>
      </c>
      <c r="F203" s="372">
        <f>IFERROR(INDEX('NonART prices by med'!$D$2:$D$102,MATCH(D203,'NonART prices by med'!$A$2:$A$102,0)),"")</f>
        <v>0.60205838048342708</v>
      </c>
      <c r="G203" s="372">
        <f t="shared" si="7"/>
        <v>16.857634653535957</v>
      </c>
      <c r="H203" s="372">
        <f t="shared" si="8"/>
        <v>1</v>
      </c>
    </row>
    <row r="204" spans="1:8">
      <c r="A204" s="372">
        <v>8</v>
      </c>
      <c r="B204" s="373">
        <v>42971</v>
      </c>
      <c r="C204" s="373">
        <v>43206</v>
      </c>
      <c r="D204" s="372">
        <v>35</v>
      </c>
      <c r="E204" s="372">
        <v>28</v>
      </c>
      <c r="F204" s="372">
        <f>IFERROR(INDEX('NonART prices by med'!$D$2:$D$102,MATCH(D204,'NonART prices by med'!$A$2:$A$102,0)),"")</f>
        <v>0.60205838048342708</v>
      </c>
      <c r="G204" s="372">
        <f t="shared" si="7"/>
        <v>16.857634653535957</v>
      </c>
      <c r="H204" s="372">
        <f t="shared" si="8"/>
        <v>1</v>
      </c>
    </row>
    <row r="205" spans="1:8">
      <c r="A205" s="372">
        <v>8</v>
      </c>
      <c r="B205" s="373">
        <v>42971</v>
      </c>
      <c r="C205" s="373">
        <v>43314</v>
      </c>
      <c r="D205" s="372">
        <v>35</v>
      </c>
      <c r="E205" s="372">
        <v>28</v>
      </c>
      <c r="F205" s="372">
        <f>IFERROR(INDEX('NonART prices by med'!$D$2:$D$102,MATCH(D205,'NonART prices by med'!$A$2:$A$102,0)),"")</f>
        <v>0.60205838048342708</v>
      </c>
      <c r="G205" s="372">
        <f t="shared" si="7"/>
        <v>16.857634653535957</v>
      </c>
      <c r="H205" s="372">
        <f t="shared" si="8"/>
        <v>1</v>
      </c>
    </row>
    <row r="206" spans="1:8">
      <c r="A206" s="372">
        <v>8</v>
      </c>
      <c r="B206" s="373">
        <v>42971</v>
      </c>
      <c r="C206" s="373">
        <v>43342</v>
      </c>
      <c r="D206" s="372">
        <v>342</v>
      </c>
      <c r="E206" s="372">
        <v>28</v>
      </c>
      <c r="F206" s="372">
        <f>IFERROR(INDEX('NonART prices by med'!$D$2:$D$102,MATCH(D206,'NonART prices by med'!$A$2:$A$102,0)),"")</f>
        <v>0.26590000152587889</v>
      </c>
      <c r="G206" s="372">
        <f t="shared" si="7"/>
        <v>7.4452000427246094</v>
      </c>
      <c r="H206" s="372">
        <f t="shared" si="8"/>
        <v>0</v>
      </c>
    </row>
    <row r="207" spans="1:8">
      <c r="A207" s="372">
        <v>8</v>
      </c>
      <c r="B207" s="373">
        <v>42971</v>
      </c>
      <c r="C207" s="373">
        <v>43357</v>
      </c>
      <c r="D207" s="372">
        <v>35</v>
      </c>
      <c r="E207" s="372">
        <v>56</v>
      </c>
      <c r="F207" s="372">
        <f>IFERROR(INDEX('NonART prices by med'!$D$2:$D$102,MATCH(D207,'NonART prices by med'!$A$2:$A$102,0)),"")</f>
        <v>0.60205838048342708</v>
      </c>
      <c r="G207" s="372">
        <f t="shared" si="7"/>
        <v>33.715269307071914</v>
      </c>
      <c r="H207" s="372">
        <f t="shared" si="8"/>
        <v>0</v>
      </c>
    </row>
    <row r="208" spans="1:8">
      <c r="A208" s="372">
        <v>10</v>
      </c>
      <c r="B208" s="373">
        <v>42976</v>
      </c>
      <c r="C208" s="373">
        <v>43059</v>
      </c>
      <c r="D208" s="372">
        <v>35</v>
      </c>
      <c r="E208" s="372">
        <v>28</v>
      </c>
      <c r="F208" s="372">
        <f>IFERROR(INDEX('NonART prices by med'!$D$2:$D$102,MATCH(D208,'NonART prices by med'!$A$2:$A$102,0)),"")</f>
        <v>0.60205838048342708</v>
      </c>
      <c r="G208" s="372">
        <f t="shared" si="7"/>
        <v>16.857634653535957</v>
      </c>
      <c r="H208" s="372">
        <f t="shared" si="8"/>
        <v>1</v>
      </c>
    </row>
    <row r="209" spans="1:8">
      <c r="A209" s="372">
        <v>11</v>
      </c>
      <c r="B209" s="373">
        <v>42976</v>
      </c>
      <c r="C209" s="373">
        <v>43005</v>
      </c>
      <c r="D209" s="372">
        <v>35</v>
      </c>
      <c r="E209" s="372">
        <v>56</v>
      </c>
      <c r="F209" s="372">
        <f>IFERROR(INDEX('NonART prices by med'!$D$2:$D$102,MATCH(D209,'NonART prices by med'!$A$2:$A$102,0)),"")</f>
        <v>0.60205838048342708</v>
      </c>
      <c r="G209" s="372">
        <f t="shared" si="7"/>
        <v>33.715269307071914</v>
      </c>
      <c r="H209" s="372">
        <f t="shared" si="8"/>
        <v>1</v>
      </c>
    </row>
    <row r="210" spans="1:8">
      <c r="A210" s="372">
        <v>11</v>
      </c>
      <c r="B210" s="373">
        <v>42976</v>
      </c>
      <c r="C210" s="373">
        <v>43061</v>
      </c>
      <c r="D210" s="372">
        <v>35</v>
      </c>
      <c r="E210" s="372">
        <v>56</v>
      </c>
      <c r="F210" s="372">
        <f>IFERROR(INDEX('NonART prices by med'!$D$2:$D$102,MATCH(D210,'NonART prices by med'!$A$2:$A$102,0)),"")</f>
        <v>0.60205838048342708</v>
      </c>
      <c r="G210" s="372">
        <f t="shared" si="7"/>
        <v>33.715269307071914</v>
      </c>
      <c r="H210" s="372">
        <f t="shared" si="8"/>
        <v>1</v>
      </c>
    </row>
    <row r="211" spans="1:8">
      <c r="A211" s="372">
        <v>11</v>
      </c>
      <c r="B211" s="373">
        <v>42976</v>
      </c>
      <c r="C211" s="373">
        <v>43117</v>
      </c>
      <c r="D211" s="372">
        <v>411</v>
      </c>
      <c r="E211" s="372">
        <v>28</v>
      </c>
      <c r="F211" s="372">
        <f>IFERROR(INDEX('NonART prices by med'!$D$2:$D$102,MATCH(D211,'NonART prices by med'!$A$2:$A$102,0)),"")</f>
        <v>0.10354499389265867</v>
      </c>
      <c r="G211" s="372">
        <f t="shared" si="7"/>
        <v>2.8992598289944427</v>
      </c>
      <c r="H211" s="372">
        <f t="shared" si="8"/>
        <v>1</v>
      </c>
    </row>
    <row r="212" spans="1:8">
      <c r="A212" s="372">
        <v>12</v>
      </c>
      <c r="B212" s="373">
        <v>42977</v>
      </c>
      <c r="C212" s="373">
        <v>42976</v>
      </c>
      <c r="D212" s="372">
        <v>263</v>
      </c>
      <c r="E212" s="372">
        <v>14</v>
      </c>
      <c r="F212" s="372">
        <f>IFERROR(INDEX('NonART prices by med'!$D$2:$D$102,MATCH(D212,'NonART prices by med'!$A$2:$A$102,0)),"")</f>
        <v>0.47387143543788363</v>
      </c>
      <c r="G212" s="372">
        <f t="shared" si="7"/>
        <v>6.6342000961303711</v>
      </c>
      <c r="H212" s="372">
        <f t="shared" si="8"/>
        <v>1</v>
      </c>
    </row>
    <row r="213" spans="1:8">
      <c r="A213" s="372">
        <v>12</v>
      </c>
      <c r="B213" s="373">
        <v>42977</v>
      </c>
      <c r="C213" s="373">
        <v>43006</v>
      </c>
      <c r="D213" s="372">
        <v>35</v>
      </c>
      <c r="E213" s="372">
        <v>28</v>
      </c>
      <c r="F213" s="372">
        <f>IFERROR(INDEX('NonART prices by med'!$D$2:$D$102,MATCH(D213,'NonART prices by med'!$A$2:$A$102,0)),"")</f>
        <v>0.60205838048342708</v>
      </c>
      <c r="G213" s="372">
        <f t="shared" si="7"/>
        <v>16.857634653535957</v>
      </c>
      <c r="H213" s="372">
        <f t="shared" si="8"/>
        <v>1</v>
      </c>
    </row>
    <row r="214" spans="1:8">
      <c r="A214" s="372">
        <v>12</v>
      </c>
      <c r="B214" s="373">
        <v>42977</v>
      </c>
      <c r="C214" s="373">
        <v>43030</v>
      </c>
      <c r="D214" s="372">
        <v>35</v>
      </c>
      <c r="E214" s="372">
        <v>28</v>
      </c>
      <c r="F214" s="372">
        <f>IFERROR(INDEX('NonART prices by med'!$D$2:$D$102,MATCH(D214,'NonART prices by med'!$A$2:$A$102,0)),"")</f>
        <v>0.60205838048342708</v>
      </c>
      <c r="G214" s="372">
        <f t="shared" si="7"/>
        <v>16.857634653535957</v>
      </c>
      <c r="H214" s="372">
        <f t="shared" si="8"/>
        <v>1</v>
      </c>
    </row>
    <row r="215" spans="1:8">
      <c r="A215" s="372">
        <v>12</v>
      </c>
      <c r="B215" s="373">
        <v>42977</v>
      </c>
      <c r="C215" s="373">
        <v>43062</v>
      </c>
      <c r="D215" s="372">
        <v>342</v>
      </c>
      <c r="E215" s="372">
        <v>28</v>
      </c>
      <c r="F215" s="372">
        <f>IFERROR(INDEX('NonART prices by med'!$D$2:$D$102,MATCH(D215,'NonART prices by med'!$A$2:$A$102,0)),"")</f>
        <v>0.26590000152587889</v>
      </c>
      <c r="G215" s="372">
        <f t="shared" si="7"/>
        <v>7.4452000427246094</v>
      </c>
      <c r="H215" s="372">
        <f t="shared" si="8"/>
        <v>1</v>
      </c>
    </row>
    <row r="216" spans="1:8">
      <c r="A216" s="372">
        <v>12</v>
      </c>
      <c r="B216" s="373">
        <v>42977</v>
      </c>
      <c r="C216" s="373">
        <v>43089</v>
      </c>
      <c r="D216" s="372">
        <v>35</v>
      </c>
      <c r="E216" s="372">
        <v>56</v>
      </c>
      <c r="F216" s="372">
        <f>IFERROR(INDEX('NonART prices by med'!$D$2:$D$102,MATCH(D216,'NonART prices by med'!$A$2:$A$102,0)),"")</f>
        <v>0.60205838048342708</v>
      </c>
      <c r="G216" s="372">
        <f t="shared" si="7"/>
        <v>33.715269307071914</v>
      </c>
      <c r="H216" s="372">
        <f t="shared" si="8"/>
        <v>1</v>
      </c>
    </row>
    <row r="217" spans="1:8">
      <c r="A217" s="372">
        <v>12</v>
      </c>
      <c r="B217" s="373">
        <v>42977</v>
      </c>
      <c r="C217" s="373">
        <v>43145</v>
      </c>
      <c r="D217" s="372">
        <v>342</v>
      </c>
      <c r="E217" s="372">
        <v>28</v>
      </c>
      <c r="F217" s="372">
        <f>IFERROR(INDEX('NonART prices by med'!$D$2:$D$102,MATCH(D217,'NonART prices by med'!$A$2:$A$102,0)),"")</f>
        <v>0.26590000152587889</v>
      </c>
      <c r="G217" s="372">
        <f t="shared" si="7"/>
        <v>7.4452000427246094</v>
      </c>
      <c r="H217" s="372">
        <f t="shared" si="8"/>
        <v>1</v>
      </c>
    </row>
    <row r="218" spans="1:8">
      <c r="A218" s="372">
        <v>12</v>
      </c>
      <c r="B218" s="373">
        <v>42977</v>
      </c>
      <c r="C218" s="373">
        <v>43194</v>
      </c>
      <c r="D218" s="372">
        <v>215</v>
      </c>
      <c r="E218" s="372">
        <v>28</v>
      </c>
      <c r="F218" s="372">
        <f>IFERROR(INDEX('NonART prices by med'!$D$2:$D$102,MATCH(D218,'NonART prices by med'!$A$2:$A$102,0)),"")</f>
        <v>0.27607142857142858</v>
      </c>
      <c r="G218" s="372">
        <f t="shared" si="7"/>
        <v>7.73</v>
      </c>
      <c r="H218" s="372">
        <f t="shared" si="8"/>
        <v>1</v>
      </c>
    </row>
    <row r="219" spans="1:8">
      <c r="A219" s="372">
        <v>12</v>
      </c>
      <c r="B219" s="373">
        <v>42977</v>
      </c>
      <c r="C219" s="373">
        <v>43222</v>
      </c>
      <c r="D219" s="372">
        <v>229</v>
      </c>
      <c r="E219" s="372">
        <v>28</v>
      </c>
      <c r="F219" s="372">
        <f>IFERROR(INDEX('NonART prices by med'!$D$2:$D$102,MATCH(D219,'NonART prices by med'!$A$2:$A$102,0)),"")</f>
        <v>0.1577857140947122</v>
      </c>
      <c r="G219" s="372">
        <f t="shared" si="7"/>
        <v>4.4179999946519413</v>
      </c>
      <c r="H219" s="372">
        <f t="shared" si="8"/>
        <v>1</v>
      </c>
    </row>
    <row r="220" spans="1:8">
      <c r="A220" s="372">
        <v>12</v>
      </c>
      <c r="B220" s="373">
        <v>42977</v>
      </c>
      <c r="C220" s="373">
        <v>43334</v>
      </c>
      <c r="D220" s="372">
        <v>318</v>
      </c>
      <c r="E220" s="372">
        <v>20</v>
      </c>
      <c r="F220" s="372">
        <f>IFERROR(INDEX('NonART prices by med'!$D$2:$D$102,MATCH(D220,'NonART prices by med'!$A$2:$A$102,0)),"")</f>
        <v>0.19286066077210379</v>
      </c>
      <c r="G220" s="372">
        <f t="shared" si="7"/>
        <v>3.8572132154420755</v>
      </c>
      <c r="H220" s="372">
        <f t="shared" si="8"/>
        <v>1</v>
      </c>
    </row>
    <row r="221" spans="1:8">
      <c r="A221" s="372">
        <v>12</v>
      </c>
      <c r="B221" s="373">
        <v>42977</v>
      </c>
      <c r="C221" s="373">
        <v>43363</v>
      </c>
      <c r="D221" s="372">
        <v>225</v>
      </c>
      <c r="E221" s="372">
        <v>56</v>
      </c>
      <c r="F221" s="372">
        <f>IFERROR(INDEX('NonART prices by med'!$D$2:$D$102,MATCH(D221,'NonART prices by med'!$A$2:$A$102,0)),"")</f>
        <v>0.19315423345580862</v>
      </c>
      <c r="G221" s="372">
        <f t="shared" si="7"/>
        <v>10.816637073525282</v>
      </c>
      <c r="H221" s="372">
        <f t="shared" si="8"/>
        <v>0</v>
      </c>
    </row>
    <row r="222" spans="1:8">
      <c r="A222" s="372">
        <v>12</v>
      </c>
      <c r="B222" s="373">
        <v>42977</v>
      </c>
      <c r="C222" s="373">
        <v>43419</v>
      </c>
      <c r="D222" s="372">
        <v>216</v>
      </c>
      <c r="E222" s="372">
        <v>56</v>
      </c>
      <c r="F222" s="372">
        <f>IFERROR(INDEX('NonART prices by med'!$D$2:$D$102,MATCH(D222,'NonART prices by med'!$A$2:$A$102,0)),"")</f>
        <v>0.25232142857142859</v>
      </c>
      <c r="G222" s="372">
        <f t="shared" si="7"/>
        <v>14.13</v>
      </c>
      <c r="H222" s="372">
        <f t="shared" si="8"/>
        <v>0</v>
      </c>
    </row>
    <row r="223" spans="1:8">
      <c r="A223" s="372">
        <v>13</v>
      </c>
      <c r="B223" s="373">
        <v>42977</v>
      </c>
      <c r="C223" s="373">
        <v>42984</v>
      </c>
      <c r="D223" s="372">
        <v>1</v>
      </c>
      <c r="E223" s="372">
        <v>5</v>
      </c>
      <c r="F223" s="372" t="str">
        <f>IFERROR(INDEX('NonART prices by med'!$D$2:$D$102,MATCH(D223,'NonART prices by med'!$A$2:$A$102,0)),"")</f>
        <v/>
      </c>
      <c r="G223" s="372" t="str">
        <f t="shared" si="7"/>
        <v/>
      </c>
      <c r="H223" s="372">
        <f t="shared" si="8"/>
        <v>1</v>
      </c>
    </row>
    <row r="224" spans="1:8">
      <c r="A224" s="372">
        <v>13</v>
      </c>
      <c r="B224" s="373">
        <v>42977</v>
      </c>
      <c r="C224" s="373">
        <v>43026</v>
      </c>
      <c r="D224" s="372">
        <v>35</v>
      </c>
      <c r="E224" s="372">
        <v>28</v>
      </c>
      <c r="F224" s="372">
        <f>IFERROR(INDEX('NonART prices by med'!$D$2:$D$102,MATCH(D224,'NonART prices by med'!$A$2:$A$102,0)),"")</f>
        <v>0.60205838048342708</v>
      </c>
      <c r="G224" s="372">
        <f t="shared" si="7"/>
        <v>16.857634653535957</v>
      </c>
      <c r="H224" s="372">
        <f t="shared" si="8"/>
        <v>1</v>
      </c>
    </row>
    <row r="225" spans="1:8">
      <c r="A225" s="372">
        <v>13</v>
      </c>
      <c r="B225" s="373">
        <v>42977</v>
      </c>
      <c r="C225" s="373">
        <v>43055</v>
      </c>
      <c r="D225" s="372">
        <v>203</v>
      </c>
      <c r="E225" s="372">
        <v>1</v>
      </c>
      <c r="F225" s="372">
        <f>IFERROR(INDEX('NonART prices by med'!$D$2:$D$102,MATCH(D225,'NonART prices by med'!$A$2:$A$102,0)),"")</f>
        <v>8.6300000000000002E-2</v>
      </c>
      <c r="G225" s="372">
        <f t="shared" si="7"/>
        <v>8.6300000000000002E-2</v>
      </c>
      <c r="H225" s="372">
        <f t="shared" si="8"/>
        <v>1</v>
      </c>
    </row>
    <row r="226" spans="1:8">
      <c r="A226" s="372">
        <v>13</v>
      </c>
      <c r="B226" s="373">
        <v>42977</v>
      </c>
      <c r="C226" s="373">
        <v>43082</v>
      </c>
      <c r="D226" s="372">
        <v>408</v>
      </c>
      <c r="E226" s="372">
        <v>56</v>
      </c>
      <c r="F226" s="372">
        <f>IFERROR(INDEX('NonART prices by med'!$D$2:$D$102,MATCH(D226,'NonART prices by med'!$A$2:$A$102,0)),"")</f>
        <v>5.5E-2</v>
      </c>
      <c r="G226" s="372">
        <f t="shared" si="7"/>
        <v>3.08</v>
      </c>
      <c r="H226" s="372">
        <f t="shared" si="8"/>
        <v>1</v>
      </c>
    </row>
    <row r="227" spans="1:8">
      <c r="A227" s="372">
        <v>13</v>
      </c>
      <c r="B227" s="373">
        <v>42977</v>
      </c>
      <c r="C227" s="373">
        <v>43166</v>
      </c>
      <c r="D227" s="372">
        <v>35</v>
      </c>
      <c r="E227" s="372">
        <v>56</v>
      </c>
      <c r="F227" s="372">
        <f>IFERROR(INDEX('NonART prices by med'!$D$2:$D$102,MATCH(D227,'NonART prices by med'!$A$2:$A$102,0)),"")</f>
        <v>0.60205838048342708</v>
      </c>
      <c r="G227" s="372">
        <f t="shared" si="7"/>
        <v>33.715269307071914</v>
      </c>
      <c r="H227" s="372">
        <f t="shared" si="8"/>
        <v>1</v>
      </c>
    </row>
    <row r="228" spans="1:8">
      <c r="A228" s="372">
        <v>13</v>
      </c>
      <c r="B228" s="373">
        <v>42977</v>
      </c>
      <c r="C228" s="373">
        <v>43222</v>
      </c>
      <c r="D228" s="372">
        <v>172</v>
      </c>
      <c r="F228" s="372">
        <f>IFERROR(INDEX('NonART prices by med'!$D$2:$D$102,MATCH(D228,'NonART prices by med'!$A$2:$A$102,0)),"")</f>
        <v>0.75050000000000017</v>
      </c>
      <c r="G228" s="372">
        <f t="shared" si="7"/>
        <v>0</v>
      </c>
      <c r="H228" s="372">
        <f t="shared" si="8"/>
        <v>1</v>
      </c>
    </row>
    <row r="229" spans="1:8">
      <c r="A229" s="372">
        <v>13</v>
      </c>
      <c r="B229" s="373">
        <v>42977</v>
      </c>
      <c r="C229" s="373">
        <v>43334</v>
      </c>
      <c r="D229" s="372">
        <v>273</v>
      </c>
      <c r="E229" s="372">
        <v>6</v>
      </c>
      <c r="F229" s="372">
        <f>IFERROR(INDEX('NonART prices by med'!$D$2:$D$102,MATCH(D229,'NonART prices by med'!$A$2:$A$102,0)),"")</f>
        <v>0.24683334111326952</v>
      </c>
      <c r="G229" s="372">
        <f t="shared" si="7"/>
        <v>1.4810000466796172</v>
      </c>
      <c r="H229" s="372">
        <f t="shared" si="8"/>
        <v>1</v>
      </c>
    </row>
    <row r="230" spans="1:8">
      <c r="A230" s="372">
        <v>13</v>
      </c>
      <c r="B230" s="373">
        <v>42977</v>
      </c>
      <c r="C230" s="373">
        <v>43362</v>
      </c>
      <c r="D230" s="372">
        <v>214</v>
      </c>
      <c r="E230" s="372">
        <v>165</v>
      </c>
      <c r="F230" s="372">
        <f>IFERROR(INDEX('NonART prices by med'!$D$2:$D$102,MATCH(D230,'NonART prices by med'!$A$2:$A$102,0)),"")</f>
        <v>0.24476190476190474</v>
      </c>
      <c r="G230" s="372">
        <f t="shared" si="7"/>
        <v>40.385714285714279</v>
      </c>
      <c r="H230" s="372">
        <f t="shared" si="8"/>
        <v>0</v>
      </c>
    </row>
    <row r="231" spans="1:8">
      <c r="A231" s="372">
        <v>14</v>
      </c>
      <c r="B231" s="373">
        <v>42977</v>
      </c>
      <c r="C231" s="373">
        <v>42977</v>
      </c>
      <c r="D231" s="372">
        <v>225</v>
      </c>
      <c r="E231" s="372">
        <v>28</v>
      </c>
      <c r="F231" s="372">
        <f>IFERROR(INDEX('NonART prices by med'!$D$2:$D$102,MATCH(D231,'NonART prices by med'!$A$2:$A$102,0)),"")</f>
        <v>0.19315423345580862</v>
      </c>
      <c r="G231" s="372">
        <f t="shared" si="7"/>
        <v>5.408318536762641</v>
      </c>
      <c r="H231" s="372">
        <f t="shared" si="8"/>
        <v>1</v>
      </c>
    </row>
    <row r="232" spans="1:8">
      <c r="A232" s="372">
        <v>14</v>
      </c>
      <c r="B232" s="373">
        <v>42977</v>
      </c>
      <c r="C232" s="373">
        <v>42991</v>
      </c>
      <c r="D232" s="372">
        <v>132</v>
      </c>
      <c r="E232" s="372">
        <v>60</v>
      </c>
      <c r="F232" s="372">
        <f>IFERROR(INDEX('NonART prices by med'!$D$2:$D$102,MATCH(D232,'NonART prices by med'!$A$2:$A$102,0)),"")</f>
        <v>7.0309523809523822E-2</v>
      </c>
      <c r="G232" s="372">
        <f t="shared" si="7"/>
        <v>4.2185714285714297</v>
      </c>
      <c r="H232" s="372">
        <f t="shared" si="8"/>
        <v>1</v>
      </c>
    </row>
    <row r="233" spans="1:8">
      <c r="A233" s="372">
        <v>14</v>
      </c>
      <c r="B233" s="373">
        <v>42977</v>
      </c>
      <c r="C233" s="373">
        <v>43045</v>
      </c>
      <c r="D233" s="372">
        <v>35</v>
      </c>
      <c r="E233" s="372">
        <v>28</v>
      </c>
      <c r="F233" s="372">
        <f>IFERROR(INDEX('NonART prices by med'!$D$2:$D$102,MATCH(D233,'NonART prices by med'!$A$2:$A$102,0)),"")</f>
        <v>0.60205838048342708</v>
      </c>
      <c r="G233" s="372">
        <f t="shared" si="7"/>
        <v>16.857634653535957</v>
      </c>
      <c r="H233" s="372">
        <f t="shared" si="8"/>
        <v>1</v>
      </c>
    </row>
    <row r="234" spans="1:8">
      <c r="A234" s="372">
        <v>14</v>
      </c>
      <c r="B234" s="373">
        <v>42977</v>
      </c>
      <c r="C234" s="373">
        <v>43083</v>
      </c>
      <c r="D234" s="372">
        <v>35</v>
      </c>
      <c r="E234" s="372">
        <v>56</v>
      </c>
      <c r="F234" s="372">
        <f>IFERROR(INDEX('NonART prices by med'!$D$2:$D$102,MATCH(D234,'NonART prices by med'!$A$2:$A$102,0)),"")</f>
        <v>0.60205838048342708</v>
      </c>
      <c r="G234" s="372">
        <f t="shared" si="7"/>
        <v>33.715269307071914</v>
      </c>
      <c r="H234" s="372">
        <f t="shared" si="8"/>
        <v>1</v>
      </c>
    </row>
    <row r="235" spans="1:8">
      <c r="A235" s="372">
        <v>14</v>
      </c>
      <c r="B235" s="373">
        <v>42977</v>
      </c>
      <c r="C235" s="373">
        <v>43152</v>
      </c>
      <c r="D235" s="372">
        <v>411</v>
      </c>
      <c r="E235" s="372">
        <v>28</v>
      </c>
      <c r="F235" s="372">
        <f>IFERROR(INDEX('NonART prices by med'!$D$2:$D$102,MATCH(D235,'NonART prices by med'!$A$2:$A$102,0)),"")</f>
        <v>0.10354499389265867</v>
      </c>
      <c r="G235" s="372">
        <f t="shared" si="7"/>
        <v>2.8992598289944427</v>
      </c>
      <c r="H235" s="372">
        <f t="shared" si="8"/>
        <v>1</v>
      </c>
    </row>
    <row r="236" spans="1:8">
      <c r="A236" s="372">
        <v>14</v>
      </c>
      <c r="B236" s="373">
        <v>42977</v>
      </c>
      <c r="C236" s="373">
        <v>43292</v>
      </c>
      <c r="D236" s="372">
        <v>172</v>
      </c>
      <c r="F236" s="372">
        <f>IFERROR(INDEX('NonART prices by med'!$D$2:$D$102,MATCH(D236,'NonART prices by med'!$A$2:$A$102,0)),"")</f>
        <v>0.75050000000000017</v>
      </c>
      <c r="G236" s="372">
        <f t="shared" si="7"/>
        <v>0</v>
      </c>
      <c r="H236" s="372">
        <f t="shared" si="8"/>
        <v>1</v>
      </c>
    </row>
    <row r="237" spans="1:8">
      <c r="A237" s="372">
        <v>15</v>
      </c>
      <c r="B237" s="373">
        <v>42977</v>
      </c>
      <c r="C237" s="373">
        <v>42977</v>
      </c>
      <c r="D237" s="372">
        <v>408</v>
      </c>
      <c r="E237" s="372">
        <v>28</v>
      </c>
      <c r="F237" s="372">
        <f>IFERROR(INDEX('NonART prices by med'!$D$2:$D$102,MATCH(D237,'NonART prices by med'!$A$2:$A$102,0)),"")</f>
        <v>5.5E-2</v>
      </c>
      <c r="G237" s="372">
        <f t="shared" si="7"/>
        <v>1.54</v>
      </c>
      <c r="H237" s="372">
        <f t="shared" si="8"/>
        <v>1</v>
      </c>
    </row>
    <row r="238" spans="1:8">
      <c r="A238" s="372">
        <v>15</v>
      </c>
      <c r="B238" s="373">
        <v>42977</v>
      </c>
      <c r="C238" s="373">
        <v>43006</v>
      </c>
      <c r="D238" s="372">
        <v>1</v>
      </c>
      <c r="E238" s="372">
        <v>112</v>
      </c>
      <c r="F238" s="372" t="str">
        <f>IFERROR(INDEX('NonART prices by med'!$D$2:$D$102,MATCH(D238,'NonART prices by med'!$A$2:$A$102,0)),"")</f>
        <v/>
      </c>
      <c r="G238" s="372" t="str">
        <f t="shared" si="7"/>
        <v/>
      </c>
      <c r="H238" s="372">
        <f t="shared" si="8"/>
        <v>1</v>
      </c>
    </row>
    <row r="239" spans="1:8">
      <c r="A239" s="372">
        <v>15</v>
      </c>
      <c r="B239" s="373">
        <v>42977</v>
      </c>
      <c r="C239" s="373">
        <v>43229</v>
      </c>
      <c r="D239" s="372">
        <v>1</v>
      </c>
      <c r="E239" s="372">
        <v>112</v>
      </c>
      <c r="F239" s="372" t="str">
        <f>IFERROR(INDEX('NonART prices by med'!$D$2:$D$102,MATCH(D239,'NonART prices by med'!$A$2:$A$102,0)),"")</f>
        <v/>
      </c>
      <c r="G239" s="372" t="str">
        <f t="shared" si="7"/>
        <v/>
      </c>
      <c r="H239" s="372">
        <f t="shared" si="8"/>
        <v>1</v>
      </c>
    </row>
    <row r="240" spans="1:8">
      <c r="A240" s="372">
        <v>15</v>
      </c>
      <c r="B240" s="373">
        <v>42977</v>
      </c>
      <c r="C240" s="373">
        <v>43313</v>
      </c>
      <c r="D240" s="372">
        <v>1</v>
      </c>
      <c r="E240" s="372">
        <v>56</v>
      </c>
      <c r="F240" s="372" t="str">
        <f>IFERROR(INDEX('NonART prices by med'!$D$2:$D$102,MATCH(D240,'NonART prices by med'!$A$2:$A$102,0)),"")</f>
        <v/>
      </c>
      <c r="G240" s="372" t="str">
        <f t="shared" si="7"/>
        <v/>
      </c>
      <c r="H240" s="372">
        <f t="shared" si="8"/>
        <v>1</v>
      </c>
    </row>
    <row r="241" spans="1:8">
      <c r="A241" s="372">
        <v>15</v>
      </c>
      <c r="B241" s="373">
        <v>42977</v>
      </c>
      <c r="C241" s="373">
        <v>43341</v>
      </c>
      <c r="D241" s="372">
        <v>318</v>
      </c>
      <c r="E241" s="372">
        <v>20</v>
      </c>
      <c r="F241" s="372">
        <f>IFERROR(INDEX('NonART prices by med'!$D$2:$D$102,MATCH(D241,'NonART prices by med'!$A$2:$A$102,0)),"")</f>
        <v>0.19286066077210379</v>
      </c>
      <c r="G241" s="372">
        <f t="shared" si="7"/>
        <v>3.8572132154420755</v>
      </c>
      <c r="H241" s="372">
        <f t="shared" si="8"/>
        <v>1</v>
      </c>
    </row>
    <row r="242" spans="1:8">
      <c r="A242" s="372">
        <v>17</v>
      </c>
      <c r="B242" s="373">
        <v>42970</v>
      </c>
      <c r="C242" s="373">
        <v>42970</v>
      </c>
      <c r="D242" s="372">
        <v>225</v>
      </c>
      <c r="E242" s="372">
        <v>28</v>
      </c>
      <c r="F242" s="372">
        <f>IFERROR(INDEX('NonART prices by med'!$D$2:$D$102,MATCH(D242,'NonART prices by med'!$A$2:$A$102,0)),"")</f>
        <v>0.19315423345580862</v>
      </c>
      <c r="G242" s="372">
        <f t="shared" si="7"/>
        <v>5.408318536762641</v>
      </c>
      <c r="H242" s="372">
        <f t="shared" si="8"/>
        <v>1</v>
      </c>
    </row>
    <row r="243" spans="1:8">
      <c r="A243" s="372">
        <v>17</v>
      </c>
      <c r="B243" s="373">
        <v>42970</v>
      </c>
      <c r="C243" s="373">
        <v>42998</v>
      </c>
      <c r="D243" s="372">
        <v>402</v>
      </c>
      <c r="E243" s="372">
        <v>1</v>
      </c>
      <c r="F243" s="372">
        <f>IFERROR(INDEX('NonART prices by med'!$D$2:$D$102,MATCH(D243,'NonART prices by med'!$A$2:$A$102,0)),"")</f>
        <v>84.57</v>
      </c>
      <c r="G243" s="372">
        <f t="shared" si="7"/>
        <v>84.57</v>
      </c>
      <c r="H243" s="372">
        <f t="shared" si="8"/>
        <v>1</v>
      </c>
    </row>
    <row r="244" spans="1:8">
      <c r="A244" s="372">
        <v>17</v>
      </c>
      <c r="B244" s="373">
        <v>42970</v>
      </c>
      <c r="C244" s="373">
        <v>43040</v>
      </c>
      <c r="D244" s="372">
        <v>342</v>
      </c>
      <c r="E244" s="372">
        <v>56</v>
      </c>
      <c r="F244" s="372">
        <f>IFERROR(INDEX('NonART prices by med'!$D$2:$D$102,MATCH(D244,'NonART prices by med'!$A$2:$A$102,0)),"")</f>
        <v>0.26590000152587889</v>
      </c>
      <c r="G244" s="372">
        <f t="shared" si="7"/>
        <v>14.890400085449219</v>
      </c>
      <c r="H244" s="372">
        <f t="shared" si="8"/>
        <v>1</v>
      </c>
    </row>
    <row r="245" spans="1:8">
      <c r="A245" s="372">
        <v>17</v>
      </c>
      <c r="B245" s="373">
        <v>42970</v>
      </c>
      <c r="C245" s="373">
        <v>43089</v>
      </c>
      <c r="D245" s="372">
        <v>134</v>
      </c>
      <c r="E245" s="372">
        <v>56</v>
      </c>
      <c r="F245" s="372">
        <f>IFERROR(INDEX('NonART prices by med'!$D$2:$D$102,MATCH(D245,'NonART prices by med'!$A$2:$A$102,0)),"")</f>
        <v>0.39033333366993345</v>
      </c>
      <c r="G245" s="372">
        <f t="shared" si="7"/>
        <v>21.858666685516273</v>
      </c>
      <c r="H245" s="372">
        <f t="shared" si="8"/>
        <v>1</v>
      </c>
    </row>
    <row r="246" spans="1:8">
      <c r="A246" s="372">
        <v>17</v>
      </c>
      <c r="B246" s="373">
        <v>42970</v>
      </c>
      <c r="C246" s="373">
        <v>43118</v>
      </c>
      <c r="D246" s="372">
        <v>35</v>
      </c>
      <c r="E246" s="372">
        <v>28</v>
      </c>
      <c r="F246" s="372">
        <f>IFERROR(INDEX('NonART prices by med'!$D$2:$D$102,MATCH(D246,'NonART prices by med'!$A$2:$A$102,0)),"")</f>
        <v>0.60205838048342708</v>
      </c>
      <c r="G246" s="372">
        <f t="shared" si="7"/>
        <v>16.857634653535957</v>
      </c>
      <c r="H246" s="372">
        <f t="shared" si="8"/>
        <v>1</v>
      </c>
    </row>
    <row r="247" spans="1:8">
      <c r="A247" s="372">
        <v>17</v>
      </c>
      <c r="B247" s="373">
        <v>42970</v>
      </c>
      <c r="C247" s="373">
        <v>43347</v>
      </c>
      <c r="D247" s="372">
        <v>408</v>
      </c>
      <c r="E247" s="372">
        <v>28</v>
      </c>
      <c r="F247" s="372">
        <f>IFERROR(INDEX('NonART prices by med'!$D$2:$D$102,MATCH(D247,'NonART prices by med'!$A$2:$A$102,0)),"")</f>
        <v>5.5E-2</v>
      </c>
      <c r="G247" s="372">
        <f t="shared" si="7"/>
        <v>1.54</v>
      </c>
      <c r="H247" s="372">
        <f t="shared" si="8"/>
        <v>0</v>
      </c>
    </row>
    <row r="248" spans="1:8">
      <c r="A248" s="372">
        <v>18</v>
      </c>
      <c r="B248" s="373">
        <v>43032</v>
      </c>
      <c r="C248" s="373">
        <v>43032</v>
      </c>
      <c r="D248" s="372">
        <v>225</v>
      </c>
      <c r="E248" s="372">
        <v>28</v>
      </c>
      <c r="F248" s="372">
        <f>IFERROR(INDEX('NonART prices by med'!$D$2:$D$102,MATCH(D248,'NonART prices by med'!$A$2:$A$102,0)),"")</f>
        <v>0.19315423345580862</v>
      </c>
      <c r="G248" s="372">
        <f t="shared" si="7"/>
        <v>5.408318536762641</v>
      </c>
      <c r="H248" s="372">
        <f t="shared" si="8"/>
        <v>1</v>
      </c>
    </row>
    <row r="249" spans="1:8">
      <c r="A249" s="372">
        <v>18</v>
      </c>
      <c r="B249" s="373">
        <v>43032</v>
      </c>
      <c r="C249" s="373">
        <v>43089</v>
      </c>
      <c r="D249" s="372">
        <v>215</v>
      </c>
      <c r="E249" s="372">
        <v>28</v>
      </c>
      <c r="F249" s="372">
        <f>IFERROR(INDEX('NonART prices by med'!$D$2:$D$102,MATCH(D249,'NonART prices by med'!$A$2:$A$102,0)),"")</f>
        <v>0.27607142857142858</v>
      </c>
      <c r="G249" s="372">
        <f t="shared" si="7"/>
        <v>7.73</v>
      </c>
      <c r="H249" s="372">
        <f t="shared" si="8"/>
        <v>1</v>
      </c>
    </row>
    <row r="250" spans="1:8">
      <c r="A250" s="372">
        <v>18</v>
      </c>
      <c r="B250" s="373">
        <v>43032</v>
      </c>
      <c r="C250" s="373">
        <v>43131</v>
      </c>
      <c r="D250" s="372">
        <v>225</v>
      </c>
      <c r="E250" s="372">
        <v>28</v>
      </c>
      <c r="F250" s="372">
        <f>IFERROR(INDEX('NonART prices by med'!$D$2:$D$102,MATCH(D250,'NonART prices by med'!$A$2:$A$102,0)),"")</f>
        <v>0.19315423345580862</v>
      </c>
      <c r="G250" s="372">
        <f t="shared" si="7"/>
        <v>5.408318536762641</v>
      </c>
      <c r="H250" s="372">
        <f t="shared" si="8"/>
        <v>1</v>
      </c>
    </row>
    <row r="251" spans="1:8">
      <c r="A251" s="372">
        <v>18</v>
      </c>
      <c r="B251" s="373">
        <v>43032</v>
      </c>
      <c r="C251" s="373">
        <v>43173</v>
      </c>
      <c r="D251" s="372">
        <v>342</v>
      </c>
      <c r="E251" s="372">
        <v>56</v>
      </c>
      <c r="F251" s="372">
        <f>IFERROR(INDEX('NonART prices by med'!$D$2:$D$102,MATCH(D251,'NonART prices by med'!$A$2:$A$102,0)),"")</f>
        <v>0.26590000152587889</v>
      </c>
      <c r="G251" s="372">
        <f t="shared" si="7"/>
        <v>14.890400085449219</v>
      </c>
      <c r="H251" s="372">
        <f t="shared" si="8"/>
        <v>1</v>
      </c>
    </row>
    <row r="252" spans="1:8">
      <c r="A252" s="372">
        <v>18</v>
      </c>
      <c r="B252" s="373">
        <v>43032</v>
      </c>
      <c r="C252" s="373">
        <v>43202</v>
      </c>
      <c r="D252" s="372">
        <v>215</v>
      </c>
      <c r="F252" s="372">
        <f>IFERROR(INDEX('NonART prices by med'!$D$2:$D$102,MATCH(D252,'NonART prices by med'!$A$2:$A$102,0)),"")</f>
        <v>0.27607142857142858</v>
      </c>
      <c r="G252" s="372">
        <f t="shared" si="7"/>
        <v>0</v>
      </c>
      <c r="H252" s="372">
        <f t="shared" si="8"/>
        <v>1</v>
      </c>
    </row>
    <row r="253" spans="1:8">
      <c r="A253" s="372">
        <v>19</v>
      </c>
      <c r="B253" s="373">
        <v>42969</v>
      </c>
      <c r="C253" s="373">
        <v>42998</v>
      </c>
      <c r="D253" s="372">
        <v>35</v>
      </c>
      <c r="E253" s="372">
        <v>56</v>
      </c>
      <c r="F253" s="372">
        <f>IFERROR(INDEX('NonART prices by med'!$D$2:$D$102,MATCH(D253,'NonART prices by med'!$A$2:$A$102,0)),"")</f>
        <v>0.60205838048342708</v>
      </c>
      <c r="G253" s="372">
        <f t="shared" si="7"/>
        <v>33.715269307071914</v>
      </c>
      <c r="H253" s="372">
        <f t="shared" si="8"/>
        <v>1</v>
      </c>
    </row>
    <row r="254" spans="1:8">
      <c r="A254" s="372">
        <v>19</v>
      </c>
      <c r="B254" s="373">
        <v>42969</v>
      </c>
      <c r="C254" s="373">
        <v>43054</v>
      </c>
      <c r="D254" s="372">
        <v>342</v>
      </c>
      <c r="E254" s="372">
        <v>28</v>
      </c>
      <c r="F254" s="372">
        <f>IFERROR(INDEX('NonART prices by med'!$D$2:$D$102,MATCH(D254,'NonART prices by med'!$A$2:$A$102,0)),"")</f>
        <v>0.26590000152587889</v>
      </c>
      <c r="G254" s="372">
        <f t="shared" si="7"/>
        <v>7.4452000427246094</v>
      </c>
      <c r="H254" s="372">
        <f t="shared" si="8"/>
        <v>1</v>
      </c>
    </row>
    <row r="255" spans="1:8">
      <c r="A255" s="372">
        <v>19</v>
      </c>
      <c r="B255" s="373">
        <v>42969</v>
      </c>
      <c r="C255" s="373">
        <v>43082</v>
      </c>
      <c r="D255" s="372">
        <v>59</v>
      </c>
      <c r="E255" s="372">
        <v>56</v>
      </c>
      <c r="F255" s="372">
        <f>IFERROR(INDEX('NonART prices by med'!$D$2:$D$102,MATCH(D255,'NonART prices by med'!$A$2:$A$102,0)),"")</f>
        <v>1.6595</v>
      </c>
      <c r="G255" s="372">
        <f t="shared" si="7"/>
        <v>92.932000000000002</v>
      </c>
      <c r="H255" s="372">
        <f t="shared" si="8"/>
        <v>1</v>
      </c>
    </row>
    <row r="256" spans="1:8">
      <c r="A256" s="372">
        <v>19</v>
      </c>
      <c r="B256" s="373">
        <v>42969</v>
      </c>
      <c r="C256" s="373">
        <v>43236</v>
      </c>
      <c r="D256" s="372">
        <v>58</v>
      </c>
      <c r="E256" s="372">
        <v>28</v>
      </c>
      <c r="F256" s="372">
        <f>IFERROR(INDEX('NonART prices by med'!$D$2:$D$102,MATCH(D256,'NonART prices by med'!$A$2:$A$102,0)),"")</f>
        <v>2.0527380952380954</v>
      </c>
      <c r="G256" s="372">
        <f t="shared" si="7"/>
        <v>57.476666666666674</v>
      </c>
      <c r="H256" s="372">
        <f t="shared" si="8"/>
        <v>1</v>
      </c>
    </row>
    <row r="257" spans="1:8">
      <c r="A257" s="372">
        <v>20</v>
      </c>
      <c r="B257" s="373">
        <v>42968</v>
      </c>
      <c r="C257" s="373">
        <v>42935</v>
      </c>
      <c r="D257" s="372">
        <v>342</v>
      </c>
      <c r="E257" s="372">
        <v>28</v>
      </c>
      <c r="F257" s="372">
        <f>IFERROR(INDEX('NonART prices by med'!$D$2:$D$102,MATCH(D257,'NonART prices by med'!$A$2:$A$102,0)),"")</f>
        <v>0.26590000152587889</v>
      </c>
      <c r="G257" s="372">
        <f t="shared" si="7"/>
        <v>7.4452000427246094</v>
      </c>
      <c r="H257" s="372">
        <f t="shared" si="8"/>
        <v>1</v>
      </c>
    </row>
    <row r="258" spans="1:8">
      <c r="A258" s="372">
        <v>20</v>
      </c>
      <c r="B258" s="373">
        <v>42968</v>
      </c>
      <c r="C258" s="373">
        <v>42954</v>
      </c>
      <c r="D258" s="372">
        <v>162</v>
      </c>
      <c r="E258" s="372">
        <v>20</v>
      </c>
      <c r="F258" s="372">
        <f>IFERROR(INDEX('NonART prices by med'!$D$2:$D$102,MATCH(D258,'NonART prices by med'!$A$2:$A$102,0)),"")</f>
        <v>0.126</v>
      </c>
      <c r="G258" s="372">
        <f t="shared" si="7"/>
        <v>2.52</v>
      </c>
      <c r="H258" s="372">
        <f t="shared" si="8"/>
        <v>1</v>
      </c>
    </row>
    <row r="259" spans="1:8">
      <c r="A259" s="372">
        <v>20</v>
      </c>
      <c r="B259" s="373">
        <v>42968</v>
      </c>
      <c r="C259" s="373">
        <v>42991</v>
      </c>
      <c r="D259" s="372">
        <v>408</v>
      </c>
      <c r="E259" s="372">
        <v>56</v>
      </c>
      <c r="F259" s="372">
        <f>IFERROR(INDEX('NonART prices by med'!$D$2:$D$102,MATCH(D259,'NonART prices by med'!$A$2:$A$102,0)),"")</f>
        <v>5.5E-2</v>
      </c>
      <c r="G259" s="372">
        <f t="shared" ref="G259:G322" si="9">IFERROR(E259*F259,"")</f>
        <v>3.08</v>
      </c>
      <c r="H259" s="372">
        <f t="shared" si="8"/>
        <v>1</v>
      </c>
    </row>
    <row r="260" spans="1:8">
      <c r="A260" s="372">
        <v>20</v>
      </c>
      <c r="B260" s="373">
        <v>42968</v>
      </c>
      <c r="C260" s="373">
        <v>43206</v>
      </c>
      <c r="D260" s="372">
        <v>13</v>
      </c>
      <c r="E260" s="372">
        <v>56</v>
      </c>
      <c r="F260" s="372">
        <f>IFERROR(INDEX('NonART prices by med'!$D$2:$D$102,MATCH(D260,'NonART prices by med'!$A$2:$A$102,0)),"")</f>
        <v>0.15256434030246604</v>
      </c>
      <c r="G260" s="372">
        <f t="shared" si="9"/>
        <v>8.5436030569380979</v>
      </c>
      <c r="H260" s="372">
        <f t="shared" ref="H260:H323" si="10">IF(C260-B260&lt;=365,1,0)</f>
        <v>1</v>
      </c>
    </row>
    <row r="261" spans="1:8">
      <c r="A261" s="372">
        <v>20</v>
      </c>
      <c r="B261" s="373">
        <v>42968</v>
      </c>
      <c r="C261" s="373">
        <v>43234</v>
      </c>
      <c r="D261" s="372">
        <v>358</v>
      </c>
      <c r="E261" s="372">
        <v>56</v>
      </c>
      <c r="F261" s="372">
        <f>IFERROR(INDEX('NonART prices by med'!$D$2:$D$102,MATCH(D261,'NonART prices by med'!$A$2:$A$102,0)),"")</f>
        <v>0.1839316921343207</v>
      </c>
      <c r="G261" s="372">
        <f t="shared" si="9"/>
        <v>10.300174759521958</v>
      </c>
      <c r="H261" s="372">
        <f t="shared" si="10"/>
        <v>1</v>
      </c>
    </row>
    <row r="262" spans="1:8">
      <c r="A262" s="372">
        <v>20</v>
      </c>
      <c r="B262" s="373">
        <v>42968</v>
      </c>
      <c r="C262" s="373">
        <v>43313</v>
      </c>
      <c r="D262" s="372">
        <v>24</v>
      </c>
      <c r="E262" s="372">
        <v>28</v>
      </c>
      <c r="F262" s="372">
        <f>IFERROR(INDEX('NonART prices by med'!$D$2:$D$102,MATCH(D262,'NonART prices by med'!$A$2:$A$102,0)),"")</f>
        <v>0.1467857142857143</v>
      </c>
      <c r="G262" s="372">
        <f t="shared" si="9"/>
        <v>4.1100000000000003</v>
      </c>
      <c r="H262" s="372">
        <f t="shared" si="10"/>
        <v>1</v>
      </c>
    </row>
    <row r="263" spans="1:8">
      <c r="A263" s="372">
        <v>21</v>
      </c>
      <c r="B263" s="373">
        <v>42968</v>
      </c>
      <c r="C263" s="373">
        <v>42961</v>
      </c>
      <c r="D263" s="372">
        <v>162</v>
      </c>
      <c r="E263" s="372">
        <v>3</v>
      </c>
      <c r="F263" s="372">
        <f>IFERROR(INDEX('NonART prices by med'!$D$2:$D$102,MATCH(D263,'NonART prices by med'!$A$2:$A$102,0)),"")</f>
        <v>0.126</v>
      </c>
      <c r="G263" s="372">
        <f t="shared" si="9"/>
        <v>0.378</v>
      </c>
      <c r="H263" s="372">
        <f t="shared" si="10"/>
        <v>1</v>
      </c>
    </row>
    <row r="264" spans="1:8">
      <c r="A264" s="372">
        <v>21</v>
      </c>
      <c r="B264" s="373">
        <v>42968</v>
      </c>
      <c r="C264" s="373">
        <v>42968</v>
      </c>
      <c r="D264" s="372">
        <v>82</v>
      </c>
      <c r="E264" s="372">
        <v>7</v>
      </c>
      <c r="F264" s="372">
        <f>IFERROR(INDEX('NonART prices by med'!$D$2:$D$102,MATCH(D264,'NonART prices by med'!$A$2:$A$102,0)),"")</f>
        <v>0.77571428571428569</v>
      </c>
      <c r="G264" s="372">
        <f t="shared" si="9"/>
        <v>5.43</v>
      </c>
      <c r="H264" s="372">
        <f t="shared" si="10"/>
        <v>1</v>
      </c>
    </row>
    <row r="265" spans="1:8">
      <c r="A265" s="372">
        <v>21</v>
      </c>
      <c r="B265" s="373">
        <v>42968</v>
      </c>
      <c r="C265" s="373">
        <v>42993</v>
      </c>
      <c r="D265" s="372">
        <v>162</v>
      </c>
      <c r="E265" s="372">
        <v>10</v>
      </c>
      <c r="F265" s="372">
        <f>IFERROR(INDEX('NonART prices by med'!$D$2:$D$102,MATCH(D265,'NonART prices by med'!$A$2:$A$102,0)),"")</f>
        <v>0.126</v>
      </c>
      <c r="G265" s="372">
        <f t="shared" si="9"/>
        <v>1.26</v>
      </c>
      <c r="H265" s="372">
        <f t="shared" si="10"/>
        <v>1</v>
      </c>
    </row>
    <row r="266" spans="1:8">
      <c r="A266" s="372">
        <v>21</v>
      </c>
      <c r="B266" s="373">
        <v>42968</v>
      </c>
      <c r="C266" s="373">
        <v>43027</v>
      </c>
      <c r="D266" s="372">
        <v>35</v>
      </c>
      <c r="E266" s="372">
        <v>28</v>
      </c>
      <c r="F266" s="372">
        <f>IFERROR(INDEX('NonART prices by med'!$D$2:$D$102,MATCH(D266,'NonART prices by med'!$A$2:$A$102,0)),"")</f>
        <v>0.60205838048342708</v>
      </c>
      <c r="G266" s="372">
        <f t="shared" si="9"/>
        <v>16.857634653535957</v>
      </c>
      <c r="H266" s="372">
        <f t="shared" si="10"/>
        <v>1</v>
      </c>
    </row>
    <row r="267" spans="1:8">
      <c r="A267" s="372">
        <v>21</v>
      </c>
      <c r="B267" s="373">
        <v>42968</v>
      </c>
      <c r="C267" s="373">
        <v>43056</v>
      </c>
      <c r="D267" s="372">
        <v>35</v>
      </c>
      <c r="E267" s="372">
        <v>28</v>
      </c>
      <c r="F267" s="372">
        <f>IFERROR(INDEX('NonART prices by med'!$D$2:$D$102,MATCH(D267,'NonART prices by med'!$A$2:$A$102,0)),"")</f>
        <v>0.60205838048342708</v>
      </c>
      <c r="G267" s="372">
        <f t="shared" si="9"/>
        <v>16.857634653535957</v>
      </c>
      <c r="H267" s="372">
        <f t="shared" si="10"/>
        <v>1</v>
      </c>
    </row>
    <row r="268" spans="1:8">
      <c r="A268" s="372">
        <v>21</v>
      </c>
      <c r="B268" s="373">
        <v>42968</v>
      </c>
      <c r="C268" s="373">
        <v>43124</v>
      </c>
      <c r="D268" s="372">
        <v>35</v>
      </c>
      <c r="E268" s="372">
        <v>28</v>
      </c>
      <c r="F268" s="372">
        <f>IFERROR(INDEX('NonART prices by med'!$D$2:$D$102,MATCH(D268,'NonART prices by med'!$A$2:$A$102,0)),"")</f>
        <v>0.60205838048342708</v>
      </c>
      <c r="G268" s="372">
        <f t="shared" si="9"/>
        <v>16.857634653535957</v>
      </c>
      <c r="H268" s="372">
        <f t="shared" si="10"/>
        <v>1</v>
      </c>
    </row>
    <row r="269" spans="1:8">
      <c r="A269" s="372">
        <v>21</v>
      </c>
      <c r="B269" s="373">
        <v>42968</v>
      </c>
      <c r="C269" s="373">
        <v>43153</v>
      </c>
      <c r="D269" s="372">
        <v>342</v>
      </c>
      <c r="E269" s="372">
        <v>28</v>
      </c>
      <c r="F269" s="372">
        <f>IFERROR(INDEX('NonART prices by med'!$D$2:$D$102,MATCH(D269,'NonART prices by med'!$A$2:$A$102,0)),"")</f>
        <v>0.26590000152587889</v>
      </c>
      <c r="G269" s="372">
        <f t="shared" si="9"/>
        <v>7.4452000427246094</v>
      </c>
      <c r="H269" s="372">
        <f t="shared" si="10"/>
        <v>1</v>
      </c>
    </row>
    <row r="270" spans="1:8">
      <c r="A270" s="372">
        <v>21</v>
      </c>
      <c r="B270" s="373">
        <v>42968</v>
      </c>
      <c r="C270" s="373">
        <v>43181</v>
      </c>
      <c r="D270" s="372">
        <v>35</v>
      </c>
      <c r="E270" s="372">
        <v>28</v>
      </c>
      <c r="F270" s="372">
        <f>IFERROR(INDEX('NonART prices by med'!$D$2:$D$102,MATCH(D270,'NonART prices by med'!$A$2:$A$102,0)),"")</f>
        <v>0.60205838048342708</v>
      </c>
      <c r="G270" s="372">
        <f t="shared" si="9"/>
        <v>16.857634653535957</v>
      </c>
      <c r="H270" s="372">
        <f t="shared" si="10"/>
        <v>1</v>
      </c>
    </row>
    <row r="271" spans="1:8">
      <c r="A271" s="372">
        <v>21</v>
      </c>
      <c r="B271" s="373">
        <v>42968</v>
      </c>
      <c r="C271" s="373">
        <v>43214</v>
      </c>
      <c r="D271" s="372">
        <v>180</v>
      </c>
      <c r="E271" s="372">
        <v>1</v>
      </c>
      <c r="F271" s="372">
        <f>IFERROR(INDEX('NonART prices by med'!$D$2:$D$102,MATCH(D271,'NonART prices by med'!$A$2:$A$102,0)),"")</f>
        <v>13.040999412536621</v>
      </c>
      <c r="G271" s="372">
        <f t="shared" si="9"/>
        <v>13.040999412536621</v>
      </c>
      <c r="H271" s="372">
        <f t="shared" si="10"/>
        <v>1</v>
      </c>
    </row>
    <row r="272" spans="1:8">
      <c r="A272" s="372">
        <v>21</v>
      </c>
      <c r="B272" s="373">
        <v>42968</v>
      </c>
      <c r="C272" s="373">
        <v>43270</v>
      </c>
      <c r="D272" s="372">
        <v>179</v>
      </c>
      <c r="E272" s="372">
        <v>1</v>
      </c>
      <c r="F272" s="372">
        <f>IFERROR(INDEX('NonART prices by med'!$D$2:$D$102,MATCH(D272,'NonART prices by med'!$A$2:$A$102,0)),"")</f>
        <v>12.69</v>
      </c>
      <c r="G272" s="372">
        <f t="shared" si="9"/>
        <v>12.69</v>
      </c>
      <c r="H272" s="372">
        <f t="shared" si="10"/>
        <v>1</v>
      </c>
    </row>
    <row r="273" spans="1:8">
      <c r="A273" s="372">
        <v>21</v>
      </c>
      <c r="B273" s="373">
        <v>42968</v>
      </c>
      <c r="C273" s="373">
        <v>43308</v>
      </c>
      <c r="D273" s="372">
        <v>179</v>
      </c>
      <c r="E273" s="372">
        <v>52</v>
      </c>
      <c r="F273" s="372">
        <f>IFERROR(INDEX('NonART prices by med'!$D$2:$D$102,MATCH(D273,'NonART prices by med'!$A$2:$A$102,0)),"")</f>
        <v>12.69</v>
      </c>
      <c r="G273" s="372">
        <f t="shared" si="9"/>
        <v>659.88</v>
      </c>
      <c r="H273" s="372">
        <f t="shared" si="10"/>
        <v>1</v>
      </c>
    </row>
    <row r="274" spans="1:8">
      <c r="A274" s="372">
        <v>21</v>
      </c>
      <c r="B274" s="373">
        <v>42968</v>
      </c>
      <c r="C274" s="373">
        <v>43370</v>
      </c>
      <c r="D274" s="372">
        <v>318</v>
      </c>
      <c r="E274" s="372">
        <v>20</v>
      </c>
      <c r="F274" s="372">
        <f>IFERROR(INDEX('NonART prices by med'!$D$2:$D$102,MATCH(D274,'NonART prices by med'!$A$2:$A$102,0)),"")</f>
        <v>0.19286066077210379</v>
      </c>
      <c r="G274" s="372">
        <f t="shared" si="9"/>
        <v>3.8572132154420755</v>
      </c>
      <c r="H274" s="372">
        <f t="shared" si="10"/>
        <v>0</v>
      </c>
    </row>
    <row r="275" spans="1:8">
      <c r="A275" s="372">
        <v>22</v>
      </c>
      <c r="B275" s="373">
        <v>42968</v>
      </c>
      <c r="C275" s="373">
        <v>42954</v>
      </c>
      <c r="D275" s="372">
        <v>342</v>
      </c>
      <c r="E275" s="372">
        <v>28</v>
      </c>
      <c r="F275" s="372">
        <f>IFERROR(INDEX('NonART prices by med'!$D$2:$D$102,MATCH(D275,'NonART prices by med'!$A$2:$A$102,0)),"")</f>
        <v>0.26590000152587889</v>
      </c>
      <c r="G275" s="372">
        <f t="shared" si="9"/>
        <v>7.4452000427246094</v>
      </c>
      <c r="H275" s="372">
        <f t="shared" si="10"/>
        <v>1</v>
      </c>
    </row>
    <row r="276" spans="1:8">
      <c r="A276" s="372">
        <v>22</v>
      </c>
      <c r="B276" s="373">
        <v>42968</v>
      </c>
      <c r="C276" s="373">
        <v>42982</v>
      </c>
      <c r="D276" s="372">
        <v>411</v>
      </c>
      <c r="E276" s="372">
        <v>28</v>
      </c>
      <c r="F276" s="372">
        <f>IFERROR(INDEX('NonART prices by med'!$D$2:$D$102,MATCH(D276,'NonART prices by med'!$A$2:$A$102,0)),"")</f>
        <v>0.10354499389265867</v>
      </c>
      <c r="G276" s="372">
        <f t="shared" si="9"/>
        <v>2.8992598289944427</v>
      </c>
      <c r="H276" s="372">
        <f t="shared" si="10"/>
        <v>1</v>
      </c>
    </row>
    <row r="277" spans="1:8">
      <c r="A277" s="372">
        <v>22</v>
      </c>
      <c r="B277" s="373">
        <v>42968</v>
      </c>
      <c r="C277" s="373">
        <v>43024</v>
      </c>
      <c r="D277" s="372">
        <v>35</v>
      </c>
      <c r="E277" s="372">
        <v>28</v>
      </c>
      <c r="F277" s="372">
        <f>IFERROR(INDEX('NonART prices by med'!$D$2:$D$102,MATCH(D277,'NonART prices by med'!$A$2:$A$102,0)),"")</f>
        <v>0.60205838048342708</v>
      </c>
      <c r="G277" s="372">
        <f t="shared" si="9"/>
        <v>16.857634653535957</v>
      </c>
      <c r="H277" s="372">
        <f t="shared" si="10"/>
        <v>1</v>
      </c>
    </row>
    <row r="278" spans="1:8">
      <c r="A278" s="372">
        <v>22</v>
      </c>
      <c r="B278" s="373">
        <v>42968</v>
      </c>
      <c r="C278" s="373">
        <v>43052</v>
      </c>
      <c r="D278" s="372">
        <v>35</v>
      </c>
      <c r="E278" s="372">
        <v>28</v>
      </c>
      <c r="F278" s="372">
        <f>IFERROR(INDEX('NonART prices by med'!$D$2:$D$102,MATCH(D278,'NonART prices by med'!$A$2:$A$102,0)),"")</f>
        <v>0.60205838048342708</v>
      </c>
      <c r="G278" s="372">
        <f t="shared" si="9"/>
        <v>16.857634653535957</v>
      </c>
      <c r="H278" s="372">
        <f t="shared" si="10"/>
        <v>1</v>
      </c>
    </row>
    <row r="279" spans="1:8">
      <c r="A279" s="372">
        <v>22</v>
      </c>
      <c r="B279" s="373">
        <v>42968</v>
      </c>
      <c r="C279" s="373">
        <v>43082</v>
      </c>
      <c r="D279" s="372">
        <v>411</v>
      </c>
      <c r="E279" s="372">
        <v>28</v>
      </c>
      <c r="F279" s="372">
        <f>IFERROR(INDEX('NonART prices by med'!$D$2:$D$102,MATCH(D279,'NonART prices by med'!$A$2:$A$102,0)),"")</f>
        <v>0.10354499389265867</v>
      </c>
      <c r="G279" s="372">
        <f t="shared" si="9"/>
        <v>2.8992598289944427</v>
      </c>
      <c r="H279" s="372">
        <f t="shared" si="10"/>
        <v>1</v>
      </c>
    </row>
    <row r="280" spans="1:8">
      <c r="A280" s="372">
        <v>22</v>
      </c>
      <c r="B280" s="373">
        <v>42968</v>
      </c>
      <c r="C280" s="373">
        <v>43138</v>
      </c>
      <c r="D280" s="372">
        <v>35</v>
      </c>
      <c r="E280" s="372">
        <v>28</v>
      </c>
      <c r="F280" s="372">
        <f>IFERROR(INDEX('NonART prices by med'!$D$2:$D$102,MATCH(D280,'NonART prices by med'!$A$2:$A$102,0)),"")</f>
        <v>0.60205838048342708</v>
      </c>
      <c r="G280" s="372">
        <f t="shared" si="9"/>
        <v>16.857634653535957</v>
      </c>
      <c r="H280" s="372">
        <f t="shared" si="10"/>
        <v>1</v>
      </c>
    </row>
    <row r="281" spans="1:8">
      <c r="A281" s="372">
        <v>23</v>
      </c>
      <c r="B281" s="373">
        <v>42968</v>
      </c>
      <c r="C281" s="373">
        <v>42968</v>
      </c>
      <c r="D281" s="372">
        <v>35</v>
      </c>
      <c r="E281" s="372">
        <v>28</v>
      </c>
      <c r="F281" s="372">
        <f>IFERROR(INDEX('NonART prices by med'!$D$2:$D$102,MATCH(D281,'NonART prices by med'!$A$2:$A$102,0)),"")</f>
        <v>0.60205838048342708</v>
      </c>
      <c r="G281" s="372">
        <f t="shared" si="9"/>
        <v>16.857634653535957</v>
      </c>
      <c r="H281" s="372">
        <f t="shared" si="10"/>
        <v>1</v>
      </c>
    </row>
    <row r="282" spans="1:8">
      <c r="A282" s="372">
        <v>23</v>
      </c>
      <c r="B282" s="373">
        <v>42968</v>
      </c>
      <c r="C282" s="373">
        <v>42996</v>
      </c>
      <c r="D282" s="372">
        <v>35</v>
      </c>
      <c r="E282" s="372">
        <v>56</v>
      </c>
      <c r="F282" s="372">
        <f>IFERROR(INDEX('NonART prices by med'!$D$2:$D$102,MATCH(D282,'NonART prices by med'!$A$2:$A$102,0)),"")</f>
        <v>0.60205838048342708</v>
      </c>
      <c r="G282" s="372">
        <f t="shared" si="9"/>
        <v>33.715269307071914</v>
      </c>
      <c r="H282" s="372">
        <f t="shared" si="10"/>
        <v>1</v>
      </c>
    </row>
    <row r="283" spans="1:8">
      <c r="A283" s="372">
        <v>23</v>
      </c>
      <c r="B283" s="373">
        <v>42968</v>
      </c>
      <c r="C283" s="373">
        <v>43052</v>
      </c>
      <c r="D283" s="372">
        <v>35</v>
      </c>
      <c r="E283" s="372">
        <v>28</v>
      </c>
      <c r="F283" s="372">
        <f>IFERROR(INDEX('NonART prices by med'!$D$2:$D$102,MATCH(D283,'NonART prices by med'!$A$2:$A$102,0)),"")</f>
        <v>0.60205838048342708</v>
      </c>
      <c r="G283" s="372">
        <f t="shared" si="9"/>
        <v>16.857634653535957</v>
      </c>
      <c r="H283" s="372">
        <f t="shared" si="10"/>
        <v>1</v>
      </c>
    </row>
    <row r="284" spans="1:8">
      <c r="A284" s="372">
        <v>23</v>
      </c>
      <c r="B284" s="373">
        <v>42968</v>
      </c>
      <c r="C284" s="373">
        <v>43080</v>
      </c>
      <c r="D284" s="372">
        <v>35</v>
      </c>
      <c r="E284" s="372">
        <v>28</v>
      </c>
      <c r="F284" s="372">
        <f>IFERROR(INDEX('NonART prices by med'!$D$2:$D$102,MATCH(D284,'NonART prices by med'!$A$2:$A$102,0)),"")</f>
        <v>0.60205838048342708</v>
      </c>
      <c r="G284" s="372">
        <f t="shared" si="9"/>
        <v>16.857634653535957</v>
      </c>
      <c r="H284" s="372">
        <f t="shared" si="10"/>
        <v>1</v>
      </c>
    </row>
    <row r="285" spans="1:8">
      <c r="A285" s="372">
        <v>23</v>
      </c>
      <c r="B285" s="373">
        <v>42968</v>
      </c>
      <c r="C285" s="373">
        <v>43136</v>
      </c>
      <c r="D285" s="372">
        <v>408</v>
      </c>
      <c r="E285" s="372">
        <v>28</v>
      </c>
      <c r="F285" s="372">
        <f>IFERROR(INDEX('NonART prices by med'!$D$2:$D$102,MATCH(D285,'NonART prices by med'!$A$2:$A$102,0)),"")</f>
        <v>5.5E-2</v>
      </c>
      <c r="G285" s="372">
        <f t="shared" si="9"/>
        <v>1.54</v>
      </c>
      <c r="H285" s="372">
        <f t="shared" si="10"/>
        <v>1</v>
      </c>
    </row>
    <row r="286" spans="1:8">
      <c r="A286" s="372">
        <v>24</v>
      </c>
      <c r="B286" s="373">
        <v>42958</v>
      </c>
      <c r="C286" s="373">
        <v>42992</v>
      </c>
      <c r="D286" s="372">
        <v>318</v>
      </c>
      <c r="E286" s="372">
        <v>20</v>
      </c>
      <c r="F286" s="372">
        <f>IFERROR(INDEX('NonART prices by med'!$D$2:$D$102,MATCH(D286,'NonART prices by med'!$A$2:$A$102,0)),"")</f>
        <v>0.19286066077210379</v>
      </c>
      <c r="G286" s="372">
        <f t="shared" si="9"/>
        <v>3.8572132154420755</v>
      </c>
      <c r="H286" s="372">
        <f t="shared" si="10"/>
        <v>1</v>
      </c>
    </row>
    <row r="287" spans="1:8">
      <c r="A287" s="372">
        <v>24</v>
      </c>
      <c r="B287" s="373">
        <v>42958</v>
      </c>
      <c r="C287" s="373">
        <v>43182</v>
      </c>
      <c r="D287" s="372">
        <v>120</v>
      </c>
      <c r="E287" s="372">
        <v>9</v>
      </c>
      <c r="F287" s="372">
        <f>IFERROR(INDEX('NonART prices by med'!$D$2:$D$102,MATCH(D287,'NonART prices by med'!$A$2:$A$102,0)),"")</f>
        <v>3.4253333333333336</v>
      </c>
      <c r="G287" s="372">
        <f t="shared" si="9"/>
        <v>30.828000000000003</v>
      </c>
      <c r="H287" s="372">
        <f t="shared" si="10"/>
        <v>1</v>
      </c>
    </row>
    <row r="288" spans="1:8">
      <c r="A288" s="372">
        <v>24</v>
      </c>
      <c r="B288" s="373">
        <v>42958</v>
      </c>
      <c r="C288" s="373">
        <v>43196</v>
      </c>
      <c r="D288" s="372">
        <v>342</v>
      </c>
      <c r="E288" s="372">
        <v>28</v>
      </c>
      <c r="F288" s="372">
        <f>IFERROR(INDEX('NonART prices by med'!$D$2:$D$102,MATCH(D288,'NonART prices by med'!$A$2:$A$102,0)),"")</f>
        <v>0.26590000152587889</v>
      </c>
      <c r="G288" s="372">
        <f t="shared" si="9"/>
        <v>7.4452000427246094</v>
      </c>
      <c r="H288" s="372">
        <f t="shared" si="10"/>
        <v>1</v>
      </c>
    </row>
    <row r="289" spans="1:8">
      <c r="A289" s="372">
        <v>24</v>
      </c>
      <c r="B289" s="373">
        <v>42958</v>
      </c>
      <c r="C289" s="373">
        <v>43201</v>
      </c>
      <c r="D289" s="372">
        <v>1</v>
      </c>
      <c r="E289" s="372">
        <v>2</v>
      </c>
      <c r="F289" s="372" t="str">
        <f>IFERROR(INDEX('NonART prices by med'!$D$2:$D$102,MATCH(D289,'NonART prices by med'!$A$2:$A$102,0)),"")</f>
        <v/>
      </c>
      <c r="G289" s="372" t="str">
        <f t="shared" si="9"/>
        <v/>
      </c>
      <c r="H289" s="372">
        <f t="shared" si="10"/>
        <v>1</v>
      </c>
    </row>
    <row r="290" spans="1:8">
      <c r="A290" s="372">
        <v>24</v>
      </c>
      <c r="B290" s="373">
        <v>42958</v>
      </c>
      <c r="C290" s="373">
        <v>43214</v>
      </c>
      <c r="D290" s="372">
        <v>408</v>
      </c>
      <c r="E290" s="372">
        <v>28</v>
      </c>
      <c r="F290" s="372">
        <f>IFERROR(INDEX('NonART prices by med'!$D$2:$D$102,MATCH(D290,'NonART prices by med'!$A$2:$A$102,0)),"")</f>
        <v>5.5E-2</v>
      </c>
      <c r="G290" s="372">
        <f t="shared" si="9"/>
        <v>1.54</v>
      </c>
      <c r="H290" s="372">
        <f t="shared" si="10"/>
        <v>1</v>
      </c>
    </row>
    <row r="291" spans="1:8">
      <c r="A291" s="372">
        <v>24</v>
      </c>
      <c r="B291" s="373">
        <v>42958</v>
      </c>
      <c r="C291" s="373">
        <v>43242</v>
      </c>
      <c r="D291" s="372">
        <v>342</v>
      </c>
      <c r="E291" s="372">
        <v>28</v>
      </c>
      <c r="F291" s="372">
        <f>IFERROR(INDEX('NonART prices by med'!$D$2:$D$102,MATCH(D291,'NonART prices by med'!$A$2:$A$102,0)),"")</f>
        <v>0.26590000152587889</v>
      </c>
      <c r="G291" s="372">
        <f t="shared" si="9"/>
        <v>7.4452000427246094</v>
      </c>
      <c r="H291" s="372">
        <f t="shared" si="10"/>
        <v>1</v>
      </c>
    </row>
    <row r="292" spans="1:8">
      <c r="A292" s="372">
        <v>24</v>
      </c>
      <c r="B292" s="373">
        <v>42958</v>
      </c>
      <c r="C292" s="373">
        <v>43270</v>
      </c>
      <c r="D292" s="372">
        <v>342</v>
      </c>
      <c r="E292" s="372">
        <v>28</v>
      </c>
      <c r="F292" s="372">
        <f>IFERROR(INDEX('NonART prices by med'!$D$2:$D$102,MATCH(D292,'NonART prices by med'!$A$2:$A$102,0)),"")</f>
        <v>0.26590000152587889</v>
      </c>
      <c r="G292" s="372">
        <f t="shared" si="9"/>
        <v>7.4452000427246094</v>
      </c>
      <c r="H292" s="372">
        <f t="shared" si="10"/>
        <v>1</v>
      </c>
    </row>
    <row r="293" spans="1:8">
      <c r="A293" s="372">
        <v>24</v>
      </c>
      <c r="B293" s="373">
        <v>42958</v>
      </c>
      <c r="C293" s="373">
        <v>43298</v>
      </c>
      <c r="D293" s="372">
        <v>35</v>
      </c>
      <c r="E293" s="372">
        <v>56</v>
      </c>
      <c r="F293" s="372">
        <f>IFERROR(INDEX('NonART prices by med'!$D$2:$D$102,MATCH(D293,'NonART prices by med'!$A$2:$A$102,0)),"")</f>
        <v>0.60205838048342708</v>
      </c>
      <c r="G293" s="372">
        <f t="shared" si="9"/>
        <v>33.715269307071914</v>
      </c>
      <c r="H293" s="372">
        <f t="shared" si="10"/>
        <v>1</v>
      </c>
    </row>
    <row r="294" spans="1:8">
      <c r="A294" s="372">
        <v>25</v>
      </c>
      <c r="B294" s="373">
        <v>42963</v>
      </c>
      <c r="C294" s="373">
        <v>43141</v>
      </c>
      <c r="D294" s="372">
        <v>35</v>
      </c>
      <c r="E294" s="372">
        <v>28</v>
      </c>
      <c r="F294" s="372">
        <f>IFERROR(INDEX('NonART prices by med'!$D$2:$D$102,MATCH(D294,'NonART prices by med'!$A$2:$A$102,0)),"")</f>
        <v>0.60205838048342708</v>
      </c>
      <c r="G294" s="372">
        <f t="shared" si="9"/>
        <v>16.857634653535957</v>
      </c>
      <c r="H294" s="372">
        <f t="shared" si="10"/>
        <v>1</v>
      </c>
    </row>
    <row r="295" spans="1:8">
      <c r="A295" s="372">
        <v>25</v>
      </c>
      <c r="B295" s="373">
        <v>42963</v>
      </c>
      <c r="C295" s="373">
        <v>43146</v>
      </c>
      <c r="D295" s="372">
        <v>411</v>
      </c>
      <c r="E295" s="372">
        <v>28</v>
      </c>
      <c r="F295" s="372">
        <f>IFERROR(INDEX('NonART prices by med'!$D$2:$D$102,MATCH(D295,'NonART prices by med'!$A$2:$A$102,0)),"")</f>
        <v>0.10354499389265867</v>
      </c>
      <c r="G295" s="372">
        <f t="shared" si="9"/>
        <v>2.8992598289944427</v>
      </c>
      <c r="H295" s="372">
        <f t="shared" si="10"/>
        <v>1</v>
      </c>
    </row>
    <row r="296" spans="1:8">
      <c r="A296" s="372">
        <v>25</v>
      </c>
      <c r="B296" s="373">
        <v>42963</v>
      </c>
      <c r="C296" s="373">
        <v>43327</v>
      </c>
      <c r="D296" s="372">
        <v>35</v>
      </c>
      <c r="E296" s="372">
        <v>28</v>
      </c>
      <c r="F296" s="372">
        <f>IFERROR(INDEX('NonART prices by med'!$D$2:$D$102,MATCH(D296,'NonART prices by med'!$A$2:$A$102,0)),"")</f>
        <v>0.60205838048342708</v>
      </c>
      <c r="G296" s="372">
        <f t="shared" si="9"/>
        <v>16.857634653535957</v>
      </c>
      <c r="H296" s="372">
        <f t="shared" si="10"/>
        <v>1</v>
      </c>
    </row>
    <row r="297" spans="1:8">
      <c r="A297" s="372">
        <v>25</v>
      </c>
      <c r="B297" s="373">
        <v>42963</v>
      </c>
      <c r="C297" s="373">
        <v>43406</v>
      </c>
      <c r="D297" s="372">
        <v>35</v>
      </c>
      <c r="E297" s="372">
        <v>28</v>
      </c>
      <c r="F297" s="372">
        <f>IFERROR(INDEX('NonART prices by med'!$D$2:$D$102,MATCH(D297,'NonART prices by med'!$A$2:$A$102,0)),"")</f>
        <v>0.60205838048342708</v>
      </c>
      <c r="G297" s="372">
        <f t="shared" si="9"/>
        <v>16.857634653535957</v>
      </c>
      <c r="H297" s="372">
        <f t="shared" si="10"/>
        <v>0</v>
      </c>
    </row>
    <row r="298" spans="1:8">
      <c r="A298" s="372">
        <v>25</v>
      </c>
      <c r="B298" s="373">
        <v>42963</v>
      </c>
      <c r="C298" s="373">
        <v>43433</v>
      </c>
      <c r="D298" s="372">
        <v>411</v>
      </c>
      <c r="E298" s="372">
        <v>56</v>
      </c>
      <c r="F298" s="372">
        <f>IFERROR(INDEX('NonART prices by med'!$D$2:$D$102,MATCH(D298,'NonART prices by med'!$A$2:$A$102,0)),"")</f>
        <v>0.10354499389265867</v>
      </c>
      <c r="G298" s="372">
        <f t="shared" si="9"/>
        <v>5.7985196579888854</v>
      </c>
      <c r="H298" s="372">
        <f t="shared" si="10"/>
        <v>0</v>
      </c>
    </row>
    <row r="299" spans="1:8">
      <c r="A299" s="372">
        <v>26</v>
      </c>
      <c r="B299" s="373">
        <v>42963</v>
      </c>
      <c r="C299" s="373">
        <v>42989</v>
      </c>
      <c r="D299" s="372">
        <v>120</v>
      </c>
      <c r="E299" s="372">
        <v>3</v>
      </c>
      <c r="F299" s="372">
        <f>IFERROR(INDEX('NonART prices by med'!$D$2:$D$102,MATCH(D299,'NonART prices by med'!$A$2:$A$102,0)),"")</f>
        <v>3.4253333333333336</v>
      </c>
      <c r="G299" s="372">
        <f t="shared" si="9"/>
        <v>10.276</v>
      </c>
      <c r="H299" s="372">
        <f t="shared" si="10"/>
        <v>1</v>
      </c>
    </row>
    <row r="300" spans="1:8">
      <c r="A300" s="372">
        <v>26</v>
      </c>
      <c r="B300" s="373">
        <v>42963</v>
      </c>
      <c r="C300" s="373">
        <v>43109</v>
      </c>
      <c r="D300" s="372">
        <v>342</v>
      </c>
      <c r="E300" s="372">
        <v>28</v>
      </c>
      <c r="F300" s="372">
        <f>IFERROR(INDEX('NonART prices by med'!$D$2:$D$102,MATCH(D300,'NonART prices by med'!$A$2:$A$102,0)),"")</f>
        <v>0.26590000152587889</v>
      </c>
      <c r="G300" s="372">
        <f t="shared" si="9"/>
        <v>7.4452000427246094</v>
      </c>
      <c r="H300" s="372">
        <f t="shared" si="10"/>
        <v>1</v>
      </c>
    </row>
    <row r="301" spans="1:8">
      <c r="A301" s="372">
        <v>26</v>
      </c>
      <c r="B301" s="373">
        <v>42963</v>
      </c>
      <c r="C301" s="373">
        <v>43153</v>
      </c>
      <c r="D301" s="372">
        <v>342</v>
      </c>
      <c r="E301" s="372">
        <v>28</v>
      </c>
      <c r="F301" s="372">
        <f>IFERROR(INDEX('NonART prices by med'!$D$2:$D$102,MATCH(D301,'NonART prices by med'!$A$2:$A$102,0)),"")</f>
        <v>0.26590000152587889</v>
      </c>
      <c r="G301" s="372">
        <f t="shared" si="9"/>
        <v>7.4452000427246094</v>
      </c>
      <c r="H301" s="372">
        <f t="shared" si="10"/>
        <v>1</v>
      </c>
    </row>
    <row r="302" spans="1:8">
      <c r="A302" s="372">
        <v>26</v>
      </c>
      <c r="B302" s="373">
        <v>42963</v>
      </c>
      <c r="C302" s="373">
        <v>43186</v>
      </c>
      <c r="D302" s="372">
        <v>35</v>
      </c>
      <c r="E302" s="372">
        <v>56</v>
      </c>
      <c r="F302" s="372">
        <f>IFERROR(INDEX('NonART prices by med'!$D$2:$D$102,MATCH(D302,'NonART prices by med'!$A$2:$A$102,0)),"")</f>
        <v>0.60205838048342708</v>
      </c>
      <c r="G302" s="372">
        <f t="shared" si="9"/>
        <v>33.715269307071914</v>
      </c>
      <c r="H302" s="372">
        <f t="shared" si="10"/>
        <v>1</v>
      </c>
    </row>
    <row r="303" spans="1:8">
      <c r="A303" s="372">
        <v>26</v>
      </c>
      <c r="B303" s="373">
        <v>42963</v>
      </c>
      <c r="C303" s="373">
        <v>43228</v>
      </c>
      <c r="D303" s="372">
        <v>342</v>
      </c>
      <c r="E303" s="372">
        <v>56</v>
      </c>
      <c r="F303" s="372">
        <f>IFERROR(INDEX('NonART prices by med'!$D$2:$D$102,MATCH(D303,'NonART prices by med'!$A$2:$A$102,0)),"")</f>
        <v>0.26590000152587889</v>
      </c>
      <c r="G303" s="372">
        <f t="shared" si="9"/>
        <v>14.890400085449219</v>
      </c>
      <c r="H303" s="372">
        <f t="shared" si="10"/>
        <v>1</v>
      </c>
    </row>
    <row r="304" spans="1:8">
      <c r="A304" s="372">
        <v>26</v>
      </c>
      <c r="B304" s="373">
        <v>42963</v>
      </c>
      <c r="C304" s="373">
        <v>43305</v>
      </c>
      <c r="D304" s="372">
        <v>342</v>
      </c>
      <c r="E304" s="372">
        <v>28</v>
      </c>
      <c r="F304" s="372">
        <f>IFERROR(INDEX('NonART prices by med'!$D$2:$D$102,MATCH(D304,'NonART prices by med'!$A$2:$A$102,0)),"")</f>
        <v>0.26590000152587889</v>
      </c>
      <c r="G304" s="372">
        <f t="shared" si="9"/>
        <v>7.4452000427246094</v>
      </c>
      <c r="H304" s="372">
        <f t="shared" si="10"/>
        <v>1</v>
      </c>
    </row>
    <row r="305" spans="1:8">
      <c r="A305" s="372">
        <v>26</v>
      </c>
      <c r="B305" s="373">
        <v>42963</v>
      </c>
      <c r="C305" s="373">
        <v>43333</v>
      </c>
      <c r="D305" s="372">
        <v>35</v>
      </c>
      <c r="E305" s="372">
        <v>28</v>
      </c>
      <c r="F305" s="372">
        <f>IFERROR(INDEX('NonART prices by med'!$D$2:$D$102,MATCH(D305,'NonART prices by med'!$A$2:$A$102,0)),"")</f>
        <v>0.60205838048342708</v>
      </c>
      <c r="G305" s="372">
        <f t="shared" si="9"/>
        <v>16.857634653535957</v>
      </c>
      <c r="H305" s="372">
        <f t="shared" si="10"/>
        <v>0</v>
      </c>
    </row>
    <row r="306" spans="1:8">
      <c r="A306" s="372">
        <v>27</v>
      </c>
      <c r="B306" s="373">
        <v>42961</v>
      </c>
      <c r="C306" s="373">
        <v>42976</v>
      </c>
      <c r="D306" s="372">
        <v>225</v>
      </c>
      <c r="E306" s="372">
        <v>28</v>
      </c>
      <c r="F306" s="372">
        <f>IFERROR(INDEX('NonART prices by med'!$D$2:$D$102,MATCH(D306,'NonART prices by med'!$A$2:$A$102,0)),"")</f>
        <v>0.19315423345580862</v>
      </c>
      <c r="G306" s="372">
        <f t="shared" si="9"/>
        <v>5.408318536762641</v>
      </c>
      <c r="H306" s="372">
        <f t="shared" si="10"/>
        <v>1</v>
      </c>
    </row>
    <row r="307" spans="1:8">
      <c r="A307" s="372">
        <v>27</v>
      </c>
      <c r="B307" s="373">
        <v>42961</v>
      </c>
      <c r="C307" s="373">
        <v>43012</v>
      </c>
      <c r="D307" s="372">
        <v>342</v>
      </c>
      <c r="E307" s="372">
        <v>28</v>
      </c>
      <c r="F307" s="372">
        <f>IFERROR(INDEX('NonART prices by med'!$D$2:$D$102,MATCH(D307,'NonART prices by med'!$A$2:$A$102,0)),"")</f>
        <v>0.26590000152587889</v>
      </c>
      <c r="G307" s="372">
        <f t="shared" si="9"/>
        <v>7.4452000427246094</v>
      </c>
      <c r="H307" s="372">
        <f t="shared" si="10"/>
        <v>1</v>
      </c>
    </row>
    <row r="308" spans="1:8">
      <c r="A308" s="372">
        <v>27</v>
      </c>
      <c r="B308" s="373">
        <v>42961</v>
      </c>
      <c r="C308" s="373">
        <v>43060</v>
      </c>
      <c r="D308" s="372">
        <v>225</v>
      </c>
      <c r="E308" s="372">
        <v>28</v>
      </c>
      <c r="F308" s="372">
        <f>IFERROR(INDEX('NonART prices by med'!$D$2:$D$102,MATCH(D308,'NonART prices by med'!$A$2:$A$102,0)),"")</f>
        <v>0.19315423345580862</v>
      </c>
      <c r="G308" s="372">
        <f t="shared" si="9"/>
        <v>5.408318536762641</v>
      </c>
      <c r="H308" s="372">
        <f t="shared" si="10"/>
        <v>1</v>
      </c>
    </row>
    <row r="309" spans="1:8">
      <c r="A309" s="372">
        <v>27</v>
      </c>
      <c r="B309" s="373">
        <v>42961</v>
      </c>
      <c r="C309" s="373">
        <v>43081</v>
      </c>
      <c r="D309" s="372">
        <v>225</v>
      </c>
      <c r="E309" s="372">
        <v>28</v>
      </c>
      <c r="F309" s="372">
        <f>IFERROR(INDEX('NonART prices by med'!$D$2:$D$102,MATCH(D309,'NonART prices by med'!$A$2:$A$102,0)),"")</f>
        <v>0.19315423345580862</v>
      </c>
      <c r="G309" s="372">
        <f t="shared" si="9"/>
        <v>5.408318536762641</v>
      </c>
      <c r="H309" s="372">
        <f t="shared" si="10"/>
        <v>1</v>
      </c>
    </row>
    <row r="310" spans="1:8">
      <c r="A310" s="372">
        <v>27</v>
      </c>
      <c r="B310" s="373">
        <v>42961</v>
      </c>
      <c r="C310" s="373">
        <v>43110</v>
      </c>
      <c r="D310" s="372">
        <v>342</v>
      </c>
      <c r="E310" s="372">
        <v>56</v>
      </c>
      <c r="F310" s="372">
        <f>IFERROR(INDEX('NonART prices by med'!$D$2:$D$102,MATCH(D310,'NonART prices by med'!$A$2:$A$102,0)),"")</f>
        <v>0.26590000152587889</v>
      </c>
      <c r="G310" s="372">
        <f t="shared" si="9"/>
        <v>14.890400085449219</v>
      </c>
      <c r="H310" s="372">
        <f t="shared" si="10"/>
        <v>1</v>
      </c>
    </row>
    <row r="311" spans="1:8">
      <c r="A311" s="372">
        <v>27</v>
      </c>
      <c r="B311" s="373">
        <v>42961</v>
      </c>
      <c r="C311" s="373">
        <v>43131</v>
      </c>
      <c r="D311" s="372">
        <v>35</v>
      </c>
      <c r="E311" s="372">
        <v>28</v>
      </c>
      <c r="F311" s="372">
        <f>IFERROR(INDEX('NonART prices by med'!$D$2:$D$102,MATCH(D311,'NonART prices by med'!$A$2:$A$102,0)),"")</f>
        <v>0.60205838048342708</v>
      </c>
      <c r="G311" s="372">
        <f t="shared" si="9"/>
        <v>16.857634653535957</v>
      </c>
      <c r="H311" s="372">
        <f t="shared" si="10"/>
        <v>1</v>
      </c>
    </row>
    <row r="312" spans="1:8">
      <c r="A312" s="372">
        <v>27</v>
      </c>
      <c r="B312" s="373">
        <v>42961</v>
      </c>
      <c r="C312" s="373">
        <v>43308</v>
      </c>
      <c r="D312" s="372">
        <v>100</v>
      </c>
      <c r="E312" s="372">
        <v>15</v>
      </c>
      <c r="F312" s="372">
        <f>IFERROR(INDEX('NonART prices by med'!$D$2:$D$102,MATCH(D312,'NonART prices by med'!$A$2:$A$102,0)),"")</f>
        <v>0.55516046284546272</v>
      </c>
      <c r="G312" s="372">
        <f t="shared" si="9"/>
        <v>8.3274069426819413</v>
      </c>
      <c r="H312" s="372">
        <f t="shared" si="10"/>
        <v>1</v>
      </c>
    </row>
    <row r="313" spans="1:8">
      <c r="A313" s="372">
        <v>27</v>
      </c>
      <c r="B313" s="373">
        <v>42961</v>
      </c>
      <c r="C313" s="373">
        <v>43339</v>
      </c>
      <c r="D313" s="372">
        <v>172</v>
      </c>
      <c r="E313" s="372">
        <v>6</v>
      </c>
      <c r="F313" s="372">
        <f>IFERROR(INDEX('NonART prices by med'!$D$2:$D$102,MATCH(D313,'NonART prices by med'!$A$2:$A$102,0)),"")</f>
        <v>0.75050000000000017</v>
      </c>
      <c r="G313" s="372">
        <f t="shared" si="9"/>
        <v>4.503000000000001</v>
      </c>
      <c r="H313" s="372">
        <f t="shared" si="10"/>
        <v>0</v>
      </c>
    </row>
    <row r="314" spans="1:8">
      <c r="A314" s="372">
        <v>28</v>
      </c>
      <c r="B314" s="373">
        <v>42961</v>
      </c>
      <c r="C314" s="373">
        <v>42961</v>
      </c>
      <c r="D314" s="372">
        <v>179</v>
      </c>
      <c r="F314" s="372">
        <f>IFERROR(INDEX('NonART prices by med'!$D$2:$D$102,MATCH(D314,'NonART prices by med'!$A$2:$A$102,0)),"")</f>
        <v>12.69</v>
      </c>
      <c r="G314" s="372">
        <f t="shared" si="9"/>
        <v>0</v>
      </c>
      <c r="H314" s="372">
        <f t="shared" si="10"/>
        <v>1</v>
      </c>
    </row>
    <row r="315" spans="1:8">
      <c r="A315" s="372">
        <v>29</v>
      </c>
      <c r="B315" s="373">
        <v>42961</v>
      </c>
      <c r="C315" s="373">
        <v>43045</v>
      </c>
      <c r="D315" s="372">
        <v>35</v>
      </c>
      <c r="E315" s="372">
        <v>28</v>
      </c>
      <c r="F315" s="372">
        <f>IFERROR(INDEX('NonART prices by med'!$D$2:$D$102,MATCH(D315,'NonART prices by med'!$A$2:$A$102,0)),"")</f>
        <v>0.60205838048342708</v>
      </c>
      <c r="G315" s="372">
        <f t="shared" si="9"/>
        <v>16.857634653535957</v>
      </c>
      <c r="H315" s="372">
        <f t="shared" si="10"/>
        <v>1</v>
      </c>
    </row>
    <row r="316" spans="1:8">
      <c r="A316" s="372">
        <v>29</v>
      </c>
      <c r="B316" s="373">
        <v>42961</v>
      </c>
      <c r="C316" s="373">
        <v>43073</v>
      </c>
      <c r="D316" s="372">
        <v>35</v>
      </c>
      <c r="E316" s="372">
        <v>56</v>
      </c>
      <c r="F316" s="372">
        <f>IFERROR(INDEX('NonART prices by med'!$D$2:$D$102,MATCH(D316,'NonART prices by med'!$A$2:$A$102,0)),"")</f>
        <v>0.60205838048342708</v>
      </c>
      <c r="G316" s="372">
        <f t="shared" si="9"/>
        <v>33.715269307071914</v>
      </c>
      <c r="H316" s="372">
        <f t="shared" si="10"/>
        <v>1</v>
      </c>
    </row>
    <row r="317" spans="1:8">
      <c r="A317" s="372">
        <v>29</v>
      </c>
      <c r="B317" s="373">
        <v>42961</v>
      </c>
      <c r="C317" s="373">
        <v>43157</v>
      </c>
      <c r="D317" s="372">
        <v>35</v>
      </c>
      <c r="E317" s="372">
        <v>28</v>
      </c>
      <c r="F317" s="372">
        <f>IFERROR(INDEX('NonART prices by med'!$D$2:$D$102,MATCH(D317,'NonART prices by med'!$A$2:$A$102,0)),"")</f>
        <v>0.60205838048342708</v>
      </c>
      <c r="G317" s="372">
        <f t="shared" si="9"/>
        <v>16.857634653535957</v>
      </c>
      <c r="H317" s="372">
        <f t="shared" si="10"/>
        <v>1</v>
      </c>
    </row>
    <row r="318" spans="1:8">
      <c r="A318" s="372">
        <v>29</v>
      </c>
      <c r="B318" s="373">
        <v>42961</v>
      </c>
      <c r="C318" s="373">
        <v>43185</v>
      </c>
      <c r="D318" s="372">
        <v>35</v>
      </c>
      <c r="E318" s="372">
        <v>56</v>
      </c>
      <c r="F318" s="372">
        <f>IFERROR(INDEX('NonART prices by med'!$D$2:$D$102,MATCH(D318,'NonART prices by med'!$A$2:$A$102,0)),"")</f>
        <v>0.60205838048342708</v>
      </c>
      <c r="G318" s="372">
        <f t="shared" si="9"/>
        <v>33.715269307071914</v>
      </c>
      <c r="H318" s="372">
        <f t="shared" si="10"/>
        <v>1</v>
      </c>
    </row>
    <row r="319" spans="1:8">
      <c r="A319" s="372">
        <v>30</v>
      </c>
      <c r="B319" s="373">
        <v>42957</v>
      </c>
      <c r="C319" s="373">
        <v>43014</v>
      </c>
      <c r="D319" s="372">
        <v>225</v>
      </c>
      <c r="E319" s="372">
        <v>28</v>
      </c>
      <c r="F319" s="372">
        <f>IFERROR(INDEX('NonART prices by med'!$D$2:$D$102,MATCH(D319,'NonART prices by med'!$A$2:$A$102,0)),"")</f>
        <v>0.19315423345580862</v>
      </c>
      <c r="G319" s="372">
        <f t="shared" si="9"/>
        <v>5.408318536762641</v>
      </c>
      <c r="H319" s="372">
        <f t="shared" si="10"/>
        <v>1</v>
      </c>
    </row>
    <row r="320" spans="1:8">
      <c r="A320" s="372">
        <v>30</v>
      </c>
      <c r="B320" s="373">
        <v>42957</v>
      </c>
      <c r="C320" s="373">
        <v>43041</v>
      </c>
      <c r="D320" s="372">
        <v>225</v>
      </c>
      <c r="E320" s="372">
        <v>28</v>
      </c>
      <c r="F320" s="372">
        <f>IFERROR(INDEX('NonART prices by med'!$D$2:$D$102,MATCH(D320,'NonART prices by med'!$A$2:$A$102,0)),"")</f>
        <v>0.19315423345580862</v>
      </c>
      <c r="G320" s="372">
        <f t="shared" si="9"/>
        <v>5.408318536762641</v>
      </c>
      <c r="H320" s="372">
        <f t="shared" si="10"/>
        <v>1</v>
      </c>
    </row>
    <row r="321" spans="1:8">
      <c r="A321" s="372">
        <v>30</v>
      </c>
      <c r="B321" s="373">
        <v>42957</v>
      </c>
      <c r="C321" s="373">
        <v>43125</v>
      </c>
      <c r="D321" s="372">
        <v>225</v>
      </c>
      <c r="E321" s="372">
        <v>28</v>
      </c>
      <c r="F321" s="372">
        <f>IFERROR(INDEX('NonART prices by med'!$D$2:$D$102,MATCH(D321,'NonART prices by med'!$A$2:$A$102,0)),"")</f>
        <v>0.19315423345580862</v>
      </c>
      <c r="G321" s="372">
        <f t="shared" si="9"/>
        <v>5.408318536762641</v>
      </c>
      <c r="H321" s="372">
        <f t="shared" si="10"/>
        <v>1</v>
      </c>
    </row>
    <row r="322" spans="1:8">
      <c r="A322" s="372">
        <v>30</v>
      </c>
      <c r="B322" s="373">
        <v>42957</v>
      </c>
      <c r="C322" s="373">
        <v>43153</v>
      </c>
      <c r="D322" s="372">
        <v>225</v>
      </c>
      <c r="E322" s="372">
        <v>28</v>
      </c>
      <c r="F322" s="372">
        <f>IFERROR(INDEX('NonART prices by med'!$D$2:$D$102,MATCH(D322,'NonART prices by med'!$A$2:$A$102,0)),"")</f>
        <v>0.19315423345580862</v>
      </c>
      <c r="G322" s="372">
        <f t="shared" si="9"/>
        <v>5.408318536762641</v>
      </c>
      <c r="H322" s="372">
        <f t="shared" si="10"/>
        <v>1</v>
      </c>
    </row>
    <row r="323" spans="1:8">
      <c r="A323" s="372">
        <v>30</v>
      </c>
      <c r="B323" s="373">
        <v>42957</v>
      </c>
      <c r="C323" s="373">
        <v>43182</v>
      </c>
      <c r="D323" s="372">
        <v>225</v>
      </c>
      <c r="E323" s="372">
        <v>28</v>
      </c>
      <c r="F323" s="372">
        <f>IFERROR(INDEX('NonART prices by med'!$D$2:$D$102,MATCH(D323,'NonART prices by med'!$A$2:$A$102,0)),"")</f>
        <v>0.19315423345580862</v>
      </c>
      <c r="G323" s="372">
        <f t="shared" ref="G323:G386" si="11">IFERROR(E323*F323,"")</f>
        <v>5.408318536762641</v>
      </c>
      <c r="H323" s="372">
        <f t="shared" si="10"/>
        <v>1</v>
      </c>
    </row>
    <row r="324" spans="1:8">
      <c r="A324" s="372">
        <v>32</v>
      </c>
      <c r="B324" s="373">
        <v>42961</v>
      </c>
      <c r="C324" s="373">
        <v>42998</v>
      </c>
      <c r="D324" s="372">
        <v>35</v>
      </c>
      <c r="E324" s="372">
        <v>56</v>
      </c>
      <c r="F324" s="372">
        <f>IFERROR(INDEX('NonART prices by med'!$D$2:$D$102,MATCH(D324,'NonART prices by med'!$A$2:$A$102,0)),"")</f>
        <v>0.60205838048342708</v>
      </c>
      <c r="G324" s="372">
        <f t="shared" si="11"/>
        <v>33.715269307071914</v>
      </c>
      <c r="H324" s="372">
        <f t="shared" ref="H324:H387" si="12">IF(C324-B324&lt;=365,1,0)</f>
        <v>1</v>
      </c>
    </row>
    <row r="325" spans="1:8">
      <c r="A325" s="372">
        <v>32</v>
      </c>
      <c r="B325" s="373">
        <v>42961</v>
      </c>
      <c r="C325" s="373">
        <v>43054</v>
      </c>
      <c r="D325" s="372">
        <v>35</v>
      </c>
      <c r="E325" s="372">
        <v>28</v>
      </c>
      <c r="F325" s="372">
        <f>IFERROR(INDEX('NonART prices by med'!$D$2:$D$102,MATCH(D325,'NonART prices by med'!$A$2:$A$102,0)),"")</f>
        <v>0.60205838048342708</v>
      </c>
      <c r="G325" s="372">
        <f t="shared" si="11"/>
        <v>16.857634653535957</v>
      </c>
      <c r="H325" s="372">
        <f t="shared" si="12"/>
        <v>1</v>
      </c>
    </row>
    <row r="326" spans="1:8">
      <c r="A326" s="372">
        <v>32</v>
      </c>
      <c r="B326" s="373">
        <v>42961</v>
      </c>
      <c r="C326" s="373">
        <v>43082</v>
      </c>
      <c r="D326" s="372">
        <v>35</v>
      </c>
      <c r="E326" s="372">
        <v>1</v>
      </c>
      <c r="F326" s="372">
        <f>IFERROR(INDEX('NonART prices by med'!$D$2:$D$102,MATCH(D326,'NonART prices by med'!$A$2:$A$102,0)),"")</f>
        <v>0.60205838048342708</v>
      </c>
      <c r="G326" s="372">
        <f t="shared" si="11"/>
        <v>0.60205838048342708</v>
      </c>
      <c r="H326" s="372">
        <f t="shared" si="12"/>
        <v>1</v>
      </c>
    </row>
    <row r="327" spans="1:8">
      <c r="A327" s="372">
        <v>33</v>
      </c>
      <c r="B327" s="373">
        <v>42957</v>
      </c>
      <c r="C327" s="373">
        <v>42957</v>
      </c>
      <c r="D327" s="372">
        <v>225</v>
      </c>
      <c r="F327" s="372">
        <f>IFERROR(INDEX('NonART prices by med'!$D$2:$D$102,MATCH(D327,'NonART prices by med'!$A$2:$A$102,0)),"")</f>
        <v>0.19315423345580862</v>
      </c>
      <c r="G327" s="372">
        <f t="shared" si="11"/>
        <v>0</v>
      </c>
      <c r="H327" s="372">
        <f t="shared" si="12"/>
        <v>1</v>
      </c>
    </row>
    <row r="328" spans="1:8">
      <c r="A328" s="372">
        <v>33</v>
      </c>
      <c r="B328" s="373">
        <v>42957</v>
      </c>
      <c r="C328" s="373">
        <v>42972</v>
      </c>
      <c r="D328" s="372">
        <v>286</v>
      </c>
      <c r="E328" s="372">
        <v>5</v>
      </c>
      <c r="F328" s="372">
        <f>IFERROR(INDEX('NonART prices by med'!$D$2:$D$102,MATCH(D328,'NonART prices by med'!$A$2:$A$102,0)),"")</f>
        <v>0.15535714285714283</v>
      </c>
      <c r="G328" s="372">
        <f t="shared" si="11"/>
        <v>0.77678571428571419</v>
      </c>
      <c r="H328" s="372">
        <f t="shared" si="12"/>
        <v>1</v>
      </c>
    </row>
    <row r="329" spans="1:8">
      <c r="A329" s="372">
        <v>33</v>
      </c>
      <c r="B329" s="373">
        <v>42957</v>
      </c>
      <c r="C329" s="373">
        <v>42983</v>
      </c>
      <c r="D329" s="372">
        <v>102</v>
      </c>
      <c r="E329" s="372">
        <v>14</v>
      </c>
      <c r="F329" s="372">
        <f>IFERROR(INDEX('NonART prices by med'!$D$2:$D$102,MATCH(D329,'NonART prices by med'!$A$2:$A$102,0)),"")</f>
        <v>1.5744</v>
      </c>
      <c r="G329" s="372">
        <f t="shared" si="11"/>
        <v>22.041599999999999</v>
      </c>
      <c r="H329" s="372">
        <f t="shared" si="12"/>
        <v>1</v>
      </c>
    </row>
    <row r="330" spans="1:8">
      <c r="A330" s="372">
        <v>33</v>
      </c>
      <c r="B330" s="373">
        <v>42957</v>
      </c>
      <c r="C330" s="373">
        <v>43066</v>
      </c>
      <c r="D330" s="372">
        <v>184</v>
      </c>
      <c r="E330" s="372">
        <v>112</v>
      </c>
      <c r="F330" s="372">
        <f>IFERROR(INDEX('NonART prices by med'!$D$2:$D$102,MATCH(D330,'NonART prices by med'!$A$2:$A$102,0)),"")</f>
        <v>0.21851785714285715</v>
      </c>
      <c r="G330" s="372">
        <f t="shared" si="11"/>
        <v>24.474</v>
      </c>
      <c r="H330" s="372">
        <f t="shared" si="12"/>
        <v>1</v>
      </c>
    </row>
    <row r="331" spans="1:8">
      <c r="A331" s="372">
        <v>33</v>
      </c>
      <c r="B331" s="373">
        <v>42957</v>
      </c>
      <c r="C331" s="373">
        <v>43104</v>
      </c>
      <c r="D331" s="372">
        <v>134</v>
      </c>
      <c r="E331" s="372">
        <v>56</v>
      </c>
      <c r="F331" s="372">
        <f>IFERROR(INDEX('NonART prices by med'!$D$2:$D$102,MATCH(D331,'NonART prices by med'!$A$2:$A$102,0)),"")</f>
        <v>0.39033333366993345</v>
      </c>
      <c r="G331" s="372">
        <f t="shared" si="11"/>
        <v>21.858666685516273</v>
      </c>
      <c r="H331" s="372">
        <f t="shared" si="12"/>
        <v>1</v>
      </c>
    </row>
    <row r="332" spans="1:8">
      <c r="A332" s="372">
        <v>33</v>
      </c>
      <c r="B332" s="373">
        <v>42957</v>
      </c>
      <c r="C332" s="373">
        <v>43187</v>
      </c>
      <c r="D332" s="372">
        <v>184</v>
      </c>
      <c r="E332" s="372">
        <v>112</v>
      </c>
      <c r="F332" s="372">
        <f>IFERROR(INDEX('NonART prices by med'!$D$2:$D$102,MATCH(D332,'NonART prices by med'!$A$2:$A$102,0)),"")</f>
        <v>0.21851785714285715</v>
      </c>
      <c r="G332" s="372">
        <f t="shared" si="11"/>
        <v>24.474</v>
      </c>
      <c r="H332" s="372">
        <f t="shared" si="12"/>
        <v>1</v>
      </c>
    </row>
    <row r="333" spans="1:8">
      <c r="A333" s="372">
        <v>33</v>
      </c>
      <c r="B333" s="373">
        <v>42957</v>
      </c>
      <c r="C333" s="373">
        <v>43243</v>
      </c>
      <c r="D333" s="372">
        <v>184</v>
      </c>
      <c r="E333" s="372">
        <v>56</v>
      </c>
      <c r="F333" s="372">
        <f>IFERROR(INDEX('NonART prices by med'!$D$2:$D$102,MATCH(D333,'NonART prices by med'!$A$2:$A$102,0)),"")</f>
        <v>0.21851785714285715</v>
      </c>
      <c r="G333" s="372">
        <f t="shared" si="11"/>
        <v>12.237</v>
      </c>
      <c r="H333" s="372">
        <f t="shared" si="12"/>
        <v>1</v>
      </c>
    </row>
    <row r="334" spans="1:8">
      <c r="A334" s="372">
        <v>33</v>
      </c>
      <c r="B334" s="373">
        <v>42957</v>
      </c>
      <c r="C334" s="373">
        <v>43299</v>
      </c>
      <c r="D334" s="372">
        <v>184</v>
      </c>
      <c r="E334" s="372">
        <v>56</v>
      </c>
      <c r="F334" s="372">
        <f>IFERROR(INDEX('NonART prices by med'!$D$2:$D$102,MATCH(D334,'NonART prices by med'!$A$2:$A$102,0)),"")</f>
        <v>0.21851785714285715</v>
      </c>
      <c r="G334" s="372">
        <f t="shared" si="11"/>
        <v>12.237</v>
      </c>
      <c r="H334" s="372">
        <f t="shared" si="12"/>
        <v>1</v>
      </c>
    </row>
    <row r="335" spans="1:8">
      <c r="A335" s="372">
        <v>34</v>
      </c>
      <c r="B335" s="373">
        <v>42957</v>
      </c>
      <c r="C335" s="373">
        <v>42996</v>
      </c>
      <c r="D335" s="372">
        <v>100</v>
      </c>
      <c r="E335" s="372">
        <v>15</v>
      </c>
      <c r="F335" s="372">
        <f>IFERROR(INDEX('NonART prices by med'!$D$2:$D$102,MATCH(D335,'NonART prices by med'!$A$2:$A$102,0)),"")</f>
        <v>0.55516046284546272</v>
      </c>
      <c r="G335" s="372">
        <f t="shared" si="11"/>
        <v>8.3274069426819413</v>
      </c>
      <c r="H335" s="372">
        <f t="shared" si="12"/>
        <v>1</v>
      </c>
    </row>
    <row r="336" spans="1:8">
      <c r="A336" s="372">
        <v>34</v>
      </c>
      <c r="B336" s="373">
        <v>42957</v>
      </c>
      <c r="C336" s="373">
        <v>43024</v>
      </c>
      <c r="D336" s="372">
        <v>35</v>
      </c>
      <c r="E336" s="372">
        <v>28</v>
      </c>
      <c r="F336" s="372">
        <f>IFERROR(INDEX('NonART prices by med'!$D$2:$D$102,MATCH(D336,'NonART prices by med'!$A$2:$A$102,0)),"")</f>
        <v>0.60205838048342708</v>
      </c>
      <c r="G336" s="372">
        <f t="shared" si="11"/>
        <v>16.857634653535957</v>
      </c>
      <c r="H336" s="372">
        <f t="shared" si="12"/>
        <v>1</v>
      </c>
    </row>
    <row r="337" spans="1:8">
      <c r="A337" s="372">
        <v>34</v>
      </c>
      <c r="B337" s="373">
        <v>42957</v>
      </c>
      <c r="C337" s="373">
        <v>43360</v>
      </c>
      <c r="D337" s="372">
        <v>408</v>
      </c>
      <c r="E337" s="372">
        <v>28</v>
      </c>
      <c r="F337" s="372">
        <f>IFERROR(INDEX('NonART prices by med'!$D$2:$D$102,MATCH(D337,'NonART prices by med'!$A$2:$A$102,0)),"")</f>
        <v>5.5E-2</v>
      </c>
      <c r="G337" s="372">
        <f t="shared" si="11"/>
        <v>1.54</v>
      </c>
      <c r="H337" s="372">
        <f t="shared" si="12"/>
        <v>0</v>
      </c>
    </row>
    <row r="338" spans="1:8">
      <c r="A338" s="372">
        <v>35</v>
      </c>
      <c r="B338" s="373">
        <v>42937</v>
      </c>
      <c r="C338" s="373">
        <v>43007</v>
      </c>
      <c r="D338" s="372">
        <v>35</v>
      </c>
      <c r="E338" s="372">
        <v>56</v>
      </c>
      <c r="F338" s="372">
        <f>IFERROR(INDEX('NonART prices by med'!$D$2:$D$102,MATCH(D338,'NonART prices by med'!$A$2:$A$102,0)),"")</f>
        <v>0.60205838048342708</v>
      </c>
      <c r="G338" s="372">
        <f t="shared" si="11"/>
        <v>33.715269307071914</v>
      </c>
      <c r="H338" s="372">
        <f t="shared" si="12"/>
        <v>1</v>
      </c>
    </row>
    <row r="339" spans="1:8">
      <c r="A339" s="372">
        <v>35</v>
      </c>
      <c r="B339" s="373">
        <v>42937</v>
      </c>
      <c r="C339" s="373">
        <v>43061</v>
      </c>
      <c r="D339" s="372">
        <v>35</v>
      </c>
      <c r="E339" s="372">
        <v>28</v>
      </c>
      <c r="F339" s="372">
        <f>IFERROR(INDEX('NonART prices by med'!$D$2:$D$102,MATCH(D339,'NonART prices by med'!$A$2:$A$102,0)),"")</f>
        <v>0.60205838048342708</v>
      </c>
      <c r="G339" s="372">
        <f t="shared" si="11"/>
        <v>16.857634653535957</v>
      </c>
      <c r="H339" s="372">
        <f t="shared" si="12"/>
        <v>1</v>
      </c>
    </row>
    <row r="340" spans="1:8">
      <c r="A340" s="372">
        <v>35</v>
      </c>
      <c r="B340" s="373">
        <v>42937</v>
      </c>
      <c r="C340" s="373">
        <v>43089</v>
      </c>
      <c r="D340" s="372">
        <v>35</v>
      </c>
      <c r="E340" s="372">
        <v>56</v>
      </c>
      <c r="F340" s="372">
        <f>IFERROR(INDEX('NonART prices by med'!$D$2:$D$102,MATCH(D340,'NonART prices by med'!$A$2:$A$102,0)),"")</f>
        <v>0.60205838048342708</v>
      </c>
      <c r="G340" s="372">
        <f t="shared" si="11"/>
        <v>33.715269307071914</v>
      </c>
      <c r="H340" s="372">
        <f t="shared" si="12"/>
        <v>1</v>
      </c>
    </row>
    <row r="341" spans="1:8">
      <c r="A341" s="372">
        <v>35</v>
      </c>
      <c r="B341" s="373">
        <v>42937</v>
      </c>
      <c r="C341" s="373">
        <v>43146</v>
      </c>
      <c r="D341" s="372">
        <v>225</v>
      </c>
      <c r="E341" s="372">
        <v>28</v>
      </c>
      <c r="F341" s="372">
        <f>IFERROR(INDEX('NonART prices by med'!$D$2:$D$102,MATCH(D341,'NonART prices by med'!$A$2:$A$102,0)),"")</f>
        <v>0.19315423345580862</v>
      </c>
      <c r="G341" s="372">
        <f t="shared" si="11"/>
        <v>5.408318536762641</v>
      </c>
      <c r="H341" s="372">
        <f t="shared" si="12"/>
        <v>1</v>
      </c>
    </row>
    <row r="342" spans="1:8">
      <c r="A342" s="372">
        <v>35</v>
      </c>
      <c r="B342" s="373">
        <v>42937</v>
      </c>
      <c r="C342" s="373">
        <v>43173</v>
      </c>
      <c r="D342" s="372">
        <v>134</v>
      </c>
      <c r="E342" s="372">
        <v>28</v>
      </c>
      <c r="F342" s="372">
        <f>IFERROR(INDEX('NonART prices by med'!$D$2:$D$102,MATCH(D342,'NonART prices by med'!$A$2:$A$102,0)),"")</f>
        <v>0.39033333366993345</v>
      </c>
      <c r="G342" s="372">
        <f t="shared" si="11"/>
        <v>10.929333342758136</v>
      </c>
      <c r="H342" s="372">
        <f t="shared" si="12"/>
        <v>1</v>
      </c>
    </row>
    <row r="343" spans="1:8">
      <c r="A343" s="372">
        <v>35</v>
      </c>
      <c r="B343" s="373">
        <v>42937</v>
      </c>
      <c r="C343" s="373">
        <v>43270</v>
      </c>
      <c r="D343" s="372">
        <v>215</v>
      </c>
      <c r="E343" s="372">
        <v>28</v>
      </c>
      <c r="F343" s="372">
        <f>IFERROR(INDEX('NonART prices by med'!$D$2:$D$102,MATCH(D343,'NonART prices by med'!$A$2:$A$102,0)),"")</f>
        <v>0.27607142857142858</v>
      </c>
      <c r="G343" s="372">
        <f t="shared" si="11"/>
        <v>7.73</v>
      </c>
      <c r="H343" s="372">
        <f t="shared" si="12"/>
        <v>1</v>
      </c>
    </row>
    <row r="344" spans="1:8">
      <c r="A344" s="372">
        <v>35</v>
      </c>
      <c r="B344" s="373">
        <v>42937</v>
      </c>
      <c r="C344" s="373">
        <v>43300</v>
      </c>
      <c r="D344" s="372">
        <v>225</v>
      </c>
      <c r="E344" s="372">
        <v>28</v>
      </c>
      <c r="F344" s="372">
        <f>IFERROR(INDEX('NonART prices by med'!$D$2:$D$102,MATCH(D344,'NonART prices by med'!$A$2:$A$102,0)),"")</f>
        <v>0.19315423345580862</v>
      </c>
      <c r="G344" s="372">
        <f t="shared" si="11"/>
        <v>5.408318536762641</v>
      </c>
      <c r="H344" s="372">
        <f t="shared" si="12"/>
        <v>1</v>
      </c>
    </row>
    <row r="345" spans="1:8">
      <c r="A345" s="372">
        <v>36</v>
      </c>
      <c r="B345" s="373">
        <v>42954</v>
      </c>
      <c r="C345" s="373">
        <v>42978</v>
      </c>
      <c r="D345" s="372">
        <v>35</v>
      </c>
      <c r="E345" s="372">
        <v>56</v>
      </c>
      <c r="F345" s="372">
        <f>IFERROR(INDEX('NonART prices by med'!$D$2:$D$102,MATCH(D345,'NonART prices by med'!$A$2:$A$102,0)),"")</f>
        <v>0.60205838048342708</v>
      </c>
      <c r="G345" s="372">
        <f t="shared" si="11"/>
        <v>33.715269307071914</v>
      </c>
      <c r="H345" s="372">
        <f t="shared" si="12"/>
        <v>1</v>
      </c>
    </row>
    <row r="346" spans="1:8">
      <c r="A346" s="372">
        <v>36</v>
      </c>
      <c r="B346" s="373">
        <v>42954</v>
      </c>
      <c r="C346" s="373">
        <v>43187</v>
      </c>
      <c r="D346" s="372">
        <v>35</v>
      </c>
      <c r="E346" s="372">
        <v>56</v>
      </c>
      <c r="F346" s="372">
        <f>IFERROR(INDEX('NonART prices by med'!$D$2:$D$102,MATCH(D346,'NonART prices by med'!$A$2:$A$102,0)),"")</f>
        <v>0.60205838048342708</v>
      </c>
      <c r="G346" s="372">
        <f t="shared" si="11"/>
        <v>33.715269307071914</v>
      </c>
      <c r="H346" s="372">
        <f t="shared" si="12"/>
        <v>1</v>
      </c>
    </row>
    <row r="347" spans="1:8">
      <c r="A347" s="372">
        <v>36</v>
      </c>
      <c r="B347" s="373">
        <v>42954</v>
      </c>
      <c r="C347" s="373">
        <v>43299</v>
      </c>
      <c r="D347" s="372">
        <v>35</v>
      </c>
      <c r="E347" s="372">
        <v>28</v>
      </c>
      <c r="F347" s="372">
        <f>IFERROR(INDEX('NonART prices by med'!$D$2:$D$102,MATCH(D347,'NonART prices by med'!$A$2:$A$102,0)),"")</f>
        <v>0.60205838048342708</v>
      </c>
      <c r="G347" s="372">
        <f t="shared" si="11"/>
        <v>16.857634653535957</v>
      </c>
      <c r="H347" s="372">
        <f t="shared" si="12"/>
        <v>1</v>
      </c>
    </row>
    <row r="348" spans="1:8">
      <c r="A348" s="372">
        <v>36</v>
      </c>
      <c r="B348" s="373">
        <v>42954</v>
      </c>
      <c r="C348" s="373">
        <v>43327</v>
      </c>
      <c r="D348" s="372">
        <v>35</v>
      </c>
      <c r="E348" s="372">
        <v>28</v>
      </c>
      <c r="F348" s="372">
        <f>IFERROR(INDEX('NonART prices by med'!$D$2:$D$102,MATCH(D348,'NonART prices by med'!$A$2:$A$102,0)),"")</f>
        <v>0.60205838048342708</v>
      </c>
      <c r="G348" s="372">
        <f t="shared" si="11"/>
        <v>16.857634653535957</v>
      </c>
      <c r="H348" s="372">
        <f t="shared" si="12"/>
        <v>0</v>
      </c>
    </row>
    <row r="349" spans="1:8">
      <c r="A349" s="372">
        <v>36</v>
      </c>
      <c r="B349" s="373">
        <v>42954</v>
      </c>
      <c r="C349" s="373">
        <v>43354</v>
      </c>
      <c r="D349" s="372">
        <v>35</v>
      </c>
      <c r="E349" s="372">
        <v>56</v>
      </c>
      <c r="F349" s="372">
        <f>IFERROR(INDEX('NonART prices by med'!$D$2:$D$102,MATCH(D349,'NonART prices by med'!$A$2:$A$102,0)),"")</f>
        <v>0.60205838048342708</v>
      </c>
      <c r="G349" s="372">
        <f t="shared" si="11"/>
        <v>33.715269307071914</v>
      </c>
      <c r="H349" s="372">
        <f t="shared" si="12"/>
        <v>0</v>
      </c>
    </row>
    <row r="350" spans="1:8">
      <c r="A350" s="372">
        <v>37</v>
      </c>
      <c r="B350" s="373">
        <v>42954</v>
      </c>
      <c r="C350" s="373">
        <v>42954</v>
      </c>
      <c r="D350" s="372">
        <v>342</v>
      </c>
      <c r="E350" s="372">
        <v>28</v>
      </c>
      <c r="F350" s="372">
        <f>IFERROR(INDEX('NonART prices by med'!$D$2:$D$102,MATCH(D350,'NonART prices by med'!$A$2:$A$102,0)),"")</f>
        <v>0.26590000152587889</v>
      </c>
      <c r="G350" s="372">
        <f t="shared" si="11"/>
        <v>7.4452000427246094</v>
      </c>
      <c r="H350" s="372">
        <f t="shared" si="12"/>
        <v>1</v>
      </c>
    </row>
    <row r="351" spans="1:8">
      <c r="A351" s="372">
        <v>37</v>
      </c>
      <c r="B351" s="373">
        <v>42954</v>
      </c>
      <c r="C351" s="373">
        <v>43150</v>
      </c>
      <c r="D351" s="372">
        <v>408</v>
      </c>
      <c r="E351" s="372">
        <v>28</v>
      </c>
      <c r="F351" s="372">
        <f>IFERROR(INDEX('NonART prices by med'!$D$2:$D$102,MATCH(D351,'NonART prices by med'!$A$2:$A$102,0)),"")</f>
        <v>5.5E-2</v>
      </c>
      <c r="G351" s="372">
        <f t="shared" si="11"/>
        <v>1.54</v>
      </c>
      <c r="H351" s="372">
        <f t="shared" si="12"/>
        <v>1</v>
      </c>
    </row>
    <row r="352" spans="1:8">
      <c r="A352" s="372">
        <v>37</v>
      </c>
      <c r="B352" s="373">
        <v>42954</v>
      </c>
      <c r="C352" s="373">
        <v>43178</v>
      </c>
      <c r="D352" s="372">
        <v>408</v>
      </c>
      <c r="E352" s="372">
        <v>28</v>
      </c>
      <c r="F352" s="372">
        <f>IFERROR(INDEX('NonART prices by med'!$D$2:$D$102,MATCH(D352,'NonART prices by med'!$A$2:$A$102,0)),"")</f>
        <v>5.5E-2</v>
      </c>
      <c r="G352" s="372">
        <f t="shared" si="11"/>
        <v>1.54</v>
      </c>
      <c r="H352" s="372">
        <f t="shared" si="12"/>
        <v>1</v>
      </c>
    </row>
    <row r="353" spans="1:8">
      <c r="A353" s="372">
        <v>37</v>
      </c>
      <c r="B353" s="373">
        <v>42954</v>
      </c>
      <c r="C353" s="373">
        <v>43206</v>
      </c>
      <c r="D353" s="372">
        <v>408</v>
      </c>
      <c r="E353" s="372">
        <v>28</v>
      </c>
      <c r="F353" s="372">
        <f>IFERROR(INDEX('NonART prices by med'!$D$2:$D$102,MATCH(D353,'NonART prices by med'!$A$2:$A$102,0)),"")</f>
        <v>5.5E-2</v>
      </c>
      <c r="G353" s="372">
        <f t="shared" si="11"/>
        <v>1.54</v>
      </c>
      <c r="H353" s="372">
        <f t="shared" si="12"/>
        <v>1</v>
      </c>
    </row>
    <row r="354" spans="1:8">
      <c r="A354" s="372">
        <v>37</v>
      </c>
      <c r="B354" s="373">
        <v>42954</v>
      </c>
      <c r="C354" s="373">
        <v>43241</v>
      </c>
      <c r="D354" s="372">
        <v>342</v>
      </c>
      <c r="E354" s="372">
        <v>56</v>
      </c>
      <c r="F354" s="372">
        <f>IFERROR(INDEX('NonART prices by med'!$D$2:$D$102,MATCH(D354,'NonART prices by med'!$A$2:$A$102,0)),"")</f>
        <v>0.26590000152587889</v>
      </c>
      <c r="G354" s="372">
        <f t="shared" si="11"/>
        <v>14.890400085449219</v>
      </c>
      <c r="H354" s="372">
        <f t="shared" si="12"/>
        <v>1</v>
      </c>
    </row>
    <row r="355" spans="1:8">
      <c r="A355" s="372">
        <v>37</v>
      </c>
      <c r="B355" s="373">
        <v>42954</v>
      </c>
      <c r="C355" s="373">
        <v>43297</v>
      </c>
      <c r="D355" s="372">
        <v>342</v>
      </c>
      <c r="E355" s="372">
        <v>28</v>
      </c>
      <c r="F355" s="372">
        <f>IFERROR(INDEX('NonART prices by med'!$D$2:$D$102,MATCH(D355,'NonART prices by med'!$A$2:$A$102,0)),"")</f>
        <v>0.26590000152587889</v>
      </c>
      <c r="G355" s="372">
        <f t="shared" si="11"/>
        <v>7.4452000427246094</v>
      </c>
      <c r="H355" s="372">
        <f t="shared" si="12"/>
        <v>1</v>
      </c>
    </row>
    <row r="356" spans="1:8">
      <c r="A356" s="372">
        <v>37</v>
      </c>
      <c r="B356" s="373">
        <v>42954</v>
      </c>
      <c r="C356" s="373">
        <v>43325</v>
      </c>
      <c r="D356" s="372">
        <v>342</v>
      </c>
      <c r="E356" s="372">
        <v>28</v>
      </c>
      <c r="F356" s="372">
        <f>IFERROR(INDEX('NonART prices by med'!$D$2:$D$102,MATCH(D356,'NonART prices by med'!$A$2:$A$102,0)),"")</f>
        <v>0.26590000152587889</v>
      </c>
      <c r="G356" s="372">
        <f t="shared" si="11"/>
        <v>7.4452000427246094</v>
      </c>
      <c r="H356" s="372">
        <f t="shared" si="12"/>
        <v>0</v>
      </c>
    </row>
    <row r="357" spans="1:8">
      <c r="A357" s="372">
        <v>39</v>
      </c>
      <c r="B357" s="373">
        <v>42951</v>
      </c>
      <c r="C357" s="373">
        <v>43033</v>
      </c>
      <c r="D357" s="372">
        <v>408</v>
      </c>
      <c r="E357" s="372">
        <v>28</v>
      </c>
      <c r="F357" s="372">
        <f>IFERROR(INDEX('NonART prices by med'!$D$2:$D$102,MATCH(D357,'NonART prices by med'!$A$2:$A$102,0)),"")</f>
        <v>5.5E-2</v>
      </c>
      <c r="G357" s="372">
        <f t="shared" si="11"/>
        <v>1.54</v>
      </c>
      <c r="H357" s="372">
        <f t="shared" si="12"/>
        <v>1</v>
      </c>
    </row>
    <row r="358" spans="1:8">
      <c r="A358" s="372">
        <v>39</v>
      </c>
      <c r="B358" s="373">
        <v>42951</v>
      </c>
      <c r="C358" s="373">
        <v>43140</v>
      </c>
      <c r="D358" s="372">
        <v>408</v>
      </c>
      <c r="E358" s="372">
        <v>28</v>
      </c>
      <c r="F358" s="372">
        <f>IFERROR(INDEX('NonART prices by med'!$D$2:$D$102,MATCH(D358,'NonART prices by med'!$A$2:$A$102,0)),"")</f>
        <v>5.5E-2</v>
      </c>
      <c r="G358" s="372">
        <f t="shared" si="11"/>
        <v>1.54</v>
      </c>
      <c r="H358" s="372">
        <f t="shared" si="12"/>
        <v>1</v>
      </c>
    </row>
    <row r="359" spans="1:8">
      <c r="A359" s="372">
        <v>39</v>
      </c>
      <c r="B359" s="373">
        <v>42951</v>
      </c>
      <c r="C359" s="373">
        <v>43172</v>
      </c>
      <c r="D359" s="372">
        <v>408</v>
      </c>
      <c r="E359" s="372">
        <v>56</v>
      </c>
      <c r="F359" s="372">
        <f>IFERROR(INDEX('NonART prices by med'!$D$2:$D$102,MATCH(D359,'NonART prices by med'!$A$2:$A$102,0)),"")</f>
        <v>5.5E-2</v>
      </c>
      <c r="G359" s="372">
        <f t="shared" si="11"/>
        <v>3.08</v>
      </c>
      <c r="H359" s="372">
        <f t="shared" si="12"/>
        <v>1</v>
      </c>
    </row>
    <row r="360" spans="1:8">
      <c r="A360" s="372">
        <v>39</v>
      </c>
      <c r="B360" s="373">
        <v>42951</v>
      </c>
      <c r="C360" s="373">
        <v>43231</v>
      </c>
      <c r="D360" s="372">
        <v>408</v>
      </c>
      <c r="E360" s="372">
        <v>56</v>
      </c>
      <c r="F360" s="372">
        <f>IFERROR(INDEX('NonART prices by med'!$D$2:$D$102,MATCH(D360,'NonART prices by med'!$A$2:$A$102,0)),"")</f>
        <v>5.5E-2</v>
      </c>
      <c r="G360" s="372">
        <f t="shared" si="11"/>
        <v>3.08</v>
      </c>
      <c r="H360" s="372">
        <f t="shared" si="12"/>
        <v>1</v>
      </c>
    </row>
    <row r="361" spans="1:8">
      <c r="A361" s="372">
        <v>39</v>
      </c>
      <c r="B361" s="373">
        <v>42951</v>
      </c>
      <c r="C361" s="373">
        <v>43287</v>
      </c>
      <c r="D361" s="372">
        <v>408</v>
      </c>
      <c r="E361" s="372">
        <v>28</v>
      </c>
      <c r="F361" s="372">
        <f>IFERROR(INDEX('NonART prices by med'!$D$2:$D$102,MATCH(D361,'NonART prices by med'!$A$2:$A$102,0)),"")</f>
        <v>5.5E-2</v>
      </c>
      <c r="G361" s="372">
        <f t="shared" si="11"/>
        <v>1.54</v>
      </c>
      <c r="H361" s="372">
        <f t="shared" si="12"/>
        <v>1</v>
      </c>
    </row>
    <row r="362" spans="1:8">
      <c r="A362" s="372">
        <v>40</v>
      </c>
      <c r="B362" s="373">
        <v>42950</v>
      </c>
      <c r="C362" s="373">
        <v>42950</v>
      </c>
      <c r="D362" s="372">
        <v>411</v>
      </c>
      <c r="E362" s="372">
        <v>28</v>
      </c>
      <c r="F362" s="372">
        <f>IFERROR(INDEX('NonART prices by med'!$D$2:$D$102,MATCH(D362,'NonART prices by med'!$A$2:$A$102,0)),"")</f>
        <v>0.10354499389265867</v>
      </c>
      <c r="G362" s="372">
        <f t="shared" si="11"/>
        <v>2.8992598289944427</v>
      </c>
      <c r="H362" s="372">
        <f t="shared" si="12"/>
        <v>1</v>
      </c>
    </row>
    <row r="363" spans="1:8">
      <c r="A363" s="372">
        <v>40</v>
      </c>
      <c r="B363" s="373">
        <v>42950</v>
      </c>
      <c r="C363" s="373">
        <v>43006</v>
      </c>
      <c r="D363" s="372">
        <v>35</v>
      </c>
      <c r="E363" s="372">
        <v>56</v>
      </c>
      <c r="F363" s="372">
        <f>IFERROR(INDEX('NonART prices by med'!$D$2:$D$102,MATCH(D363,'NonART prices by med'!$A$2:$A$102,0)),"")</f>
        <v>0.60205838048342708</v>
      </c>
      <c r="G363" s="372">
        <f t="shared" si="11"/>
        <v>33.715269307071914</v>
      </c>
      <c r="H363" s="372">
        <f t="shared" si="12"/>
        <v>1</v>
      </c>
    </row>
    <row r="364" spans="1:8">
      <c r="A364" s="372">
        <v>40</v>
      </c>
      <c r="B364" s="373">
        <v>42950</v>
      </c>
      <c r="C364" s="373">
        <v>43062</v>
      </c>
      <c r="D364" s="372">
        <v>411</v>
      </c>
      <c r="E364" s="372">
        <v>56</v>
      </c>
      <c r="F364" s="372">
        <f>IFERROR(INDEX('NonART prices by med'!$D$2:$D$102,MATCH(D364,'NonART prices by med'!$A$2:$A$102,0)),"")</f>
        <v>0.10354499389265867</v>
      </c>
      <c r="G364" s="372">
        <f t="shared" si="11"/>
        <v>5.7985196579888854</v>
      </c>
      <c r="H364" s="372">
        <f t="shared" si="12"/>
        <v>1</v>
      </c>
    </row>
    <row r="365" spans="1:8">
      <c r="A365" s="372">
        <v>41</v>
      </c>
      <c r="B365" s="373">
        <v>42950</v>
      </c>
      <c r="C365" s="373">
        <v>42926</v>
      </c>
      <c r="D365" s="372">
        <v>342</v>
      </c>
      <c r="E365" s="372">
        <v>28</v>
      </c>
      <c r="F365" s="372">
        <f>IFERROR(INDEX('NonART prices by med'!$D$2:$D$102,MATCH(D365,'NonART prices by med'!$A$2:$A$102,0)),"")</f>
        <v>0.26590000152587889</v>
      </c>
      <c r="G365" s="372">
        <f t="shared" si="11"/>
        <v>7.4452000427246094</v>
      </c>
      <c r="H365" s="372">
        <f t="shared" si="12"/>
        <v>1</v>
      </c>
    </row>
    <row r="366" spans="1:8">
      <c r="A366" s="372">
        <v>41</v>
      </c>
      <c r="B366" s="373">
        <v>42950</v>
      </c>
      <c r="C366" s="373">
        <v>42950</v>
      </c>
      <c r="D366" s="372">
        <v>35</v>
      </c>
      <c r="E366" s="372">
        <v>28</v>
      </c>
      <c r="F366" s="372">
        <f>IFERROR(INDEX('NonART prices by med'!$D$2:$D$102,MATCH(D366,'NonART prices by med'!$A$2:$A$102,0)),"")</f>
        <v>0.60205838048342708</v>
      </c>
      <c r="G366" s="372">
        <f t="shared" si="11"/>
        <v>16.857634653535957</v>
      </c>
      <c r="H366" s="372">
        <f t="shared" si="12"/>
        <v>1</v>
      </c>
    </row>
    <row r="367" spans="1:8">
      <c r="A367" s="372">
        <v>41</v>
      </c>
      <c r="B367" s="373">
        <v>42950</v>
      </c>
      <c r="C367" s="373">
        <v>42979</v>
      </c>
      <c r="D367" s="372">
        <v>342</v>
      </c>
      <c r="E367" s="372">
        <v>28</v>
      </c>
      <c r="F367" s="372">
        <f>IFERROR(INDEX('NonART prices by med'!$D$2:$D$102,MATCH(D367,'NonART prices by med'!$A$2:$A$102,0)),"")</f>
        <v>0.26590000152587889</v>
      </c>
      <c r="G367" s="372">
        <f t="shared" si="11"/>
        <v>7.4452000427246094</v>
      </c>
      <c r="H367" s="372">
        <f t="shared" si="12"/>
        <v>1</v>
      </c>
    </row>
    <row r="368" spans="1:8">
      <c r="A368" s="372">
        <v>41</v>
      </c>
      <c r="B368" s="373">
        <v>42950</v>
      </c>
      <c r="C368" s="373">
        <v>43007</v>
      </c>
      <c r="D368" s="372">
        <v>316</v>
      </c>
      <c r="E368" s="372">
        <v>20</v>
      </c>
      <c r="F368" s="372">
        <f>IFERROR(INDEX('NonART prices by med'!$D$2:$D$102,MATCH(D368,'NonART prices by med'!$A$2:$A$102,0)),"")</f>
        <v>5.0199999999999995E-2</v>
      </c>
      <c r="G368" s="372">
        <f t="shared" si="11"/>
        <v>1.004</v>
      </c>
      <c r="H368" s="372">
        <f t="shared" si="12"/>
        <v>1</v>
      </c>
    </row>
    <row r="369" spans="1:8">
      <c r="A369" s="372">
        <v>41</v>
      </c>
      <c r="B369" s="373">
        <v>42950</v>
      </c>
      <c r="C369" s="373">
        <v>43062</v>
      </c>
      <c r="D369" s="372">
        <v>24</v>
      </c>
      <c r="E369" s="372">
        <v>28</v>
      </c>
      <c r="F369" s="372">
        <f>IFERROR(INDEX('NonART prices by med'!$D$2:$D$102,MATCH(D369,'NonART prices by med'!$A$2:$A$102,0)),"")</f>
        <v>0.1467857142857143</v>
      </c>
      <c r="G369" s="372">
        <f t="shared" si="11"/>
        <v>4.1100000000000003</v>
      </c>
      <c r="H369" s="372">
        <f t="shared" si="12"/>
        <v>1</v>
      </c>
    </row>
    <row r="370" spans="1:8">
      <c r="A370" s="372">
        <v>41</v>
      </c>
      <c r="B370" s="373">
        <v>42950</v>
      </c>
      <c r="C370" s="373">
        <v>43090</v>
      </c>
      <c r="D370" s="372">
        <v>35</v>
      </c>
      <c r="E370" s="372">
        <v>56</v>
      </c>
      <c r="F370" s="372">
        <f>IFERROR(INDEX('NonART prices by med'!$D$2:$D$102,MATCH(D370,'NonART prices by med'!$A$2:$A$102,0)),"")</f>
        <v>0.60205838048342708</v>
      </c>
      <c r="G370" s="372">
        <f t="shared" si="11"/>
        <v>33.715269307071914</v>
      </c>
      <c r="H370" s="372">
        <f t="shared" si="12"/>
        <v>1</v>
      </c>
    </row>
    <row r="371" spans="1:8">
      <c r="A371" s="372">
        <v>41</v>
      </c>
      <c r="B371" s="373">
        <v>42950</v>
      </c>
      <c r="C371" s="373">
        <v>43146</v>
      </c>
      <c r="D371" s="372">
        <v>24</v>
      </c>
      <c r="E371" s="372">
        <v>28</v>
      </c>
      <c r="F371" s="372">
        <f>IFERROR(INDEX('NonART prices by med'!$D$2:$D$102,MATCH(D371,'NonART prices by med'!$A$2:$A$102,0)),"")</f>
        <v>0.1467857142857143</v>
      </c>
      <c r="G371" s="372">
        <f t="shared" si="11"/>
        <v>4.1100000000000003</v>
      </c>
      <c r="H371" s="372">
        <f t="shared" si="12"/>
        <v>1</v>
      </c>
    </row>
    <row r="372" spans="1:8">
      <c r="A372" s="372">
        <v>41</v>
      </c>
      <c r="B372" s="373">
        <v>42950</v>
      </c>
      <c r="C372" s="373">
        <v>43174</v>
      </c>
      <c r="D372" s="372">
        <v>24</v>
      </c>
      <c r="E372" s="372">
        <v>56</v>
      </c>
      <c r="F372" s="372">
        <f>IFERROR(INDEX('NonART prices by med'!$D$2:$D$102,MATCH(D372,'NonART prices by med'!$A$2:$A$102,0)),"")</f>
        <v>0.1467857142857143</v>
      </c>
      <c r="G372" s="372">
        <f t="shared" si="11"/>
        <v>8.2200000000000006</v>
      </c>
      <c r="H372" s="372">
        <f t="shared" si="12"/>
        <v>1</v>
      </c>
    </row>
    <row r="373" spans="1:8">
      <c r="A373" s="372">
        <v>41</v>
      </c>
      <c r="B373" s="373">
        <v>42950</v>
      </c>
      <c r="C373" s="373">
        <v>43231</v>
      </c>
      <c r="D373" s="372">
        <v>24</v>
      </c>
      <c r="E373" s="372">
        <v>28</v>
      </c>
      <c r="F373" s="372">
        <f>IFERROR(INDEX('NonART prices by med'!$D$2:$D$102,MATCH(D373,'NonART prices by med'!$A$2:$A$102,0)),"")</f>
        <v>0.1467857142857143</v>
      </c>
      <c r="G373" s="372">
        <f t="shared" si="11"/>
        <v>4.1100000000000003</v>
      </c>
      <c r="H373" s="372">
        <f t="shared" si="12"/>
        <v>1</v>
      </c>
    </row>
    <row r="374" spans="1:8">
      <c r="A374" s="372">
        <v>41</v>
      </c>
      <c r="B374" s="373">
        <v>42950</v>
      </c>
      <c r="C374" s="373">
        <v>43313</v>
      </c>
      <c r="D374" s="372">
        <v>358</v>
      </c>
      <c r="E374" s="372">
        <v>28</v>
      </c>
      <c r="F374" s="372">
        <f>IFERROR(INDEX('NonART prices by med'!$D$2:$D$102,MATCH(D374,'NonART prices by med'!$A$2:$A$102,0)),"")</f>
        <v>0.1839316921343207</v>
      </c>
      <c r="G374" s="372">
        <f t="shared" si="11"/>
        <v>5.1500873797609792</v>
      </c>
      <c r="H374" s="372">
        <f t="shared" si="12"/>
        <v>1</v>
      </c>
    </row>
    <row r="375" spans="1:8">
      <c r="A375" s="372">
        <v>41</v>
      </c>
      <c r="B375" s="373">
        <v>42950</v>
      </c>
      <c r="C375" s="373">
        <v>43341</v>
      </c>
      <c r="D375" s="372">
        <v>358</v>
      </c>
      <c r="E375" s="372">
        <v>56</v>
      </c>
      <c r="F375" s="372">
        <f>IFERROR(INDEX('NonART prices by med'!$D$2:$D$102,MATCH(D375,'NonART prices by med'!$A$2:$A$102,0)),"")</f>
        <v>0.1839316921343207</v>
      </c>
      <c r="G375" s="372">
        <f t="shared" si="11"/>
        <v>10.300174759521958</v>
      </c>
      <c r="H375" s="372">
        <f t="shared" si="12"/>
        <v>0</v>
      </c>
    </row>
    <row r="376" spans="1:8">
      <c r="A376" s="372">
        <v>41</v>
      </c>
      <c r="B376" s="373">
        <v>42950</v>
      </c>
      <c r="C376" s="373">
        <v>43355</v>
      </c>
      <c r="D376" s="372">
        <v>133</v>
      </c>
      <c r="E376" s="372">
        <v>5</v>
      </c>
      <c r="F376" s="372">
        <f>IFERROR(INDEX('NonART prices by med'!$D$2:$D$102,MATCH(D376,'NonART prices by med'!$A$2:$A$102,0)),"")</f>
        <v>0.68440000098466458</v>
      </c>
      <c r="G376" s="372">
        <f t="shared" si="11"/>
        <v>3.4220000049233228</v>
      </c>
      <c r="H376" s="372">
        <f t="shared" si="12"/>
        <v>0</v>
      </c>
    </row>
    <row r="377" spans="1:8">
      <c r="A377" s="372">
        <v>41</v>
      </c>
      <c r="B377" s="373">
        <v>42950</v>
      </c>
      <c r="C377" s="373">
        <v>43424</v>
      </c>
      <c r="D377" s="372">
        <v>225</v>
      </c>
      <c r="E377" s="372">
        <v>56</v>
      </c>
      <c r="F377" s="372">
        <f>IFERROR(INDEX('NonART prices by med'!$D$2:$D$102,MATCH(D377,'NonART prices by med'!$A$2:$A$102,0)),"")</f>
        <v>0.19315423345580862</v>
      </c>
      <c r="G377" s="372">
        <f t="shared" si="11"/>
        <v>10.816637073525282</v>
      </c>
      <c r="H377" s="372">
        <f t="shared" si="12"/>
        <v>0</v>
      </c>
    </row>
    <row r="378" spans="1:8">
      <c r="A378" s="372">
        <v>42</v>
      </c>
      <c r="B378" s="373">
        <v>42949</v>
      </c>
      <c r="C378" s="373">
        <v>42949</v>
      </c>
      <c r="D378" s="372">
        <v>236</v>
      </c>
      <c r="E378" s="372">
        <v>1</v>
      </c>
      <c r="F378" s="372">
        <f>IFERROR(INDEX('NonART prices by med'!$D$2:$D$102,MATCH(D378,'NonART prices by med'!$A$2:$A$102,0)),"")</f>
        <v>0.45850000000000002</v>
      </c>
      <c r="G378" s="372">
        <f t="shared" si="11"/>
        <v>0.45850000000000002</v>
      </c>
      <c r="H378" s="372">
        <f t="shared" si="12"/>
        <v>1</v>
      </c>
    </row>
    <row r="379" spans="1:8">
      <c r="A379" s="372">
        <v>43</v>
      </c>
      <c r="B379" s="373">
        <v>42949</v>
      </c>
      <c r="C379" s="373">
        <v>42935</v>
      </c>
      <c r="D379" s="372">
        <v>408</v>
      </c>
      <c r="E379" s="372">
        <v>52</v>
      </c>
      <c r="F379" s="372">
        <f>IFERROR(INDEX('NonART prices by med'!$D$2:$D$102,MATCH(D379,'NonART prices by med'!$A$2:$A$102,0)),"")</f>
        <v>5.5E-2</v>
      </c>
      <c r="G379" s="372">
        <f t="shared" si="11"/>
        <v>2.86</v>
      </c>
      <c r="H379" s="372">
        <f t="shared" si="12"/>
        <v>1</v>
      </c>
    </row>
    <row r="380" spans="1:8">
      <c r="A380" s="372">
        <v>43</v>
      </c>
      <c r="B380" s="373">
        <v>42949</v>
      </c>
      <c r="C380" s="373">
        <v>42949</v>
      </c>
      <c r="D380" s="372">
        <v>149</v>
      </c>
      <c r="E380" s="372">
        <v>28</v>
      </c>
      <c r="F380" s="372">
        <f>IFERROR(INDEX('NonART prices by med'!$D$2:$D$102,MATCH(D380,'NonART prices by med'!$A$2:$A$102,0)),"")</f>
        <v>0.14128571459723807</v>
      </c>
      <c r="G380" s="372">
        <f t="shared" si="11"/>
        <v>3.9560000087226661</v>
      </c>
      <c r="H380" s="372">
        <f t="shared" si="12"/>
        <v>1</v>
      </c>
    </row>
    <row r="381" spans="1:8">
      <c r="A381" s="372">
        <v>43</v>
      </c>
      <c r="B381" s="373">
        <v>42949</v>
      </c>
      <c r="C381" s="373">
        <v>42962</v>
      </c>
      <c r="D381" s="372">
        <v>342</v>
      </c>
      <c r="E381" s="372">
        <v>28</v>
      </c>
      <c r="F381" s="372">
        <f>IFERROR(INDEX('NonART prices by med'!$D$2:$D$102,MATCH(D381,'NonART prices by med'!$A$2:$A$102,0)),"")</f>
        <v>0.26590000152587889</v>
      </c>
      <c r="G381" s="372">
        <f t="shared" si="11"/>
        <v>7.4452000427246094</v>
      </c>
      <c r="H381" s="372">
        <f t="shared" si="12"/>
        <v>1</v>
      </c>
    </row>
    <row r="382" spans="1:8">
      <c r="A382" s="372">
        <v>43</v>
      </c>
      <c r="B382" s="373">
        <v>42949</v>
      </c>
      <c r="C382" s="373">
        <v>42975</v>
      </c>
      <c r="D382" s="372">
        <v>318</v>
      </c>
      <c r="E382" s="372">
        <v>20</v>
      </c>
      <c r="F382" s="372">
        <f>IFERROR(INDEX('NonART prices by med'!$D$2:$D$102,MATCH(D382,'NonART prices by med'!$A$2:$A$102,0)),"")</f>
        <v>0.19286066077210379</v>
      </c>
      <c r="G382" s="372">
        <f t="shared" si="11"/>
        <v>3.8572132154420755</v>
      </c>
      <c r="H382" s="372">
        <f t="shared" si="12"/>
        <v>1</v>
      </c>
    </row>
    <row r="383" spans="1:8">
      <c r="A383" s="372">
        <v>43</v>
      </c>
      <c r="B383" s="373">
        <v>42949</v>
      </c>
      <c r="C383" s="373">
        <v>42990</v>
      </c>
      <c r="D383" s="372">
        <v>56</v>
      </c>
      <c r="E383" s="372">
        <v>28</v>
      </c>
      <c r="F383" s="372">
        <f>IFERROR(INDEX('NonART prices by med'!$D$2:$D$102,MATCH(D383,'NonART prices by med'!$A$2:$A$102,0)),"")</f>
        <v>1.8939285714285714</v>
      </c>
      <c r="G383" s="372">
        <f t="shared" si="11"/>
        <v>53.03</v>
      </c>
      <c r="H383" s="372">
        <f t="shared" si="12"/>
        <v>1</v>
      </c>
    </row>
    <row r="384" spans="1:8">
      <c r="A384" s="372">
        <v>43</v>
      </c>
      <c r="B384" s="373">
        <v>42949</v>
      </c>
      <c r="C384" s="373">
        <v>43018</v>
      </c>
      <c r="D384" s="372">
        <v>408</v>
      </c>
      <c r="E384" s="372">
        <v>56</v>
      </c>
      <c r="F384" s="372">
        <f>IFERROR(INDEX('NonART prices by med'!$D$2:$D$102,MATCH(D384,'NonART prices by med'!$A$2:$A$102,0)),"")</f>
        <v>5.5E-2</v>
      </c>
      <c r="G384" s="372">
        <f t="shared" si="11"/>
        <v>3.08</v>
      </c>
      <c r="H384" s="372">
        <f t="shared" si="12"/>
        <v>1</v>
      </c>
    </row>
    <row r="385" spans="1:8">
      <c r="A385" s="372">
        <v>43</v>
      </c>
      <c r="B385" s="373">
        <v>42949</v>
      </c>
      <c r="C385" s="373">
        <v>43046</v>
      </c>
      <c r="D385" s="372">
        <v>342</v>
      </c>
      <c r="E385" s="372">
        <v>56</v>
      </c>
      <c r="F385" s="372">
        <f>IFERROR(INDEX('NonART prices by med'!$D$2:$D$102,MATCH(D385,'NonART prices by med'!$A$2:$A$102,0)),"")</f>
        <v>0.26590000152587889</v>
      </c>
      <c r="G385" s="372">
        <f t="shared" si="11"/>
        <v>14.890400085449219</v>
      </c>
      <c r="H385" s="372">
        <f t="shared" si="12"/>
        <v>1</v>
      </c>
    </row>
    <row r="386" spans="1:8">
      <c r="A386" s="372">
        <v>43</v>
      </c>
      <c r="B386" s="373">
        <v>42949</v>
      </c>
      <c r="C386" s="373">
        <v>43105</v>
      </c>
      <c r="D386" s="372">
        <v>184</v>
      </c>
      <c r="E386" s="372">
        <v>56</v>
      </c>
      <c r="F386" s="372">
        <f>IFERROR(INDEX('NonART prices by med'!$D$2:$D$102,MATCH(D386,'NonART prices by med'!$A$2:$A$102,0)),"")</f>
        <v>0.21851785714285715</v>
      </c>
      <c r="G386" s="372">
        <f t="shared" si="11"/>
        <v>12.237</v>
      </c>
      <c r="H386" s="372">
        <f t="shared" si="12"/>
        <v>1</v>
      </c>
    </row>
    <row r="387" spans="1:8">
      <c r="A387" s="372">
        <v>43</v>
      </c>
      <c r="B387" s="373">
        <v>42949</v>
      </c>
      <c r="C387" s="373">
        <v>43118</v>
      </c>
      <c r="D387" s="372">
        <v>59</v>
      </c>
      <c r="E387" s="372">
        <v>7</v>
      </c>
      <c r="F387" s="372">
        <f>IFERROR(INDEX('NonART prices by med'!$D$2:$D$102,MATCH(D387,'NonART prices by med'!$A$2:$A$102,0)),"")</f>
        <v>1.6595</v>
      </c>
      <c r="G387" s="372">
        <f t="shared" ref="G387:G450" si="13">IFERROR(E387*F387,"")</f>
        <v>11.6165</v>
      </c>
      <c r="H387" s="372">
        <f t="shared" si="12"/>
        <v>1</v>
      </c>
    </row>
    <row r="388" spans="1:8">
      <c r="A388" s="372">
        <v>43</v>
      </c>
      <c r="B388" s="373">
        <v>42949</v>
      </c>
      <c r="C388" s="373">
        <v>43276</v>
      </c>
      <c r="D388" s="372">
        <v>184</v>
      </c>
      <c r="E388" s="372">
        <v>112</v>
      </c>
      <c r="F388" s="372">
        <f>IFERROR(INDEX('NonART prices by med'!$D$2:$D$102,MATCH(D388,'NonART prices by med'!$A$2:$A$102,0)),"")</f>
        <v>0.21851785714285715</v>
      </c>
      <c r="G388" s="372">
        <f t="shared" si="13"/>
        <v>24.474</v>
      </c>
      <c r="H388" s="372">
        <f t="shared" ref="H388:H451" si="14">IF(C388-B388&lt;=365,1,0)</f>
        <v>1</v>
      </c>
    </row>
    <row r="389" spans="1:8">
      <c r="A389" s="372">
        <v>43</v>
      </c>
      <c r="B389" s="373">
        <v>42949</v>
      </c>
      <c r="C389" s="373">
        <v>43330</v>
      </c>
      <c r="D389" s="372">
        <v>184</v>
      </c>
      <c r="E389" s="372">
        <v>56</v>
      </c>
      <c r="F389" s="372">
        <f>IFERROR(INDEX('NonART prices by med'!$D$2:$D$102,MATCH(D389,'NonART prices by med'!$A$2:$A$102,0)),"")</f>
        <v>0.21851785714285715</v>
      </c>
      <c r="G389" s="372">
        <f t="shared" si="13"/>
        <v>12.237</v>
      </c>
      <c r="H389" s="372">
        <f t="shared" si="14"/>
        <v>0</v>
      </c>
    </row>
    <row r="390" spans="1:8">
      <c r="A390" s="372">
        <v>44</v>
      </c>
      <c r="B390" s="373">
        <v>42949</v>
      </c>
      <c r="C390" s="373">
        <v>42985</v>
      </c>
      <c r="D390" s="372">
        <v>35</v>
      </c>
      <c r="E390" s="372">
        <v>56</v>
      </c>
      <c r="F390" s="372">
        <f>IFERROR(INDEX('NonART prices by med'!$D$2:$D$102,MATCH(D390,'NonART prices by med'!$A$2:$A$102,0)),"")</f>
        <v>0.60205838048342708</v>
      </c>
      <c r="G390" s="372">
        <f t="shared" si="13"/>
        <v>33.715269307071914</v>
      </c>
      <c r="H390" s="372">
        <f t="shared" si="14"/>
        <v>1</v>
      </c>
    </row>
    <row r="391" spans="1:8">
      <c r="A391" s="372">
        <v>44</v>
      </c>
      <c r="B391" s="373">
        <v>42949</v>
      </c>
      <c r="C391" s="373">
        <v>43027</v>
      </c>
      <c r="D391" s="372">
        <v>35</v>
      </c>
      <c r="E391" s="372">
        <v>28</v>
      </c>
      <c r="F391" s="372">
        <f>IFERROR(INDEX('NonART prices by med'!$D$2:$D$102,MATCH(D391,'NonART prices by med'!$A$2:$A$102,0)),"")</f>
        <v>0.60205838048342708</v>
      </c>
      <c r="G391" s="372">
        <f t="shared" si="13"/>
        <v>16.857634653535957</v>
      </c>
      <c r="H391" s="372">
        <f t="shared" si="14"/>
        <v>1</v>
      </c>
    </row>
    <row r="392" spans="1:8">
      <c r="A392" s="372">
        <v>45</v>
      </c>
      <c r="B392" s="373">
        <v>42949</v>
      </c>
      <c r="C392" s="373">
        <v>42926</v>
      </c>
      <c r="D392" s="372">
        <v>316</v>
      </c>
      <c r="E392" s="372">
        <v>20</v>
      </c>
      <c r="F392" s="372">
        <f>IFERROR(INDEX('NonART prices by med'!$D$2:$D$102,MATCH(D392,'NonART prices by med'!$A$2:$A$102,0)),"")</f>
        <v>5.0199999999999995E-2</v>
      </c>
      <c r="G392" s="372">
        <f t="shared" si="13"/>
        <v>1.004</v>
      </c>
      <c r="H392" s="372">
        <f t="shared" si="14"/>
        <v>1</v>
      </c>
    </row>
    <row r="393" spans="1:8">
      <c r="A393" s="372">
        <v>45</v>
      </c>
      <c r="B393" s="373">
        <v>42949</v>
      </c>
      <c r="C393" s="373">
        <v>42930</v>
      </c>
      <c r="D393" s="372">
        <v>184</v>
      </c>
      <c r="E393" s="372">
        <v>56</v>
      </c>
      <c r="F393" s="372">
        <f>IFERROR(INDEX('NonART prices by med'!$D$2:$D$102,MATCH(D393,'NonART prices by med'!$A$2:$A$102,0)),"")</f>
        <v>0.21851785714285715</v>
      </c>
      <c r="G393" s="372">
        <f t="shared" si="13"/>
        <v>12.237</v>
      </c>
      <c r="H393" s="372">
        <f t="shared" si="14"/>
        <v>1</v>
      </c>
    </row>
    <row r="394" spans="1:8">
      <c r="A394" s="372">
        <v>45</v>
      </c>
      <c r="B394" s="373">
        <v>42949</v>
      </c>
      <c r="C394" s="373">
        <v>42944</v>
      </c>
      <c r="D394" s="372">
        <v>230</v>
      </c>
      <c r="E394" s="372">
        <v>52</v>
      </c>
      <c r="F394" s="372">
        <f>IFERROR(INDEX('NonART prices by med'!$D$2:$D$102,MATCH(D394,'NonART prices by med'!$A$2:$A$102,0)),"")</f>
        <v>0.14064285714285715</v>
      </c>
      <c r="G394" s="372">
        <f t="shared" si="13"/>
        <v>7.3134285714285721</v>
      </c>
      <c r="H394" s="372">
        <f t="shared" si="14"/>
        <v>1</v>
      </c>
    </row>
    <row r="395" spans="1:8">
      <c r="A395" s="372">
        <v>45</v>
      </c>
      <c r="B395" s="373">
        <v>42949</v>
      </c>
      <c r="C395" s="373">
        <v>43362</v>
      </c>
      <c r="D395" s="372">
        <v>35</v>
      </c>
      <c r="E395" s="372">
        <v>56</v>
      </c>
      <c r="F395" s="372">
        <f>IFERROR(INDEX('NonART prices by med'!$D$2:$D$102,MATCH(D395,'NonART prices by med'!$A$2:$A$102,0)),"")</f>
        <v>0.60205838048342708</v>
      </c>
      <c r="G395" s="372">
        <f t="shared" si="13"/>
        <v>33.715269307071914</v>
      </c>
      <c r="H395" s="372">
        <f t="shared" si="14"/>
        <v>0</v>
      </c>
    </row>
    <row r="396" spans="1:8">
      <c r="A396" s="372">
        <v>46</v>
      </c>
      <c r="B396" s="373">
        <v>42949</v>
      </c>
      <c r="C396" s="373">
        <v>43061</v>
      </c>
      <c r="D396" s="372">
        <v>342</v>
      </c>
      <c r="E396" s="372">
        <v>28</v>
      </c>
      <c r="F396" s="372">
        <f>IFERROR(INDEX('NonART prices by med'!$D$2:$D$102,MATCH(D396,'NonART prices by med'!$A$2:$A$102,0)),"")</f>
        <v>0.26590000152587889</v>
      </c>
      <c r="G396" s="372">
        <f t="shared" si="13"/>
        <v>7.4452000427246094</v>
      </c>
      <c r="H396" s="372">
        <f t="shared" si="14"/>
        <v>1</v>
      </c>
    </row>
    <row r="397" spans="1:8">
      <c r="A397" s="372">
        <v>46</v>
      </c>
      <c r="B397" s="373">
        <v>42949</v>
      </c>
      <c r="C397" s="373">
        <v>43089</v>
      </c>
      <c r="D397" s="372">
        <v>342</v>
      </c>
      <c r="E397" s="372">
        <v>56</v>
      </c>
      <c r="F397" s="372">
        <f>IFERROR(INDEX('NonART prices by med'!$D$2:$D$102,MATCH(D397,'NonART prices by med'!$A$2:$A$102,0)),"")</f>
        <v>0.26590000152587889</v>
      </c>
      <c r="G397" s="372">
        <f t="shared" si="13"/>
        <v>14.890400085449219</v>
      </c>
      <c r="H397" s="372">
        <f t="shared" si="14"/>
        <v>1</v>
      </c>
    </row>
    <row r="398" spans="1:8">
      <c r="A398" s="372">
        <v>46</v>
      </c>
      <c r="B398" s="373">
        <v>42949</v>
      </c>
      <c r="C398" s="373">
        <v>43102</v>
      </c>
      <c r="D398" s="372">
        <v>316</v>
      </c>
      <c r="E398" s="372">
        <v>2</v>
      </c>
      <c r="F398" s="372">
        <f>IFERROR(INDEX('NonART prices by med'!$D$2:$D$102,MATCH(D398,'NonART prices by med'!$A$2:$A$102,0)),"")</f>
        <v>5.0199999999999995E-2</v>
      </c>
      <c r="G398" s="372">
        <f t="shared" si="13"/>
        <v>0.10039999999999999</v>
      </c>
      <c r="H398" s="372">
        <f t="shared" si="14"/>
        <v>1</v>
      </c>
    </row>
    <row r="399" spans="1:8">
      <c r="A399" s="372">
        <v>46</v>
      </c>
      <c r="B399" s="373">
        <v>42949</v>
      </c>
      <c r="C399" s="373">
        <v>43144</v>
      </c>
      <c r="D399" s="372">
        <v>35</v>
      </c>
      <c r="E399" s="372">
        <v>28</v>
      </c>
      <c r="F399" s="372">
        <f>IFERROR(INDEX('NonART prices by med'!$D$2:$D$102,MATCH(D399,'NonART prices by med'!$A$2:$A$102,0)),"")</f>
        <v>0.60205838048342708</v>
      </c>
      <c r="G399" s="372">
        <f t="shared" si="13"/>
        <v>16.857634653535957</v>
      </c>
      <c r="H399" s="372">
        <f t="shared" si="14"/>
        <v>1</v>
      </c>
    </row>
    <row r="400" spans="1:8">
      <c r="A400" s="372">
        <v>46</v>
      </c>
      <c r="B400" s="373">
        <v>42949</v>
      </c>
      <c r="C400" s="373">
        <v>43172</v>
      </c>
      <c r="D400" s="372">
        <v>35</v>
      </c>
      <c r="E400" s="372">
        <v>56</v>
      </c>
      <c r="F400" s="372">
        <f>IFERROR(INDEX('NonART prices by med'!$D$2:$D$102,MATCH(D400,'NonART prices by med'!$A$2:$A$102,0)),"")</f>
        <v>0.60205838048342708</v>
      </c>
      <c r="G400" s="372">
        <f t="shared" si="13"/>
        <v>33.715269307071914</v>
      </c>
      <c r="H400" s="372">
        <f t="shared" si="14"/>
        <v>1</v>
      </c>
    </row>
    <row r="401" spans="1:8">
      <c r="A401" s="372">
        <v>46</v>
      </c>
      <c r="B401" s="373">
        <v>42949</v>
      </c>
      <c r="C401" s="373">
        <v>43228</v>
      </c>
      <c r="D401" s="372">
        <v>35</v>
      </c>
      <c r="E401" s="372">
        <v>56</v>
      </c>
      <c r="F401" s="372">
        <f>IFERROR(INDEX('NonART prices by med'!$D$2:$D$102,MATCH(D401,'NonART prices by med'!$A$2:$A$102,0)),"")</f>
        <v>0.60205838048342708</v>
      </c>
      <c r="G401" s="372">
        <f t="shared" si="13"/>
        <v>33.715269307071914</v>
      </c>
      <c r="H401" s="372">
        <f t="shared" si="14"/>
        <v>1</v>
      </c>
    </row>
    <row r="402" spans="1:8">
      <c r="A402" s="372">
        <v>46</v>
      </c>
      <c r="B402" s="373">
        <v>42949</v>
      </c>
      <c r="C402" s="373">
        <v>43256</v>
      </c>
      <c r="D402" s="372">
        <v>35</v>
      </c>
      <c r="E402" s="372">
        <v>56</v>
      </c>
      <c r="F402" s="372">
        <f>IFERROR(INDEX('NonART prices by med'!$D$2:$D$102,MATCH(D402,'NonART prices by med'!$A$2:$A$102,0)),"")</f>
        <v>0.60205838048342708</v>
      </c>
      <c r="G402" s="372">
        <f t="shared" si="13"/>
        <v>33.715269307071914</v>
      </c>
      <c r="H402" s="372">
        <f t="shared" si="14"/>
        <v>1</v>
      </c>
    </row>
    <row r="403" spans="1:8">
      <c r="A403" s="372">
        <v>46</v>
      </c>
      <c r="B403" s="373">
        <v>42949</v>
      </c>
      <c r="C403" s="373">
        <v>43313</v>
      </c>
      <c r="D403" s="372">
        <v>35</v>
      </c>
      <c r="E403" s="372">
        <v>28</v>
      </c>
      <c r="F403" s="372">
        <f>IFERROR(INDEX('NonART prices by med'!$D$2:$D$102,MATCH(D403,'NonART prices by med'!$A$2:$A$102,0)),"")</f>
        <v>0.60205838048342708</v>
      </c>
      <c r="G403" s="372">
        <f t="shared" si="13"/>
        <v>16.857634653535957</v>
      </c>
      <c r="H403" s="372">
        <f t="shared" si="14"/>
        <v>1</v>
      </c>
    </row>
    <row r="404" spans="1:8">
      <c r="A404" s="372">
        <v>46</v>
      </c>
      <c r="B404" s="373">
        <v>42949</v>
      </c>
      <c r="C404" s="373">
        <v>43341</v>
      </c>
      <c r="D404" s="372">
        <v>342</v>
      </c>
      <c r="E404" s="372">
        <v>28</v>
      </c>
      <c r="F404" s="372">
        <f>IFERROR(INDEX('NonART prices by med'!$D$2:$D$102,MATCH(D404,'NonART prices by med'!$A$2:$A$102,0)),"")</f>
        <v>0.26590000152587889</v>
      </c>
      <c r="G404" s="372">
        <f t="shared" si="13"/>
        <v>7.4452000427246094</v>
      </c>
      <c r="H404" s="372">
        <f t="shared" si="14"/>
        <v>0</v>
      </c>
    </row>
    <row r="405" spans="1:8">
      <c r="A405" s="372">
        <v>47</v>
      </c>
      <c r="B405" s="373">
        <v>42949</v>
      </c>
      <c r="C405" s="373">
        <v>42949</v>
      </c>
      <c r="D405" s="372">
        <v>120</v>
      </c>
      <c r="E405" s="372">
        <v>3</v>
      </c>
      <c r="F405" s="372">
        <f>IFERROR(INDEX('NonART prices by med'!$D$2:$D$102,MATCH(D405,'NonART prices by med'!$A$2:$A$102,0)),"")</f>
        <v>3.4253333333333336</v>
      </c>
      <c r="G405" s="372">
        <f t="shared" si="13"/>
        <v>10.276</v>
      </c>
      <c r="H405" s="372">
        <f t="shared" si="14"/>
        <v>1</v>
      </c>
    </row>
    <row r="406" spans="1:8">
      <c r="A406" s="372">
        <v>47</v>
      </c>
      <c r="B406" s="373">
        <v>42949</v>
      </c>
      <c r="C406" s="373">
        <v>43116</v>
      </c>
      <c r="D406" s="372">
        <v>179</v>
      </c>
      <c r="E406" s="372">
        <v>1</v>
      </c>
      <c r="F406" s="372">
        <f>IFERROR(INDEX('NonART prices by med'!$D$2:$D$102,MATCH(D406,'NonART prices by med'!$A$2:$A$102,0)),"")</f>
        <v>12.69</v>
      </c>
      <c r="G406" s="372">
        <f t="shared" si="13"/>
        <v>12.69</v>
      </c>
      <c r="H406" s="372">
        <f t="shared" si="14"/>
        <v>1</v>
      </c>
    </row>
    <row r="407" spans="1:8">
      <c r="A407" s="372">
        <v>48</v>
      </c>
      <c r="B407" s="373">
        <v>42947</v>
      </c>
      <c r="C407" s="373">
        <v>42970</v>
      </c>
      <c r="D407" s="372">
        <v>215</v>
      </c>
      <c r="E407" s="372">
        <v>28</v>
      </c>
      <c r="F407" s="372">
        <f>IFERROR(INDEX('NonART prices by med'!$D$2:$D$102,MATCH(D407,'NonART prices by med'!$A$2:$A$102,0)),"")</f>
        <v>0.27607142857142858</v>
      </c>
      <c r="G407" s="372">
        <f t="shared" si="13"/>
        <v>7.73</v>
      </c>
      <c r="H407" s="372">
        <f t="shared" si="14"/>
        <v>1</v>
      </c>
    </row>
    <row r="408" spans="1:8">
      <c r="A408" s="372">
        <v>48</v>
      </c>
      <c r="B408" s="373">
        <v>42947</v>
      </c>
      <c r="C408" s="373">
        <v>42998</v>
      </c>
      <c r="D408" s="372">
        <v>35</v>
      </c>
      <c r="E408" s="372">
        <v>28</v>
      </c>
      <c r="F408" s="372">
        <f>IFERROR(INDEX('NonART prices by med'!$D$2:$D$102,MATCH(D408,'NonART prices by med'!$A$2:$A$102,0)),"")</f>
        <v>0.60205838048342708</v>
      </c>
      <c r="G408" s="372">
        <f t="shared" si="13"/>
        <v>16.857634653535957</v>
      </c>
      <c r="H408" s="372">
        <f t="shared" si="14"/>
        <v>1</v>
      </c>
    </row>
    <row r="409" spans="1:8">
      <c r="A409" s="372">
        <v>48</v>
      </c>
      <c r="B409" s="373">
        <v>42947</v>
      </c>
      <c r="C409" s="373">
        <v>43026</v>
      </c>
      <c r="D409" s="372">
        <v>35</v>
      </c>
      <c r="E409" s="372">
        <v>28</v>
      </c>
      <c r="F409" s="372">
        <f>IFERROR(INDEX('NonART prices by med'!$D$2:$D$102,MATCH(D409,'NonART prices by med'!$A$2:$A$102,0)),"")</f>
        <v>0.60205838048342708</v>
      </c>
      <c r="G409" s="372">
        <f t="shared" si="13"/>
        <v>16.857634653535957</v>
      </c>
      <c r="H409" s="372">
        <f t="shared" si="14"/>
        <v>1</v>
      </c>
    </row>
    <row r="410" spans="1:8">
      <c r="A410" s="372">
        <v>48</v>
      </c>
      <c r="B410" s="373">
        <v>42947</v>
      </c>
      <c r="C410" s="373">
        <v>43041</v>
      </c>
      <c r="D410" s="372">
        <v>225</v>
      </c>
      <c r="E410" s="372">
        <v>28</v>
      </c>
      <c r="F410" s="372">
        <f>IFERROR(INDEX('NonART prices by med'!$D$2:$D$102,MATCH(D410,'NonART prices by med'!$A$2:$A$102,0)),"")</f>
        <v>0.19315423345580862</v>
      </c>
      <c r="G410" s="372">
        <f t="shared" si="13"/>
        <v>5.408318536762641</v>
      </c>
      <c r="H410" s="372">
        <f t="shared" si="14"/>
        <v>1</v>
      </c>
    </row>
    <row r="411" spans="1:8">
      <c r="A411" s="372">
        <v>48</v>
      </c>
      <c r="B411" s="373">
        <v>42947</v>
      </c>
      <c r="C411" s="373">
        <v>43091</v>
      </c>
      <c r="D411" s="372">
        <v>35</v>
      </c>
      <c r="E411" s="372">
        <v>28</v>
      </c>
      <c r="F411" s="372">
        <f>IFERROR(INDEX('NonART prices by med'!$D$2:$D$102,MATCH(D411,'NonART prices by med'!$A$2:$A$102,0)),"")</f>
        <v>0.60205838048342708</v>
      </c>
      <c r="G411" s="372">
        <f t="shared" si="13"/>
        <v>16.857634653535957</v>
      </c>
      <c r="H411" s="372">
        <f t="shared" si="14"/>
        <v>1</v>
      </c>
    </row>
    <row r="412" spans="1:8">
      <c r="A412" s="372">
        <v>48</v>
      </c>
      <c r="B412" s="373">
        <v>42947</v>
      </c>
      <c r="C412" s="373">
        <v>43125</v>
      </c>
      <c r="D412" s="372">
        <v>35</v>
      </c>
      <c r="E412" s="372">
        <v>28</v>
      </c>
      <c r="F412" s="372">
        <f>IFERROR(INDEX('NonART prices by med'!$D$2:$D$102,MATCH(D412,'NonART prices by med'!$A$2:$A$102,0)),"")</f>
        <v>0.60205838048342708</v>
      </c>
      <c r="G412" s="372">
        <f t="shared" si="13"/>
        <v>16.857634653535957</v>
      </c>
      <c r="H412" s="372">
        <f t="shared" si="14"/>
        <v>1</v>
      </c>
    </row>
    <row r="413" spans="1:8">
      <c r="A413" s="372">
        <v>48</v>
      </c>
      <c r="B413" s="373">
        <v>42947</v>
      </c>
      <c r="C413" s="373">
        <v>43153</v>
      </c>
      <c r="D413" s="372">
        <v>35</v>
      </c>
      <c r="E413" s="372">
        <v>28</v>
      </c>
      <c r="F413" s="372">
        <f>IFERROR(INDEX('NonART prices by med'!$D$2:$D$102,MATCH(D413,'NonART prices by med'!$A$2:$A$102,0)),"")</f>
        <v>0.60205838048342708</v>
      </c>
      <c r="G413" s="372">
        <f t="shared" si="13"/>
        <v>16.857634653535957</v>
      </c>
      <c r="H413" s="372">
        <f t="shared" si="14"/>
        <v>1</v>
      </c>
    </row>
    <row r="414" spans="1:8">
      <c r="A414" s="372">
        <v>48</v>
      </c>
      <c r="B414" s="373">
        <v>42947</v>
      </c>
      <c r="C414" s="373">
        <v>43181</v>
      </c>
      <c r="D414" s="372">
        <v>35</v>
      </c>
      <c r="E414" s="372">
        <v>56</v>
      </c>
      <c r="F414" s="372">
        <f>IFERROR(INDEX('NonART prices by med'!$D$2:$D$102,MATCH(D414,'NonART prices by med'!$A$2:$A$102,0)),"")</f>
        <v>0.60205838048342708</v>
      </c>
      <c r="G414" s="372">
        <f t="shared" si="13"/>
        <v>33.715269307071914</v>
      </c>
      <c r="H414" s="372">
        <f t="shared" si="14"/>
        <v>1</v>
      </c>
    </row>
    <row r="415" spans="1:8">
      <c r="A415" s="372">
        <v>48</v>
      </c>
      <c r="B415" s="373">
        <v>42947</v>
      </c>
      <c r="C415" s="373">
        <v>43279</v>
      </c>
      <c r="D415" s="372">
        <v>119</v>
      </c>
      <c r="E415" s="372">
        <v>2</v>
      </c>
      <c r="F415" s="372">
        <f>IFERROR(INDEX('NonART prices by med'!$D$2:$D$102,MATCH(D415,'NonART prices by med'!$A$2:$A$102,0)),"")</f>
        <v>4.8429999999999991</v>
      </c>
      <c r="G415" s="372">
        <f t="shared" si="13"/>
        <v>9.6859999999999982</v>
      </c>
      <c r="H415" s="372">
        <f t="shared" si="14"/>
        <v>1</v>
      </c>
    </row>
    <row r="416" spans="1:8">
      <c r="A416" s="372">
        <v>49</v>
      </c>
      <c r="B416" s="373">
        <v>42948</v>
      </c>
      <c r="C416" s="373">
        <v>42934</v>
      </c>
      <c r="D416" s="372">
        <v>316</v>
      </c>
      <c r="E416" s="372">
        <v>10</v>
      </c>
      <c r="F416" s="372">
        <f>IFERROR(INDEX('NonART prices by med'!$D$2:$D$102,MATCH(D416,'NonART prices by med'!$A$2:$A$102,0)),"")</f>
        <v>5.0199999999999995E-2</v>
      </c>
      <c r="G416" s="372">
        <f t="shared" si="13"/>
        <v>0.502</v>
      </c>
      <c r="H416" s="372">
        <f t="shared" si="14"/>
        <v>1</v>
      </c>
    </row>
    <row r="417" spans="1:8">
      <c r="A417" s="372">
        <v>49</v>
      </c>
      <c r="B417" s="373">
        <v>42948</v>
      </c>
      <c r="C417" s="373">
        <v>42948</v>
      </c>
      <c r="D417" s="372">
        <v>184</v>
      </c>
      <c r="E417" s="372">
        <v>56</v>
      </c>
      <c r="F417" s="372">
        <f>IFERROR(INDEX('NonART prices by med'!$D$2:$D$102,MATCH(D417,'NonART prices by med'!$A$2:$A$102,0)),"")</f>
        <v>0.21851785714285715</v>
      </c>
      <c r="G417" s="372">
        <f t="shared" si="13"/>
        <v>12.237</v>
      </c>
      <c r="H417" s="372">
        <f t="shared" si="14"/>
        <v>1</v>
      </c>
    </row>
    <row r="418" spans="1:8">
      <c r="A418" s="372">
        <v>49</v>
      </c>
      <c r="B418" s="373">
        <v>42948</v>
      </c>
      <c r="C418" s="373">
        <v>42962</v>
      </c>
      <c r="D418" s="372">
        <v>184</v>
      </c>
      <c r="E418" s="372">
        <v>56</v>
      </c>
      <c r="F418" s="372">
        <f>IFERROR(INDEX('NonART prices by med'!$D$2:$D$102,MATCH(D418,'NonART prices by med'!$A$2:$A$102,0)),"")</f>
        <v>0.21851785714285715</v>
      </c>
      <c r="G418" s="372">
        <f t="shared" si="13"/>
        <v>12.237</v>
      </c>
      <c r="H418" s="372">
        <f t="shared" si="14"/>
        <v>1</v>
      </c>
    </row>
    <row r="419" spans="1:8">
      <c r="A419" s="372">
        <v>49</v>
      </c>
      <c r="B419" s="373">
        <v>42948</v>
      </c>
      <c r="C419" s="373">
        <v>42990</v>
      </c>
      <c r="D419" s="372">
        <v>183</v>
      </c>
      <c r="F419" s="372">
        <f>IFERROR(INDEX('NonART prices by med'!$D$2:$D$102,MATCH(D419,'NonART prices by med'!$A$2:$A$102,0)),"")</f>
        <v>0.24214285714285716</v>
      </c>
      <c r="G419" s="372">
        <f t="shared" si="13"/>
        <v>0</v>
      </c>
      <c r="H419" s="372">
        <f t="shared" si="14"/>
        <v>1</v>
      </c>
    </row>
    <row r="420" spans="1:8">
      <c r="A420" s="372">
        <v>49</v>
      </c>
      <c r="B420" s="373">
        <v>42948</v>
      </c>
      <c r="C420" s="373">
        <v>43053</v>
      </c>
      <c r="D420" s="372">
        <v>183</v>
      </c>
      <c r="E420" s="372">
        <v>56</v>
      </c>
      <c r="F420" s="372">
        <f>IFERROR(INDEX('NonART prices by med'!$D$2:$D$102,MATCH(D420,'NonART prices by med'!$A$2:$A$102,0)),"")</f>
        <v>0.24214285714285716</v>
      </c>
      <c r="G420" s="372">
        <f t="shared" si="13"/>
        <v>13.56</v>
      </c>
      <c r="H420" s="372">
        <f t="shared" si="14"/>
        <v>1</v>
      </c>
    </row>
    <row r="421" spans="1:8">
      <c r="A421" s="372">
        <v>49</v>
      </c>
      <c r="B421" s="373">
        <v>42948</v>
      </c>
      <c r="C421" s="373">
        <v>43081</v>
      </c>
      <c r="D421" s="372">
        <v>35</v>
      </c>
      <c r="E421" s="372">
        <v>56</v>
      </c>
      <c r="F421" s="372">
        <f>IFERROR(INDEX('NonART prices by med'!$D$2:$D$102,MATCH(D421,'NonART prices by med'!$A$2:$A$102,0)),"")</f>
        <v>0.60205838048342708</v>
      </c>
      <c r="G421" s="372">
        <f t="shared" si="13"/>
        <v>33.715269307071914</v>
      </c>
      <c r="H421" s="372">
        <f t="shared" si="14"/>
        <v>1</v>
      </c>
    </row>
    <row r="422" spans="1:8">
      <c r="A422" s="372">
        <v>49</v>
      </c>
      <c r="B422" s="373">
        <v>42948</v>
      </c>
      <c r="C422" s="373">
        <v>43137</v>
      </c>
      <c r="D422" s="372">
        <v>184</v>
      </c>
      <c r="E422" s="372">
        <v>56</v>
      </c>
      <c r="F422" s="372">
        <f>IFERROR(INDEX('NonART prices by med'!$D$2:$D$102,MATCH(D422,'NonART prices by med'!$A$2:$A$102,0)),"")</f>
        <v>0.21851785714285715</v>
      </c>
      <c r="G422" s="372">
        <f t="shared" si="13"/>
        <v>12.237</v>
      </c>
      <c r="H422" s="372">
        <f t="shared" si="14"/>
        <v>1</v>
      </c>
    </row>
    <row r="423" spans="1:8">
      <c r="A423" s="372">
        <v>49</v>
      </c>
      <c r="B423" s="373">
        <v>42948</v>
      </c>
      <c r="C423" s="373">
        <v>43165</v>
      </c>
      <c r="D423" s="372">
        <v>35</v>
      </c>
      <c r="E423" s="372">
        <v>56</v>
      </c>
      <c r="F423" s="372">
        <f>IFERROR(INDEX('NonART prices by med'!$D$2:$D$102,MATCH(D423,'NonART prices by med'!$A$2:$A$102,0)),"")</f>
        <v>0.60205838048342708</v>
      </c>
      <c r="G423" s="372">
        <f t="shared" si="13"/>
        <v>33.715269307071914</v>
      </c>
      <c r="H423" s="372">
        <f t="shared" si="14"/>
        <v>1</v>
      </c>
    </row>
    <row r="424" spans="1:8">
      <c r="A424" s="372">
        <v>49</v>
      </c>
      <c r="B424" s="373">
        <v>42948</v>
      </c>
      <c r="C424" s="373">
        <v>43397</v>
      </c>
      <c r="D424" s="372">
        <v>35</v>
      </c>
      <c r="E424" s="372">
        <v>56</v>
      </c>
      <c r="F424" s="372">
        <f>IFERROR(INDEX('NonART prices by med'!$D$2:$D$102,MATCH(D424,'NonART prices by med'!$A$2:$A$102,0)),"")</f>
        <v>0.60205838048342708</v>
      </c>
      <c r="G424" s="372">
        <f t="shared" si="13"/>
        <v>33.715269307071914</v>
      </c>
      <c r="H424" s="372">
        <f t="shared" si="14"/>
        <v>0</v>
      </c>
    </row>
    <row r="425" spans="1:8">
      <c r="A425" s="372">
        <v>49</v>
      </c>
      <c r="B425" s="373">
        <v>42948</v>
      </c>
      <c r="C425" s="373">
        <v>43447</v>
      </c>
      <c r="D425" s="372">
        <v>35</v>
      </c>
      <c r="E425" s="372">
        <v>28</v>
      </c>
      <c r="F425" s="372">
        <f>IFERROR(INDEX('NonART prices by med'!$D$2:$D$102,MATCH(D425,'NonART prices by med'!$A$2:$A$102,0)),"")</f>
        <v>0.60205838048342708</v>
      </c>
      <c r="G425" s="372">
        <f t="shared" si="13"/>
        <v>16.857634653535957</v>
      </c>
      <c r="H425" s="372">
        <f t="shared" si="14"/>
        <v>0</v>
      </c>
    </row>
    <row r="426" spans="1:8">
      <c r="A426" s="372">
        <v>50</v>
      </c>
      <c r="B426" s="373">
        <v>42948</v>
      </c>
      <c r="C426" s="373">
        <v>43005</v>
      </c>
      <c r="D426" s="372">
        <v>35</v>
      </c>
      <c r="E426" s="372">
        <v>56</v>
      </c>
      <c r="F426" s="372">
        <f>IFERROR(INDEX('NonART prices by med'!$D$2:$D$102,MATCH(D426,'NonART prices by med'!$A$2:$A$102,0)),"")</f>
        <v>0.60205838048342708</v>
      </c>
      <c r="G426" s="372">
        <f t="shared" si="13"/>
        <v>33.715269307071914</v>
      </c>
      <c r="H426" s="372">
        <f t="shared" si="14"/>
        <v>1</v>
      </c>
    </row>
    <row r="427" spans="1:8">
      <c r="A427" s="372">
        <v>50</v>
      </c>
      <c r="B427" s="373">
        <v>42948</v>
      </c>
      <c r="C427" s="373">
        <v>43061</v>
      </c>
      <c r="D427" s="372">
        <v>35</v>
      </c>
      <c r="E427" s="372">
        <v>28</v>
      </c>
      <c r="F427" s="372">
        <f>IFERROR(INDEX('NonART prices by med'!$D$2:$D$102,MATCH(D427,'NonART prices by med'!$A$2:$A$102,0)),"")</f>
        <v>0.60205838048342708</v>
      </c>
      <c r="G427" s="372">
        <f t="shared" si="13"/>
        <v>16.857634653535957</v>
      </c>
      <c r="H427" s="372">
        <f t="shared" si="14"/>
        <v>1</v>
      </c>
    </row>
    <row r="428" spans="1:8">
      <c r="A428" s="372">
        <v>50</v>
      </c>
      <c r="B428" s="373">
        <v>42948</v>
      </c>
      <c r="C428" s="373">
        <v>43089</v>
      </c>
      <c r="D428" s="372">
        <v>35</v>
      </c>
      <c r="E428" s="372">
        <v>56</v>
      </c>
      <c r="F428" s="372">
        <f>IFERROR(INDEX('NonART prices by med'!$D$2:$D$102,MATCH(D428,'NonART prices by med'!$A$2:$A$102,0)),"")</f>
        <v>0.60205838048342708</v>
      </c>
      <c r="G428" s="372">
        <f t="shared" si="13"/>
        <v>33.715269307071914</v>
      </c>
      <c r="H428" s="372">
        <f t="shared" si="14"/>
        <v>1</v>
      </c>
    </row>
    <row r="429" spans="1:8">
      <c r="A429" s="372">
        <v>50</v>
      </c>
      <c r="B429" s="373">
        <v>42948</v>
      </c>
      <c r="C429" s="373">
        <v>43145</v>
      </c>
      <c r="D429" s="372">
        <v>411</v>
      </c>
      <c r="E429" s="372">
        <v>28</v>
      </c>
      <c r="F429" s="372">
        <f>IFERROR(INDEX('NonART prices by med'!$D$2:$D$102,MATCH(D429,'NonART prices by med'!$A$2:$A$102,0)),"")</f>
        <v>0.10354499389265867</v>
      </c>
      <c r="G429" s="372">
        <f t="shared" si="13"/>
        <v>2.8992598289944427</v>
      </c>
      <c r="H429" s="372">
        <f t="shared" si="14"/>
        <v>1</v>
      </c>
    </row>
    <row r="430" spans="1:8">
      <c r="A430" s="372">
        <v>50</v>
      </c>
      <c r="B430" s="373">
        <v>42948</v>
      </c>
      <c r="C430" s="373">
        <v>43370</v>
      </c>
      <c r="D430" s="372">
        <v>35</v>
      </c>
      <c r="E430" s="372">
        <v>56</v>
      </c>
      <c r="F430" s="372">
        <f>IFERROR(INDEX('NonART prices by med'!$D$2:$D$102,MATCH(D430,'NonART prices by med'!$A$2:$A$102,0)),"")</f>
        <v>0.60205838048342708</v>
      </c>
      <c r="G430" s="372">
        <f t="shared" si="13"/>
        <v>33.715269307071914</v>
      </c>
      <c r="H430" s="372">
        <f t="shared" si="14"/>
        <v>0</v>
      </c>
    </row>
    <row r="431" spans="1:8">
      <c r="A431" s="372">
        <v>51</v>
      </c>
      <c r="B431" s="373">
        <v>42944</v>
      </c>
      <c r="C431" s="373">
        <v>42944</v>
      </c>
      <c r="D431" s="372">
        <v>402</v>
      </c>
      <c r="E431" s="372">
        <v>1</v>
      </c>
      <c r="F431" s="372">
        <f>IFERROR(INDEX('NonART prices by med'!$D$2:$D$102,MATCH(D431,'NonART prices by med'!$A$2:$A$102,0)),"")</f>
        <v>84.57</v>
      </c>
      <c r="G431" s="372">
        <f t="shared" si="13"/>
        <v>84.57</v>
      </c>
      <c r="H431" s="372">
        <f t="shared" si="14"/>
        <v>1</v>
      </c>
    </row>
    <row r="432" spans="1:8">
      <c r="A432" s="372">
        <v>51</v>
      </c>
      <c r="B432" s="373">
        <v>42944</v>
      </c>
      <c r="C432" s="373">
        <v>42982</v>
      </c>
      <c r="D432" s="372">
        <v>216</v>
      </c>
      <c r="E432" s="372">
        <v>56</v>
      </c>
      <c r="F432" s="372">
        <f>IFERROR(INDEX('NonART prices by med'!$D$2:$D$102,MATCH(D432,'NonART prices by med'!$A$2:$A$102,0)),"")</f>
        <v>0.25232142857142859</v>
      </c>
      <c r="G432" s="372">
        <f t="shared" si="13"/>
        <v>14.13</v>
      </c>
      <c r="H432" s="372">
        <f t="shared" si="14"/>
        <v>1</v>
      </c>
    </row>
    <row r="433" spans="1:8">
      <c r="A433" s="372">
        <v>51</v>
      </c>
      <c r="B433" s="373">
        <v>42944</v>
      </c>
      <c r="C433" s="373">
        <v>43031</v>
      </c>
      <c r="D433" s="372">
        <v>225</v>
      </c>
      <c r="E433" s="372">
        <v>28</v>
      </c>
      <c r="F433" s="372">
        <f>IFERROR(INDEX('NonART prices by med'!$D$2:$D$102,MATCH(D433,'NonART prices by med'!$A$2:$A$102,0)),"")</f>
        <v>0.19315423345580862</v>
      </c>
      <c r="G433" s="372">
        <f t="shared" si="13"/>
        <v>5.408318536762641</v>
      </c>
      <c r="H433" s="372">
        <f t="shared" si="14"/>
        <v>1</v>
      </c>
    </row>
    <row r="434" spans="1:8">
      <c r="A434" s="372">
        <v>52</v>
      </c>
      <c r="B434" s="373">
        <v>42943</v>
      </c>
      <c r="C434" s="373">
        <v>42971</v>
      </c>
      <c r="D434" s="372">
        <v>35</v>
      </c>
      <c r="E434" s="372">
        <v>56</v>
      </c>
      <c r="F434" s="372">
        <f>IFERROR(INDEX('NonART prices by med'!$D$2:$D$102,MATCH(D434,'NonART prices by med'!$A$2:$A$102,0)),"")</f>
        <v>0.60205838048342708</v>
      </c>
      <c r="G434" s="372">
        <f t="shared" si="13"/>
        <v>33.715269307071914</v>
      </c>
      <c r="H434" s="372">
        <f t="shared" si="14"/>
        <v>1</v>
      </c>
    </row>
    <row r="435" spans="1:8">
      <c r="A435" s="372">
        <v>52</v>
      </c>
      <c r="B435" s="373">
        <v>42943</v>
      </c>
      <c r="C435" s="373">
        <v>43027</v>
      </c>
      <c r="D435" s="372">
        <v>35</v>
      </c>
      <c r="E435" s="372">
        <v>28</v>
      </c>
      <c r="F435" s="372">
        <f>IFERROR(INDEX('NonART prices by med'!$D$2:$D$102,MATCH(D435,'NonART prices by med'!$A$2:$A$102,0)),"")</f>
        <v>0.60205838048342708</v>
      </c>
      <c r="G435" s="372">
        <f t="shared" si="13"/>
        <v>16.857634653535957</v>
      </c>
      <c r="H435" s="372">
        <f t="shared" si="14"/>
        <v>1</v>
      </c>
    </row>
    <row r="436" spans="1:8">
      <c r="A436" s="372">
        <v>52</v>
      </c>
      <c r="B436" s="373">
        <v>42943</v>
      </c>
      <c r="C436" s="373">
        <v>43054</v>
      </c>
      <c r="D436" s="372">
        <v>35</v>
      </c>
      <c r="E436" s="372">
        <v>56</v>
      </c>
      <c r="F436" s="372">
        <f>IFERROR(INDEX('NonART prices by med'!$D$2:$D$102,MATCH(D436,'NonART prices by med'!$A$2:$A$102,0)),"")</f>
        <v>0.60205838048342708</v>
      </c>
      <c r="G436" s="372">
        <f t="shared" si="13"/>
        <v>33.715269307071914</v>
      </c>
      <c r="H436" s="372">
        <f t="shared" si="14"/>
        <v>1</v>
      </c>
    </row>
    <row r="437" spans="1:8">
      <c r="A437" s="372">
        <v>52</v>
      </c>
      <c r="B437" s="373">
        <v>42943</v>
      </c>
      <c r="C437" s="373">
        <v>43103</v>
      </c>
      <c r="D437" s="372">
        <v>215</v>
      </c>
      <c r="E437" s="372">
        <v>28</v>
      </c>
      <c r="F437" s="372">
        <f>IFERROR(INDEX('NonART prices by med'!$D$2:$D$102,MATCH(D437,'NonART prices by med'!$A$2:$A$102,0)),"")</f>
        <v>0.27607142857142858</v>
      </c>
      <c r="G437" s="372">
        <f t="shared" si="13"/>
        <v>7.73</v>
      </c>
      <c r="H437" s="372">
        <f t="shared" si="14"/>
        <v>1</v>
      </c>
    </row>
    <row r="438" spans="1:8">
      <c r="A438" s="372">
        <v>52</v>
      </c>
      <c r="B438" s="373">
        <v>42943</v>
      </c>
      <c r="C438" s="373">
        <v>43110</v>
      </c>
      <c r="D438" s="372">
        <v>35</v>
      </c>
      <c r="E438" s="372">
        <v>28</v>
      </c>
      <c r="F438" s="372">
        <f>IFERROR(INDEX('NonART prices by med'!$D$2:$D$102,MATCH(D438,'NonART prices by med'!$A$2:$A$102,0)),"")</f>
        <v>0.60205838048342708</v>
      </c>
      <c r="G438" s="372">
        <f t="shared" si="13"/>
        <v>16.857634653535957</v>
      </c>
      <c r="H438" s="372">
        <f t="shared" si="14"/>
        <v>1</v>
      </c>
    </row>
    <row r="439" spans="1:8">
      <c r="A439" s="372">
        <v>52</v>
      </c>
      <c r="B439" s="373">
        <v>42943</v>
      </c>
      <c r="C439" s="373">
        <v>43264</v>
      </c>
      <c r="D439" s="372">
        <v>225</v>
      </c>
      <c r="E439" s="372">
        <v>28</v>
      </c>
      <c r="F439" s="372">
        <f>IFERROR(INDEX('NonART prices by med'!$D$2:$D$102,MATCH(D439,'NonART prices by med'!$A$2:$A$102,0)),"")</f>
        <v>0.19315423345580862</v>
      </c>
      <c r="G439" s="372">
        <f t="shared" si="13"/>
        <v>5.408318536762641</v>
      </c>
      <c r="H439" s="372">
        <f t="shared" si="14"/>
        <v>1</v>
      </c>
    </row>
    <row r="440" spans="1:8">
      <c r="A440" s="372">
        <v>52</v>
      </c>
      <c r="B440" s="373">
        <v>42943</v>
      </c>
      <c r="C440" s="373">
        <v>43370</v>
      </c>
      <c r="D440" s="372">
        <v>216</v>
      </c>
      <c r="E440" s="372">
        <v>56</v>
      </c>
      <c r="F440" s="372">
        <f>IFERROR(INDEX('NonART prices by med'!$D$2:$D$102,MATCH(D440,'NonART prices by med'!$A$2:$A$102,0)),"")</f>
        <v>0.25232142857142859</v>
      </c>
      <c r="G440" s="372">
        <f t="shared" si="13"/>
        <v>14.13</v>
      </c>
      <c r="H440" s="372">
        <f t="shared" si="14"/>
        <v>0</v>
      </c>
    </row>
    <row r="441" spans="1:8">
      <c r="A441" s="372">
        <v>52</v>
      </c>
      <c r="B441" s="373">
        <v>42943</v>
      </c>
      <c r="C441" s="373">
        <v>43412</v>
      </c>
      <c r="D441" s="372">
        <v>134</v>
      </c>
      <c r="E441" s="372">
        <v>56</v>
      </c>
      <c r="F441" s="372">
        <f>IFERROR(INDEX('NonART prices by med'!$D$2:$D$102,MATCH(D441,'NonART prices by med'!$A$2:$A$102,0)),"")</f>
        <v>0.39033333366993345</v>
      </c>
      <c r="G441" s="372">
        <f t="shared" si="13"/>
        <v>21.858666685516273</v>
      </c>
      <c r="H441" s="372">
        <f t="shared" si="14"/>
        <v>0</v>
      </c>
    </row>
    <row r="442" spans="1:8">
      <c r="A442" s="372">
        <v>52</v>
      </c>
      <c r="B442" s="373">
        <v>42943</v>
      </c>
      <c r="C442" s="373">
        <v>43440</v>
      </c>
      <c r="D442" s="372">
        <v>225</v>
      </c>
      <c r="E442" s="372">
        <v>56</v>
      </c>
      <c r="F442" s="372">
        <f>IFERROR(INDEX('NonART prices by med'!$D$2:$D$102,MATCH(D442,'NonART prices by med'!$A$2:$A$102,0)),"")</f>
        <v>0.19315423345580862</v>
      </c>
      <c r="G442" s="372">
        <f t="shared" si="13"/>
        <v>10.816637073525282</v>
      </c>
      <c r="H442" s="372">
        <f t="shared" si="14"/>
        <v>0</v>
      </c>
    </row>
    <row r="443" spans="1:8">
      <c r="A443" s="372">
        <v>53</v>
      </c>
      <c r="B443" s="373">
        <v>42943</v>
      </c>
      <c r="C443" s="373">
        <v>42964</v>
      </c>
      <c r="D443" s="372">
        <v>35</v>
      </c>
      <c r="E443" s="372">
        <v>28</v>
      </c>
      <c r="F443" s="372">
        <f>IFERROR(INDEX('NonART prices by med'!$D$2:$D$102,MATCH(D443,'NonART prices by med'!$A$2:$A$102,0)),"")</f>
        <v>0.60205838048342708</v>
      </c>
      <c r="G443" s="372">
        <f t="shared" si="13"/>
        <v>16.857634653535957</v>
      </c>
      <c r="H443" s="372">
        <f t="shared" si="14"/>
        <v>1</v>
      </c>
    </row>
    <row r="444" spans="1:8">
      <c r="A444" s="372">
        <v>53</v>
      </c>
      <c r="B444" s="373">
        <v>42943</v>
      </c>
      <c r="C444" s="373">
        <v>42996</v>
      </c>
      <c r="D444" s="372">
        <v>411</v>
      </c>
      <c r="E444" s="372">
        <v>28</v>
      </c>
      <c r="F444" s="372">
        <f>IFERROR(INDEX('NonART prices by med'!$D$2:$D$102,MATCH(D444,'NonART prices by med'!$A$2:$A$102,0)),"")</f>
        <v>0.10354499389265867</v>
      </c>
      <c r="G444" s="372">
        <f t="shared" si="13"/>
        <v>2.8992598289944427</v>
      </c>
      <c r="H444" s="372">
        <f t="shared" si="14"/>
        <v>1</v>
      </c>
    </row>
    <row r="445" spans="1:8">
      <c r="A445" s="372">
        <v>53</v>
      </c>
      <c r="B445" s="373">
        <v>42943</v>
      </c>
      <c r="C445" s="373">
        <v>43024</v>
      </c>
      <c r="D445" s="372">
        <v>35</v>
      </c>
      <c r="E445" s="372">
        <v>28</v>
      </c>
      <c r="F445" s="372">
        <f>IFERROR(INDEX('NonART prices by med'!$D$2:$D$102,MATCH(D445,'NonART prices by med'!$A$2:$A$102,0)),"")</f>
        <v>0.60205838048342708</v>
      </c>
      <c r="G445" s="372">
        <f t="shared" si="13"/>
        <v>16.857634653535957</v>
      </c>
      <c r="H445" s="372">
        <f t="shared" si="14"/>
        <v>1</v>
      </c>
    </row>
    <row r="446" spans="1:8">
      <c r="A446" s="372">
        <v>53</v>
      </c>
      <c r="B446" s="373">
        <v>42943</v>
      </c>
      <c r="C446" s="373">
        <v>43052</v>
      </c>
      <c r="D446" s="372">
        <v>35</v>
      </c>
      <c r="E446" s="372">
        <v>56</v>
      </c>
      <c r="F446" s="372">
        <f>IFERROR(INDEX('NonART prices by med'!$D$2:$D$102,MATCH(D446,'NonART prices by med'!$A$2:$A$102,0)),"")</f>
        <v>0.60205838048342708</v>
      </c>
      <c r="G446" s="372">
        <f t="shared" si="13"/>
        <v>33.715269307071914</v>
      </c>
      <c r="H446" s="372">
        <f t="shared" si="14"/>
        <v>1</v>
      </c>
    </row>
    <row r="447" spans="1:8">
      <c r="A447" s="372">
        <v>53</v>
      </c>
      <c r="B447" s="373">
        <v>42943</v>
      </c>
      <c r="C447" s="373">
        <v>43108</v>
      </c>
      <c r="D447" s="372">
        <v>313</v>
      </c>
      <c r="E447" s="372">
        <v>1</v>
      </c>
      <c r="F447" s="372">
        <f>IFERROR(INDEX('NonART prices by med'!$D$2:$D$102,MATCH(D447,'NonART prices by med'!$A$2:$A$102,0)),"")</f>
        <v>13.15</v>
      </c>
      <c r="G447" s="372">
        <f t="shared" si="13"/>
        <v>13.15</v>
      </c>
      <c r="H447" s="372">
        <f t="shared" si="14"/>
        <v>1</v>
      </c>
    </row>
    <row r="448" spans="1:8">
      <c r="A448" s="372">
        <v>54</v>
      </c>
      <c r="B448" s="373">
        <v>42941</v>
      </c>
      <c r="C448" s="373">
        <v>42941</v>
      </c>
      <c r="D448" s="372">
        <v>24</v>
      </c>
      <c r="E448" s="372">
        <v>28</v>
      </c>
      <c r="F448" s="372">
        <f>IFERROR(INDEX('NonART prices by med'!$D$2:$D$102,MATCH(D448,'NonART prices by med'!$A$2:$A$102,0)),"")</f>
        <v>0.1467857142857143</v>
      </c>
      <c r="G448" s="372">
        <f t="shared" si="13"/>
        <v>4.1100000000000003</v>
      </c>
      <c r="H448" s="372">
        <f t="shared" si="14"/>
        <v>1</v>
      </c>
    </row>
    <row r="449" spans="1:8">
      <c r="A449" s="372">
        <v>54</v>
      </c>
      <c r="B449" s="373">
        <v>42941</v>
      </c>
      <c r="C449" s="373">
        <v>42997</v>
      </c>
      <c r="D449" s="372">
        <v>184</v>
      </c>
      <c r="E449" s="372">
        <v>56</v>
      </c>
      <c r="F449" s="372">
        <f>IFERROR(INDEX('NonART prices by med'!$D$2:$D$102,MATCH(D449,'NonART prices by med'!$A$2:$A$102,0)),"")</f>
        <v>0.21851785714285715</v>
      </c>
      <c r="G449" s="372">
        <f t="shared" si="13"/>
        <v>12.237</v>
      </c>
      <c r="H449" s="372">
        <f t="shared" si="14"/>
        <v>1</v>
      </c>
    </row>
    <row r="450" spans="1:8">
      <c r="A450" s="372">
        <v>54</v>
      </c>
      <c r="B450" s="373">
        <v>42941</v>
      </c>
      <c r="C450" s="373">
        <v>43025</v>
      </c>
      <c r="D450" s="372">
        <v>184</v>
      </c>
      <c r="E450" s="372">
        <v>56</v>
      </c>
      <c r="F450" s="372">
        <f>IFERROR(INDEX('NonART prices by med'!$D$2:$D$102,MATCH(D450,'NonART prices by med'!$A$2:$A$102,0)),"")</f>
        <v>0.21851785714285715</v>
      </c>
      <c r="G450" s="372">
        <f t="shared" si="13"/>
        <v>12.237</v>
      </c>
      <c r="H450" s="372">
        <f t="shared" si="14"/>
        <v>1</v>
      </c>
    </row>
    <row r="451" spans="1:8">
      <c r="A451" s="372">
        <v>54</v>
      </c>
      <c r="B451" s="373">
        <v>42941</v>
      </c>
      <c r="C451" s="373">
        <v>43053</v>
      </c>
      <c r="D451" s="372">
        <v>184</v>
      </c>
      <c r="E451" s="372">
        <v>112</v>
      </c>
      <c r="F451" s="372">
        <f>IFERROR(INDEX('NonART prices by med'!$D$2:$D$102,MATCH(D451,'NonART prices by med'!$A$2:$A$102,0)),"")</f>
        <v>0.21851785714285715</v>
      </c>
      <c r="G451" s="372">
        <f t="shared" ref="G451:G514" si="15">IFERROR(E451*F451,"")</f>
        <v>24.474</v>
      </c>
      <c r="H451" s="372">
        <f t="shared" si="14"/>
        <v>1</v>
      </c>
    </row>
    <row r="452" spans="1:8">
      <c r="A452" s="372">
        <v>54</v>
      </c>
      <c r="B452" s="373">
        <v>42941</v>
      </c>
      <c r="C452" s="373">
        <v>43325</v>
      </c>
      <c r="D452" s="372">
        <v>7</v>
      </c>
      <c r="E452" s="372">
        <v>28</v>
      </c>
      <c r="F452" s="372">
        <f>IFERROR(INDEX('NonART prices by med'!$D$2:$D$102,MATCH(D452,'NonART prices by med'!$A$2:$A$102,0)),"")</f>
        <v>0.16680357240796304</v>
      </c>
      <c r="G452" s="372">
        <f t="shared" si="15"/>
        <v>4.6705000274229649</v>
      </c>
      <c r="H452" s="372">
        <f t="shared" ref="H452:H515" si="16">IF(C452-B452&lt;=365,1,0)</f>
        <v>0</v>
      </c>
    </row>
    <row r="453" spans="1:8">
      <c r="A453" s="372">
        <v>54</v>
      </c>
      <c r="B453" s="373">
        <v>42941</v>
      </c>
      <c r="C453" s="373">
        <v>43353</v>
      </c>
      <c r="D453" s="372">
        <v>184</v>
      </c>
      <c r="E453" s="372">
        <v>112</v>
      </c>
      <c r="F453" s="372">
        <f>IFERROR(INDEX('NonART prices by med'!$D$2:$D$102,MATCH(D453,'NonART prices by med'!$A$2:$A$102,0)),"")</f>
        <v>0.21851785714285715</v>
      </c>
      <c r="G453" s="372">
        <f t="shared" si="15"/>
        <v>24.474</v>
      </c>
      <c r="H453" s="372">
        <f t="shared" si="16"/>
        <v>0</v>
      </c>
    </row>
    <row r="454" spans="1:8">
      <c r="A454" s="372">
        <v>55</v>
      </c>
      <c r="B454" s="373">
        <v>42941</v>
      </c>
      <c r="C454" s="373">
        <v>42941</v>
      </c>
      <c r="D454" s="372">
        <v>225</v>
      </c>
      <c r="E454" s="372">
        <v>28</v>
      </c>
      <c r="F454" s="372">
        <f>IFERROR(INDEX('NonART prices by med'!$D$2:$D$102,MATCH(D454,'NonART prices by med'!$A$2:$A$102,0)),"")</f>
        <v>0.19315423345580862</v>
      </c>
      <c r="G454" s="372">
        <f t="shared" si="15"/>
        <v>5.408318536762641</v>
      </c>
      <c r="H454" s="372">
        <f t="shared" si="16"/>
        <v>1</v>
      </c>
    </row>
    <row r="455" spans="1:8">
      <c r="A455" s="372">
        <v>55</v>
      </c>
      <c r="B455" s="373">
        <v>42941</v>
      </c>
      <c r="C455" s="373">
        <v>42984</v>
      </c>
      <c r="D455" s="372">
        <v>134</v>
      </c>
      <c r="E455" s="372">
        <v>30</v>
      </c>
      <c r="F455" s="372">
        <f>IFERROR(INDEX('NonART prices by med'!$D$2:$D$102,MATCH(D455,'NonART prices by med'!$A$2:$A$102,0)),"")</f>
        <v>0.39033333366993345</v>
      </c>
      <c r="G455" s="372">
        <f t="shared" si="15"/>
        <v>11.710000010098003</v>
      </c>
      <c r="H455" s="372">
        <f t="shared" si="16"/>
        <v>1</v>
      </c>
    </row>
    <row r="456" spans="1:8">
      <c r="A456" s="372">
        <v>55</v>
      </c>
      <c r="B456" s="373">
        <v>42941</v>
      </c>
      <c r="C456" s="373">
        <v>43026</v>
      </c>
      <c r="D456" s="372">
        <v>134</v>
      </c>
      <c r="E456" s="372">
        <v>30</v>
      </c>
      <c r="F456" s="372">
        <f>IFERROR(INDEX('NonART prices by med'!$D$2:$D$102,MATCH(D456,'NonART prices by med'!$A$2:$A$102,0)),"")</f>
        <v>0.39033333366993345</v>
      </c>
      <c r="G456" s="372">
        <f t="shared" si="15"/>
        <v>11.710000010098003</v>
      </c>
      <c r="H456" s="372">
        <f t="shared" si="16"/>
        <v>1</v>
      </c>
    </row>
    <row r="457" spans="1:8">
      <c r="A457" s="372">
        <v>55</v>
      </c>
      <c r="B457" s="373">
        <v>42941</v>
      </c>
      <c r="C457" s="373">
        <v>43054</v>
      </c>
      <c r="D457" s="372">
        <v>225</v>
      </c>
      <c r="E457" s="372">
        <v>28</v>
      </c>
      <c r="F457" s="372">
        <f>IFERROR(INDEX('NonART prices by med'!$D$2:$D$102,MATCH(D457,'NonART prices by med'!$A$2:$A$102,0)),"")</f>
        <v>0.19315423345580862</v>
      </c>
      <c r="G457" s="372">
        <f t="shared" si="15"/>
        <v>5.408318536762641</v>
      </c>
      <c r="H457" s="372">
        <f t="shared" si="16"/>
        <v>1</v>
      </c>
    </row>
    <row r="458" spans="1:8">
      <c r="A458" s="372">
        <v>55</v>
      </c>
      <c r="B458" s="373">
        <v>42941</v>
      </c>
      <c r="C458" s="373">
        <v>43129</v>
      </c>
      <c r="D458" s="372">
        <v>411</v>
      </c>
      <c r="E458" s="372">
        <v>28</v>
      </c>
      <c r="F458" s="372">
        <f>IFERROR(INDEX('NonART prices by med'!$D$2:$D$102,MATCH(D458,'NonART prices by med'!$A$2:$A$102,0)),"")</f>
        <v>0.10354499389265867</v>
      </c>
      <c r="G458" s="372">
        <f t="shared" si="15"/>
        <v>2.8992598289944427</v>
      </c>
      <c r="H458" s="372">
        <f t="shared" si="16"/>
        <v>1</v>
      </c>
    </row>
    <row r="459" spans="1:8">
      <c r="A459" s="372">
        <v>56</v>
      </c>
      <c r="B459" s="373">
        <v>42941</v>
      </c>
      <c r="C459" s="373">
        <v>42941</v>
      </c>
      <c r="D459" s="372">
        <v>215</v>
      </c>
      <c r="E459" s="372">
        <v>28</v>
      </c>
      <c r="F459" s="372">
        <f>IFERROR(INDEX('NonART prices by med'!$D$2:$D$102,MATCH(D459,'NonART prices by med'!$A$2:$A$102,0)),"")</f>
        <v>0.27607142857142858</v>
      </c>
      <c r="G459" s="372">
        <f t="shared" si="15"/>
        <v>7.73</v>
      </c>
      <c r="H459" s="372">
        <f t="shared" si="16"/>
        <v>1</v>
      </c>
    </row>
    <row r="460" spans="1:8">
      <c r="A460" s="372">
        <v>56</v>
      </c>
      <c r="B460" s="373">
        <v>42941</v>
      </c>
      <c r="C460" s="373">
        <v>43017</v>
      </c>
      <c r="D460" s="372">
        <v>215</v>
      </c>
      <c r="E460" s="372">
        <v>28</v>
      </c>
      <c r="F460" s="372">
        <f>IFERROR(INDEX('NonART prices by med'!$D$2:$D$102,MATCH(D460,'NonART prices by med'!$A$2:$A$102,0)),"")</f>
        <v>0.27607142857142858</v>
      </c>
      <c r="G460" s="372">
        <f t="shared" si="15"/>
        <v>7.73</v>
      </c>
      <c r="H460" s="372">
        <f t="shared" si="16"/>
        <v>1</v>
      </c>
    </row>
    <row r="461" spans="1:8">
      <c r="A461" s="372">
        <v>56</v>
      </c>
      <c r="B461" s="373">
        <v>42941</v>
      </c>
      <c r="C461" s="373">
        <v>43059</v>
      </c>
      <c r="D461" s="372">
        <v>184</v>
      </c>
      <c r="E461" s="372">
        <v>56</v>
      </c>
      <c r="F461" s="372">
        <f>IFERROR(INDEX('NonART prices by med'!$D$2:$D$102,MATCH(D461,'NonART prices by med'!$A$2:$A$102,0)),"")</f>
        <v>0.21851785714285715</v>
      </c>
      <c r="G461" s="372">
        <f t="shared" si="15"/>
        <v>12.237</v>
      </c>
      <c r="H461" s="372">
        <f t="shared" si="16"/>
        <v>1</v>
      </c>
    </row>
    <row r="462" spans="1:8">
      <c r="A462" s="372">
        <v>56</v>
      </c>
      <c r="B462" s="373">
        <v>42941</v>
      </c>
      <c r="C462" s="373">
        <v>43080</v>
      </c>
      <c r="D462" s="372">
        <v>184</v>
      </c>
      <c r="E462" s="372">
        <v>56</v>
      </c>
      <c r="F462" s="372">
        <f>IFERROR(INDEX('NonART prices by med'!$D$2:$D$102,MATCH(D462,'NonART prices by med'!$A$2:$A$102,0)),"")</f>
        <v>0.21851785714285715</v>
      </c>
      <c r="G462" s="372">
        <f t="shared" si="15"/>
        <v>12.237</v>
      </c>
      <c r="H462" s="372">
        <f t="shared" si="16"/>
        <v>1</v>
      </c>
    </row>
    <row r="463" spans="1:8">
      <c r="A463" s="372">
        <v>56</v>
      </c>
      <c r="B463" s="373">
        <v>42941</v>
      </c>
      <c r="C463" s="373">
        <v>43207</v>
      </c>
      <c r="D463" s="372">
        <v>219</v>
      </c>
      <c r="E463" s="372">
        <v>40</v>
      </c>
      <c r="F463" s="372">
        <f>IFERROR(INDEX('NonART prices by med'!$D$2:$D$102,MATCH(D463,'NonART prices by med'!$A$2:$A$102,0)),"")</f>
        <v>0.55532131597376833</v>
      </c>
      <c r="G463" s="372">
        <f t="shared" si="15"/>
        <v>22.212852638950732</v>
      </c>
      <c r="H463" s="372">
        <f t="shared" si="16"/>
        <v>1</v>
      </c>
    </row>
    <row r="464" spans="1:8">
      <c r="A464" s="372">
        <v>57</v>
      </c>
      <c r="B464" s="373">
        <v>42895</v>
      </c>
      <c r="C464" s="373">
        <v>42941</v>
      </c>
      <c r="D464" s="372">
        <v>184</v>
      </c>
      <c r="E464" s="372">
        <v>56</v>
      </c>
      <c r="F464" s="372">
        <f>IFERROR(INDEX('NonART prices by med'!$D$2:$D$102,MATCH(D464,'NonART prices by med'!$A$2:$A$102,0)),"")</f>
        <v>0.21851785714285715</v>
      </c>
      <c r="G464" s="372">
        <f t="shared" si="15"/>
        <v>12.237</v>
      </c>
      <c r="H464" s="372">
        <f t="shared" si="16"/>
        <v>1</v>
      </c>
    </row>
    <row r="465" spans="1:8">
      <c r="A465" s="372">
        <v>57</v>
      </c>
      <c r="B465" s="373">
        <v>42895</v>
      </c>
      <c r="C465" s="373">
        <v>42970</v>
      </c>
      <c r="D465" s="372">
        <v>184</v>
      </c>
      <c r="E465" s="372">
        <v>112</v>
      </c>
      <c r="F465" s="372">
        <f>IFERROR(INDEX('NonART prices by med'!$D$2:$D$102,MATCH(D465,'NonART prices by med'!$A$2:$A$102,0)),"")</f>
        <v>0.21851785714285715</v>
      </c>
      <c r="G465" s="372">
        <f t="shared" si="15"/>
        <v>24.474</v>
      </c>
      <c r="H465" s="372">
        <f t="shared" si="16"/>
        <v>1</v>
      </c>
    </row>
    <row r="466" spans="1:8">
      <c r="A466" s="372">
        <v>58</v>
      </c>
      <c r="B466" s="373">
        <v>42933</v>
      </c>
      <c r="C466" s="373">
        <v>42941</v>
      </c>
      <c r="D466" s="372">
        <v>35</v>
      </c>
      <c r="E466" s="372">
        <v>28</v>
      </c>
      <c r="F466" s="372">
        <f>IFERROR(INDEX('NonART prices by med'!$D$2:$D$102,MATCH(D466,'NonART prices by med'!$A$2:$A$102,0)),"")</f>
        <v>0.60205838048342708</v>
      </c>
      <c r="G466" s="372">
        <f t="shared" si="15"/>
        <v>16.857634653535957</v>
      </c>
      <c r="H466" s="372">
        <f t="shared" si="16"/>
        <v>1</v>
      </c>
    </row>
    <row r="467" spans="1:8">
      <c r="A467" s="372">
        <v>58</v>
      </c>
      <c r="B467" s="373">
        <v>42933</v>
      </c>
      <c r="C467" s="373">
        <v>42970</v>
      </c>
      <c r="D467" s="372">
        <v>35</v>
      </c>
      <c r="E467" s="372">
        <v>56</v>
      </c>
      <c r="F467" s="372">
        <f>IFERROR(INDEX('NonART prices by med'!$D$2:$D$102,MATCH(D467,'NonART prices by med'!$A$2:$A$102,0)),"")</f>
        <v>0.60205838048342708</v>
      </c>
      <c r="G467" s="372">
        <f t="shared" si="15"/>
        <v>33.715269307071914</v>
      </c>
      <c r="H467" s="372">
        <f t="shared" si="16"/>
        <v>1</v>
      </c>
    </row>
    <row r="468" spans="1:8">
      <c r="A468" s="372">
        <v>58</v>
      </c>
      <c r="B468" s="373">
        <v>42933</v>
      </c>
      <c r="C468" s="373">
        <v>43025</v>
      </c>
      <c r="D468" s="372">
        <v>411</v>
      </c>
      <c r="E468" s="372">
        <v>28</v>
      </c>
      <c r="F468" s="372">
        <f>IFERROR(INDEX('NonART prices by med'!$D$2:$D$102,MATCH(D468,'NonART prices by med'!$A$2:$A$102,0)),"")</f>
        <v>0.10354499389265867</v>
      </c>
      <c r="G468" s="372">
        <f t="shared" si="15"/>
        <v>2.8992598289944427</v>
      </c>
      <c r="H468" s="372">
        <f t="shared" si="16"/>
        <v>1</v>
      </c>
    </row>
    <row r="469" spans="1:8">
      <c r="A469" s="372">
        <v>58</v>
      </c>
      <c r="B469" s="373">
        <v>42933</v>
      </c>
      <c r="C469" s="373">
        <v>43053</v>
      </c>
      <c r="D469" s="372">
        <v>35</v>
      </c>
      <c r="E469" s="372">
        <v>56</v>
      </c>
      <c r="F469" s="372">
        <f>IFERROR(INDEX('NonART prices by med'!$D$2:$D$102,MATCH(D469,'NonART prices by med'!$A$2:$A$102,0)),"")</f>
        <v>0.60205838048342708</v>
      </c>
      <c r="G469" s="372">
        <f t="shared" si="15"/>
        <v>33.715269307071914</v>
      </c>
      <c r="H469" s="372">
        <f t="shared" si="16"/>
        <v>1</v>
      </c>
    </row>
    <row r="470" spans="1:8">
      <c r="A470" s="372">
        <v>59</v>
      </c>
      <c r="B470" s="373">
        <v>42941</v>
      </c>
      <c r="C470" s="373">
        <v>42941</v>
      </c>
      <c r="D470" s="372">
        <v>318</v>
      </c>
      <c r="E470" s="372">
        <v>20</v>
      </c>
      <c r="F470" s="372">
        <f>IFERROR(INDEX('NonART prices by med'!$D$2:$D$102,MATCH(D470,'NonART prices by med'!$A$2:$A$102,0)),"")</f>
        <v>0.19286066077210379</v>
      </c>
      <c r="G470" s="372">
        <f t="shared" si="15"/>
        <v>3.8572132154420755</v>
      </c>
      <c r="H470" s="372">
        <f t="shared" si="16"/>
        <v>1</v>
      </c>
    </row>
    <row r="471" spans="1:8">
      <c r="A471" s="372">
        <v>59</v>
      </c>
      <c r="B471" s="373">
        <v>42941</v>
      </c>
      <c r="C471" s="373">
        <v>42970</v>
      </c>
      <c r="D471" s="372">
        <v>35</v>
      </c>
      <c r="E471" s="372">
        <v>56</v>
      </c>
      <c r="F471" s="372">
        <f>IFERROR(INDEX('NonART prices by med'!$D$2:$D$102,MATCH(D471,'NonART prices by med'!$A$2:$A$102,0)),"")</f>
        <v>0.60205838048342708</v>
      </c>
      <c r="G471" s="372">
        <f t="shared" si="15"/>
        <v>33.715269307071914</v>
      </c>
      <c r="H471" s="372">
        <f t="shared" si="16"/>
        <v>1</v>
      </c>
    </row>
    <row r="472" spans="1:8">
      <c r="A472" s="372">
        <v>59</v>
      </c>
      <c r="B472" s="373">
        <v>42941</v>
      </c>
      <c r="C472" s="373">
        <v>43026</v>
      </c>
      <c r="D472" s="372">
        <v>35</v>
      </c>
      <c r="E472" s="372">
        <v>28</v>
      </c>
      <c r="F472" s="372">
        <f>IFERROR(INDEX('NonART prices by med'!$D$2:$D$102,MATCH(D472,'NonART prices by med'!$A$2:$A$102,0)),"")</f>
        <v>0.60205838048342708</v>
      </c>
      <c r="G472" s="372">
        <f t="shared" si="15"/>
        <v>16.857634653535957</v>
      </c>
      <c r="H472" s="372">
        <f t="shared" si="16"/>
        <v>1</v>
      </c>
    </row>
    <row r="473" spans="1:8">
      <c r="A473" s="372">
        <v>59</v>
      </c>
      <c r="B473" s="373">
        <v>42941</v>
      </c>
      <c r="C473" s="373">
        <v>43054</v>
      </c>
      <c r="D473" s="372">
        <v>411</v>
      </c>
      <c r="E473" s="372">
        <v>56</v>
      </c>
      <c r="F473" s="372">
        <f>IFERROR(INDEX('NonART prices by med'!$D$2:$D$102,MATCH(D473,'NonART prices by med'!$A$2:$A$102,0)),"")</f>
        <v>0.10354499389265867</v>
      </c>
      <c r="G473" s="372">
        <f t="shared" si="15"/>
        <v>5.7985196579888854</v>
      </c>
      <c r="H473" s="372">
        <f t="shared" si="16"/>
        <v>1</v>
      </c>
    </row>
    <row r="474" spans="1:8">
      <c r="A474" s="372">
        <v>59</v>
      </c>
      <c r="B474" s="373">
        <v>42941</v>
      </c>
      <c r="C474" s="373">
        <v>43306</v>
      </c>
      <c r="D474" s="372">
        <v>35</v>
      </c>
      <c r="E474" s="372">
        <v>28</v>
      </c>
      <c r="F474" s="372">
        <f>IFERROR(INDEX('NonART prices by med'!$D$2:$D$102,MATCH(D474,'NonART prices by med'!$A$2:$A$102,0)),"")</f>
        <v>0.60205838048342708</v>
      </c>
      <c r="G474" s="372">
        <f t="shared" si="15"/>
        <v>16.857634653535957</v>
      </c>
      <c r="H474" s="372">
        <f t="shared" si="16"/>
        <v>1</v>
      </c>
    </row>
    <row r="475" spans="1:8">
      <c r="A475" s="372">
        <v>59</v>
      </c>
      <c r="B475" s="373">
        <v>42941</v>
      </c>
      <c r="C475" s="373">
        <v>43361</v>
      </c>
      <c r="D475" s="372">
        <v>263</v>
      </c>
      <c r="E475" s="372">
        <v>14</v>
      </c>
      <c r="F475" s="372">
        <f>IFERROR(INDEX('NonART prices by med'!$D$2:$D$102,MATCH(D475,'NonART prices by med'!$A$2:$A$102,0)),"")</f>
        <v>0.47387143543788363</v>
      </c>
      <c r="G475" s="372">
        <f t="shared" si="15"/>
        <v>6.6342000961303711</v>
      </c>
      <c r="H475" s="372">
        <f t="shared" si="16"/>
        <v>0</v>
      </c>
    </row>
    <row r="476" spans="1:8">
      <c r="A476" s="372">
        <v>60</v>
      </c>
      <c r="B476" s="373">
        <v>42926</v>
      </c>
      <c r="C476" s="373">
        <v>42941</v>
      </c>
      <c r="D476" s="372">
        <v>119</v>
      </c>
      <c r="E476" s="372">
        <v>2</v>
      </c>
      <c r="F476" s="372">
        <f>IFERROR(INDEX('NonART prices by med'!$D$2:$D$102,MATCH(D476,'NonART prices by med'!$A$2:$A$102,0)),"")</f>
        <v>4.8429999999999991</v>
      </c>
      <c r="G476" s="372">
        <f t="shared" si="15"/>
        <v>9.6859999999999982</v>
      </c>
      <c r="H476" s="372">
        <f t="shared" si="16"/>
        <v>1</v>
      </c>
    </row>
    <row r="477" spans="1:8">
      <c r="A477" s="372">
        <v>60</v>
      </c>
      <c r="B477" s="373">
        <v>42926</v>
      </c>
      <c r="C477" s="373">
        <v>42969</v>
      </c>
      <c r="D477" s="372">
        <v>288</v>
      </c>
      <c r="E477" s="372">
        <v>14</v>
      </c>
      <c r="F477" s="372">
        <f>IFERROR(INDEX('NonART prices by med'!$D$2:$D$102,MATCH(D477,'NonART prices by med'!$A$2:$A$102,0)),"")</f>
        <v>0.27771428571428569</v>
      </c>
      <c r="G477" s="372">
        <f t="shared" si="15"/>
        <v>3.8879999999999999</v>
      </c>
      <c r="H477" s="372">
        <f t="shared" si="16"/>
        <v>1</v>
      </c>
    </row>
    <row r="478" spans="1:8">
      <c r="A478" s="372">
        <v>60</v>
      </c>
      <c r="B478" s="373">
        <v>42926</v>
      </c>
      <c r="C478" s="373">
        <v>43024</v>
      </c>
      <c r="D478" s="372">
        <v>342</v>
      </c>
      <c r="E478" s="372">
        <v>56</v>
      </c>
      <c r="F478" s="372">
        <f>IFERROR(INDEX('NonART prices by med'!$D$2:$D$102,MATCH(D478,'NonART prices by med'!$A$2:$A$102,0)),"")</f>
        <v>0.26590000152587889</v>
      </c>
      <c r="G478" s="372">
        <f t="shared" si="15"/>
        <v>14.890400085449219</v>
      </c>
      <c r="H478" s="372">
        <f t="shared" si="16"/>
        <v>1</v>
      </c>
    </row>
    <row r="479" spans="1:8">
      <c r="A479" s="372">
        <v>60</v>
      </c>
      <c r="B479" s="373">
        <v>42926</v>
      </c>
      <c r="C479" s="373">
        <v>43052</v>
      </c>
      <c r="D479" s="372">
        <v>1</v>
      </c>
      <c r="E479" s="372">
        <v>20</v>
      </c>
      <c r="F479" s="372" t="str">
        <f>IFERROR(INDEX('NonART prices by med'!$D$2:$D$102,MATCH(D479,'NonART prices by med'!$A$2:$A$102,0)),"")</f>
        <v/>
      </c>
      <c r="G479" s="372" t="str">
        <f t="shared" si="15"/>
        <v/>
      </c>
      <c r="H479" s="372">
        <f t="shared" si="16"/>
        <v>1</v>
      </c>
    </row>
    <row r="480" spans="1:8">
      <c r="A480" s="372">
        <v>60</v>
      </c>
      <c r="B480" s="373">
        <v>42926</v>
      </c>
      <c r="C480" s="373">
        <v>43066</v>
      </c>
      <c r="D480" s="372">
        <v>1</v>
      </c>
      <c r="E480" s="372">
        <v>2</v>
      </c>
      <c r="F480" s="372" t="str">
        <f>IFERROR(INDEX('NonART prices by med'!$D$2:$D$102,MATCH(D480,'NonART prices by med'!$A$2:$A$102,0)),"")</f>
        <v/>
      </c>
      <c r="G480" s="372" t="str">
        <f t="shared" si="15"/>
        <v/>
      </c>
      <c r="H480" s="372">
        <f t="shared" si="16"/>
        <v>1</v>
      </c>
    </row>
    <row r="481" spans="1:8">
      <c r="A481" s="372">
        <v>60</v>
      </c>
      <c r="B481" s="373">
        <v>42926</v>
      </c>
      <c r="C481" s="373">
        <v>43087</v>
      </c>
      <c r="D481" s="372">
        <v>1</v>
      </c>
      <c r="E481" s="372">
        <v>2</v>
      </c>
      <c r="F481" s="372" t="str">
        <f>IFERROR(INDEX('NonART prices by med'!$D$2:$D$102,MATCH(D481,'NonART prices by med'!$A$2:$A$102,0)),"")</f>
        <v/>
      </c>
      <c r="G481" s="372" t="str">
        <f t="shared" si="15"/>
        <v/>
      </c>
      <c r="H481" s="372">
        <f t="shared" si="16"/>
        <v>1</v>
      </c>
    </row>
    <row r="482" spans="1:8">
      <c r="A482" s="372">
        <v>60</v>
      </c>
      <c r="B482" s="373">
        <v>42926</v>
      </c>
      <c r="C482" s="373">
        <v>43115</v>
      </c>
      <c r="D482" s="372">
        <v>1</v>
      </c>
      <c r="E482" s="372">
        <v>2</v>
      </c>
      <c r="F482" s="372" t="str">
        <f>IFERROR(INDEX('NonART prices by med'!$D$2:$D$102,MATCH(D482,'NonART prices by med'!$A$2:$A$102,0)),"")</f>
        <v/>
      </c>
      <c r="G482" s="372" t="str">
        <f t="shared" si="15"/>
        <v/>
      </c>
      <c r="H482" s="372">
        <f t="shared" si="16"/>
        <v>1</v>
      </c>
    </row>
    <row r="483" spans="1:8">
      <c r="A483" s="372">
        <v>60</v>
      </c>
      <c r="B483" s="373">
        <v>42926</v>
      </c>
      <c r="C483" s="373">
        <v>43144</v>
      </c>
      <c r="D483" s="372">
        <v>1</v>
      </c>
      <c r="E483" s="372">
        <v>1</v>
      </c>
      <c r="F483" s="372" t="str">
        <f>IFERROR(INDEX('NonART prices by med'!$D$2:$D$102,MATCH(D483,'NonART prices by med'!$A$2:$A$102,0)),"")</f>
        <v/>
      </c>
      <c r="G483" s="372" t="str">
        <f t="shared" si="15"/>
        <v/>
      </c>
      <c r="H483" s="372">
        <f t="shared" si="16"/>
        <v>1</v>
      </c>
    </row>
    <row r="484" spans="1:8">
      <c r="A484" s="372">
        <v>60</v>
      </c>
      <c r="B484" s="373">
        <v>42926</v>
      </c>
      <c r="C484" s="373">
        <v>43171</v>
      </c>
      <c r="D484" s="372">
        <v>24</v>
      </c>
      <c r="E484" s="372">
        <v>28</v>
      </c>
      <c r="F484" s="372">
        <f>IFERROR(INDEX('NonART prices by med'!$D$2:$D$102,MATCH(D484,'NonART prices by med'!$A$2:$A$102,0)),"")</f>
        <v>0.1467857142857143</v>
      </c>
      <c r="G484" s="372">
        <f t="shared" si="15"/>
        <v>4.1100000000000003</v>
      </c>
      <c r="H484" s="372">
        <f t="shared" si="16"/>
        <v>1</v>
      </c>
    </row>
    <row r="485" spans="1:8">
      <c r="A485" s="372">
        <v>60</v>
      </c>
      <c r="B485" s="373">
        <v>42926</v>
      </c>
      <c r="C485" s="373">
        <v>43201</v>
      </c>
      <c r="D485" s="372">
        <v>109</v>
      </c>
      <c r="E485" s="372">
        <v>28</v>
      </c>
      <c r="F485" s="372">
        <f>IFERROR(INDEX('NonART prices by med'!$D$2:$D$102,MATCH(D485,'NonART prices by med'!$A$2:$A$102,0)),"")</f>
        <v>0.29699636168187971</v>
      </c>
      <c r="G485" s="372">
        <f t="shared" si="15"/>
        <v>8.3158981270926322</v>
      </c>
      <c r="H485" s="372">
        <f t="shared" si="16"/>
        <v>1</v>
      </c>
    </row>
    <row r="486" spans="1:8">
      <c r="A486" s="372">
        <v>60</v>
      </c>
      <c r="B486" s="373">
        <v>42926</v>
      </c>
      <c r="C486" s="373">
        <v>43285</v>
      </c>
      <c r="D486" s="372">
        <v>109</v>
      </c>
      <c r="E486" s="372">
        <v>14</v>
      </c>
      <c r="F486" s="372">
        <f>IFERROR(INDEX('NonART prices by med'!$D$2:$D$102,MATCH(D486,'NonART prices by med'!$A$2:$A$102,0)),"")</f>
        <v>0.29699636168187971</v>
      </c>
      <c r="G486" s="372">
        <f t="shared" si="15"/>
        <v>4.1579490635463161</v>
      </c>
      <c r="H486" s="372">
        <f t="shared" si="16"/>
        <v>1</v>
      </c>
    </row>
    <row r="487" spans="1:8">
      <c r="A487" s="372">
        <v>60</v>
      </c>
      <c r="B487" s="373">
        <v>42926</v>
      </c>
      <c r="C487" s="373">
        <v>43313</v>
      </c>
      <c r="D487" s="372">
        <v>13</v>
      </c>
      <c r="E487" s="372">
        <v>56</v>
      </c>
      <c r="F487" s="372">
        <f>IFERROR(INDEX('NonART prices by med'!$D$2:$D$102,MATCH(D487,'NonART prices by med'!$A$2:$A$102,0)),"")</f>
        <v>0.15256434030246604</v>
      </c>
      <c r="G487" s="372">
        <f t="shared" si="15"/>
        <v>8.5436030569380979</v>
      </c>
      <c r="H487" s="372">
        <f t="shared" si="16"/>
        <v>0</v>
      </c>
    </row>
    <row r="488" spans="1:8">
      <c r="A488" s="372">
        <v>60</v>
      </c>
      <c r="B488" s="373">
        <v>42926</v>
      </c>
      <c r="C488" s="373">
        <v>43369</v>
      </c>
      <c r="D488" s="372">
        <v>24</v>
      </c>
      <c r="E488" s="372">
        <v>28</v>
      </c>
      <c r="F488" s="372">
        <f>IFERROR(INDEX('NonART prices by med'!$D$2:$D$102,MATCH(D488,'NonART prices by med'!$A$2:$A$102,0)),"")</f>
        <v>0.1467857142857143</v>
      </c>
      <c r="G488" s="372">
        <f t="shared" si="15"/>
        <v>4.1100000000000003</v>
      </c>
      <c r="H488" s="372">
        <f t="shared" si="16"/>
        <v>0</v>
      </c>
    </row>
    <row r="489" spans="1:8">
      <c r="A489" s="372">
        <v>60</v>
      </c>
      <c r="B489" s="373">
        <v>42926</v>
      </c>
      <c r="C489" s="373">
        <v>43397</v>
      </c>
      <c r="D489" s="372">
        <v>13</v>
      </c>
      <c r="E489" s="372">
        <v>56</v>
      </c>
      <c r="F489" s="372">
        <f>IFERROR(INDEX('NonART prices by med'!$D$2:$D$102,MATCH(D489,'NonART prices by med'!$A$2:$A$102,0)),"")</f>
        <v>0.15256434030246604</v>
      </c>
      <c r="G489" s="372">
        <f t="shared" si="15"/>
        <v>8.5436030569380979</v>
      </c>
      <c r="H489" s="372">
        <f t="shared" si="16"/>
        <v>0</v>
      </c>
    </row>
    <row r="490" spans="1:8">
      <c r="A490" s="372">
        <v>61</v>
      </c>
      <c r="B490" s="373">
        <v>42907</v>
      </c>
      <c r="C490" s="373">
        <v>42907</v>
      </c>
      <c r="D490" s="372">
        <v>35</v>
      </c>
      <c r="E490" s="372">
        <v>28</v>
      </c>
      <c r="F490" s="372">
        <f>IFERROR(INDEX('NonART prices by med'!$D$2:$D$102,MATCH(D490,'NonART prices by med'!$A$2:$A$102,0)),"")</f>
        <v>0.60205838048342708</v>
      </c>
      <c r="G490" s="372">
        <f t="shared" si="15"/>
        <v>16.857634653535957</v>
      </c>
      <c r="H490" s="372">
        <f t="shared" si="16"/>
        <v>1</v>
      </c>
    </row>
    <row r="491" spans="1:8">
      <c r="A491" s="372">
        <v>61</v>
      </c>
      <c r="B491" s="373">
        <v>42907</v>
      </c>
      <c r="C491" s="373">
        <v>42934</v>
      </c>
      <c r="D491" s="372">
        <v>411</v>
      </c>
      <c r="E491" s="372">
        <v>28</v>
      </c>
      <c r="F491" s="372">
        <f>IFERROR(INDEX('NonART prices by med'!$D$2:$D$102,MATCH(D491,'NonART prices by med'!$A$2:$A$102,0)),"")</f>
        <v>0.10354499389265867</v>
      </c>
      <c r="G491" s="372">
        <f t="shared" si="15"/>
        <v>2.8992598289944427</v>
      </c>
      <c r="H491" s="372">
        <f t="shared" si="16"/>
        <v>1</v>
      </c>
    </row>
    <row r="492" spans="1:8">
      <c r="A492" s="372">
        <v>61</v>
      </c>
      <c r="B492" s="373">
        <v>42907</v>
      </c>
      <c r="C492" s="373">
        <v>42991</v>
      </c>
      <c r="D492" s="372">
        <v>35</v>
      </c>
      <c r="E492" s="372">
        <v>28</v>
      </c>
      <c r="F492" s="372">
        <f>IFERROR(INDEX('NonART prices by med'!$D$2:$D$102,MATCH(D492,'NonART prices by med'!$A$2:$A$102,0)),"")</f>
        <v>0.60205838048342708</v>
      </c>
      <c r="G492" s="372">
        <f t="shared" si="15"/>
        <v>16.857634653535957</v>
      </c>
      <c r="H492" s="372">
        <f t="shared" si="16"/>
        <v>1</v>
      </c>
    </row>
    <row r="493" spans="1:8">
      <c r="A493" s="372">
        <v>61</v>
      </c>
      <c r="B493" s="373">
        <v>42907</v>
      </c>
      <c r="C493" s="373">
        <v>43024</v>
      </c>
      <c r="D493" s="372">
        <v>411</v>
      </c>
      <c r="E493" s="372">
        <v>56</v>
      </c>
      <c r="F493" s="372">
        <f>IFERROR(INDEX('NonART prices by med'!$D$2:$D$102,MATCH(D493,'NonART prices by med'!$A$2:$A$102,0)),"")</f>
        <v>0.10354499389265867</v>
      </c>
      <c r="G493" s="372">
        <f t="shared" si="15"/>
        <v>5.7985196579888854</v>
      </c>
      <c r="H493" s="372">
        <f t="shared" si="16"/>
        <v>1</v>
      </c>
    </row>
    <row r="494" spans="1:8">
      <c r="A494" s="372">
        <v>61</v>
      </c>
      <c r="B494" s="373">
        <v>42907</v>
      </c>
      <c r="C494" s="373">
        <v>43083</v>
      </c>
      <c r="D494" s="372">
        <v>411</v>
      </c>
      <c r="E494" s="372">
        <v>28</v>
      </c>
      <c r="F494" s="372">
        <f>IFERROR(INDEX('NonART prices by med'!$D$2:$D$102,MATCH(D494,'NonART prices by med'!$A$2:$A$102,0)),"")</f>
        <v>0.10354499389265867</v>
      </c>
      <c r="G494" s="372">
        <f t="shared" si="15"/>
        <v>2.8992598289944427</v>
      </c>
      <c r="H494" s="372">
        <f t="shared" si="16"/>
        <v>1</v>
      </c>
    </row>
    <row r="495" spans="1:8">
      <c r="A495" s="372">
        <v>62</v>
      </c>
      <c r="B495" s="373">
        <v>42936</v>
      </c>
      <c r="C495" s="373">
        <v>42936</v>
      </c>
      <c r="D495" s="372">
        <v>225</v>
      </c>
      <c r="E495" s="372">
        <v>28</v>
      </c>
      <c r="F495" s="372">
        <f>IFERROR(INDEX('NonART prices by med'!$D$2:$D$102,MATCH(D495,'NonART prices by med'!$A$2:$A$102,0)),"")</f>
        <v>0.19315423345580862</v>
      </c>
      <c r="G495" s="372">
        <f t="shared" si="15"/>
        <v>5.408318536762641</v>
      </c>
      <c r="H495" s="372">
        <f t="shared" si="16"/>
        <v>1</v>
      </c>
    </row>
    <row r="496" spans="1:8">
      <c r="A496" s="372">
        <v>62</v>
      </c>
      <c r="B496" s="373">
        <v>42936</v>
      </c>
      <c r="C496" s="373">
        <v>42951</v>
      </c>
      <c r="D496" s="372">
        <v>225</v>
      </c>
      <c r="E496" s="372">
        <v>28</v>
      </c>
      <c r="F496" s="372">
        <f>IFERROR(INDEX('NonART prices by med'!$D$2:$D$102,MATCH(D496,'NonART prices by med'!$A$2:$A$102,0)),"")</f>
        <v>0.19315423345580862</v>
      </c>
      <c r="G496" s="372">
        <f t="shared" si="15"/>
        <v>5.408318536762641</v>
      </c>
      <c r="H496" s="372">
        <f t="shared" si="16"/>
        <v>1</v>
      </c>
    </row>
    <row r="497" spans="1:8">
      <c r="A497" s="372">
        <v>62</v>
      </c>
      <c r="B497" s="373">
        <v>42936</v>
      </c>
      <c r="C497" s="373">
        <v>43006</v>
      </c>
      <c r="D497" s="372">
        <v>35</v>
      </c>
      <c r="E497" s="372">
        <v>56</v>
      </c>
      <c r="F497" s="372">
        <f>IFERROR(INDEX('NonART prices by med'!$D$2:$D$102,MATCH(D497,'NonART prices by med'!$A$2:$A$102,0)),"")</f>
        <v>0.60205838048342708</v>
      </c>
      <c r="G497" s="372">
        <f t="shared" si="15"/>
        <v>33.715269307071914</v>
      </c>
      <c r="H497" s="372">
        <f t="shared" si="16"/>
        <v>1</v>
      </c>
    </row>
    <row r="498" spans="1:8">
      <c r="A498" s="372">
        <v>62</v>
      </c>
      <c r="B498" s="373">
        <v>42936</v>
      </c>
      <c r="C498" s="373">
        <v>43061</v>
      </c>
      <c r="D498" s="372">
        <v>35</v>
      </c>
      <c r="E498" s="372">
        <v>56</v>
      </c>
      <c r="F498" s="372">
        <f>IFERROR(INDEX('NonART prices by med'!$D$2:$D$102,MATCH(D498,'NonART prices by med'!$A$2:$A$102,0)),"")</f>
        <v>0.60205838048342708</v>
      </c>
      <c r="G498" s="372">
        <f t="shared" si="15"/>
        <v>33.715269307071914</v>
      </c>
      <c r="H498" s="372">
        <f t="shared" si="16"/>
        <v>1</v>
      </c>
    </row>
    <row r="499" spans="1:8">
      <c r="A499" s="372">
        <v>62</v>
      </c>
      <c r="B499" s="373">
        <v>42936</v>
      </c>
      <c r="C499" s="373">
        <v>43103</v>
      </c>
      <c r="D499" s="372">
        <v>215</v>
      </c>
      <c r="E499" s="372">
        <v>28</v>
      </c>
      <c r="F499" s="372">
        <f>IFERROR(INDEX('NonART prices by med'!$D$2:$D$102,MATCH(D499,'NonART prices by med'!$A$2:$A$102,0)),"")</f>
        <v>0.27607142857142858</v>
      </c>
      <c r="G499" s="372">
        <f t="shared" si="15"/>
        <v>7.73</v>
      </c>
      <c r="H499" s="372">
        <f t="shared" si="16"/>
        <v>1</v>
      </c>
    </row>
    <row r="500" spans="1:8">
      <c r="A500" s="372">
        <v>63</v>
      </c>
      <c r="B500" s="373">
        <v>42935</v>
      </c>
      <c r="C500" s="373">
        <v>42936</v>
      </c>
      <c r="D500" s="372">
        <v>132</v>
      </c>
      <c r="E500" s="372">
        <v>168</v>
      </c>
      <c r="F500" s="372">
        <f>IFERROR(INDEX('NonART prices by med'!$D$2:$D$102,MATCH(D500,'NonART prices by med'!$A$2:$A$102,0)),"")</f>
        <v>7.0309523809523822E-2</v>
      </c>
      <c r="G500" s="372">
        <f t="shared" si="15"/>
        <v>11.812000000000001</v>
      </c>
      <c r="H500" s="372">
        <f t="shared" si="16"/>
        <v>1</v>
      </c>
    </row>
    <row r="501" spans="1:8">
      <c r="A501" s="372">
        <v>63</v>
      </c>
      <c r="B501" s="373">
        <v>42935</v>
      </c>
      <c r="C501" s="373">
        <v>42951</v>
      </c>
      <c r="D501" s="372">
        <v>35</v>
      </c>
      <c r="E501" s="372">
        <v>28</v>
      </c>
      <c r="F501" s="372">
        <f>IFERROR(INDEX('NonART prices by med'!$D$2:$D$102,MATCH(D501,'NonART prices by med'!$A$2:$A$102,0)),"")</f>
        <v>0.60205838048342708</v>
      </c>
      <c r="G501" s="372">
        <f t="shared" si="15"/>
        <v>16.857634653535957</v>
      </c>
      <c r="H501" s="372">
        <f t="shared" si="16"/>
        <v>1</v>
      </c>
    </row>
    <row r="502" spans="1:8">
      <c r="A502" s="372">
        <v>63</v>
      </c>
      <c r="B502" s="373">
        <v>42935</v>
      </c>
      <c r="C502" s="373">
        <v>42986</v>
      </c>
      <c r="D502" s="372">
        <v>35</v>
      </c>
      <c r="E502" s="372">
        <v>28</v>
      </c>
      <c r="F502" s="372">
        <f>IFERROR(INDEX('NonART prices by med'!$D$2:$D$102,MATCH(D502,'NonART prices by med'!$A$2:$A$102,0)),"")</f>
        <v>0.60205838048342708</v>
      </c>
      <c r="G502" s="372">
        <f t="shared" si="15"/>
        <v>16.857634653535957</v>
      </c>
      <c r="H502" s="372">
        <f t="shared" si="16"/>
        <v>1</v>
      </c>
    </row>
    <row r="503" spans="1:8">
      <c r="A503" s="372">
        <v>63</v>
      </c>
      <c r="B503" s="373">
        <v>42935</v>
      </c>
      <c r="C503" s="373">
        <v>43014</v>
      </c>
      <c r="D503" s="372">
        <v>290</v>
      </c>
      <c r="E503" s="372">
        <v>5</v>
      </c>
      <c r="F503" s="372">
        <f>IFERROR(INDEX('NonART prices by med'!$D$2:$D$102,MATCH(D503,'NonART prices by med'!$A$2:$A$102,0)),"")</f>
        <v>0.37279999999999996</v>
      </c>
      <c r="G503" s="372">
        <f t="shared" si="15"/>
        <v>1.8639999999999999</v>
      </c>
      <c r="H503" s="372">
        <f t="shared" si="16"/>
        <v>1</v>
      </c>
    </row>
    <row r="504" spans="1:8">
      <c r="A504" s="372">
        <v>63</v>
      </c>
      <c r="B504" s="373">
        <v>42935</v>
      </c>
      <c r="C504" s="373">
        <v>43041</v>
      </c>
      <c r="D504" s="372">
        <v>215</v>
      </c>
      <c r="F504" s="372">
        <f>IFERROR(INDEX('NonART prices by med'!$D$2:$D$102,MATCH(D504,'NonART prices by med'!$A$2:$A$102,0)),"")</f>
        <v>0.27607142857142858</v>
      </c>
      <c r="G504" s="372">
        <f t="shared" si="15"/>
        <v>0</v>
      </c>
      <c r="H504" s="372">
        <f t="shared" si="16"/>
        <v>1</v>
      </c>
    </row>
    <row r="505" spans="1:8">
      <c r="A505" s="372">
        <v>63</v>
      </c>
      <c r="B505" s="373">
        <v>42935</v>
      </c>
      <c r="C505" s="373">
        <v>43075</v>
      </c>
      <c r="D505" s="372">
        <v>35</v>
      </c>
      <c r="E505" s="372">
        <v>28</v>
      </c>
      <c r="F505" s="372">
        <f>IFERROR(INDEX('NonART prices by med'!$D$2:$D$102,MATCH(D505,'NonART prices by med'!$A$2:$A$102,0)),"")</f>
        <v>0.60205838048342708</v>
      </c>
      <c r="G505" s="372">
        <f t="shared" si="15"/>
        <v>16.857634653535957</v>
      </c>
      <c r="H505" s="372">
        <f t="shared" si="16"/>
        <v>1</v>
      </c>
    </row>
    <row r="506" spans="1:8">
      <c r="A506" s="372">
        <v>63</v>
      </c>
      <c r="B506" s="373">
        <v>42935</v>
      </c>
      <c r="C506" s="373">
        <v>43115</v>
      </c>
      <c r="D506" s="372">
        <v>35</v>
      </c>
      <c r="E506" s="372">
        <v>28</v>
      </c>
      <c r="F506" s="372">
        <f>IFERROR(INDEX('NonART prices by med'!$D$2:$D$102,MATCH(D506,'NonART prices by med'!$A$2:$A$102,0)),"")</f>
        <v>0.60205838048342708</v>
      </c>
      <c r="G506" s="372">
        <f t="shared" si="15"/>
        <v>16.857634653535957</v>
      </c>
      <c r="H506" s="372">
        <f t="shared" si="16"/>
        <v>1</v>
      </c>
    </row>
    <row r="507" spans="1:8">
      <c r="A507" s="372">
        <v>64</v>
      </c>
      <c r="B507" s="373">
        <v>42936</v>
      </c>
      <c r="C507" s="373">
        <v>42936</v>
      </c>
      <c r="D507" s="372">
        <v>225</v>
      </c>
      <c r="E507" s="372">
        <v>28</v>
      </c>
      <c r="F507" s="372">
        <f>IFERROR(INDEX('NonART prices by med'!$D$2:$D$102,MATCH(D507,'NonART prices by med'!$A$2:$A$102,0)),"")</f>
        <v>0.19315423345580862</v>
      </c>
      <c r="G507" s="372">
        <f t="shared" si="15"/>
        <v>5.408318536762641</v>
      </c>
      <c r="H507" s="372">
        <f t="shared" si="16"/>
        <v>1</v>
      </c>
    </row>
    <row r="508" spans="1:8">
      <c r="A508" s="372">
        <v>64</v>
      </c>
      <c r="B508" s="373">
        <v>42936</v>
      </c>
      <c r="C508" s="373">
        <v>42951</v>
      </c>
      <c r="D508" s="372">
        <v>35</v>
      </c>
      <c r="E508" s="372">
        <v>56</v>
      </c>
      <c r="F508" s="372">
        <f>IFERROR(INDEX('NonART prices by med'!$D$2:$D$102,MATCH(D508,'NonART prices by med'!$A$2:$A$102,0)),"")</f>
        <v>0.60205838048342708</v>
      </c>
      <c r="G508" s="372">
        <f t="shared" si="15"/>
        <v>33.715269307071914</v>
      </c>
      <c r="H508" s="372">
        <f t="shared" si="16"/>
        <v>1</v>
      </c>
    </row>
    <row r="509" spans="1:8">
      <c r="A509" s="372">
        <v>64</v>
      </c>
      <c r="B509" s="373">
        <v>42936</v>
      </c>
      <c r="C509" s="373">
        <v>43006</v>
      </c>
      <c r="D509" s="372">
        <v>35</v>
      </c>
      <c r="E509" s="372">
        <v>28</v>
      </c>
      <c r="F509" s="372">
        <f>IFERROR(INDEX('NonART prices by med'!$D$2:$D$102,MATCH(D509,'NonART prices by med'!$A$2:$A$102,0)),"")</f>
        <v>0.60205838048342708</v>
      </c>
      <c r="G509" s="372">
        <f t="shared" si="15"/>
        <v>16.857634653535957</v>
      </c>
      <c r="H509" s="372">
        <f t="shared" si="16"/>
        <v>1</v>
      </c>
    </row>
    <row r="510" spans="1:8">
      <c r="A510" s="372">
        <v>65</v>
      </c>
      <c r="B510" s="373">
        <v>42936</v>
      </c>
      <c r="C510" s="373">
        <v>42936</v>
      </c>
      <c r="D510" s="372">
        <v>225</v>
      </c>
      <c r="F510" s="372">
        <f>IFERROR(INDEX('NonART prices by med'!$D$2:$D$102,MATCH(D510,'NonART prices by med'!$A$2:$A$102,0)),"")</f>
        <v>0.19315423345580862</v>
      </c>
      <c r="G510" s="372">
        <f t="shared" si="15"/>
        <v>0</v>
      </c>
      <c r="H510" s="372">
        <f t="shared" si="16"/>
        <v>1</v>
      </c>
    </row>
    <row r="511" spans="1:8">
      <c r="A511" s="372">
        <v>65</v>
      </c>
      <c r="B511" s="373">
        <v>42936</v>
      </c>
      <c r="C511" s="373">
        <v>42951</v>
      </c>
      <c r="D511" s="372">
        <v>225</v>
      </c>
      <c r="F511" s="372">
        <f>IFERROR(INDEX('NonART prices by med'!$D$2:$D$102,MATCH(D511,'NonART prices by med'!$A$2:$A$102,0)),"")</f>
        <v>0.19315423345580862</v>
      </c>
      <c r="G511" s="372">
        <f t="shared" si="15"/>
        <v>0</v>
      </c>
      <c r="H511" s="372">
        <f t="shared" si="16"/>
        <v>1</v>
      </c>
    </row>
    <row r="512" spans="1:8">
      <c r="A512" s="372">
        <v>65</v>
      </c>
      <c r="B512" s="373">
        <v>42936</v>
      </c>
      <c r="C512" s="373">
        <v>43006</v>
      </c>
      <c r="D512" s="372">
        <v>35</v>
      </c>
      <c r="E512" s="372">
        <v>56</v>
      </c>
      <c r="F512" s="372">
        <f>IFERROR(INDEX('NonART prices by med'!$D$2:$D$102,MATCH(D512,'NonART prices by med'!$A$2:$A$102,0)),"")</f>
        <v>0.60205838048342708</v>
      </c>
      <c r="G512" s="372">
        <f t="shared" si="15"/>
        <v>33.715269307071914</v>
      </c>
      <c r="H512" s="372">
        <f t="shared" si="16"/>
        <v>1</v>
      </c>
    </row>
    <row r="513" spans="1:8">
      <c r="A513" s="372">
        <v>65</v>
      </c>
      <c r="B513" s="373">
        <v>42936</v>
      </c>
      <c r="C513" s="373">
        <v>43061</v>
      </c>
      <c r="D513" s="372">
        <v>35</v>
      </c>
      <c r="E513" s="372">
        <v>56</v>
      </c>
      <c r="F513" s="372">
        <f>IFERROR(INDEX('NonART prices by med'!$D$2:$D$102,MATCH(D513,'NonART prices by med'!$A$2:$A$102,0)),"")</f>
        <v>0.60205838048342708</v>
      </c>
      <c r="G513" s="372">
        <f t="shared" si="15"/>
        <v>33.715269307071914</v>
      </c>
      <c r="H513" s="372">
        <f t="shared" si="16"/>
        <v>1</v>
      </c>
    </row>
    <row r="514" spans="1:8">
      <c r="A514" s="372">
        <v>65</v>
      </c>
      <c r="B514" s="373">
        <v>42936</v>
      </c>
      <c r="C514" s="373">
        <v>43103</v>
      </c>
      <c r="D514" s="372">
        <v>215</v>
      </c>
      <c r="F514" s="372">
        <f>IFERROR(INDEX('NonART prices by med'!$D$2:$D$102,MATCH(D514,'NonART prices by med'!$A$2:$A$102,0)),"")</f>
        <v>0.27607142857142858</v>
      </c>
      <c r="G514" s="372">
        <f t="shared" si="15"/>
        <v>0</v>
      </c>
      <c r="H514" s="372">
        <f t="shared" si="16"/>
        <v>1</v>
      </c>
    </row>
    <row r="515" spans="1:8">
      <c r="A515" s="372">
        <v>65</v>
      </c>
      <c r="B515" s="373">
        <v>42936</v>
      </c>
      <c r="C515" s="373">
        <v>43201</v>
      </c>
      <c r="D515" s="372">
        <v>121</v>
      </c>
      <c r="E515" s="372">
        <v>2</v>
      </c>
      <c r="F515" s="372">
        <f>IFERROR(INDEX('NonART prices by med'!$D$2:$D$102,MATCH(D515,'NonART prices by med'!$A$2:$A$102,0)),"")</f>
        <v>78.239999999999995</v>
      </c>
      <c r="G515" s="372">
        <f t="shared" ref="G515:G578" si="17">IFERROR(E515*F515,"")</f>
        <v>156.47999999999999</v>
      </c>
      <c r="H515" s="372">
        <f t="shared" si="16"/>
        <v>1</v>
      </c>
    </row>
    <row r="516" spans="1:8">
      <c r="A516" s="372">
        <v>65</v>
      </c>
      <c r="B516" s="373">
        <v>42936</v>
      </c>
      <c r="C516" s="373">
        <v>43257</v>
      </c>
      <c r="D516" s="372">
        <v>1</v>
      </c>
      <c r="E516" s="372">
        <v>2</v>
      </c>
      <c r="F516" s="372" t="str">
        <f>IFERROR(INDEX('NonART prices by med'!$D$2:$D$102,MATCH(D516,'NonART prices by med'!$A$2:$A$102,0)),"")</f>
        <v/>
      </c>
      <c r="G516" s="372" t="str">
        <f t="shared" si="17"/>
        <v/>
      </c>
      <c r="H516" s="372">
        <f t="shared" ref="H516:H579" si="18">IF(C516-B516&lt;=365,1,0)</f>
        <v>1</v>
      </c>
    </row>
    <row r="517" spans="1:8">
      <c r="A517" s="372">
        <v>65</v>
      </c>
      <c r="B517" s="373">
        <v>42936</v>
      </c>
      <c r="C517" s="373">
        <v>43334</v>
      </c>
      <c r="D517" s="372">
        <v>121</v>
      </c>
      <c r="E517" s="372">
        <v>2</v>
      </c>
      <c r="F517" s="372">
        <f>IFERROR(INDEX('NonART prices by med'!$D$2:$D$102,MATCH(D517,'NonART prices by med'!$A$2:$A$102,0)),"")</f>
        <v>78.239999999999995</v>
      </c>
      <c r="G517" s="372">
        <f t="shared" si="17"/>
        <v>156.47999999999999</v>
      </c>
      <c r="H517" s="372">
        <f t="shared" si="18"/>
        <v>0</v>
      </c>
    </row>
    <row r="518" spans="1:8">
      <c r="A518" s="372">
        <v>65</v>
      </c>
      <c r="B518" s="373">
        <v>42936</v>
      </c>
      <c r="C518" s="373">
        <v>43448</v>
      </c>
      <c r="D518" s="372">
        <v>225</v>
      </c>
      <c r="E518" s="372">
        <v>28</v>
      </c>
      <c r="F518" s="372">
        <f>IFERROR(INDEX('NonART prices by med'!$D$2:$D$102,MATCH(D518,'NonART prices by med'!$A$2:$A$102,0)),"")</f>
        <v>0.19315423345580862</v>
      </c>
      <c r="G518" s="372">
        <f t="shared" si="17"/>
        <v>5.408318536762641</v>
      </c>
      <c r="H518" s="372">
        <f t="shared" si="18"/>
        <v>0</v>
      </c>
    </row>
    <row r="519" spans="1:8">
      <c r="A519" s="372">
        <v>66</v>
      </c>
      <c r="B519" s="373">
        <v>42935</v>
      </c>
      <c r="C519" s="373">
        <v>42935</v>
      </c>
      <c r="D519" s="372">
        <v>132</v>
      </c>
      <c r="E519" s="372">
        <v>168</v>
      </c>
      <c r="F519" s="372">
        <f>IFERROR(INDEX('NonART prices by med'!$D$2:$D$102,MATCH(D519,'NonART prices by med'!$A$2:$A$102,0)),"")</f>
        <v>7.0309523809523822E-2</v>
      </c>
      <c r="G519" s="372">
        <f t="shared" si="17"/>
        <v>11.812000000000001</v>
      </c>
      <c r="H519" s="372">
        <f t="shared" si="18"/>
        <v>1</v>
      </c>
    </row>
    <row r="520" spans="1:8">
      <c r="A520" s="372">
        <v>66</v>
      </c>
      <c r="B520" s="373">
        <v>42935</v>
      </c>
      <c r="C520" s="373">
        <v>42997</v>
      </c>
      <c r="D520" s="372">
        <v>342</v>
      </c>
      <c r="E520" s="372">
        <v>28</v>
      </c>
      <c r="F520" s="372">
        <f>IFERROR(INDEX('NonART prices by med'!$D$2:$D$102,MATCH(D520,'NonART prices by med'!$A$2:$A$102,0)),"")</f>
        <v>0.26590000152587889</v>
      </c>
      <c r="G520" s="372">
        <f t="shared" si="17"/>
        <v>7.4452000427246094</v>
      </c>
      <c r="H520" s="372">
        <f t="shared" si="18"/>
        <v>1</v>
      </c>
    </row>
    <row r="521" spans="1:8">
      <c r="A521" s="372">
        <v>66</v>
      </c>
      <c r="B521" s="373">
        <v>42935</v>
      </c>
      <c r="C521" s="373">
        <v>43025</v>
      </c>
      <c r="D521" s="372">
        <v>35</v>
      </c>
      <c r="E521" s="372">
        <v>28</v>
      </c>
      <c r="F521" s="372">
        <f>IFERROR(INDEX('NonART prices by med'!$D$2:$D$102,MATCH(D521,'NonART prices by med'!$A$2:$A$102,0)),"")</f>
        <v>0.60205838048342708</v>
      </c>
      <c r="G521" s="372">
        <f t="shared" si="17"/>
        <v>16.857634653535957</v>
      </c>
      <c r="H521" s="372">
        <f t="shared" si="18"/>
        <v>1</v>
      </c>
    </row>
    <row r="522" spans="1:8">
      <c r="A522" s="372">
        <v>66</v>
      </c>
      <c r="B522" s="373">
        <v>42935</v>
      </c>
      <c r="C522" s="373">
        <v>43053</v>
      </c>
      <c r="D522" s="372">
        <v>35</v>
      </c>
      <c r="E522" s="372">
        <v>28</v>
      </c>
      <c r="F522" s="372">
        <f>IFERROR(INDEX('NonART prices by med'!$D$2:$D$102,MATCH(D522,'NonART prices by med'!$A$2:$A$102,0)),"")</f>
        <v>0.60205838048342708</v>
      </c>
      <c r="G522" s="372">
        <f t="shared" si="17"/>
        <v>16.857634653535957</v>
      </c>
      <c r="H522" s="372">
        <f t="shared" si="18"/>
        <v>1</v>
      </c>
    </row>
    <row r="523" spans="1:8">
      <c r="A523" s="372">
        <v>66</v>
      </c>
      <c r="B523" s="373">
        <v>42935</v>
      </c>
      <c r="C523" s="373">
        <v>43081</v>
      </c>
      <c r="D523" s="372">
        <v>342</v>
      </c>
      <c r="E523" s="372">
        <v>28</v>
      </c>
      <c r="F523" s="372">
        <f>IFERROR(INDEX('NonART prices by med'!$D$2:$D$102,MATCH(D523,'NonART prices by med'!$A$2:$A$102,0)),"")</f>
        <v>0.26590000152587889</v>
      </c>
      <c r="G523" s="372">
        <f t="shared" si="17"/>
        <v>7.4452000427246094</v>
      </c>
      <c r="H523" s="372">
        <f t="shared" si="18"/>
        <v>1</v>
      </c>
    </row>
    <row r="524" spans="1:8">
      <c r="A524" s="372">
        <v>66</v>
      </c>
      <c r="B524" s="373">
        <v>42935</v>
      </c>
      <c r="C524" s="373">
        <v>43109</v>
      </c>
      <c r="D524" s="372">
        <v>35</v>
      </c>
      <c r="E524" s="372">
        <v>28</v>
      </c>
      <c r="F524" s="372">
        <f>IFERROR(INDEX('NonART prices by med'!$D$2:$D$102,MATCH(D524,'NonART prices by med'!$A$2:$A$102,0)),"")</f>
        <v>0.60205838048342708</v>
      </c>
      <c r="G524" s="372">
        <f t="shared" si="17"/>
        <v>16.857634653535957</v>
      </c>
      <c r="H524" s="372">
        <f t="shared" si="18"/>
        <v>1</v>
      </c>
    </row>
    <row r="525" spans="1:8">
      <c r="A525" s="372">
        <v>67</v>
      </c>
      <c r="B525" s="373">
        <v>42935</v>
      </c>
      <c r="C525" s="373">
        <v>42935</v>
      </c>
      <c r="D525" s="372">
        <v>215</v>
      </c>
      <c r="E525" s="372">
        <v>28</v>
      </c>
      <c r="F525" s="372">
        <f>IFERROR(INDEX('NonART prices by med'!$D$2:$D$102,MATCH(D525,'NonART prices by med'!$A$2:$A$102,0)),"")</f>
        <v>0.27607142857142858</v>
      </c>
      <c r="G525" s="372">
        <f t="shared" si="17"/>
        <v>7.73</v>
      </c>
      <c r="H525" s="372">
        <f t="shared" si="18"/>
        <v>1</v>
      </c>
    </row>
    <row r="526" spans="1:8">
      <c r="A526" s="372">
        <v>67</v>
      </c>
      <c r="B526" s="373">
        <v>42935</v>
      </c>
      <c r="C526" s="373">
        <v>42950</v>
      </c>
      <c r="D526" s="372">
        <v>215</v>
      </c>
      <c r="E526" s="372">
        <v>28</v>
      </c>
      <c r="F526" s="372">
        <f>IFERROR(INDEX('NonART prices by med'!$D$2:$D$102,MATCH(D526,'NonART prices by med'!$A$2:$A$102,0)),"")</f>
        <v>0.27607142857142858</v>
      </c>
      <c r="G526" s="372">
        <f t="shared" si="17"/>
        <v>7.73</v>
      </c>
      <c r="H526" s="372">
        <f t="shared" si="18"/>
        <v>1</v>
      </c>
    </row>
    <row r="527" spans="1:8">
      <c r="A527" s="372">
        <v>67</v>
      </c>
      <c r="B527" s="373">
        <v>42935</v>
      </c>
      <c r="C527" s="373">
        <v>43034</v>
      </c>
      <c r="D527" s="372">
        <v>132</v>
      </c>
      <c r="E527" s="372">
        <v>168</v>
      </c>
      <c r="F527" s="372">
        <f>IFERROR(INDEX('NonART prices by med'!$D$2:$D$102,MATCH(D527,'NonART prices by med'!$A$2:$A$102,0)),"")</f>
        <v>7.0309523809523822E-2</v>
      </c>
      <c r="G527" s="372">
        <f t="shared" si="17"/>
        <v>11.812000000000001</v>
      </c>
      <c r="H527" s="372">
        <f t="shared" si="18"/>
        <v>1</v>
      </c>
    </row>
    <row r="528" spans="1:8">
      <c r="A528" s="372">
        <v>67</v>
      </c>
      <c r="B528" s="373">
        <v>42935</v>
      </c>
      <c r="C528" s="373">
        <v>43047</v>
      </c>
      <c r="D528" s="372">
        <v>225</v>
      </c>
      <c r="E528" s="372">
        <v>28</v>
      </c>
      <c r="F528" s="372">
        <f>IFERROR(INDEX('NonART prices by med'!$D$2:$D$102,MATCH(D528,'NonART prices by med'!$A$2:$A$102,0)),"")</f>
        <v>0.19315423345580862</v>
      </c>
      <c r="G528" s="372">
        <f t="shared" si="17"/>
        <v>5.408318536762641</v>
      </c>
      <c r="H528" s="372">
        <f t="shared" si="18"/>
        <v>1</v>
      </c>
    </row>
    <row r="529" spans="1:8">
      <c r="A529" s="372">
        <v>68</v>
      </c>
      <c r="B529" s="373">
        <v>42912</v>
      </c>
      <c r="C529" s="373">
        <v>42969</v>
      </c>
      <c r="D529" s="372">
        <v>35</v>
      </c>
      <c r="E529" s="372">
        <v>56</v>
      </c>
      <c r="F529" s="372">
        <f>IFERROR(INDEX('NonART prices by med'!$D$2:$D$102,MATCH(D529,'NonART prices by med'!$A$2:$A$102,0)),"")</f>
        <v>0.60205838048342708</v>
      </c>
      <c r="G529" s="372">
        <f t="shared" si="17"/>
        <v>33.715269307071914</v>
      </c>
      <c r="H529" s="372">
        <f t="shared" si="18"/>
        <v>1</v>
      </c>
    </row>
    <row r="530" spans="1:8">
      <c r="A530" s="372">
        <v>68</v>
      </c>
      <c r="B530" s="373">
        <v>42912</v>
      </c>
      <c r="C530" s="373">
        <v>43012</v>
      </c>
      <c r="D530" s="372">
        <v>35</v>
      </c>
      <c r="E530" s="372">
        <v>28</v>
      </c>
      <c r="F530" s="372">
        <f>IFERROR(INDEX('NonART prices by med'!$D$2:$D$102,MATCH(D530,'NonART prices by med'!$A$2:$A$102,0)),"")</f>
        <v>0.60205838048342708</v>
      </c>
      <c r="G530" s="372">
        <f t="shared" si="17"/>
        <v>16.857634653535957</v>
      </c>
      <c r="H530" s="372">
        <f t="shared" si="18"/>
        <v>1</v>
      </c>
    </row>
    <row r="531" spans="1:8">
      <c r="A531" s="372">
        <v>68</v>
      </c>
      <c r="B531" s="373">
        <v>42912</v>
      </c>
      <c r="C531" s="373">
        <v>43040</v>
      </c>
      <c r="D531" s="372">
        <v>35</v>
      </c>
      <c r="E531" s="372">
        <v>56</v>
      </c>
      <c r="F531" s="372">
        <f>IFERROR(INDEX('NonART prices by med'!$D$2:$D$102,MATCH(D531,'NonART prices by med'!$A$2:$A$102,0)),"")</f>
        <v>0.60205838048342708</v>
      </c>
      <c r="G531" s="372">
        <f t="shared" si="17"/>
        <v>33.715269307071914</v>
      </c>
      <c r="H531" s="372">
        <f t="shared" si="18"/>
        <v>1</v>
      </c>
    </row>
    <row r="532" spans="1:8">
      <c r="A532" s="372">
        <v>68</v>
      </c>
      <c r="B532" s="373">
        <v>42912</v>
      </c>
      <c r="C532" s="373">
        <v>43320</v>
      </c>
      <c r="D532" s="372">
        <v>318</v>
      </c>
      <c r="E532" s="372">
        <v>20</v>
      </c>
      <c r="F532" s="372">
        <f>IFERROR(INDEX('NonART prices by med'!$D$2:$D$102,MATCH(D532,'NonART prices by med'!$A$2:$A$102,0)),"")</f>
        <v>0.19286066077210379</v>
      </c>
      <c r="G532" s="372">
        <f t="shared" si="17"/>
        <v>3.8572132154420755</v>
      </c>
      <c r="H532" s="372">
        <f t="shared" si="18"/>
        <v>0</v>
      </c>
    </row>
    <row r="533" spans="1:8">
      <c r="A533" s="372">
        <v>68</v>
      </c>
      <c r="B533" s="373">
        <v>42912</v>
      </c>
      <c r="C533" s="373">
        <v>43348</v>
      </c>
      <c r="D533" s="372">
        <v>246</v>
      </c>
      <c r="E533" s="372">
        <v>30</v>
      </c>
      <c r="F533" s="372">
        <f>IFERROR(INDEX('NonART prices by med'!$D$2:$D$102,MATCH(D533,'NonART prices by med'!$A$2:$A$102,0)),"")</f>
        <v>0.30239999964781011</v>
      </c>
      <c r="G533" s="372">
        <f t="shared" si="17"/>
        <v>9.0719999894343033</v>
      </c>
      <c r="H533" s="372">
        <f t="shared" si="18"/>
        <v>0</v>
      </c>
    </row>
    <row r="534" spans="1:8">
      <c r="A534" s="372">
        <v>70</v>
      </c>
      <c r="B534" s="373">
        <v>42934</v>
      </c>
      <c r="C534" s="373">
        <v>42934</v>
      </c>
      <c r="D534" s="372">
        <v>225</v>
      </c>
      <c r="E534" s="372">
        <v>28</v>
      </c>
      <c r="F534" s="372">
        <f>IFERROR(INDEX('NonART prices by med'!$D$2:$D$102,MATCH(D534,'NonART prices by med'!$A$2:$A$102,0)),"")</f>
        <v>0.19315423345580862</v>
      </c>
      <c r="G534" s="372">
        <f t="shared" si="17"/>
        <v>5.408318536762641</v>
      </c>
      <c r="H534" s="372">
        <f t="shared" si="18"/>
        <v>1</v>
      </c>
    </row>
    <row r="535" spans="1:8">
      <c r="A535" s="372">
        <v>70</v>
      </c>
      <c r="B535" s="373">
        <v>42934</v>
      </c>
      <c r="C535" s="373">
        <v>42993</v>
      </c>
      <c r="D535" s="372">
        <v>225</v>
      </c>
      <c r="E535" s="372">
        <v>5</v>
      </c>
      <c r="F535" s="372">
        <f>IFERROR(INDEX('NonART prices by med'!$D$2:$D$102,MATCH(D535,'NonART prices by med'!$A$2:$A$102,0)),"")</f>
        <v>0.19315423345580862</v>
      </c>
      <c r="G535" s="372">
        <f t="shared" si="17"/>
        <v>0.96577116727904311</v>
      </c>
      <c r="H535" s="372">
        <f t="shared" si="18"/>
        <v>1</v>
      </c>
    </row>
    <row r="536" spans="1:8">
      <c r="A536" s="372">
        <v>70</v>
      </c>
      <c r="B536" s="373">
        <v>42934</v>
      </c>
      <c r="C536" s="373">
        <v>43034</v>
      </c>
      <c r="D536" s="372">
        <v>411</v>
      </c>
      <c r="E536" s="372">
        <v>56</v>
      </c>
      <c r="F536" s="372">
        <f>IFERROR(INDEX('NonART prices by med'!$D$2:$D$102,MATCH(D536,'NonART prices by med'!$A$2:$A$102,0)),"")</f>
        <v>0.10354499389265867</v>
      </c>
      <c r="G536" s="372">
        <f t="shared" si="17"/>
        <v>5.7985196579888854</v>
      </c>
      <c r="H536" s="372">
        <f t="shared" si="18"/>
        <v>1</v>
      </c>
    </row>
    <row r="537" spans="1:8">
      <c r="A537" s="372">
        <v>70</v>
      </c>
      <c r="B537" s="373">
        <v>42934</v>
      </c>
      <c r="C537" s="373">
        <v>43047</v>
      </c>
      <c r="D537" s="372">
        <v>134</v>
      </c>
      <c r="E537" s="372">
        <v>28</v>
      </c>
      <c r="F537" s="372">
        <f>IFERROR(INDEX('NonART prices by med'!$D$2:$D$102,MATCH(D537,'NonART prices by med'!$A$2:$A$102,0)),"")</f>
        <v>0.39033333366993345</v>
      </c>
      <c r="G537" s="372">
        <f t="shared" si="17"/>
        <v>10.929333342758136</v>
      </c>
      <c r="H537" s="372">
        <f t="shared" si="18"/>
        <v>1</v>
      </c>
    </row>
    <row r="538" spans="1:8">
      <c r="A538" s="372">
        <v>71</v>
      </c>
      <c r="B538" s="373">
        <v>42934</v>
      </c>
      <c r="C538" s="373">
        <v>42934</v>
      </c>
      <c r="D538" s="372">
        <v>35</v>
      </c>
      <c r="E538" s="372">
        <v>28</v>
      </c>
      <c r="F538" s="372">
        <f>IFERROR(INDEX('NonART prices by med'!$D$2:$D$102,MATCH(D538,'NonART prices by med'!$A$2:$A$102,0)),"")</f>
        <v>0.60205838048342708</v>
      </c>
      <c r="G538" s="372">
        <f t="shared" si="17"/>
        <v>16.857634653535957</v>
      </c>
      <c r="H538" s="372">
        <f t="shared" si="18"/>
        <v>1</v>
      </c>
    </row>
    <row r="539" spans="1:8">
      <c r="A539" s="372">
        <v>71</v>
      </c>
      <c r="B539" s="373">
        <v>42934</v>
      </c>
      <c r="C539" s="373">
        <v>42962</v>
      </c>
      <c r="D539" s="372">
        <v>246</v>
      </c>
      <c r="F539" s="372">
        <f>IFERROR(INDEX('NonART prices by med'!$D$2:$D$102,MATCH(D539,'NonART prices by med'!$A$2:$A$102,0)),"")</f>
        <v>0.30239999964781011</v>
      </c>
      <c r="G539" s="372">
        <f t="shared" si="17"/>
        <v>0</v>
      </c>
      <c r="H539" s="372">
        <f t="shared" si="18"/>
        <v>1</v>
      </c>
    </row>
    <row r="540" spans="1:8">
      <c r="A540" s="372">
        <v>71</v>
      </c>
      <c r="B540" s="373">
        <v>42934</v>
      </c>
      <c r="C540" s="373">
        <v>42990</v>
      </c>
      <c r="D540" s="372">
        <v>408</v>
      </c>
      <c r="E540" s="372">
        <v>28</v>
      </c>
      <c r="F540" s="372">
        <f>IFERROR(INDEX('NonART prices by med'!$D$2:$D$102,MATCH(D540,'NonART prices by med'!$A$2:$A$102,0)),"")</f>
        <v>5.5E-2</v>
      </c>
      <c r="G540" s="372">
        <f t="shared" si="17"/>
        <v>1.54</v>
      </c>
      <c r="H540" s="372">
        <f t="shared" si="18"/>
        <v>1</v>
      </c>
    </row>
    <row r="541" spans="1:8">
      <c r="A541" s="372">
        <v>71</v>
      </c>
      <c r="B541" s="373">
        <v>42934</v>
      </c>
      <c r="C541" s="373">
        <v>43010</v>
      </c>
      <c r="D541" s="372">
        <v>35</v>
      </c>
      <c r="E541" s="372">
        <v>28</v>
      </c>
      <c r="F541" s="372">
        <f>IFERROR(INDEX('NonART prices by med'!$D$2:$D$102,MATCH(D541,'NonART prices by med'!$A$2:$A$102,0)),"")</f>
        <v>0.60205838048342708</v>
      </c>
      <c r="G541" s="372">
        <f t="shared" si="17"/>
        <v>16.857634653535957</v>
      </c>
      <c r="H541" s="372">
        <f t="shared" si="18"/>
        <v>1</v>
      </c>
    </row>
    <row r="542" spans="1:8">
      <c r="A542" s="372">
        <v>71</v>
      </c>
      <c r="B542" s="373">
        <v>42934</v>
      </c>
      <c r="C542" s="373">
        <v>43046</v>
      </c>
      <c r="D542" s="372">
        <v>35</v>
      </c>
      <c r="E542" s="372">
        <v>56</v>
      </c>
      <c r="F542" s="372">
        <f>IFERROR(INDEX('NonART prices by med'!$D$2:$D$102,MATCH(D542,'NonART prices by med'!$A$2:$A$102,0)),"")</f>
        <v>0.60205838048342708</v>
      </c>
      <c r="G542" s="372">
        <f t="shared" si="17"/>
        <v>33.715269307071914</v>
      </c>
      <c r="H542" s="372">
        <f t="shared" si="18"/>
        <v>1</v>
      </c>
    </row>
    <row r="543" spans="1:8">
      <c r="A543" s="372">
        <v>71</v>
      </c>
      <c r="B543" s="373">
        <v>42934</v>
      </c>
      <c r="C543" s="373">
        <v>43109</v>
      </c>
      <c r="D543" s="372">
        <v>35</v>
      </c>
      <c r="E543" s="372">
        <v>28</v>
      </c>
      <c r="F543" s="372">
        <f>IFERROR(INDEX('NonART prices by med'!$D$2:$D$102,MATCH(D543,'NonART prices by med'!$A$2:$A$102,0)),"")</f>
        <v>0.60205838048342708</v>
      </c>
      <c r="G543" s="372">
        <f t="shared" si="17"/>
        <v>16.857634653535957</v>
      </c>
      <c r="H543" s="372">
        <f t="shared" si="18"/>
        <v>1</v>
      </c>
    </row>
    <row r="544" spans="1:8">
      <c r="A544" s="372">
        <v>71</v>
      </c>
      <c r="B544" s="373">
        <v>42934</v>
      </c>
      <c r="C544" s="373">
        <v>43305</v>
      </c>
      <c r="D544" s="372">
        <v>318</v>
      </c>
      <c r="E544" s="372">
        <v>20</v>
      </c>
      <c r="F544" s="372">
        <f>IFERROR(INDEX('NonART prices by med'!$D$2:$D$102,MATCH(D544,'NonART prices by med'!$A$2:$A$102,0)),"")</f>
        <v>0.19286066077210379</v>
      </c>
      <c r="G544" s="372">
        <f t="shared" si="17"/>
        <v>3.8572132154420755</v>
      </c>
      <c r="H544" s="372">
        <f t="shared" si="18"/>
        <v>0</v>
      </c>
    </row>
    <row r="545" spans="1:8">
      <c r="A545" s="372">
        <v>72</v>
      </c>
      <c r="B545" s="373">
        <v>42934</v>
      </c>
      <c r="C545" s="373">
        <v>42934</v>
      </c>
      <c r="D545" s="372">
        <v>1</v>
      </c>
      <c r="F545" s="372" t="str">
        <f>IFERROR(INDEX('NonART prices by med'!$D$2:$D$102,MATCH(D545,'NonART prices by med'!$A$2:$A$102,0)),"")</f>
        <v/>
      </c>
      <c r="G545" s="372" t="str">
        <f t="shared" si="17"/>
        <v/>
      </c>
      <c r="H545" s="372">
        <f t="shared" si="18"/>
        <v>1</v>
      </c>
    </row>
    <row r="546" spans="1:8">
      <c r="A546" s="372">
        <v>72</v>
      </c>
      <c r="B546" s="373">
        <v>42934</v>
      </c>
      <c r="C546" s="373">
        <v>42948</v>
      </c>
      <c r="D546" s="372">
        <v>120</v>
      </c>
      <c r="E546" s="372">
        <v>3</v>
      </c>
      <c r="F546" s="372">
        <f>IFERROR(INDEX('NonART prices by med'!$D$2:$D$102,MATCH(D546,'NonART prices by med'!$A$2:$A$102,0)),"")</f>
        <v>3.4253333333333336</v>
      </c>
      <c r="G546" s="372">
        <f t="shared" si="17"/>
        <v>10.276</v>
      </c>
      <c r="H546" s="372">
        <f t="shared" si="18"/>
        <v>1</v>
      </c>
    </row>
    <row r="547" spans="1:8">
      <c r="A547" s="372">
        <v>72</v>
      </c>
      <c r="B547" s="373">
        <v>42934</v>
      </c>
      <c r="C547" s="373">
        <v>42955</v>
      </c>
      <c r="D547" s="372">
        <v>219</v>
      </c>
      <c r="E547" s="372">
        <v>40</v>
      </c>
      <c r="F547" s="372">
        <f>IFERROR(INDEX('NonART prices by med'!$D$2:$D$102,MATCH(D547,'NonART prices by med'!$A$2:$A$102,0)),"")</f>
        <v>0.55532131597376833</v>
      </c>
      <c r="G547" s="372">
        <f t="shared" si="17"/>
        <v>22.212852638950732</v>
      </c>
      <c r="H547" s="372">
        <f t="shared" si="18"/>
        <v>1</v>
      </c>
    </row>
    <row r="548" spans="1:8">
      <c r="A548" s="372">
        <v>72</v>
      </c>
      <c r="B548" s="373">
        <v>42934</v>
      </c>
      <c r="C548" s="373">
        <v>42972</v>
      </c>
      <c r="D548" s="372">
        <v>1</v>
      </c>
      <c r="E548" s="372">
        <v>18</v>
      </c>
      <c r="F548" s="372" t="str">
        <f>IFERROR(INDEX('NonART prices by med'!$D$2:$D$102,MATCH(D548,'NonART prices by med'!$A$2:$A$102,0)),"")</f>
        <v/>
      </c>
      <c r="G548" s="372" t="str">
        <f t="shared" si="17"/>
        <v/>
      </c>
      <c r="H548" s="372">
        <f t="shared" si="18"/>
        <v>1</v>
      </c>
    </row>
    <row r="549" spans="1:8">
      <c r="A549" s="372">
        <v>72</v>
      </c>
      <c r="B549" s="373">
        <v>42934</v>
      </c>
      <c r="C549" s="373">
        <v>42983</v>
      </c>
      <c r="D549" s="372">
        <v>1</v>
      </c>
      <c r="E549" s="372">
        <v>1</v>
      </c>
      <c r="F549" s="372" t="str">
        <f>IFERROR(INDEX('NonART prices by med'!$D$2:$D$102,MATCH(D549,'NonART prices by med'!$A$2:$A$102,0)),"")</f>
        <v/>
      </c>
      <c r="G549" s="372" t="str">
        <f t="shared" si="17"/>
        <v/>
      </c>
      <c r="H549" s="372">
        <f t="shared" si="18"/>
        <v>1</v>
      </c>
    </row>
    <row r="550" spans="1:8">
      <c r="A550" s="372">
        <v>72</v>
      </c>
      <c r="B550" s="373">
        <v>42934</v>
      </c>
      <c r="C550" s="373">
        <v>43019</v>
      </c>
      <c r="D550" s="372">
        <v>1</v>
      </c>
      <c r="F550" s="372" t="str">
        <f>IFERROR(INDEX('NonART prices by med'!$D$2:$D$102,MATCH(D550,'NonART prices by med'!$A$2:$A$102,0)),"")</f>
        <v/>
      </c>
      <c r="G550" s="372" t="str">
        <f t="shared" si="17"/>
        <v/>
      </c>
      <c r="H550" s="372">
        <f t="shared" si="18"/>
        <v>1</v>
      </c>
    </row>
    <row r="551" spans="1:8">
      <c r="A551" s="372">
        <v>72</v>
      </c>
      <c r="B551" s="373">
        <v>42934</v>
      </c>
      <c r="C551" s="373">
        <v>43082</v>
      </c>
      <c r="D551" s="372">
        <v>1</v>
      </c>
      <c r="F551" s="372" t="str">
        <f>IFERROR(INDEX('NonART prices by med'!$D$2:$D$102,MATCH(D551,'NonART prices by med'!$A$2:$A$102,0)),"")</f>
        <v/>
      </c>
      <c r="G551" s="372" t="str">
        <f t="shared" si="17"/>
        <v/>
      </c>
      <c r="H551" s="372">
        <f t="shared" si="18"/>
        <v>1</v>
      </c>
    </row>
    <row r="552" spans="1:8">
      <c r="A552" s="372">
        <v>72</v>
      </c>
      <c r="B552" s="373">
        <v>42934</v>
      </c>
      <c r="C552" s="373">
        <v>43376</v>
      </c>
      <c r="D552" s="372">
        <v>1</v>
      </c>
      <c r="E552" s="372">
        <v>56</v>
      </c>
      <c r="F552" s="372" t="str">
        <f>IFERROR(INDEX('NonART prices by med'!$D$2:$D$102,MATCH(D552,'NonART prices by med'!$A$2:$A$102,0)),"")</f>
        <v/>
      </c>
      <c r="G552" s="372" t="str">
        <f t="shared" si="17"/>
        <v/>
      </c>
      <c r="H552" s="372">
        <f t="shared" si="18"/>
        <v>0</v>
      </c>
    </row>
    <row r="553" spans="1:8">
      <c r="A553" s="372">
        <v>73</v>
      </c>
      <c r="B553" s="373">
        <v>42936</v>
      </c>
      <c r="C553" s="373">
        <v>42957</v>
      </c>
      <c r="D553" s="372">
        <v>35</v>
      </c>
      <c r="E553" s="372">
        <v>56</v>
      </c>
      <c r="F553" s="372">
        <f>IFERROR(INDEX('NonART prices by med'!$D$2:$D$102,MATCH(D553,'NonART prices by med'!$A$2:$A$102,0)),"")</f>
        <v>0.60205838048342708</v>
      </c>
      <c r="G553" s="372">
        <f t="shared" si="17"/>
        <v>33.715269307071914</v>
      </c>
      <c r="H553" s="372">
        <f t="shared" si="18"/>
        <v>1</v>
      </c>
    </row>
    <row r="554" spans="1:8">
      <c r="A554" s="372">
        <v>73</v>
      </c>
      <c r="B554" s="373">
        <v>42936</v>
      </c>
      <c r="C554" s="373">
        <v>43012</v>
      </c>
      <c r="D554" s="372">
        <v>342</v>
      </c>
      <c r="E554" s="372">
        <v>28</v>
      </c>
      <c r="F554" s="372">
        <f>IFERROR(INDEX('NonART prices by med'!$D$2:$D$102,MATCH(D554,'NonART prices by med'!$A$2:$A$102,0)),"")</f>
        <v>0.26590000152587889</v>
      </c>
      <c r="G554" s="372">
        <f t="shared" si="17"/>
        <v>7.4452000427246094</v>
      </c>
      <c r="H554" s="372">
        <f t="shared" si="18"/>
        <v>1</v>
      </c>
    </row>
    <row r="555" spans="1:8">
      <c r="A555" s="372">
        <v>73</v>
      </c>
      <c r="B555" s="373">
        <v>42936</v>
      </c>
      <c r="C555" s="373">
        <v>43045</v>
      </c>
      <c r="D555" s="372">
        <v>35</v>
      </c>
      <c r="E555" s="372">
        <v>56</v>
      </c>
      <c r="F555" s="372">
        <f>IFERROR(INDEX('NonART prices by med'!$D$2:$D$102,MATCH(D555,'NonART prices by med'!$A$2:$A$102,0)),"")</f>
        <v>0.60205838048342708</v>
      </c>
      <c r="G555" s="372">
        <f t="shared" si="17"/>
        <v>33.715269307071914</v>
      </c>
      <c r="H555" s="372">
        <f t="shared" si="18"/>
        <v>1</v>
      </c>
    </row>
    <row r="556" spans="1:8">
      <c r="A556" s="372">
        <v>73</v>
      </c>
      <c r="B556" s="373">
        <v>42936</v>
      </c>
      <c r="C556" s="373">
        <v>43102</v>
      </c>
      <c r="D556" s="372">
        <v>219</v>
      </c>
      <c r="E556" s="372">
        <v>40</v>
      </c>
      <c r="F556" s="372">
        <f>IFERROR(INDEX('NonART prices by med'!$D$2:$D$102,MATCH(D556,'NonART prices by med'!$A$2:$A$102,0)),"")</f>
        <v>0.55532131597376833</v>
      </c>
      <c r="G556" s="372">
        <f t="shared" si="17"/>
        <v>22.212852638950732</v>
      </c>
      <c r="H556" s="372">
        <f t="shared" si="18"/>
        <v>1</v>
      </c>
    </row>
    <row r="557" spans="1:8">
      <c r="A557" s="372">
        <v>74</v>
      </c>
      <c r="B557" s="373">
        <v>42929</v>
      </c>
      <c r="C557" s="373">
        <v>42929</v>
      </c>
      <c r="D557" s="372">
        <v>225</v>
      </c>
      <c r="F557" s="372">
        <f>IFERROR(INDEX('NonART prices by med'!$D$2:$D$102,MATCH(D557,'NonART prices by med'!$A$2:$A$102,0)),"")</f>
        <v>0.19315423345580862</v>
      </c>
      <c r="G557" s="372">
        <f t="shared" si="17"/>
        <v>0</v>
      </c>
      <c r="H557" s="372">
        <f t="shared" si="18"/>
        <v>1</v>
      </c>
    </row>
    <row r="558" spans="1:8">
      <c r="A558" s="372">
        <v>74</v>
      </c>
      <c r="B558" s="373">
        <v>42929</v>
      </c>
      <c r="C558" s="373">
        <v>42943</v>
      </c>
      <c r="D558" s="372">
        <v>290</v>
      </c>
      <c r="E558" s="372">
        <v>5</v>
      </c>
      <c r="F558" s="372">
        <f>IFERROR(INDEX('NonART prices by med'!$D$2:$D$102,MATCH(D558,'NonART prices by med'!$A$2:$A$102,0)),"")</f>
        <v>0.37279999999999996</v>
      </c>
      <c r="G558" s="372">
        <f t="shared" si="17"/>
        <v>1.8639999999999999</v>
      </c>
      <c r="H558" s="372">
        <f t="shared" si="18"/>
        <v>1</v>
      </c>
    </row>
    <row r="559" spans="1:8">
      <c r="A559" s="372">
        <v>74</v>
      </c>
      <c r="B559" s="373">
        <v>42929</v>
      </c>
      <c r="C559" s="373">
        <v>42965</v>
      </c>
      <c r="D559" s="372">
        <v>178</v>
      </c>
      <c r="E559" s="372">
        <v>1</v>
      </c>
      <c r="F559" s="372">
        <f>IFERROR(INDEX('NonART prices by med'!$D$2:$D$102,MATCH(D559,'NonART prices by med'!$A$2:$A$102,0)),"")</f>
        <v>0.22140000000000001</v>
      </c>
      <c r="G559" s="372">
        <f t="shared" si="17"/>
        <v>0.22140000000000001</v>
      </c>
      <c r="H559" s="372">
        <f t="shared" si="18"/>
        <v>1</v>
      </c>
    </row>
    <row r="560" spans="1:8">
      <c r="A560" s="372">
        <v>74</v>
      </c>
      <c r="B560" s="373">
        <v>42929</v>
      </c>
      <c r="C560" s="373">
        <v>42971</v>
      </c>
      <c r="D560" s="372">
        <v>35</v>
      </c>
      <c r="E560" s="372">
        <v>28</v>
      </c>
      <c r="F560" s="372">
        <f>IFERROR(INDEX('NonART prices by med'!$D$2:$D$102,MATCH(D560,'NonART prices by med'!$A$2:$A$102,0)),"")</f>
        <v>0.60205838048342708</v>
      </c>
      <c r="G560" s="372">
        <f t="shared" si="17"/>
        <v>16.857634653535957</v>
      </c>
      <c r="H560" s="372">
        <f t="shared" si="18"/>
        <v>1</v>
      </c>
    </row>
    <row r="561" spans="1:8">
      <c r="A561" s="372">
        <v>74</v>
      </c>
      <c r="B561" s="373">
        <v>42929</v>
      </c>
      <c r="C561" s="373">
        <v>42987</v>
      </c>
      <c r="D561" s="372">
        <v>35</v>
      </c>
      <c r="E561" s="372">
        <v>56</v>
      </c>
      <c r="F561" s="372">
        <f>IFERROR(INDEX('NonART prices by med'!$D$2:$D$102,MATCH(D561,'NonART prices by med'!$A$2:$A$102,0)),"")</f>
        <v>0.60205838048342708</v>
      </c>
      <c r="G561" s="372">
        <f t="shared" si="17"/>
        <v>33.715269307071914</v>
      </c>
      <c r="H561" s="372">
        <f t="shared" si="18"/>
        <v>1</v>
      </c>
    </row>
    <row r="562" spans="1:8">
      <c r="A562" s="372">
        <v>74</v>
      </c>
      <c r="B562" s="373">
        <v>42929</v>
      </c>
      <c r="C562" s="373">
        <v>43041</v>
      </c>
      <c r="D562" s="372">
        <v>215</v>
      </c>
      <c r="F562" s="372">
        <f>IFERROR(INDEX('NonART prices by med'!$D$2:$D$102,MATCH(D562,'NonART prices by med'!$A$2:$A$102,0)),"")</f>
        <v>0.27607142857142858</v>
      </c>
      <c r="G562" s="372">
        <f t="shared" si="17"/>
        <v>0</v>
      </c>
      <c r="H562" s="372">
        <f t="shared" si="18"/>
        <v>1</v>
      </c>
    </row>
    <row r="563" spans="1:8">
      <c r="A563" s="372">
        <v>74</v>
      </c>
      <c r="B563" s="373">
        <v>42929</v>
      </c>
      <c r="C563" s="373">
        <v>43110</v>
      </c>
      <c r="D563" s="372">
        <v>35</v>
      </c>
      <c r="E563" s="372">
        <v>28</v>
      </c>
      <c r="F563" s="372">
        <f>IFERROR(INDEX('NonART prices by med'!$D$2:$D$102,MATCH(D563,'NonART prices by med'!$A$2:$A$102,0)),"")</f>
        <v>0.60205838048342708</v>
      </c>
      <c r="G563" s="372">
        <f t="shared" si="17"/>
        <v>16.857634653535957</v>
      </c>
      <c r="H563" s="372">
        <f t="shared" si="18"/>
        <v>1</v>
      </c>
    </row>
    <row r="564" spans="1:8">
      <c r="A564" s="372">
        <v>74</v>
      </c>
      <c r="B564" s="373">
        <v>42929</v>
      </c>
      <c r="C564" s="373">
        <v>43202</v>
      </c>
      <c r="D564" s="372">
        <v>286</v>
      </c>
      <c r="E564" s="372">
        <v>28</v>
      </c>
      <c r="F564" s="372">
        <f>IFERROR(INDEX('NonART prices by med'!$D$2:$D$102,MATCH(D564,'NonART prices by med'!$A$2:$A$102,0)),"")</f>
        <v>0.15535714285714283</v>
      </c>
      <c r="G564" s="372">
        <f t="shared" si="17"/>
        <v>4.3499999999999996</v>
      </c>
      <c r="H564" s="372">
        <f t="shared" si="18"/>
        <v>1</v>
      </c>
    </row>
    <row r="565" spans="1:8">
      <c r="A565" s="372">
        <v>74</v>
      </c>
      <c r="B565" s="373">
        <v>42929</v>
      </c>
      <c r="C565" s="373">
        <v>43421</v>
      </c>
      <c r="D565" s="372">
        <v>178</v>
      </c>
      <c r="E565" s="372">
        <v>1</v>
      </c>
      <c r="F565" s="372">
        <f>IFERROR(INDEX('NonART prices by med'!$D$2:$D$102,MATCH(D565,'NonART prices by med'!$A$2:$A$102,0)),"")</f>
        <v>0.22140000000000001</v>
      </c>
      <c r="G565" s="372">
        <f t="shared" si="17"/>
        <v>0.22140000000000001</v>
      </c>
      <c r="H565" s="372">
        <f t="shared" si="18"/>
        <v>0</v>
      </c>
    </row>
    <row r="566" spans="1:8">
      <c r="A566" s="372">
        <v>75</v>
      </c>
      <c r="B566" s="373">
        <v>42928</v>
      </c>
      <c r="C566" s="373">
        <v>42928</v>
      </c>
      <c r="D566" s="372">
        <v>183</v>
      </c>
      <c r="E566" s="372">
        <v>28</v>
      </c>
      <c r="F566" s="372">
        <f>IFERROR(INDEX('NonART prices by med'!$D$2:$D$102,MATCH(D566,'NonART prices by med'!$A$2:$A$102,0)),"")</f>
        <v>0.24214285714285716</v>
      </c>
      <c r="G566" s="372">
        <f t="shared" si="17"/>
        <v>6.78</v>
      </c>
      <c r="H566" s="372">
        <f t="shared" si="18"/>
        <v>1</v>
      </c>
    </row>
    <row r="567" spans="1:8">
      <c r="A567" s="372">
        <v>75</v>
      </c>
      <c r="B567" s="373">
        <v>42928</v>
      </c>
      <c r="C567" s="373">
        <v>42999</v>
      </c>
      <c r="D567" s="372">
        <v>342</v>
      </c>
      <c r="E567" s="372">
        <v>28</v>
      </c>
      <c r="F567" s="372">
        <f>IFERROR(INDEX('NonART prices by med'!$D$2:$D$102,MATCH(D567,'NonART prices by med'!$A$2:$A$102,0)),"")</f>
        <v>0.26590000152587889</v>
      </c>
      <c r="G567" s="372">
        <f t="shared" si="17"/>
        <v>7.4452000427246094</v>
      </c>
      <c r="H567" s="372">
        <f t="shared" si="18"/>
        <v>1</v>
      </c>
    </row>
    <row r="568" spans="1:8">
      <c r="A568" s="372">
        <v>75</v>
      </c>
      <c r="B568" s="373">
        <v>42928</v>
      </c>
      <c r="C568" s="373">
        <v>43027</v>
      </c>
      <c r="D568" s="372">
        <v>35</v>
      </c>
      <c r="E568" s="372">
        <v>28</v>
      </c>
      <c r="F568" s="372">
        <f>IFERROR(INDEX('NonART prices by med'!$D$2:$D$102,MATCH(D568,'NonART prices by med'!$A$2:$A$102,0)),"")</f>
        <v>0.60205838048342708</v>
      </c>
      <c r="G568" s="372">
        <f t="shared" si="17"/>
        <v>16.857634653535957</v>
      </c>
      <c r="H568" s="372">
        <f t="shared" si="18"/>
        <v>1</v>
      </c>
    </row>
    <row r="569" spans="1:8">
      <c r="A569" s="372">
        <v>75</v>
      </c>
      <c r="B569" s="373">
        <v>42928</v>
      </c>
      <c r="C569" s="373">
        <v>43125</v>
      </c>
      <c r="D569" s="372">
        <v>35</v>
      </c>
      <c r="E569" s="372">
        <v>28</v>
      </c>
      <c r="F569" s="372">
        <f>IFERROR(INDEX('NonART prices by med'!$D$2:$D$102,MATCH(D569,'NonART prices by med'!$A$2:$A$102,0)),"")</f>
        <v>0.60205838048342708</v>
      </c>
      <c r="G569" s="372">
        <f t="shared" si="17"/>
        <v>16.857634653535957</v>
      </c>
      <c r="H569" s="372">
        <f t="shared" si="18"/>
        <v>1</v>
      </c>
    </row>
    <row r="570" spans="1:8">
      <c r="A570" s="372">
        <v>76</v>
      </c>
      <c r="B570" s="373">
        <v>42927</v>
      </c>
      <c r="C570" s="373">
        <v>42957</v>
      </c>
      <c r="D570" s="372">
        <v>342</v>
      </c>
      <c r="E570" s="372">
        <v>56</v>
      </c>
      <c r="F570" s="372">
        <f>IFERROR(INDEX('NonART prices by med'!$D$2:$D$102,MATCH(D570,'NonART prices by med'!$A$2:$A$102,0)),"")</f>
        <v>0.26590000152587889</v>
      </c>
      <c r="G570" s="372">
        <f t="shared" si="17"/>
        <v>14.890400085449219</v>
      </c>
      <c r="H570" s="372">
        <f t="shared" si="18"/>
        <v>1</v>
      </c>
    </row>
    <row r="571" spans="1:8">
      <c r="A571" s="372">
        <v>76</v>
      </c>
      <c r="B571" s="373">
        <v>42927</v>
      </c>
      <c r="C571" s="373">
        <v>43013</v>
      </c>
      <c r="D571" s="372">
        <v>408</v>
      </c>
      <c r="E571" s="372">
        <v>28</v>
      </c>
      <c r="F571" s="372">
        <f>IFERROR(INDEX('NonART prices by med'!$D$2:$D$102,MATCH(D571,'NonART prices by med'!$A$2:$A$102,0)),"")</f>
        <v>5.5E-2</v>
      </c>
      <c r="G571" s="372">
        <f t="shared" si="17"/>
        <v>1.54</v>
      </c>
      <c r="H571" s="372">
        <f t="shared" si="18"/>
        <v>1</v>
      </c>
    </row>
    <row r="572" spans="1:8">
      <c r="A572" s="372">
        <v>76</v>
      </c>
      <c r="B572" s="373">
        <v>42927</v>
      </c>
      <c r="C572" s="373">
        <v>43056</v>
      </c>
      <c r="D572" s="372">
        <v>35</v>
      </c>
      <c r="E572" s="372">
        <v>56</v>
      </c>
      <c r="F572" s="372">
        <f>IFERROR(INDEX('NonART prices by med'!$D$2:$D$102,MATCH(D572,'NonART prices by med'!$A$2:$A$102,0)),"")</f>
        <v>0.60205838048342708</v>
      </c>
      <c r="G572" s="372">
        <f t="shared" si="17"/>
        <v>33.715269307071914</v>
      </c>
      <c r="H572" s="372">
        <f t="shared" si="18"/>
        <v>1</v>
      </c>
    </row>
    <row r="573" spans="1:8">
      <c r="A573" s="372">
        <v>76</v>
      </c>
      <c r="B573" s="373">
        <v>42927</v>
      </c>
      <c r="C573" s="373">
        <v>43073</v>
      </c>
      <c r="D573" s="372">
        <v>35</v>
      </c>
      <c r="E573" s="372">
        <v>28</v>
      </c>
      <c r="F573" s="372">
        <f>IFERROR(INDEX('NonART prices by med'!$D$2:$D$102,MATCH(D573,'NonART prices by med'!$A$2:$A$102,0)),"")</f>
        <v>0.60205838048342708</v>
      </c>
      <c r="G573" s="372">
        <f t="shared" si="17"/>
        <v>16.857634653535957</v>
      </c>
      <c r="H573" s="372">
        <f t="shared" si="18"/>
        <v>1</v>
      </c>
    </row>
    <row r="574" spans="1:8">
      <c r="A574" s="372">
        <v>76</v>
      </c>
      <c r="B574" s="373">
        <v>42927</v>
      </c>
      <c r="C574" s="373">
        <v>43125</v>
      </c>
      <c r="D574" s="372">
        <v>35</v>
      </c>
      <c r="E574" s="372">
        <v>28</v>
      </c>
      <c r="F574" s="372">
        <f>IFERROR(INDEX('NonART prices by med'!$D$2:$D$102,MATCH(D574,'NonART prices by med'!$A$2:$A$102,0)),"")</f>
        <v>0.60205838048342708</v>
      </c>
      <c r="G574" s="372">
        <f t="shared" si="17"/>
        <v>16.857634653535957</v>
      </c>
      <c r="H574" s="372">
        <f t="shared" si="18"/>
        <v>1</v>
      </c>
    </row>
    <row r="575" spans="1:8">
      <c r="A575" s="372">
        <v>76</v>
      </c>
      <c r="B575" s="373">
        <v>42927</v>
      </c>
      <c r="C575" s="373">
        <v>43320</v>
      </c>
      <c r="D575" s="372">
        <v>288</v>
      </c>
      <c r="E575" s="372">
        <v>14</v>
      </c>
      <c r="F575" s="372">
        <f>IFERROR(INDEX('NonART prices by med'!$D$2:$D$102,MATCH(D575,'NonART prices by med'!$A$2:$A$102,0)),"")</f>
        <v>0.27771428571428569</v>
      </c>
      <c r="G575" s="372">
        <f t="shared" si="17"/>
        <v>3.8879999999999999</v>
      </c>
      <c r="H575" s="372">
        <f t="shared" si="18"/>
        <v>0</v>
      </c>
    </row>
    <row r="576" spans="1:8">
      <c r="A576" s="372">
        <v>1</v>
      </c>
      <c r="B576" s="373">
        <v>42972</v>
      </c>
      <c r="C576" s="373">
        <v>42972</v>
      </c>
      <c r="D576" s="372">
        <v>402</v>
      </c>
      <c r="E576" s="372">
        <v>1</v>
      </c>
      <c r="F576" s="372">
        <f>IFERROR(INDEX('NonART prices by med'!$D$2:$D$102,MATCH(D576,'NonART prices by med'!$A$2:$A$102,0)),"")</f>
        <v>84.57</v>
      </c>
      <c r="G576" s="372">
        <f t="shared" si="17"/>
        <v>84.57</v>
      </c>
      <c r="H576" s="372">
        <f t="shared" si="18"/>
        <v>1</v>
      </c>
    </row>
    <row r="577" spans="1:8">
      <c r="A577" s="372">
        <v>1</v>
      </c>
      <c r="B577" s="373">
        <v>42972</v>
      </c>
      <c r="C577" s="373">
        <v>42986</v>
      </c>
      <c r="D577" s="372">
        <v>342</v>
      </c>
      <c r="E577" s="372">
        <v>56</v>
      </c>
      <c r="F577" s="372">
        <f>IFERROR(INDEX('NonART prices by med'!$D$2:$D$102,MATCH(D577,'NonART prices by med'!$A$2:$A$102,0)),"")</f>
        <v>0.26590000152587889</v>
      </c>
      <c r="G577" s="372">
        <f t="shared" si="17"/>
        <v>14.890400085449219</v>
      </c>
      <c r="H577" s="372">
        <f t="shared" si="18"/>
        <v>1</v>
      </c>
    </row>
    <row r="578" spans="1:8">
      <c r="A578" s="372">
        <v>2</v>
      </c>
      <c r="B578" s="373">
        <v>43000</v>
      </c>
      <c r="C578" s="373">
        <v>43115</v>
      </c>
      <c r="D578" s="372">
        <v>342</v>
      </c>
      <c r="E578" s="372">
        <v>28</v>
      </c>
      <c r="F578" s="372">
        <f>IFERROR(INDEX('NonART prices by med'!$D$2:$D$102,MATCH(D578,'NonART prices by med'!$A$2:$A$102,0)),"")</f>
        <v>0.26590000152587889</v>
      </c>
      <c r="G578" s="372">
        <f t="shared" si="17"/>
        <v>7.4452000427246094</v>
      </c>
      <c r="H578" s="372">
        <f t="shared" si="18"/>
        <v>1</v>
      </c>
    </row>
    <row r="579" spans="1:8">
      <c r="A579" s="372">
        <v>2</v>
      </c>
      <c r="B579" s="373">
        <v>43000</v>
      </c>
      <c r="C579" s="373">
        <v>43143</v>
      </c>
      <c r="D579" s="372">
        <v>342</v>
      </c>
      <c r="F579" s="372">
        <f>IFERROR(INDEX('NonART prices by med'!$D$2:$D$102,MATCH(D579,'NonART prices by med'!$A$2:$A$102,0)),"")</f>
        <v>0.26590000152587889</v>
      </c>
      <c r="G579" s="372">
        <f t="shared" ref="G579:G642" si="19">IFERROR(E579*F579,"")</f>
        <v>0</v>
      </c>
      <c r="H579" s="372">
        <f t="shared" si="18"/>
        <v>1</v>
      </c>
    </row>
    <row r="580" spans="1:8">
      <c r="A580" s="372">
        <v>2</v>
      </c>
      <c r="B580" s="373">
        <v>43000</v>
      </c>
      <c r="C580" s="373">
        <v>43171</v>
      </c>
      <c r="D580" s="372">
        <v>342</v>
      </c>
      <c r="E580" s="372">
        <v>56</v>
      </c>
      <c r="F580" s="372">
        <f>IFERROR(INDEX('NonART prices by med'!$D$2:$D$102,MATCH(D580,'NonART prices by med'!$A$2:$A$102,0)),"")</f>
        <v>0.26590000152587889</v>
      </c>
      <c r="G580" s="372">
        <f t="shared" si="19"/>
        <v>14.890400085449219</v>
      </c>
      <c r="H580" s="372">
        <f t="shared" ref="H580:H643" si="20">IF(C580-B580&lt;=365,1,0)</f>
        <v>1</v>
      </c>
    </row>
    <row r="581" spans="1:8">
      <c r="A581" s="372">
        <v>2</v>
      </c>
      <c r="B581" s="373">
        <v>43000</v>
      </c>
      <c r="C581" s="373">
        <v>43228</v>
      </c>
      <c r="D581" s="372">
        <v>342</v>
      </c>
      <c r="E581" s="372">
        <v>56</v>
      </c>
      <c r="F581" s="372">
        <f>IFERROR(INDEX('NonART prices by med'!$D$2:$D$102,MATCH(D581,'NonART prices by med'!$A$2:$A$102,0)),"")</f>
        <v>0.26590000152587889</v>
      </c>
      <c r="G581" s="372">
        <f t="shared" si="19"/>
        <v>14.890400085449219</v>
      </c>
      <c r="H581" s="372">
        <f t="shared" si="20"/>
        <v>1</v>
      </c>
    </row>
    <row r="582" spans="1:8">
      <c r="A582" s="372">
        <v>2</v>
      </c>
      <c r="B582" s="373">
        <v>43000</v>
      </c>
      <c r="C582" s="373">
        <v>43293</v>
      </c>
      <c r="D582" s="372">
        <v>215</v>
      </c>
      <c r="E582" s="372">
        <v>28</v>
      </c>
      <c r="F582" s="372">
        <f>IFERROR(INDEX('NonART prices by med'!$D$2:$D$102,MATCH(D582,'NonART prices by med'!$A$2:$A$102,0)),"")</f>
        <v>0.27607142857142858</v>
      </c>
      <c r="G582" s="372">
        <f t="shared" si="19"/>
        <v>7.73</v>
      </c>
      <c r="H582" s="372">
        <f t="shared" si="20"/>
        <v>1</v>
      </c>
    </row>
    <row r="583" spans="1:8">
      <c r="A583" s="372">
        <v>2</v>
      </c>
      <c r="B583" s="373">
        <v>43000</v>
      </c>
      <c r="C583" s="373">
        <v>43349</v>
      </c>
      <c r="D583" s="372">
        <v>215</v>
      </c>
      <c r="E583" s="372">
        <v>28</v>
      </c>
      <c r="F583" s="372">
        <f>IFERROR(INDEX('NonART prices by med'!$D$2:$D$102,MATCH(D583,'NonART prices by med'!$A$2:$A$102,0)),"")</f>
        <v>0.27607142857142858</v>
      </c>
      <c r="G583" s="372">
        <f t="shared" si="19"/>
        <v>7.73</v>
      </c>
      <c r="H583" s="372">
        <f t="shared" si="20"/>
        <v>1</v>
      </c>
    </row>
    <row r="584" spans="1:8">
      <c r="A584" s="372">
        <v>2</v>
      </c>
      <c r="B584" s="373">
        <v>43000</v>
      </c>
      <c r="C584" s="373">
        <v>43382</v>
      </c>
      <c r="D584" s="372">
        <v>134</v>
      </c>
      <c r="F584" s="372">
        <f>IFERROR(INDEX('NonART prices by med'!$D$2:$D$102,MATCH(D584,'NonART prices by med'!$A$2:$A$102,0)),"")</f>
        <v>0.39033333366993345</v>
      </c>
      <c r="G584" s="372">
        <f t="shared" si="19"/>
        <v>0</v>
      </c>
      <c r="H584" s="372">
        <f t="shared" si="20"/>
        <v>0</v>
      </c>
    </row>
    <row r="585" spans="1:8">
      <c r="A585" s="372">
        <v>2</v>
      </c>
      <c r="B585" s="373">
        <v>43000</v>
      </c>
      <c r="C585" s="373">
        <v>43447</v>
      </c>
      <c r="D585" s="372">
        <v>133</v>
      </c>
      <c r="F585" s="372">
        <f>IFERROR(INDEX('NonART prices by med'!$D$2:$D$102,MATCH(D585,'NonART prices by med'!$A$2:$A$102,0)),"")</f>
        <v>0.68440000098466458</v>
      </c>
      <c r="G585" s="372">
        <f t="shared" si="19"/>
        <v>0</v>
      </c>
      <c r="H585" s="372">
        <f t="shared" si="20"/>
        <v>0</v>
      </c>
    </row>
    <row r="586" spans="1:8">
      <c r="A586" s="372">
        <v>3</v>
      </c>
      <c r="B586" s="373">
        <v>42970</v>
      </c>
      <c r="C586" s="373">
        <v>42970</v>
      </c>
      <c r="D586" s="372">
        <v>215</v>
      </c>
      <c r="E586" s="372">
        <v>28</v>
      </c>
      <c r="F586" s="372">
        <f>IFERROR(INDEX('NonART prices by med'!$D$2:$D$102,MATCH(D586,'NonART prices by med'!$A$2:$A$102,0)),"")</f>
        <v>0.27607142857142858</v>
      </c>
      <c r="G586" s="372">
        <f t="shared" si="19"/>
        <v>7.73</v>
      </c>
      <c r="H586" s="372">
        <f t="shared" si="20"/>
        <v>1</v>
      </c>
    </row>
    <row r="587" spans="1:8">
      <c r="A587" s="372">
        <v>3</v>
      </c>
      <c r="B587" s="373">
        <v>42970</v>
      </c>
      <c r="C587" s="373">
        <v>43006</v>
      </c>
      <c r="D587" s="372">
        <v>342</v>
      </c>
      <c r="E587" s="372">
        <v>56</v>
      </c>
      <c r="F587" s="372">
        <f>IFERROR(INDEX('NonART prices by med'!$D$2:$D$102,MATCH(D587,'NonART prices by med'!$A$2:$A$102,0)),"")</f>
        <v>0.26590000152587889</v>
      </c>
      <c r="G587" s="372">
        <f t="shared" si="19"/>
        <v>14.890400085449219</v>
      </c>
      <c r="H587" s="372">
        <f t="shared" si="20"/>
        <v>1</v>
      </c>
    </row>
    <row r="588" spans="1:8">
      <c r="A588" s="372">
        <v>3</v>
      </c>
      <c r="B588" s="373">
        <v>42970</v>
      </c>
      <c r="C588" s="373">
        <v>43105</v>
      </c>
      <c r="D588" s="372">
        <v>133</v>
      </c>
      <c r="E588" s="372">
        <v>60</v>
      </c>
      <c r="F588" s="372">
        <f>IFERROR(INDEX('NonART prices by med'!$D$2:$D$102,MATCH(D588,'NonART prices by med'!$A$2:$A$102,0)),"")</f>
        <v>0.68440000098466458</v>
      </c>
      <c r="G588" s="372">
        <f t="shared" si="19"/>
        <v>41.064000059079873</v>
      </c>
      <c r="H588" s="372">
        <f t="shared" si="20"/>
        <v>1</v>
      </c>
    </row>
    <row r="589" spans="1:8">
      <c r="A589" s="372">
        <v>3</v>
      </c>
      <c r="B589" s="373">
        <v>42970</v>
      </c>
      <c r="C589" s="373">
        <v>43133</v>
      </c>
      <c r="D589" s="372">
        <v>411</v>
      </c>
      <c r="F589" s="372">
        <f>IFERROR(INDEX('NonART prices by med'!$D$2:$D$102,MATCH(D589,'NonART prices by med'!$A$2:$A$102,0)),"")</f>
        <v>0.10354499389265867</v>
      </c>
      <c r="G589" s="372">
        <f t="shared" si="19"/>
        <v>0</v>
      </c>
      <c r="H589" s="372">
        <f t="shared" si="20"/>
        <v>1</v>
      </c>
    </row>
    <row r="590" spans="1:8">
      <c r="A590" s="372">
        <v>4</v>
      </c>
      <c r="B590" s="373">
        <v>42970</v>
      </c>
      <c r="C590" s="373">
        <v>42970</v>
      </c>
      <c r="D590" s="372">
        <v>217</v>
      </c>
      <c r="E590" s="372">
        <v>5</v>
      </c>
      <c r="F590" s="372">
        <f>IFERROR(INDEX('NonART prices by med'!$D$2:$D$102,MATCH(D590,'NonART prices by med'!$A$2:$A$102,0)),"")</f>
        <v>0.24476190476190474</v>
      </c>
      <c r="G590" s="372">
        <f t="shared" si="19"/>
        <v>1.2238095238095237</v>
      </c>
      <c r="H590" s="372">
        <f t="shared" si="20"/>
        <v>1</v>
      </c>
    </row>
    <row r="591" spans="1:8">
      <c r="A591" s="372">
        <v>4</v>
      </c>
      <c r="B591" s="373">
        <v>42970</v>
      </c>
      <c r="C591" s="373">
        <v>43089</v>
      </c>
      <c r="D591" s="372">
        <v>225</v>
      </c>
      <c r="F591" s="372">
        <f>IFERROR(INDEX('NonART prices by med'!$D$2:$D$102,MATCH(D591,'NonART prices by med'!$A$2:$A$102,0)),"")</f>
        <v>0.19315423345580862</v>
      </c>
      <c r="G591" s="372">
        <f t="shared" si="19"/>
        <v>0</v>
      </c>
      <c r="H591" s="372">
        <f t="shared" si="20"/>
        <v>1</v>
      </c>
    </row>
    <row r="592" spans="1:8">
      <c r="A592" s="372">
        <v>4</v>
      </c>
      <c r="B592" s="373">
        <v>42970</v>
      </c>
      <c r="C592" s="373">
        <v>43118</v>
      </c>
      <c r="D592" s="372">
        <v>342</v>
      </c>
      <c r="E592" s="372">
        <v>28</v>
      </c>
      <c r="F592" s="372">
        <f>IFERROR(INDEX('NonART prices by med'!$D$2:$D$102,MATCH(D592,'NonART prices by med'!$A$2:$A$102,0)),"")</f>
        <v>0.26590000152587889</v>
      </c>
      <c r="G592" s="372">
        <f t="shared" si="19"/>
        <v>7.4452000427246094</v>
      </c>
      <c r="H592" s="372">
        <f t="shared" si="20"/>
        <v>1</v>
      </c>
    </row>
    <row r="593" spans="1:8">
      <c r="A593" s="372">
        <v>5</v>
      </c>
      <c r="B593" s="373">
        <v>42963</v>
      </c>
      <c r="C593" s="373">
        <v>43005</v>
      </c>
      <c r="D593" s="372">
        <v>225</v>
      </c>
      <c r="E593" s="372">
        <v>28</v>
      </c>
      <c r="F593" s="372">
        <f>IFERROR(INDEX('NonART prices by med'!$D$2:$D$102,MATCH(D593,'NonART prices by med'!$A$2:$A$102,0)),"")</f>
        <v>0.19315423345580862</v>
      </c>
      <c r="G593" s="372">
        <f t="shared" si="19"/>
        <v>5.408318536762641</v>
      </c>
      <c r="H593" s="372">
        <f t="shared" si="20"/>
        <v>1</v>
      </c>
    </row>
    <row r="594" spans="1:8">
      <c r="A594" s="372">
        <v>5</v>
      </c>
      <c r="B594" s="373">
        <v>42963</v>
      </c>
      <c r="C594" s="373">
        <v>43047</v>
      </c>
      <c r="D594" s="372">
        <v>34</v>
      </c>
      <c r="E594" s="372">
        <v>28</v>
      </c>
      <c r="F594" s="372">
        <f>IFERROR(INDEX('NonART prices by med'!$D$2:$D$102,MATCH(D594,'NonART prices by med'!$A$2:$A$102,0)),"")</f>
        <v>0.38757142857142851</v>
      </c>
      <c r="G594" s="372">
        <f t="shared" si="19"/>
        <v>10.851999999999999</v>
      </c>
      <c r="H594" s="372">
        <f t="shared" si="20"/>
        <v>1</v>
      </c>
    </row>
    <row r="595" spans="1:8">
      <c r="A595" s="372">
        <v>5</v>
      </c>
      <c r="B595" s="373">
        <v>42963</v>
      </c>
      <c r="C595" s="373">
        <v>43091</v>
      </c>
      <c r="D595" s="372">
        <v>35</v>
      </c>
      <c r="E595" s="372">
        <v>56</v>
      </c>
      <c r="F595" s="372">
        <f>IFERROR(INDEX('NonART prices by med'!$D$2:$D$102,MATCH(D595,'NonART prices by med'!$A$2:$A$102,0)),"")</f>
        <v>0.60205838048342708</v>
      </c>
      <c r="G595" s="372">
        <f t="shared" si="19"/>
        <v>33.715269307071914</v>
      </c>
      <c r="H595" s="372">
        <f t="shared" si="20"/>
        <v>1</v>
      </c>
    </row>
    <row r="596" spans="1:8">
      <c r="A596" s="372">
        <v>5</v>
      </c>
      <c r="B596" s="373">
        <v>42963</v>
      </c>
      <c r="C596" s="373">
        <v>43139</v>
      </c>
      <c r="D596" s="372">
        <v>411</v>
      </c>
      <c r="F596" s="372">
        <f>IFERROR(INDEX('NonART prices by med'!$D$2:$D$102,MATCH(D596,'NonART prices by med'!$A$2:$A$102,0)),"")</f>
        <v>0.10354499389265867</v>
      </c>
      <c r="G596" s="372">
        <f t="shared" si="19"/>
        <v>0</v>
      </c>
      <c r="H596" s="372">
        <f t="shared" si="20"/>
        <v>1</v>
      </c>
    </row>
    <row r="597" spans="1:8">
      <c r="A597" s="372">
        <v>6</v>
      </c>
      <c r="B597" s="373">
        <v>42970</v>
      </c>
      <c r="C597" s="373">
        <v>43082</v>
      </c>
      <c r="D597" s="372">
        <v>408</v>
      </c>
      <c r="E597" s="372">
        <v>56</v>
      </c>
      <c r="F597" s="372">
        <f>IFERROR(INDEX('NonART prices by med'!$D$2:$D$102,MATCH(D597,'NonART prices by med'!$A$2:$A$102,0)),"")</f>
        <v>5.5E-2</v>
      </c>
      <c r="G597" s="372">
        <f t="shared" si="19"/>
        <v>3.08</v>
      </c>
      <c r="H597" s="372">
        <f t="shared" si="20"/>
        <v>1</v>
      </c>
    </row>
    <row r="598" spans="1:8">
      <c r="A598" s="372">
        <v>6</v>
      </c>
      <c r="B598" s="373">
        <v>42970</v>
      </c>
      <c r="C598" s="373">
        <v>43335</v>
      </c>
      <c r="D598" s="372">
        <v>35</v>
      </c>
      <c r="E598" s="372">
        <v>28</v>
      </c>
      <c r="F598" s="372">
        <f>IFERROR(INDEX('NonART prices by med'!$D$2:$D$102,MATCH(D598,'NonART prices by med'!$A$2:$A$102,0)),"")</f>
        <v>0.60205838048342708</v>
      </c>
      <c r="G598" s="372">
        <f t="shared" si="19"/>
        <v>16.857634653535957</v>
      </c>
      <c r="H598" s="372">
        <f t="shared" si="20"/>
        <v>1</v>
      </c>
    </row>
    <row r="599" spans="1:8">
      <c r="A599" s="372">
        <v>7</v>
      </c>
      <c r="B599" s="373">
        <v>43048</v>
      </c>
      <c r="C599" s="373">
        <v>42971</v>
      </c>
      <c r="D599" s="372">
        <v>225</v>
      </c>
      <c r="E599" s="372">
        <v>28</v>
      </c>
      <c r="F599" s="372">
        <f>IFERROR(INDEX('NonART prices by med'!$D$2:$D$102,MATCH(D599,'NonART prices by med'!$A$2:$A$102,0)),"")</f>
        <v>0.19315423345580862</v>
      </c>
      <c r="G599" s="372">
        <f t="shared" si="19"/>
        <v>5.408318536762641</v>
      </c>
      <c r="H599" s="372">
        <f t="shared" si="20"/>
        <v>1</v>
      </c>
    </row>
    <row r="600" spans="1:8">
      <c r="A600" s="372">
        <v>8</v>
      </c>
      <c r="B600" s="373">
        <v>42971</v>
      </c>
      <c r="C600" s="373">
        <v>42971</v>
      </c>
      <c r="D600" s="372">
        <v>132</v>
      </c>
      <c r="F600" s="372">
        <f>IFERROR(INDEX('NonART prices by med'!$D$2:$D$102,MATCH(D600,'NonART prices by med'!$A$2:$A$102,0)),"")</f>
        <v>7.0309523809523822E-2</v>
      </c>
      <c r="G600" s="372">
        <f t="shared" si="19"/>
        <v>0</v>
      </c>
      <c r="H600" s="372">
        <f t="shared" si="20"/>
        <v>1</v>
      </c>
    </row>
    <row r="601" spans="1:8">
      <c r="A601" s="372">
        <v>8</v>
      </c>
      <c r="B601" s="373">
        <v>42971</v>
      </c>
      <c r="C601" s="373">
        <v>42985</v>
      </c>
      <c r="D601" s="372">
        <v>342</v>
      </c>
      <c r="E601" s="372">
        <v>28</v>
      </c>
      <c r="F601" s="372">
        <f>IFERROR(INDEX('NonART prices by med'!$D$2:$D$102,MATCH(D601,'NonART prices by med'!$A$2:$A$102,0)),"")</f>
        <v>0.26590000152587889</v>
      </c>
      <c r="G601" s="372">
        <f t="shared" si="19"/>
        <v>7.4452000427246094</v>
      </c>
      <c r="H601" s="372">
        <f t="shared" si="20"/>
        <v>1</v>
      </c>
    </row>
    <row r="602" spans="1:8">
      <c r="A602" s="372">
        <v>8</v>
      </c>
      <c r="B602" s="373">
        <v>42971</v>
      </c>
      <c r="C602" s="373">
        <v>43013</v>
      </c>
      <c r="D602" s="372">
        <v>342</v>
      </c>
      <c r="E602" s="372">
        <v>56</v>
      </c>
      <c r="F602" s="372">
        <f>IFERROR(INDEX('NonART prices by med'!$D$2:$D$102,MATCH(D602,'NonART prices by med'!$A$2:$A$102,0)),"")</f>
        <v>0.26590000152587889</v>
      </c>
      <c r="G602" s="372">
        <f t="shared" si="19"/>
        <v>14.890400085449219</v>
      </c>
      <c r="H602" s="372">
        <f t="shared" si="20"/>
        <v>1</v>
      </c>
    </row>
    <row r="603" spans="1:8">
      <c r="A603" s="372">
        <v>8</v>
      </c>
      <c r="B603" s="373">
        <v>42971</v>
      </c>
      <c r="C603" s="373">
        <v>43062</v>
      </c>
      <c r="D603" s="372">
        <v>134</v>
      </c>
      <c r="E603" s="372">
        <v>56</v>
      </c>
      <c r="F603" s="372">
        <f>IFERROR(INDEX('NonART prices by med'!$D$2:$D$102,MATCH(D603,'NonART prices by med'!$A$2:$A$102,0)),"")</f>
        <v>0.39033333366993345</v>
      </c>
      <c r="G603" s="372">
        <f t="shared" si="19"/>
        <v>21.858666685516273</v>
      </c>
      <c r="H603" s="372">
        <f t="shared" si="20"/>
        <v>1</v>
      </c>
    </row>
    <row r="604" spans="1:8">
      <c r="A604" s="372">
        <v>8</v>
      </c>
      <c r="B604" s="373">
        <v>42971</v>
      </c>
      <c r="C604" s="373">
        <v>43146</v>
      </c>
      <c r="D604" s="372">
        <v>342</v>
      </c>
      <c r="E604" s="372">
        <v>28</v>
      </c>
      <c r="F604" s="372">
        <f>IFERROR(INDEX('NonART prices by med'!$D$2:$D$102,MATCH(D604,'NonART prices by med'!$A$2:$A$102,0)),"")</f>
        <v>0.26590000152587889</v>
      </c>
      <c r="G604" s="372">
        <f t="shared" si="19"/>
        <v>7.4452000427246094</v>
      </c>
      <c r="H604" s="372">
        <f t="shared" si="20"/>
        <v>1</v>
      </c>
    </row>
    <row r="605" spans="1:8">
      <c r="A605" s="372">
        <v>8</v>
      </c>
      <c r="B605" s="373">
        <v>42971</v>
      </c>
      <c r="C605" s="373">
        <v>43178</v>
      </c>
      <c r="D605" s="372">
        <v>342</v>
      </c>
      <c r="E605" s="372">
        <v>28</v>
      </c>
      <c r="F605" s="372">
        <f>IFERROR(INDEX('NonART prices by med'!$D$2:$D$102,MATCH(D605,'NonART prices by med'!$A$2:$A$102,0)),"")</f>
        <v>0.26590000152587889</v>
      </c>
      <c r="G605" s="372">
        <f t="shared" si="19"/>
        <v>7.4452000427246094</v>
      </c>
      <c r="H605" s="372">
        <f t="shared" si="20"/>
        <v>1</v>
      </c>
    </row>
    <row r="606" spans="1:8">
      <c r="A606" s="372">
        <v>8</v>
      </c>
      <c r="B606" s="373">
        <v>42971</v>
      </c>
      <c r="C606" s="373">
        <v>43206</v>
      </c>
      <c r="D606" s="372">
        <v>342</v>
      </c>
      <c r="E606" s="372">
        <v>28</v>
      </c>
      <c r="F606" s="372">
        <f>IFERROR(INDEX('NonART prices by med'!$D$2:$D$102,MATCH(D606,'NonART prices by med'!$A$2:$A$102,0)),"")</f>
        <v>0.26590000152587889</v>
      </c>
      <c r="G606" s="372">
        <f t="shared" si="19"/>
        <v>7.4452000427246094</v>
      </c>
      <c r="H606" s="372">
        <f t="shared" si="20"/>
        <v>1</v>
      </c>
    </row>
    <row r="607" spans="1:8">
      <c r="A607" s="372">
        <v>8</v>
      </c>
      <c r="B607" s="373">
        <v>42971</v>
      </c>
      <c r="C607" s="373">
        <v>43314</v>
      </c>
      <c r="D607" s="372">
        <v>342</v>
      </c>
      <c r="E607" s="372">
        <v>28</v>
      </c>
      <c r="F607" s="372">
        <f>IFERROR(INDEX('NonART prices by med'!$D$2:$D$102,MATCH(D607,'NonART prices by med'!$A$2:$A$102,0)),"")</f>
        <v>0.26590000152587889</v>
      </c>
      <c r="G607" s="372">
        <f t="shared" si="19"/>
        <v>7.4452000427246094</v>
      </c>
      <c r="H607" s="372">
        <f t="shared" si="20"/>
        <v>1</v>
      </c>
    </row>
    <row r="608" spans="1:8">
      <c r="A608" s="372">
        <v>8</v>
      </c>
      <c r="B608" s="373">
        <v>42971</v>
      </c>
      <c r="C608" s="373">
        <v>43342</v>
      </c>
      <c r="D608" s="372">
        <v>35</v>
      </c>
      <c r="E608" s="372">
        <v>28</v>
      </c>
      <c r="F608" s="372">
        <f>IFERROR(INDEX('NonART prices by med'!$D$2:$D$102,MATCH(D608,'NonART prices by med'!$A$2:$A$102,0)),"")</f>
        <v>0.60205838048342708</v>
      </c>
      <c r="G608" s="372">
        <f t="shared" si="19"/>
        <v>16.857634653535957</v>
      </c>
      <c r="H608" s="372">
        <f t="shared" si="20"/>
        <v>0</v>
      </c>
    </row>
    <row r="609" spans="1:8">
      <c r="A609" s="372">
        <v>8</v>
      </c>
      <c r="B609" s="373">
        <v>42971</v>
      </c>
      <c r="C609" s="373">
        <v>43357</v>
      </c>
      <c r="D609" s="372">
        <v>342</v>
      </c>
      <c r="E609" s="372">
        <v>56</v>
      </c>
      <c r="F609" s="372">
        <f>IFERROR(INDEX('NonART prices by med'!$D$2:$D$102,MATCH(D609,'NonART prices by med'!$A$2:$A$102,0)),"")</f>
        <v>0.26590000152587889</v>
      </c>
      <c r="G609" s="372">
        <f t="shared" si="19"/>
        <v>14.890400085449219</v>
      </c>
      <c r="H609" s="372">
        <f t="shared" si="20"/>
        <v>0</v>
      </c>
    </row>
    <row r="610" spans="1:8">
      <c r="A610" s="372">
        <v>10</v>
      </c>
      <c r="B610" s="373">
        <v>42976</v>
      </c>
      <c r="C610" s="373">
        <v>43059</v>
      </c>
      <c r="D610" s="372">
        <v>411</v>
      </c>
      <c r="E610" s="372">
        <v>28</v>
      </c>
      <c r="F610" s="372">
        <f>IFERROR(INDEX('NonART prices by med'!$D$2:$D$102,MATCH(D610,'NonART prices by med'!$A$2:$A$102,0)),"")</f>
        <v>0.10354499389265867</v>
      </c>
      <c r="G610" s="372">
        <f t="shared" si="19"/>
        <v>2.8992598289944427</v>
      </c>
      <c r="H610" s="372">
        <f t="shared" si="20"/>
        <v>1</v>
      </c>
    </row>
    <row r="611" spans="1:8">
      <c r="A611" s="372">
        <v>11</v>
      </c>
      <c r="B611" s="373">
        <v>42976</v>
      </c>
      <c r="C611" s="373">
        <v>43005</v>
      </c>
      <c r="D611" s="372">
        <v>411</v>
      </c>
      <c r="E611" s="372">
        <v>56</v>
      </c>
      <c r="F611" s="372">
        <f>IFERROR(INDEX('NonART prices by med'!$D$2:$D$102,MATCH(D611,'NonART prices by med'!$A$2:$A$102,0)),"")</f>
        <v>0.10354499389265867</v>
      </c>
      <c r="G611" s="372">
        <f t="shared" si="19"/>
        <v>5.7985196579888854</v>
      </c>
      <c r="H611" s="372">
        <f t="shared" si="20"/>
        <v>1</v>
      </c>
    </row>
    <row r="612" spans="1:8">
      <c r="A612" s="372">
        <v>11</v>
      </c>
      <c r="B612" s="373">
        <v>42976</v>
      </c>
      <c r="C612" s="373">
        <v>43061</v>
      </c>
      <c r="D612" s="372">
        <v>411</v>
      </c>
      <c r="E612" s="372">
        <v>56</v>
      </c>
      <c r="F612" s="372">
        <f>IFERROR(INDEX('NonART prices by med'!$D$2:$D$102,MATCH(D612,'NonART prices by med'!$A$2:$A$102,0)),"")</f>
        <v>0.10354499389265867</v>
      </c>
      <c r="G612" s="372">
        <f t="shared" si="19"/>
        <v>5.7985196579888854</v>
      </c>
      <c r="H612" s="372">
        <f t="shared" si="20"/>
        <v>1</v>
      </c>
    </row>
    <row r="613" spans="1:8">
      <c r="A613" s="372">
        <v>11</v>
      </c>
      <c r="B613" s="373">
        <v>42976</v>
      </c>
      <c r="C613" s="373">
        <v>43117</v>
      </c>
      <c r="D613" s="372">
        <v>35</v>
      </c>
      <c r="E613" s="372">
        <v>28</v>
      </c>
      <c r="F613" s="372">
        <f>IFERROR(INDEX('NonART prices by med'!$D$2:$D$102,MATCH(D613,'NonART prices by med'!$A$2:$A$102,0)),"")</f>
        <v>0.60205838048342708</v>
      </c>
      <c r="G613" s="372">
        <f t="shared" si="19"/>
        <v>16.857634653535957</v>
      </c>
      <c r="H613" s="372">
        <f t="shared" si="20"/>
        <v>1</v>
      </c>
    </row>
    <row r="614" spans="1:8">
      <c r="A614" s="372">
        <v>12</v>
      </c>
      <c r="B614" s="373">
        <v>42977</v>
      </c>
      <c r="C614" s="373">
        <v>43006</v>
      </c>
      <c r="D614" s="372">
        <v>342</v>
      </c>
      <c r="E614" s="372">
        <v>28</v>
      </c>
      <c r="F614" s="372">
        <f>IFERROR(INDEX('NonART prices by med'!$D$2:$D$102,MATCH(D614,'NonART prices by med'!$A$2:$A$102,0)),"")</f>
        <v>0.26590000152587889</v>
      </c>
      <c r="G614" s="372">
        <f t="shared" si="19"/>
        <v>7.4452000427246094</v>
      </c>
      <c r="H614" s="372">
        <f t="shared" si="20"/>
        <v>1</v>
      </c>
    </row>
    <row r="615" spans="1:8">
      <c r="A615" s="372">
        <v>12</v>
      </c>
      <c r="B615" s="373">
        <v>42977</v>
      </c>
      <c r="C615" s="373">
        <v>43030</v>
      </c>
      <c r="D615" s="372">
        <v>342</v>
      </c>
      <c r="E615" s="372">
        <v>28</v>
      </c>
      <c r="F615" s="372">
        <f>IFERROR(INDEX('NonART prices by med'!$D$2:$D$102,MATCH(D615,'NonART prices by med'!$A$2:$A$102,0)),"")</f>
        <v>0.26590000152587889</v>
      </c>
      <c r="G615" s="372">
        <f t="shared" si="19"/>
        <v>7.4452000427246094</v>
      </c>
      <c r="H615" s="372">
        <f t="shared" si="20"/>
        <v>1</v>
      </c>
    </row>
    <row r="616" spans="1:8">
      <c r="A616" s="372">
        <v>12</v>
      </c>
      <c r="B616" s="373">
        <v>42977</v>
      </c>
      <c r="C616" s="373">
        <v>43089</v>
      </c>
      <c r="D616" s="372">
        <v>411</v>
      </c>
      <c r="F616" s="372">
        <f>IFERROR(INDEX('NonART prices by med'!$D$2:$D$102,MATCH(D616,'NonART prices by med'!$A$2:$A$102,0)),"")</f>
        <v>0.10354499389265867</v>
      </c>
      <c r="G616" s="372">
        <f t="shared" si="19"/>
        <v>0</v>
      </c>
      <c r="H616" s="372">
        <f t="shared" si="20"/>
        <v>1</v>
      </c>
    </row>
    <row r="617" spans="1:8">
      <c r="A617" s="372">
        <v>12</v>
      </c>
      <c r="B617" s="373">
        <v>42977</v>
      </c>
      <c r="C617" s="373">
        <v>43173</v>
      </c>
      <c r="D617" s="372">
        <v>59</v>
      </c>
      <c r="E617" s="372">
        <v>28</v>
      </c>
      <c r="F617" s="372">
        <f>IFERROR(INDEX('NonART prices by med'!$D$2:$D$102,MATCH(D617,'NonART prices by med'!$A$2:$A$102,0)),"")</f>
        <v>1.6595</v>
      </c>
      <c r="G617" s="372">
        <f t="shared" si="19"/>
        <v>46.466000000000001</v>
      </c>
      <c r="H617" s="372">
        <f t="shared" si="20"/>
        <v>1</v>
      </c>
    </row>
    <row r="618" spans="1:8">
      <c r="A618" s="372">
        <v>12</v>
      </c>
      <c r="B618" s="373">
        <v>42977</v>
      </c>
      <c r="C618" s="373">
        <v>43222</v>
      </c>
      <c r="D618" s="372">
        <v>219</v>
      </c>
      <c r="E618" s="372">
        <v>40</v>
      </c>
      <c r="F618" s="372">
        <f>IFERROR(INDEX('NonART prices by med'!$D$2:$D$102,MATCH(D618,'NonART prices by med'!$A$2:$A$102,0)),"")</f>
        <v>0.55532131597376833</v>
      </c>
      <c r="G618" s="372">
        <f t="shared" si="19"/>
        <v>22.212852638950732</v>
      </c>
      <c r="H618" s="372">
        <f t="shared" si="20"/>
        <v>1</v>
      </c>
    </row>
    <row r="619" spans="1:8">
      <c r="A619" s="372">
        <v>12</v>
      </c>
      <c r="B619" s="373">
        <v>42977</v>
      </c>
      <c r="C619" s="373">
        <v>43278</v>
      </c>
      <c r="D619" s="372">
        <v>318</v>
      </c>
      <c r="F619" s="372">
        <f>IFERROR(INDEX('NonART prices by med'!$D$2:$D$102,MATCH(D619,'NonART prices by med'!$A$2:$A$102,0)),"")</f>
        <v>0.19286066077210379</v>
      </c>
      <c r="G619" s="372">
        <f t="shared" si="19"/>
        <v>0</v>
      </c>
      <c r="H619" s="372">
        <f t="shared" si="20"/>
        <v>1</v>
      </c>
    </row>
    <row r="620" spans="1:8">
      <c r="A620" s="372">
        <v>12</v>
      </c>
      <c r="B620" s="373">
        <v>42977</v>
      </c>
      <c r="C620" s="373">
        <v>43334</v>
      </c>
      <c r="D620" s="372">
        <v>217</v>
      </c>
      <c r="E620" s="372">
        <v>84</v>
      </c>
      <c r="F620" s="372">
        <f>IFERROR(INDEX('NonART prices by med'!$D$2:$D$102,MATCH(D620,'NonART prices by med'!$A$2:$A$102,0)),"")</f>
        <v>0.24476190476190474</v>
      </c>
      <c r="G620" s="372">
        <f t="shared" si="19"/>
        <v>20.56</v>
      </c>
      <c r="H620" s="372">
        <f t="shared" si="20"/>
        <v>1</v>
      </c>
    </row>
    <row r="621" spans="1:8">
      <c r="A621" s="372">
        <v>12</v>
      </c>
      <c r="B621" s="373">
        <v>42977</v>
      </c>
      <c r="C621" s="373">
        <v>43419</v>
      </c>
      <c r="D621" s="372">
        <v>225</v>
      </c>
      <c r="E621" s="372">
        <v>56</v>
      </c>
      <c r="F621" s="372">
        <f>IFERROR(INDEX('NonART prices by med'!$D$2:$D$102,MATCH(D621,'NonART prices by med'!$A$2:$A$102,0)),"")</f>
        <v>0.19315423345580862</v>
      </c>
      <c r="G621" s="372">
        <f t="shared" si="19"/>
        <v>10.816637073525282</v>
      </c>
      <c r="H621" s="372">
        <f t="shared" si="20"/>
        <v>0</v>
      </c>
    </row>
    <row r="622" spans="1:8">
      <c r="A622" s="372">
        <v>13</v>
      </c>
      <c r="B622" s="373">
        <v>42977</v>
      </c>
      <c r="C622" s="373">
        <v>42977</v>
      </c>
      <c r="D622" s="372">
        <v>132</v>
      </c>
      <c r="F622" s="372">
        <f>IFERROR(INDEX('NonART prices by med'!$D$2:$D$102,MATCH(D622,'NonART prices by med'!$A$2:$A$102,0)),"")</f>
        <v>7.0309523809523822E-2</v>
      </c>
      <c r="G622" s="372">
        <f t="shared" si="19"/>
        <v>0</v>
      </c>
      <c r="H622" s="372">
        <f t="shared" si="20"/>
        <v>1</v>
      </c>
    </row>
    <row r="623" spans="1:8">
      <c r="A623" s="372">
        <v>13</v>
      </c>
      <c r="B623" s="373">
        <v>42977</v>
      </c>
      <c r="C623" s="373">
        <v>42984</v>
      </c>
      <c r="D623" s="372">
        <v>236</v>
      </c>
      <c r="E623" s="372">
        <v>1</v>
      </c>
      <c r="F623" s="372">
        <f>IFERROR(INDEX('NonART prices by med'!$D$2:$D$102,MATCH(D623,'NonART prices by med'!$A$2:$A$102,0)),"")</f>
        <v>0.45850000000000002</v>
      </c>
      <c r="G623" s="372">
        <f t="shared" si="19"/>
        <v>0.45850000000000002</v>
      </c>
      <c r="H623" s="372">
        <f t="shared" si="20"/>
        <v>1</v>
      </c>
    </row>
    <row r="624" spans="1:8">
      <c r="A624" s="372">
        <v>13</v>
      </c>
      <c r="B624" s="373">
        <v>42977</v>
      </c>
      <c r="C624" s="373">
        <v>43026</v>
      </c>
      <c r="D624" s="372">
        <v>411</v>
      </c>
      <c r="E624" s="372">
        <v>28</v>
      </c>
      <c r="F624" s="372">
        <f>IFERROR(INDEX('NonART prices by med'!$D$2:$D$102,MATCH(D624,'NonART prices by med'!$A$2:$A$102,0)),"")</f>
        <v>0.10354499389265867</v>
      </c>
      <c r="G624" s="372">
        <f t="shared" si="19"/>
        <v>2.8992598289944427</v>
      </c>
      <c r="H624" s="372">
        <f t="shared" si="20"/>
        <v>1</v>
      </c>
    </row>
    <row r="625" spans="1:8">
      <c r="A625" s="372">
        <v>13</v>
      </c>
      <c r="B625" s="373">
        <v>42977</v>
      </c>
      <c r="C625" s="373">
        <v>43055</v>
      </c>
      <c r="D625" s="372">
        <v>106</v>
      </c>
      <c r="E625" s="372">
        <v>1</v>
      </c>
      <c r="F625" s="372">
        <f>IFERROR(INDEX('NonART prices by med'!$D$2:$D$102,MATCH(D625,'NonART prices by med'!$A$2:$A$102,0)),"")</f>
        <v>3.4300000000000004E-2</v>
      </c>
      <c r="G625" s="372">
        <f t="shared" si="19"/>
        <v>3.4300000000000004E-2</v>
      </c>
      <c r="H625" s="372">
        <f t="shared" si="20"/>
        <v>1</v>
      </c>
    </row>
    <row r="626" spans="1:8">
      <c r="A626" s="372">
        <v>13</v>
      </c>
      <c r="B626" s="373">
        <v>42977</v>
      </c>
      <c r="C626" s="373">
        <v>43082</v>
      </c>
      <c r="D626" s="372">
        <v>35</v>
      </c>
      <c r="F626" s="372">
        <f>IFERROR(INDEX('NonART prices by med'!$D$2:$D$102,MATCH(D626,'NonART prices by med'!$A$2:$A$102,0)),"")</f>
        <v>0.60205838048342708</v>
      </c>
      <c r="G626" s="372">
        <f t="shared" si="19"/>
        <v>0</v>
      </c>
      <c r="H626" s="372">
        <f t="shared" si="20"/>
        <v>1</v>
      </c>
    </row>
    <row r="627" spans="1:8">
      <c r="A627" s="372">
        <v>13</v>
      </c>
      <c r="B627" s="373">
        <v>42977</v>
      </c>
      <c r="C627" s="373">
        <v>43138</v>
      </c>
      <c r="D627" s="372">
        <v>408</v>
      </c>
      <c r="E627" s="372">
        <v>28</v>
      </c>
      <c r="F627" s="372">
        <f>IFERROR(INDEX('NonART prices by med'!$D$2:$D$102,MATCH(D627,'NonART prices by med'!$A$2:$A$102,0)),"")</f>
        <v>5.5E-2</v>
      </c>
      <c r="G627" s="372">
        <f t="shared" si="19"/>
        <v>1.54</v>
      </c>
      <c r="H627" s="372">
        <f t="shared" si="20"/>
        <v>1</v>
      </c>
    </row>
    <row r="628" spans="1:8">
      <c r="A628" s="372">
        <v>13</v>
      </c>
      <c r="B628" s="373">
        <v>42977</v>
      </c>
      <c r="C628" s="373">
        <v>43166</v>
      </c>
      <c r="D628" s="372">
        <v>342</v>
      </c>
      <c r="E628" s="372">
        <v>56</v>
      </c>
      <c r="F628" s="372">
        <f>IFERROR(INDEX('NonART prices by med'!$D$2:$D$102,MATCH(D628,'NonART prices by med'!$A$2:$A$102,0)),"")</f>
        <v>0.26590000152587889</v>
      </c>
      <c r="G628" s="372">
        <f t="shared" si="19"/>
        <v>14.890400085449219</v>
      </c>
      <c r="H628" s="372">
        <f t="shared" si="20"/>
        <v>1</v>
      </c>
    </row>
    <row r="629" spans="1:8">
      <c r="A629" s="372">
        <v>14</v>
      </c>
      <c r="B629" s="373">
        <v>42977</v>
      </c>
      <c r="C629" s="373">
        <v>42977</v>
      </c>
      <c r="D629" s="372">
        <v>132</v>
      </c>
      <c r="F629" s="372">
        <f>IFERROR(INDEX('NonART prices by med'!$D$2:$D$102,MATCH(D629,'NonART prices by med'!$A$2:$A$102,0)),"")</f>
        <v>7.0309523809523822E-2</v>
      </c>
      <c r="G629" s="372">
        <f t="shared" si="19"/>
        <v>0</v>
      </c>
      <c r="H629" s="372">
        <f t="shared" si="20"/>
        <v>1</v>
      </c>
    </row>
    <row r="630" spans="1:8">
      <c r="A630" s="372">
        <v>14</v>
      </c>
      <c r="B630" s="373">
        <v>42977</v>
      </c>
      <c r="C630" s="373">
        <v>42991</v>
      </c>
      <c r="D630" s="372">
        <v>411</v>
      </c>
      <c r="E630" s="372">
        <v>56</v>
      </c>
      <c r="F630" s="372">
        <f>IFERROR(INDEX('NonART prices by med'!$D$2:$D$102,MATCH(D630,'NonART prices by med'!$A$2:$A$102,0)),"")</f>
        <v>0.10354499389265867</v>
      </c>
      <c r="G630" s="372">
        <f t="shared" si="19"/>
        <v>5.7985196579888854</v>
      </c>
      <c r="H630" s="372">
        <f t="shared" si="20"/>
        <v>1</v>
      </c>
    </row>
    <row r="631" spans="1:8">
      <c r="A631" s="372">
        <v>14</v>
      </c>
      <c r="B631" s="373">
        <v>42977</v>
      </c>
      <c r="C631" s="373">
        <v>43045</v>
      </c>
      <c r="D631" s="372">
        <v>411</v>
      </c>
      <c r="E631" s="372">
        <v>28</v>
      </c>
      <c r="F631" s="372">
        <f>IFERROR(INDEX('NonART prices by med'!$D$2:$D$102,MATCH(D631,'NonART prices by med'!$A$2:$A$102,0)),"")</f>
        <v>0.10354499389265867</v>
      </c>
      <c r="G631" s="372">
        <f t="shared" si="19"/>
        <v>2.8992598289944427</v>
      </c>
      <c r="H631" s="372">
        <f t="shared" si="20"/>
        <v>1</v>
      </c>
    </row>
    <row r="632" spans="1:8">
      <c r="A632" s="372">
        <v>14</v>
      </c>
      <c r="B632" s="373">
        <v>42977</v>
      </c>
      <c r="C632" s="373">
        <v>43083</v>
      </c>
      <c r="D632" s="372">
        <v>411</v>
      </c>
      <c r="E632" s="372">
        <v>56</v>
      </c>
      <c r="F632" s="372">
        <f>IFERROR(INDEX('NonART prices by med'!$D$2:$D$102,MATCH(D632,'NonART prices by med'!$A$2:$A$102,0)),"")</f>
        <v>0.10354499389265867</v>
      </c>
      <c r="G632" s="372">
        <f t="shared" si="19"/>
        <v>5.7985196579888854</v>
      </c>
      <c r="H632" s="372">
        <f t="shared" si="20"/>
        <v>1</v>
      </c>
    </row>
    <row r="633" spans="1:8">
      <c r="A633" s="372">
        <v>15</v>
      </c>
      <c r="B633" s="373">
        <v>42977</v>
      </c>
      <c r="C633" s="373">
        <v>43006</v>
      </c>
      <c r="D633" s="372">
        <v>408</v>
      </c>
      <c r="E633" s="372">
        <v>56</v>
      </c>
      <c r="F633" s="372">
        <f>IFERROR(INDEX('NonART prices by med'!$D$2:$D$102,MATCH(D633,'NonART prices by med'!$A$2:$A$102,0)),"")</f>
        <v>5.5E-2</v>
      </c>
      <c r="G633" s="372">
        <f t="shared" si="19"/>
        <v>3.08</v>
      </c>
      <c r="H633" s="372">
        <f t="shared" si="20"/>
        <v>1</v>
      </c>
    </row>
    <row r="634" spans="1:8">
      <c r="A634" s="372">
        <v>15</v>
      </c>
      <c r="B634" s="373">
        <v>42977</v>
      </c>
      <c r="C634" s="373">
        <v>43088</v>
      </c>
      <c r="D634" s="372">
        <v>408</v>
      </c>
      <c r="E634" s="372">
        <v>56</v>
      </c>
      <c r="F634" s="372">
        <f>IFERROR(INDEX('NonART prices by med'!$D$2:$D$102,MATCH(D634,'NonART prices by med'!$A$2:$A$102,0)),"")</f>
        <v>5.5E-2</v>
      </c>
      <c r="G634" s="372">
        <f t="shared" si="19"/>
        <v>3.08</v>
      </c>
      <c r="H634" s="372">
        <f t="shared" si="20"/>
        <v>1</v>
      </c>
    </row>
    <row r="635" spans="1:8">
      <c r="A635" s="372">
        <v>15</v>
      </c>
      <c r="B635" s="373">
        <v>42977</v>
      </c>
      <c r="C635" s="373">
        <v>43229</v>
      </c>
      <c r="D635" s="372">
        <v>35</v>
      </c>
      <c r="F635" s="372">
        <f>IFERROR(INDEX('NonART prices by med'!$D$2:$D$102,MATCH(D635,'NonART prices by med'!$A$2:$A$102,0)),"")</f>
        <v>0.60205838048342708</v>
      </c>
      <c r="G635" s="372">
        <f t="shared" si="19"/>
        <v>0</v>
      </c>
      <c r="H635" s="372">
        <f t="shared" si="20"/>
        <v>1</v>
      </c>
    </row>
    <row r="636" spans="1:8">
      <c r="A636" s="372">
        <v>15</v>
      </c>
      <c r="B636" s="373">
        <v>42977</v>
      </c>
      <c r="C636" s="373">
        <v>43341</v>
      </c>
      <c r="D636" s="372">
        <v>280</v>
      </c>
      <c r="E636" s="372">
        <v>1</v>
      </c>
      <c r="F636" s="372">
        <f>IFERROR(INDEX('NonART prices by med'!$D$2:$D$102,MATCH(D636,'NonART prices by med'!$A$2:$A$102,0)),"")</f>
        <v>0.11576000030852043</v>
      </c>
      <c r="G636" s="372">
        <f t="shared" si="19"/>
        <v>0.11576000030852043</v>
      </c>
      <c r="H636" s="372">
        <f t="shared" si="20"/>
        <v>1</v>
      </c>
    </row>
    <row r="637" spans="1:8">
      <c r="A637" s="372">
        <v>17</v>
      </c>
      <c r="B637" s="373">
        <v>42970</v>
      </c>
      <c r="C637" s="373">
        <v>42970</v>
      </c>
      <c r="D637" s="372">
        <v>217</v>
      </c>
      <c r="F637" s="372">
        <f>IFERROR(INDEX('NonART prices by med'!$D$2:$D$102,MATCH(D637,'NonART prices by med'!$A$2:$A$102,0)),"")</f>
        <v>0.24476190476190474</v>
      </c>
      <c r="G637" s="372">
        <f t="shared" si="19"/>
        <v>0</v>
      </c>
      <c r="H637" s="372">
        <f t="shared" si="20"/>
        <v>1</v>
      </c>
    </row>
    <row r="638" spans="1:8">
      <c r="A638" s="372">
        <v>17</v>
      </c>
      <c r="B638" s="373">
        <v>42970</v>
      </c>
      <c r="C638" s="373">
        <v>42998</v>
      </c>
      <c r="D638" s="372">
        <v>35</v>
      </c>
      <c r="E638" s="372">
        <v>56</v>
      </c>
      <c r="F638" s="372">
        <f>IFERROR(INDEX('NonART prices by med'!$D$2:$D$102,MATCH(D638,'NonART prices by med'!$A$2:$A$102,0)),"")</f>
        <v>0.60205838048342708</v>
      </c>
      <c r="G638" s="372">
        <f t="shared" si="19"/>
        <v>33.715269307071914</v>
      </c>
      <c r="H638" s="372">
        <f t="shared" si="20"/>
        <v>1</v>
      </c>
    </row>
    <row r="639" spans="1:8">
      <c r="A639" s="372">
        <v>17</v>
      </c>
      <c r="B639" s="373">
        <v>42970</v>
      </c>
      <c r="C639" s="373">
        <v>43089</v>
      </c>
      <c r="D639" s="372">
        <v>225</v>
      </c>
      <c r="E639" s="372">
        <v>28</v>
      </c>
      <c r="F639" s="372">
        <f>IFERROR(INDEX('NonART prices by med'!$D$2:$D$102,MATCH(D639,'NonART prices by med'!$A$2:$A$102,0)),"")</f>
        <v>0.19315423345580862</v>
      </c>
      <c r="G639" s="372">
        <f t="shared" si="19"/>
        <v>5.408318536762641</v>
      </c>
      <c r="H639" s="372">
        <f t="shared" si="20"/>
        <v>1</v>
      </c>
    </row>
    <row r="640" spans="1:8">
      <c r="A640" s="372">
        <v>17</v>
      </c>
      <c r="B640" s="373">
        <v>42970</v>
      </c>
      <c r="C640" s="373">
        <v>43118</v>
      </c>
      <c r="D640" s="372">
        <v>342</v>
      </c>
      <c r="F640" s="372">
        <f>IFERROR(INDEX('NonART prices by med'!$D$2:$D$102,MATCH(D640,'NonART prices by med'!$A$2:$A$102,0)),"")</f>
        <v>0.26590000152587889</v>
      </c>
      <c r="G640" s="372">
        <f t="shared" si="19"/>
        <v>0</v>
      </c>
      <c r="H640" s="372">
        <f t="shared" si="20"/>
        <v>1</v>
      </c>
    </row>
    <row r="641" spans="1:8">
      <c r="A641" s="372">
        <v>18</v>
      </c>
      <c r="B641" s="373">
        <v>43032</v>
      </c>
      <c r="C641" s="373">
        <v>43032</v>
      </c>
      <c r="D641" s="372">
        <v>215</v>
      </c>
      <c r="E641" s="372">
        <v>28</v>
      </c>
      <c r="F641" s="372">
        <f>IFERROR(INDEX('NonART prices by med'!$D$2:$D$102,MATCH(D641,'NonART prices by med'!$A$2:$A$102,0)),"")</f>
        <v>0.27607142857142858</v>
      </c>
      <c r="G641" s="372">
        <f t="shared" si="19"/>
        <v>7.73</v>
      </c>
      <c r="H641" s="372">
        <f t="shared" si="20"/>
        <v>1</v>
      </c>
    </row>
    <row r="642" spans="1:8">
      <c r="A642" s="372">
        <v>18</v>
      </c>
      <c r="B642" s="373">
        <v>43032</v>
      </c>
      <c r="C642" s="373">
        <v>43089</v>
      </c>
      <c r="D642" s="372">
        <v>132</v>
      </c>
      <c r="E642" s="372">
        <v>56</v>
      </c>
      <c r="F642" s="372">
        <f>IFERROR(INDEX('NonART prices by med'!$D$2:$D$102,MATCH(D642,'NonART prices by med'!$A$2:$A$102,0)),"")</f>
        <v>7.0309523809523822E-2</v>
      </c>
      <c r="G642" s="372">
        <f t="shared" si="19"/>
        <v>3.937333333333334</v>
      </c>
      <c r="H642" s="372">
        <f t="shared" si="20"/>
        <v>1</v>
      </c>
    </row>
    <row r="643" spans="1:8">
      <c r="A643" s="372">
        <v>18</v>
      </c>
      <c r="B643" s="373">
        <v>43032</v>
      </c>
      <c r="C643" s="373">
        <v>43173</v>
      </c>
      <c r="D643" s="372">
        <v>35</v>
      </c>
      <c r="F643" s="372">
        <f>IFERROR(INDEX('NonART prices by med'!$D$2:$D$102,MATCH(D643,'NonART prices by med'!$A$2:$A$102,0)),"")</f>
        <v>0.60205838048342708</v>
      </c>
      <c r="G643" s="372">
        <f t="shared" ref="G643:G706" si="21">IFERROR(E643*F643,"")</f>
        <v>0</v>
      </c>
      <c r="H643" s="372">
        <f t="shared" si="20"/>
        <v>1</v>
      </c>
    </row>
    <row r="644" spans="1:8">
      <c r="A644" s="372">
        <v>18</v>
      </c>
      <c r="B644" s="373">
        <v>43032</v>
      </c>
      <c r="C644" s="373">
        <v>43202</v>
      </c>
      <c r="D644" s="372">
        <v>135</v>
      </c>
      <c r="F644" s="372">
        <f>IFERROR(INDEX('NonART prices by med'!$D$2:$D$102,MATCH(D644,'NonART prices by med'!$A$2:$A$102,0)),"")</f>
        <v>12.65</v>
      </c>
      <c r="G644" s="372">
        <f t="shared" si="21"/>
        <v>0</v>
      </c>
      <c r="H644" s="372">
        <f t="shared" ref="H644:H707" si="22">IF(C644-B644&lt;=365,1,0)</f>
        <v>1</v>
      </c>
    </row>
    <row r="645" spans="1:8">
      <c r="A645" s="372">
        <v>19</v>
      </c>
      <c r="B645" s="373">
        <v>42969</v>
      </c>
      <c r="C645" s="373">
        <v>42998</v>
      </c>
      <c r="D645" s="372">
        <v>342</v>
      </c>
      <c r="E645" s="372">
        <v>56</v>
      </c>
      <c r="F645" s="372">
        <f>IFERROR(INDEX('NonART prices by med'!$D$2:$D$102,MATCH(D645,'NonART prices by med'!$A$2:$A$102,0)),"")</f>
        <v>0.26590000152587889</v>
      </c>
      <c r="G645" s="372">
        <f t="shared" si="21"/>
        <v>14.890400085449219</v>
      </c>
      <c r="H645" s="372">
        <f t="shared" si="22"/>
        <v>1</v>
      </c>
    </row>
    <row r="646" spans="1:8">
      <c r="A646" s="372">
        <v>19</v>
      </c>
      <c r="B646" s="373">
        <v>42969</v>
      </c>
      <c r="C646" s="373">
        <v>43082</v>
      </c>
      <c r="D646" s="372">
        <v>342</v>
      </c>
      <c r="E646" s="372">
        <v>56</v>
      </c>
      <c r="F646" s="372">
        <f>IFERROR(INDEX('NonART prices by med'!$D$2:$D$102,MATCH(D646,'NonART prices by med'!$A$2:$A$102,0)),"")</f>
        <v>0.26590000152587889</v>
      </c>
      <c r="G646" s="372">
        <f t="shared" si="21"/>
        <v>14.890400085449219</v>
      </c>
      <c r="H646" s="372">
        <f t="shared" si="22"/>
        <v>1</v>
      </c>
    </row>
    <row r="647" spans="1:8">
      <c r="A647" s="372">
        <v>19</v>
      </c>
      <c r="B647" s="373">
        <v>42969</v>
      </c>
      <c r="C647" s="373">
        <v>43236</v>
      </c>
      <c r="D647" s="372">
        <v>342</v>
      </c>
      <c r="F647" s="372">
        <f>IFERROR(INDEX('NonART prices by med'!$D$2:$D$102,MATCH(D647,'NonART prices by med'!$A$2:$A$102,0)),"")</f>
        <v>0.26590000152587889</v>
      </c>
      <c r="G647" s="372">
        <f t="shared" si="21"/>
        <v>0</v>
      </c>
      <c r="H647" s="372">
        <f t="shared" si="22"/>
        <v>1</v>
      </c>
    </row>
    <row r="648" spans="1:8">
      <c r="A648" s="372">
        <v>20</v>
      </c>
      <c r="B648" s="373">
        <v>42968</v>
      </c>
      <c r="C648" s="373">
        <v>42935</v>
      </c>
      <c r="D648" s="372">
        <v>408</v>
      </c>
      <c r="E648" s="372">
        <v>28</v>
      </c>
      <c r="F648" s="372">
        <f>IFERROR(INDEX('NonART prices by med'!$D$2:$D$102,MATCH(D648,'NonART prices by med'!$A$2:$A$102,0)),"")</f>
        <v>5.5E-2</v>
      </c>
      <c r="G648" s="372">
        <f t="shared" si="21"/>
        <v>1.54</v>
      </c>
      <c r="H648" s="372">
        <f t="shared" si="22"/>
        <v>1</v>
      </c>
    </row>
    <row r="649" spans="1:8">
      <c r="A649" s="372">
        <v>20</v>
      </c>
      <c r="B649" s="373">
        <v>42968</v>
      </c>
      <c r="C649" s="373">
        <v>42954</v>
      </c>
      <c r="D649" s="372">
        <v>236</v>
      </c>
      <c r="E649" s="372">
        <v>2</v>
      </c>
      <c r="F649" s="372">
        <f>IFERROR(INDEX('NonART prices by med'!$D$2:$D$102,MATCH(D649,'NonART prices by med'!$A$2:$A$102,0)),"")</f>
        <v>0.45850000000000002</v>
      </c>
      <c r="G649" s="372">
        <f t="shared" si="21"/>
        <v>0.91700000000000004</v>
      </c>
      <c r="H649" s="372">
        <f t="shared" si="22"/>
        <v>1</v>
      </c>
    </row>
    <row r="650" spans="1:8">
      <c r="A650" s="372">
        <v>20</v>
      </c>
      <c r="B650" s="373">
        <v>42968</v>
      </c>
      <c r="C650" s="373">
        <v>42991</v>
      </c>
      <c r="D650" s="372">
        <v>179</v>
      </c>
      <c r="E650" s="372">
        <v>56</v>
      </c>
      <c r="F650" s="372">
        <f>IFERROR(INDEX('NonART prices by med'!$D$2:$D$102,MATCH(D650,'NonART prices by med'!$A$2:$A$102,0)),"")</f>
        <v>12.69</v>
      </c>
      <c r="G650" s="372">
        <f t="shared" si="21"/>
        <v>710.64</v>
      </c>
      <c r="H650" s="372">
        <f t="shared" si="22"/>
        <v>1</v>
      </c>
    </row>
    <row r="651" spans="1:8">
      <c r="A651" s="372">
        <v>20</v>
      </c>
      <c r="B651" s="373">
        <v>42968</v>
      </c>
      <c r="C651" s="373">
        <v>43206</v>
      </c>
      <c r="D651" s="372">
        <v>358</v>
      </c>
      <c r="E651" s="372">
        <v>56</v>
      </c>
      <c r="F651" s="372">
        <f>IFERROR(INDEX('NonART prices by med'!$D$2:$D$102,MATCH(D651,'NonART prices by med'!$A$2:$A$102,0)),"")</f>
        <v>0.1839316921343207</v>
      </c>
      <c r="G651" s="372">
        <f t="shared" si="21"/>
        <v>10.300174759521958</v>
      </c>
      <c r="H651" s="372">
        <f t="shared" si="22"/>
        <v>1</v>
      </c>
    </row>
    <row r="652" spans="1:8">
      <c r="A652" s="372">
        <v>20</v>
      </c>
      <c r="B652" s="373">
        <v>42968</v>
      </c>
      <c r="C652" s="373">
        <v>43313</v>
      </c>
      <c r="D652" s="372">
        <v>358</v>
      </c>
      <c r="F652" s="372">
        <f>IFERROR(INDEX('NonART prices by med'!$D$2:$D$102,MATCH(D652,'NonART prices by med'!$A$2:$A$102,0)),"")</f>
        <v>0.1839316921343207</v>
      </c>
      <c r="G652" s="372">
        <f t="shared" si="21"/>
        <v>0</v>
      </c>
      <c r="H652" s="372">
        <f t="shared" si="22"/>
        <v>1</v>
      </c>
    </row>
    <row r="653" spans="1:8">
      <c r="A653" s="372">
        <v>21</v>
      </c>
      <c r="B653" s="373">
        <v>42968</v>
      </c>
      <c r="C653" s="373">
        <v>42961</v>
      </c>
      <c r="D653" s="372">
        <v>311</v>
      </c>
      <c r="F653" s="372">
        <f>IFERROR(INDEX('NonART prices by med'!$D$2:$D$102,MATCH(D653,'NonART prices by med'!$A$2:$A$102,0)),"")</f>
        <v>11.92</v>
      </c>
      <c r="G653" s="372">
        <f t="shared" si="21"/>
        <v>0</v>
      </c>
      <c r="H653" s="372">
        <f t="shared" si="22"/>
        <v>1</v>
      </c>
    </row>
    <row r="654" spans="1:8">
      <c r="A654" s="372">
        <v>21</v>
      </c>
      <c r="B654" s="373">
        <v>42968</v>
      </c>
      <c r="C654" s="373">
        <v>42968</v>
      </c>
      <c r="D654" s="372">
        <v>146</v>
      </c>
      <c r="E654" s="372">
        <v>1</v>
      </c>
      <c r="F654" s="372">
        <f>IFERROR(INDEX('NonART prices by med'!$D$2:$D$102,MATCH(D654,'NonART prices by med'!$A$2:$A$102,0)),"")</f>
        <v>4.2040000000000006</v>
      </c>
      <c r="G654" s="372">
        <f t="shared" si="21"/>
        <v>4.2040000000000006</v>
      </c>
      <c r="H654" s="372">
        <f t="shared" si="22"/>
        <v>1</v>
      </c>
    </row>
    <row r="655" spans="1:8">
      <c r="A655" s="372">
        <v>21</v>
      </c>
      <c r="B655" s="373">
        <v>42968</v>
      </c>
      <c r="C655" s="373">
        <v>43027</v>
      </c>
      <c r="D655" s="372">
        <v>342</v>
      </c>
      <c r="E655" s="372">
        <v>28</v>
      </c>
      <c r="F655" s="372">
        <f>IFERROR(INDEX('NonART prices by med'!$D$2:$D$102,MATCH(D655,'NonART prices by med'!$A$2:$A$102,0)),"")</f>
        <v>0.26590000152587889</v>
      </c>
      <c r="G655" s="372">
        <f t="shared" si="21"/>
        <v>7.4452000427246094</v>
      </c>
      <c r="H655" s="372">
        <f t="shared" si="22"/>
        <v>1</v>
      </c>
    </row>
    <row r="656" spans="1:8">
      <c r="A656" s="372">
        <v>21</v>
      </c>
      <c r="B656" s="373">
        <v>42968</v>
      </c>
      <c r="C656" s="373">
        <v>43056</v>
      </c>
      <c r="D656" s="372">
        <v>342</v>
      </c>
      <c r="F656" s="372">
        <f>IFERROR(INDEX('NonART prices by med'!$D$2:$D$102,MATCH(D656,'NonART prices by med'!$A$2:$A$102,0)),"")</f>
        <v>0.26590000152587889</v>
      </c>
      <c r="G656" s="372">
        <f t="shared" si="21"/>
        <v>0</v>
      </c>
      <c r="H656" s="372">
        <f t="shared" si="22"/>
        <v>1</v>
      </c>
    </row>
    <row r="657" spans="1:8">
      <c r="A657" s="372">
        <v>21</v>
      </c>
      <c r="B657" s="373">
        <v>42968</v>
      </c>
      <c r="C657" s="373">
        <v>43124</v>
      </c>
      <c r="D657" s="372">
        <v>411</v>
      </c>
      <c r="E657" s="372">
        <v>28</v>
      </c>
      <c r="F657" s="372">
        <f>IFERROR(INDEX('NonART prices by med'!$D$2:$D$102,MATCH(D657,'NonART prices by med'!$A$2:$A$102,0)),"")</f>
        <v>0.10354499389265867</v>
      </c>
      <c r="G657" s="372">
        <f t="shared" si="21"/>
        <v>2.8992598289944427</v>
      </c>
      <c r="H657" s="372">
        <f t="shared" si="22"/>
        <v>1</v>
      </c>
    </row>
    <row r="658" spans="1:8">
      <c r="A658" s="372">
        <v>21</v>
      </c>
      <c r="B658" s="373">
        <v>42968</v>
      </c>
      <c r="C658" s="373">
        <v>43153</v>
      </c>
      <c r="D658" s="372">
        <v>178</v>
      </c>
      <c r="E658" s="372">
        <v>1</v>
      </c>
      <c r="F658" s="372">
        <f>IFERROR(INDEX('NonART prices by med'!$D$2:$D$102,MATCH(D658,'NonART prices by med'!$A$2:$A$102,0)),"")</f>
        <v>0.22140000000000001</v>
      </c>
      <c r="G658" s="372">
        <f t="shared" si="21"/>
        <v>0.22140000000000001</v>
      </c>
      <c r="H658" s="372">
        <f t="shared" si="22"/>
        <v>1</v>
      </c>
    </row>
    <row r="659" spans="1:8">
      <c r="A659" s="372">
        <v>21</v>
      </c>
      <c r="B659" s="373">
        <v>42968</v>
      </c>
      <c r="C659" s="373">
        <v>43181</v>
      </c>
      <c r="D659" s="372">
        <v>342</v>
      </c>
      <c r="E659" s="372">
        <v>28</v>
      </c>
      <c r="F659" s="372">
        <f>IFERROR(INDEX('NonART prices by med'!$D$2:$D$102,MATCH(D659,'NonART prices by med'!$A$2:$A$102,0)),"")</f>
        <v>0.26590000152587889</v>
      </c>
      <c r="G659" s="372">
        <f t="shared" si="21"/>
        <v>7.4452000427246094</v>
      </c>
      <c r="H659" s="372">
        <f t="shared" si="22"/>
        <v>1</v>
      </c>
    </row>
    <row r="660" spans="1:8">
      <c r="A660" s="372">
        <v>21</v>
      </c>
      <c r="B660" s="373">
        <v>42968</v>
      </c>
      <c r="C660" s="373">
        <v>43370</v>
      </c>
      <c r="D660" s="372">
        <v>333</v>
      </c>
      <c r="E660" s="372">
        <v>1</v>
      </c>
      <c r="F660" s="372">
        <f>IFERROR(INDEX('NonART prices by med'!$D$2:$D$102,MATCH(D660,'NonART prices by med'!$A$2:$A$102,0)),"")</f>
        <v>0.32799999999999996</v>
      </c>
      <c r="G660" s="372">
        <f t="shared" si="21"/>
        <v>0.32799999999999996</v>
      </c>
      <c r="H660" s="372">
        <f t="shared" si="22"/>
        <v>0</v>
      </c>
    </row>
    <row r="661" spans="1:8">
      <c r="A661" s="372">
        <v>22</v>
      </c>
      <c r="B661" s="373">
        <v>42968</v>
      </c>
      <c r="C661" s="373">
        <v>42982</v>
      </c>
      <c r="D661" s="372">
        <v>35</v>
      </c>
      <c r="E661" s="372">
        <v>28</v>
      </c>
      <c r="F661" s="372">
        <f>IFERROR(INDEX('NonART prices by med'!$D$2:$D$102,MATCH(D661,'NonART prices by med'!$A$2:$A$102,0)),"")</f>
        <v>0.60205838048342708</v>
      </c>
      <c r="G661" s="372">
        <f t="shared" si="21"/>
        <v>16.857634653535957</v>
      </c>
      <c r="H661" s="372">
        <f t="shared" si="22"/>
        <v>1</v>
      </c>
    </row>
    <row r="662" spans="1:8">
      <c r="A662" s="372">
        <v>22</v>
      </c>
      <c r="B662" s="373">
        <v>42968</v>
      </c>
      <c r="C662" s="373">
        <v>43024</v>
      </c>
      <c r="D662" s="372">
        <v>411</v>
      </c>
      <c r="E662" s="372">
        <v>28</v>
      </c>
      <c r="F662" s="372">
        <f>IFERROR(INDEX('NonART prices by med'!$D$2:$D$102,MATCH(D662,'NonART prices by med'!$A$2:$A$102,0)),"")</f>
        <v>0.10354499389265867</v>
      </c>
      <c r="G662" s="372">
        <f t="shared" si="21"/>
        <v>2.8992598289944427</v>
      </c>
      <c r="H662" s="372">
        <f t="shared" si="22"/>
        <v>1</v>
      </c>
    </row>
    <row r="663" spans="1:8">
      <c r="A663" s="372">
        <v>22</v>
      </c>
      <c r="B663" s="373">
        <v>42968</v>
      </c>
      <c r="C663" s="373">
        <v>43052</v>
      </c>
      <c r="D663" s="372">
        <v>411</v>
      </c>
      <c r="F663" s="372">
        <f>IFERROR(INDEX('NonART prices by med'!$D$2:$D$102,MATCH(D663,'NonART prices by med'!$A$2:$A$102,0)),"")</f>
        <v>0.10354499389265867</v>
      </c>
      <c r="G663" s="372">
        <f t="shared" si="21"/>
        <v>0</v>
      </c>
      <c r="H663" s="372">
        <f t="shared" si="22"/>
        <v>1</v>
      </c>
    </row>
    <row r="664" spans="1:8">
      <c r="A664" s="372">
        <v>22</v>
      </c>
      <c r="B664" s="373">
        <v>42968</v>
      </c>
      <c r="C664" s="373">
        <v>43138</v>
      </c>
      <c r="D664" s="372">
        <v>342</v>
      </c>
      <c r="E664" s="372">
        <v>28</v>
      </c>
      <c r="F664" s="372">
        <f>IFERROR(INDEX('NonART prices by med'!$D$2:$D$102,MATCH(D664,'NonART prices by med'!$A$2:$A$102,0)),"")</f>
        <v>0.26590000152587889</v>
      </c>
      <c r="G664" s="372">
        <f t="shared" si="21"/>
        <v>7.4452000427246094</v>
      </c>
      <c r="H664" s="372">
        <f t="shared" si="22"/>
        <v>1</v>
      </c>
    </row>
    <row r="665" spans="1:8">
      <c r="A665" s="372">
        <v>23</v>
      </c>
      <c r="B665" s="373">
        <v>42968</v>
      </c>
      <c r="C665" s="373">
        <v>42968</v>
      </c>
      <c r="D665" s="372">
        <v>342</v>
      </c>
      <c r="E665" s="372">
        <v>28</v>
      </c>
      <c r="F665" s="372">
        <f>IFERROR(INDEX('NonART prices by med'!$D$2:$D$102,MATCH(D665,'NonART prices by med'!$A$2:$A$102,0)),"")</f>
        <v>0.26590000152587889</v>
      </c>
      <c r="G665" s="372">
        <f t="shared" si="21"/>
        <v>7.4452000427246094</v>
      </c>
      <c r="H665" s="372">
        <f t="shared" si="22"/>
        <v>1</v>
      </c>
    </row>
    <row r="666" spans="1:8">
      <c r="A666" s="372">
        <v>23</v>
      </c>
      <c r="B666" s="373">
        <v>42968</v>
      </c>
      <c r="C666" s="373">
        <v>42996</v>
      </c>
      <c r="D666" s="372">
        <v>342</v>
      </c>
      <c r="E666" s="372">
        <v>56</v>
      </c>
      <c r="F666" s="372">
        <f>IFERROR(INDEX('NonART prices by med'!$D$2:$D$102,MATCH(D666,'NonART prices by med'!$A$2:$A$102,0)),"")</f>
        <v>0.26590000152587889</v>
      </c>
      <c r="G666" s="372">
        <f t="shared" si="21"/>
        <v>14.890400085449219</v>
      </c>
      <c r="H666" s="372">
        <f t="shared" si="22"/>
        <v>1</v>
      </c>
    </row>
    <row r="667" spans="1:8">
      <c r="A667" s="372">
        <v>23</v>
      </c>
      <c r="B667" s="373">
        <v>42968</v>
      </c>
      <c r="C667" s="373">
        <v>43052</v>
      </c>
      <c r="D667" s="372">
        <v>342</v>
      </c>
      <c r="E667" s="372">
        <v>28</v>
      </c>
      <c r="F667" s="372">
        <f>IFERROR(INDEX('NonART prices by med'!$D$2:$D$102,MATCH(D667,'NonART prices by med'!$A$2:$A$102,0)),"")</f>
        <v>0.26590000152587889</v>
      </c>
      <c r="G667" s="372">
        <f t="shared" si="21"/>
        <v>7.4452000427246094</v>
      </c>
      <c r="H667" s="372">
        <f t="shared" si="22"/>
        <v>1</v>
      </c>
    </row>
    <row r="668" spans="1:8">
      <c r="A668" s="372">
        <v>23</v>
      </c>
      <c r="B668" s="373">
        <v>42968</v>
      </c>
      <c r="C668" s="373">
        <v>43080</v>
      </c>
      <c r="D668" s="372">
        <v>342</v>
      </c>
      <c r="E668" s="372">
        <v>28</v>
      </c>
      <c r="F668" s="372">
        <f>IFERROR(INDEX('NonART prices by med'!$D$2:$D$102,MATCH(D668,'NonART prices by med'!$A$2:$A$102,0)),"")</f>
        <v>0.26590000152587889</v>
      </c>
      <c r="G668" s="372">
        <f t="shared" si="21"/>
        <v>7.4452000427246094</v>
      </c>
      <c r="H668" s="372">
        <f t="shared" si="22"/>
        <v>1</v>
      </c>
    </row>
    <row r="669" spans="1:8">
      <c r="A669" s="372">
        <v>24</v>
      </c>
      <c r="B669" s="373">
        <v>42958</v>
      </c>
      <c r="C669" s="373">
        <v>42992</v>
      </c>
      <c r="D669" s="372">
        <v>1</v>
      </c>
      <c r="E669" s="372">
        <v>10</v>
      </c>
      <c r="F669" s="372" t="str">
        <f>IFERROR(INDEX('NonART prices by med'!$D$2:$D$102,MATCH(D669,'NonART prices by med'!$A$2:$A$102,0)),"")</f>
        <v/>
      </c>
      <c r="G669" s="372" t="str">
        <f t="shared" si="21"/>
        <v/>
      </c>
      <c r="H669" s="372">
        <f t="shared" si="22"/>
        <v>1</v>
      </c>
    </row>
    <row r="670" spans="1:8">
      <c r="A670" s="372">
        <v>24</v>
      </c>
      <c r="B670" s="373">
        <v>42958</v>
      </c>
      <c r="C670" s="373">
        <v>43182</v>
      </c>
      <c r="D670" s="372">
        <v>288</v>
      </c>
      <c r="E670" s="372">
        <v>15</v>
      </c>
      <c r="F670" s="372">
        <f>IFERROR(INDEX('NonART prices by med'!$D$2:$D$102,MATCH(D670,'NonART prices by med'!$A$2:$A$102,0)),"")</f>
        <v>0.27771428571428569</v>
      </c>
      <c r="G670" s="372">
        <f t="shared" si="21"/>
        <v>4.1657142857142855</v>
      </c>
      <c r="H670" s="372">
        <f t="shared" si="22"/>
        <v>1</v>
      </c>
    </row>
    <row r="671" spans="1:8">
      <c r="A671" s="372">
        <v>24</v>
      </c>
      <c r="B671" s="373">
        <v>42958</v>
      </c>
      <c r="C671" s="373">
        <v>43196</v>
      </c>
      <c r="D671" s="372">
        <v>408</v>
      </c>
      <c r="E671" s="372">
        <v>28</v>
      </c>
      <c r="F671" s="372">
        <f>IFERROR(INDEX('NonART prices by med'!$D$2:$D$102,MATCH(D671,'NonART prices by med'!$A$2:$A$102,0)),"")</f>
        <v>5.5E-2</v>
      </c>
      <c r="G671" s="372">
        <f t="shared" si="21"/>
        <v>1.54</v>
      </c>
      <c r="H671" s="372">
        <f t="shared" si="22"/>
        <v>1</v>
      </c>
    </row>
    <row r="672" spans="1:8">
      <c r="A672" s="372">
        <v>24</v>
      </c>
      <c r="B672" s="373">
        <v>42958</v>
      </c>
      <c r="C672" s="373">
        <v>43214</v>
      </c>
      <c r="D672" s="372">
        <v>184</v>
      </c>
      <c r="E672" s="372">
        <v>56</v>
      </c>
      <c r="F672" s="372">
        <f>IFERROR(INDEX('NonART prices by med'!$D$2:$D$102,MATCH(D672,'NonART prices by med'!$A$2:$A$102,0)),"")</f>
        <v>0.21851785714285715</v>
      </c>
      <c r="G672" s="372">
        <f t="shared" si="21"/>
        <v>12.237</v>
      </c>
      <c r="H672" s="372">
        <f t="shared" si="22"/>
        <v>1</v>
      </c>
    </row>
    <row r="673" spans="1:8">
      <c r="A673" s="372">
        <v>24</v>
      </c>
      <c r="B673" s="373">
        <v>42958</v>
      </c>
      <c r="C673" s="373">
        <v>43242</v>
      </c>
      <c r="D673" s="372">
        <v>408</v>
      </c>
      <c r="E673" s="372">
        <v>28</v>
      </c>
      <c r="F673" s="372">
        <f>IFERROR(INDEX('NonART prices by med'!$D$2:$D$102,MATCH(D673,'NonART prices by med'!$A$2:$A$102,0)),"")</f>
        <v>5.5E-2</v>
      </c>
      <c r="G673" s="372">
        <f t="shared" si="21"/>
        <v>1.54</v>
      </c>
      <c r="H673" s="372">
        <f t="shared" si="22"/>
        <v>1</v>
      </c>
    </row>
    <row r="674" spans="1:8">
      <c r="A674" s="372">
        <v>24</v>
      </c>
      <c r="B674" s="373">
        <v>42958</v>
      </c>
      <c r="C674" s="373">
        <v>43270</v>
      </c>
      <c r="D674" s="372">
        <v>184</v>
      </c>
      <c r="E674" s="372">
        <v>56</v>
      </c>
      <c r="F674" s="372">
        <f>IFERROR(INDEX('NonART prices by med'!$D$2:$D$102,MATCH(D674,'NonART prices by med'!$A$2:$A$102,0)),"")</f>
        <v>0.21851785714285715</v>
      </c>
      <c r="G674" s="372">
        <f t="shared" si="21"/>
        <v>12.237</v>
      </c>
      <c r="H674" s="372">
        <f t="shared" si="22"/>
        <v>1</v>
      </c>
    </row>
    <row r="675" spans="1:8">
      <c r="A675" s="372">
        <v>24</v>
      </c>
      <c r="B675" s="373">
        <v>42958</v>
      </c>
      <c r="C675" s="373">
        <v>43298</v>
      </c>
      <c r="D675" s="372">
        <v>342</v>
      </c>
      <c r="E675" s="372">
        <v>28</v>
      </c>
      <c r="F675" s="372">
        <f>IFERROR(INDEX('NonART prices by med'!$D$2:$D$102,MATCH(D675,'NonART prices by med'!$A$2:$A$102,0)),"")</f>
        <v>0.26590000152587889</v>
      </c>
      <c r="G675" s="372">
        <f t="shared" si="21"/>
        <v>7.4452000427246094</v>
      </c>
      <c r="H675" s="372">
        <f t="shared" si="22"/>
        <v>1</v>
      </c>
    </row>
    <row r="676" spans="1:8">
      <c r="A676" s="372">
        <v>25</v>
      </c>
      <c r="B676" s="373">
        <v>42963</v>
      </c>
      <c r="C676" s="373">
        <v>43141</v>
      </c>
      <c r="D676" s="372">
        <v>411</v>
      </c>
      <c r="E676" s="372">
        <v>28</v>
      </c>
      <c r="F676" s="372">
        <f>IFERROR(INDEX('NonART prices by med'!$D$2:$D$102,MATCH(D676,'NonART prices by med'!$A$2:$A$102,0)),"")</f>
        <v>0.10354499389265867</v>
      </c>
      <c r="G676" s="372">
        <f t="shared" si="21"/>
        <v>2.8992598289944427</v>
      </c>
      <c r="H676" s="372">
        <f t="shared" si="22"/>
        <v>1</v>
      </c>
    </row>
    <row r="677" spans="1:8">
      <c r="A677" s="372">
        <v>25</v>
      </c>
      <c r="B677" s="373">
        <v>42963</v>
      </c>
      <c r="C677" s="373">
        <v>43146</v>
      </c>
      <c r="D677" s="372">
        <v>35</v>
      </c>
      <c r="E677" s="372">
        <v>28</v>
      </c>
      <c r="F677" s="372">
        <f>IFERROR(INDEX('NonART prices by med'!$D$2:$D$102,MATCH(D677,'NonART prices by med'!$A$2:$A$102,0)),"")</f>
        <v>0.60205838048342708</v>
      </c>
      <c r="G677" s="372">
        <f t="shared" si="21"/>
        <v>16.857634653535957</v>
      </c>
      <c r="H677" s="372">
        <f t="shared" si="22"/>
        <v>1</v>
      </c>
    </row>
    <row r="678" spans="1:8">
      <c r="A678" s="372">
        <v>25</v>
      </c>
      <c r="B678" s="373">
        <v>42963</v>
      </c>
      <c r="C678" s="373">
        <v>43327</v>
      </c>
      <c r="D678" s="372">
        <v>411</v>
      </c>
      <c r="E678" s="372">
        <v>28</v>
      </c>
      <c r="F678" s="372">
        <f>IFERROR(INDEX('NonART prices by med'!$D$2:$D$102,MATCH(D678,'NonART prices by med'!$A$2:$A$102,0)),"")</f>
        <v>0.10354499389265867</v>
      </c>
      <c r="G678" s="372">
        <f t="shared" si="21"/>
        <v>2.8992598289944427</v>
      </c>
      <c r="H678" s="372">
        <f t="shared" si="22"/>
        <v>1</v>
      </c>
    </row>
    <row r="679" spans="1:8">
      <c r="A679" s="372">
        <v>25</v>
      </c>
      <c r="B679" s="373">
        <v>42963</v>
      </c>
      <c r="C679" s="373">
        <v>43406</v>
      </c>
      <c r="D679" s="372">
        <v>411</v>
      </c>
      <c r="E679" s="372">
        <v>28</v>
      </c>
      <c r="F679" s="372">
        <f>IFERROR(INDEX('NonART prices by med'!$D$2:$D$102,MATCH(D679,'NonART prices by med'!$A$2:$A$102,0)),"")</f>
        <v>0.10354499389265867</v>
      </c>
      <c r="G679" s="372">
        <f t="shared" si="21"/>
        <v>2.8992598289944427</v>
      </c>
      <c r="H679" s="372">
        <f t="shared" si="22"/>
        <v>0</v>
      </c>
    </row>
    <row r="680" spans="1:8">
      <c r="A680" s="372">
        <v>25</v>
      </c>
      <c r="B680" s="373">
        <v>42963</v>
      </c>
      <c r="C680" s="373">
        <v>43433</v>
      </c>
      <c r="D680" s="372">
        <v>35</v>
      </c>
      <c r="F680" s="372">
        <f>IFERROR(INDEX('NonART prices by med'!$D$2:$D$102,MATCH(D680,'NonART prices by med'!$A$2:$A$102,0)),"")</f>
        <v>0.60205838048342708</v>
      </c>
      <c r="G680" s="372">
        <f t="shared" si="21"/>
        <v>0</v>
      </c>
      <c r="H680" s="372">
        <f t="shared" si="22"/>
        <v>0</v>
      </c>
    </row>
    <row r="681" spans="1:8">
      <c r="A681" s="372">
        <v>26</v>
      </c>
      <c r="B681" s="373">
        <v>42963</v>
      </c>
      <c r="C681" s="373">
        <v>43186</v>
      </c>
      <c r="D681" s="372">
        <v>342</v>
      </c>
      <c r="E681" s="372">
        <v>56</v>
      </c>
      <c r="F681" s="372">
        <f>IFERROR(INDEX('NonART prices by med'!$D$2:$D$102,MATCH(D681,'NonART prices by med'!$A$2:$A$102,0)),"")</f>
        <v>0.26590000152587889</v>
      </c>
      <c r="G681" s="372">
        <f t="shared" si="21"/>
        <v>14.890400085449219</v>
      </c>
      <c r="H681" s="372">
        <f t="shared" si="22"/>
        <v>1</v>
      </c>
    </row>
    <row r="682" spans="1:8">
      <c r="A682" s="372">
        <v>26</v>
      </c>
      <c r="B682" s="373">
        <v>42963</v>
      </c>
      <c r="C682" s="373">
        <v>43228</v>
      </c>
      <c r="D682" s="372">
        <v>35</v>
      </c>
      <c r="E682" s="372">
        <v>56</v>
      </c>
      <c r="F682" s="372">
        <f>IFERROR(INDEX('NonART prices by med'!$D$2:$D$102,MATCH(D682,'NonART prices by med'!$A$2:$A$102,0)),"")</f>
        <v>0.60205838048342708</v>
      </c>
      <c r="G682" s="372">
        <f t="shared" si="21"/>
        <v>33.715269307071914</v>
      </c>
      <c r="H682" s="372">
        <f t="shared" si="22"/>
        <v>1</v>
      </c>
    </row>
    <row r="683" spans="1:8">
      <c r="A683" s="372">
        <v>26</v>
      </c>
      <c r="B683" s="373">
        <v>42963</v>
      </c>
      <c r="C683" s="373">
        <v>43305</v>
      </c>
      <c r="D683" s="372">
        <v>35</v>
      </c>
      <c r="E683" s="372">
        <v>28</v>
      </c>
      <c r="F683" s="372">
        <f>IFERROR(INDEX('NonART prices by med'!$D$2:$D$102,MATCH(D683,'NonART prices by med'!$A$2:$A$102,0)),"")</f>
        <v>0.60205838048342708</v>
      </c>
      <c r="G683" s="372">
        <f t="shared" si="21"/>
        <v>16.857634653535957</v>
      </c>
      <c r="H683" s="372">
        <f t="shared" si="22"/>
        <v>1</v>
      </c>
    </row>
    <row r="684" spans="1:8">
      <c r="A684" s="372">
        <v>26</v>
      </c>
      <c r="B684" s="373">
        <v>42963</v>
      </c>
      <c r="C684" s="373">
        <v>43333</v>
      </c>
      <c r="D684" s="372">
        <v>342</v>
      </c>
      <c r="F684" s="372">
        <f>IFERROR(INDEX('NonART prices by med'!$D$2:$D$102,MATCH(D684,'NonART prices by med'!$A$2:$A$102,0)),"")</f>
        <v>0.26590000152587889</v>
      </c>
      <c r="G684" s="372">
        <f t="shared" si="21"/>
        <v>0</v>
      </c>
      <c r="H684" s="372">
        <f t="shared" si="22"/>
        <v>0</v>
      </c>
    </row>
    <row r="685" spans="1:8">
      <c r="A685" s="372">
        <v>27</v>
      </c>
      <c r="B685" s="373">
        <v>42961</v>
      </c>
      <c r="C685" s="373">
        <v>42976</v>
      </c>
      <c r="D685" s="372">
        <v>132</v>
      </c>
      <c r="E685" s="372">
        <v>20</v>
      </c>
      <c r="F685" s="372">
        <f>IFERROR(INDEX('NonART prices by med'!$D$2:$D$102,MATCH(D685,'NonART prices by med'!$A$2:$A$102,0)),"")</f>
        <v>7.0309523809523822E-2</v>
      </c>
      <c r="G685" s="372">
        <f t="shared" si="21"/>
        <v>1.4061904761904764</v>
      </c>
      <c r="H685" s="372">
        <f t="shared" si="22"/>
        <v>1</v>
      </c>
    </row>
    <row r="686" spans="1:8">
      <c r="A686" s="372">
        <v>27</v>
      </c>
      <c r="B686" s="373">
        <v>42961</v>
      </c>
      <c r="C686" s="373">
        <v>43012</v>
      </c>
      <c r="D686" s="372">
        <v>35</v>
      </c>
      <c r="E686" s="372">
        <v>28</v>
      </c>
      <c r="F686" s="372">
        <f>IFERROR(INDEX('NonART prices by med'!$D$2:$D$102,MATCH(D686,'NonART prices by med'!$A$2:$A$102,0)),"")</f>
        <v>0.60205838048342708</v>
      </c>
      <c r="G686" s="372">
        <f t="shared" si="21"/>
        <v>16.857634653535957</v>
      </c>
      <c r="H686" s="372">
        <f t="shared" si="22"/>
        <v>1</v>
      </c>
    </row>
    <row r="687" spans="1:8">
      <c r="A687" s="372">
        <v>27</v>
      </c>
      <c r="B687" s="373">
        <v>42961</v>
      </c>
      <c r="C687" s="373">
        <v>43060</v>
      </c>
      <c r="D687" s="372">
        <v>215</v>
      </c>
      <c r="E687" s="372">
        <v>28</v>
      </c>
      <c r="F687" s="372">
        <f>IFERROR(INDEX('NonART prices by med'!$D$2:$D$102,MATCH(D687,'NonART prices by med'!$A$2:$A$102,0)),"")</f>
        <v>0.27607142857142858</v>
      </c>
      <c r="G687" s="372">
        <f t="shared" si="21"/>
        <v>7.73</v>
      </c>
      <c r="H687" s="372">
        <f t="shared" si="22"/>
        <v>1</v>
      </c>
    </row>
    <row r="688" spans="1:8">
      <c r="A688" s="372">
        <v>27</v>
      </c>
      <c r="B688" s="373">
        <v>42961</v>
      </c>
      <c r="C688" s="373">
        <v>43081</v>
      </c>
      <c r="D688" s="372">
        <v>215</v>
      </c>
      <c r="F688" s="372">
        <f>IFERROR(INDEX('NonART prices by med'!$D$2:$D$102,MATCH(D688,'NonART prices by med'!$A$2:$A$102,0)),"")</f>
        <v>0.27607142857142858</v>
      </c>
      <c r="G688" s="372">
        <f t="shared" si="21"/>
        <v>0</v>
      </c>
      <c r="H688" s="372">
        <f t="shared" si="22"/>
        <v>1</v>
      </c>
    </row>
    <row r="689" spans="1:8">
      <c r="A689" s="372">
        <v>27</v>
      </c>
      <c r="B689" s="373">
        <v>42961</v>
      </c>
      <c r="C689" s="373">
        <v>43131</v>
      </c>
      <c r="D689" s="372">
        <v>184</v>
      </c>
      <c r="E689" s="372">
        <v>56</v>
      </c>
      <c r="F689" s="372">
        <f>IFERROR(INDEX('NonART prices by med'!$D$2:$D$102,MATCH(D689,'NonART prices by med'!$A$2:$A$102,0)),"")</f>
        <v>0.21851785714285715</v>
      </c>
      <c r="G689" s="372">
        <f t="shared" si="21"/>
        <v>12.237</v>
      </c>
      <c r="H689" s="372">
        <f t="shared" si="22"/>
        <v>1</v>
      </c>
    </row>
    <row r="690" spans="1:8">
      <c r="A690" s="372">
        <v>27</v>
      </c>
      <c r="B690" s="373">
        <v>42961</v>
      </c>
      <c r="C690" s="373">
        <v>43308</v>
      </c>
      <c r="D690" s="372">
        <v>318</v>
      </c>
      <c r="E690" s="372">
        <v>20</v>
      </c>
      <c r="F690" s="372">
        <f>IFERROR(INDEX('NonART prices by med'!$D$2:$D$102,MATCH(D690,'NonART prices by med'!$A$2:$A$102,0)),"")</f>
        <v>0.19286066077210379</v>
      </c>
      <c r="G690" s="372">
        <f t="shared" si="21"/>
        <v>3.8572132154420755</v>
      </c>
      <c r="H690" s="372">
        <f t="shared" si="22"/>
        <v>1</v>
      </c>
    </row>
    <row r="691" spans="1:8">
      <c r="A691" s="372">
        <v>28</v>
      </c>
      <c r="B691" s="373">
        <v>42961</v>
      </c>
      <c r="C691" s="373">
        <v>42961</v>
      </c>
      <c r="D691" s="372">
        <v>116</v>
      </c>
      <c r="F691" s="372">
        <f>IFERROR(INDEX('NonART prices by med'!$D$2:$D$102,MATCH(D691,'NonART prices by med'!$A$2:$A$102,0)),"")</f>
        <v>2.9786666870117187</v>
      </c>
      <c r="G691" s="372">
        <f t="shared" si="21"/>
        <v>0</v>
      </c>
      <c r="H691" s="372">
        <f t="shared" si="22"/>
        <v>1</v>
      </c>
    </row>
    <row r="692" spans="1:8">
      <c r="A692" s="372">
        <v>28</v>
      </c>
      <c r="B692" s="373">
        <v>42961</v>
      </c>
      <c r="C692" s="373">
        <v>43024</v>
      </c>
      <c r="D692" s="372">
        <v>35</v>
      </c>
      <c r="F692" s="372">
        <f>IFERROR(INDEX('NonART prices by med'!$D$2:$D$102,MATCH(D692,'NonART prices by med'!$A$2:$A$102,0)),"")</f>
        <v>0.60205838048342708</v>
      </c>
      <c r="G692" s="372">
        <f t="shared" si="21"/>
        <v>0</v>
      </c>
      <c r="H692" s="372">
        <f t="shared" si="22"/>
        <v>1</v>
      </c>
    </row>
    <row r="693" spans="1:8">
      <c r="A693" s="372">
        <v>29</v>
      </c>
      <c r="B693" s="373">
        <v>42961</v>
      </c>
      <c r="C693" s="373">
        <v>43045</v>
      </c>
      <c r="D693" s="372">
        <v>342</v>
      </c>
      <c r="E693" s="372">
        <v>28</v>
      </c>
      <c r="F693" s="372">
        <f>IFERROR(INDEX('NonART prices by med'!$D$2:$D$102,MATCH(D693,'NonART prices by med'!$A$2:$A$102,0)),"")</f>
        <v>0.26590000152587889</v>
      </c>
      <c r="G693" s="372">
        <f t="shared" si="21"/>
        <v>7.4452000427246094</v>
      </c>
      <c r="H693" s="372">
        <f t="shared" si="22"/>
        <v>1</v>
      </c>
    </row>
    <row r="694" spans="1:8">
      <c r="A694" s="372">
        <v>29</v>
      </c>
      <c r="B694" s="373">
        <v>42961</v>
      </c>
      <c r="C694" s="373">
        <v>43073</v>
      </c>
      <c r="D694" s="372">
        <v>411</v>
      </c>
      <c r="F694" s="372">
        <f>IFERROR(INDEX('NonART prices by med'!$D$2:$D$102,MATCH(D694,'NonART prices by med'!$A$2:$A$102,0)),"")</f>
        <v>0.10354499389265867</v>
      </c>
      <c r="G694" s="372">
        <f t="shared" si="21"/>
        <v>0</v>
      </c>
      <c r="H694" s="372">
        <f t="shared" si="22"/>
        <v>1</v>
      </c>
    </row>
    <row r="695" spans="1:8">
      <c r="A695" s="372">
        <v>29</v>
      </c>
      <c r="B695" s="373">
        <v>42961</v>
      </c>
      <c r="C695" s="373">
        <v>43157</v>
      </c>
      <c r="D695" s="372">
        <v>342</v>
      </c>
      <c r="E695" s="372">
        <v>28</v>
      </c>
      <c r="F695" s="372">
        <f>IFERROR(INDEX('NonART prices by med'!$D$2:$D$102,MATCH(D695,'NonART prices by med'!$A$2:$A$102,0)),"")</f>
        <v>0.26590000152587889</v>
      </c>
      <c r="G695" s="372">
        <f t="shared" si="21"/>
        <v>7.4452000427246094</v>
      </c>
      <c r="H695" s="372">
        <f t="shared" si="22"/>
        <v>1</v>
      </c>
    </row>
    <row r="696" spans="1:8">
      <c r="A696" s="372">
        <v>30</v>
      </c>
      <c r="B696" s="373">
        <v>42957</v>
      </c>
      <c r="C696" s="373">
        <v>43014</v>
      </c>
      <c r="D696" s="372">
        <v>318</v>
      </c>
      <c r="E696" s="372">
        <v>20</v>
      </c>
      <c r="F696" s="372">
        <f>IFERROR(INDEX('NonART prices by med'!$D$2:$D$102,MATCH(D696,'NonART prices by med'!$A$2:$A$102,0)),"")</f>
        <v>0.19286066077210379</v>
      </c>
      <c r="G696" s="372">
        <f t="shared" si="21"/>
        <v>3.8572132154420755</v>
      </c>
      <c r="H696" s="372">
        <f t="shared" si="22"/>
        <v>1</v>
      </c>
    </row>
    <row r="697" spans="1:8">
      <c r="A697" s="372">
        <v>30</v>
      </c>
      <c r="B697" s="373">
        <v>42957</v>
      </c>
      <c r="C697" s="373">
        <v>43182</v>
      </c>
      <c r="D697" s="372">
        <v>217</v>
      </c>
      <c r="E697" s="372">
        <v>84</v>
      </c>
      <c r="F697" s="372">
        <f>IFERROR(INDEX('NonART prices by med'!$D$2:$D$102,MATCH(D697,'NonART prices by med'!$A$2:$A$102,0)),"")</f>
        <v>0.24476190476190474</v>
      </c>
      <c r="G697" s="372">
        <f t="shared" si="21"/>
        <v>20.56</v>
      </c>
      <c r="H697" s="372">
        <f t="shared" si="22"/>
        <v>1</v>
      </c>
    </row>
    <row r="698" spans="1:8">
      <c r="A698" s="372">
        <v>32</v>
      </c>
      <c r="B698" s="373">
        <v>42961</v>
      </c>
      <c r="C698" s="373">
        <v>42975</v>
      </c>
      <c r="D698" s="372">
        <v>411</v>
      </c>
      <c r="E698" s="372">
        <v>28</v>
      </c>
      <c r="F698" s="372">
        <f>IFERROR(INDEX('NonART prices by med'!$D$2:$D$102,MATCH(D698,'NonART prices by med'!$A$2:$A$102,0)),"")</f>
        <v>0.10354499389265867</v>
      </c>
      <c r="G698" s="372">
        <f t="shared" si="21"/>
        <v>2.8992598289944427</v>
      </c>
      <c r="H698" s="372">
        <f t="shared" si="22"/>
        <v>1</v>
      </c>
    </row>
    <row r="699" spans="1:8">
      <c r="A699" s="372">
        <v>32</v>
      </c>
      <c r="B699" s="373">
        <v>42961</v>
      </c>
      <c r="C699" s="373">
        <v>42998</v>
      </c>
      <c r="D699" s="372">
        <v>411</v>
      </c>
      <c r="E699" s="372">
        <v>56</v>
      </c>
      <c r="F699" s="372">
        <f>IFERROR(INDEX('NonART prices by med'!$D$2:$D$102,MATCH(D699,'NonART prices by med'!$A$2:$A$102,0)),"")</f>
        <v>0.10354499389265867</v>
      </c>
      <c r="G699" s="372">
        <f t="shared" si="21"/>
        <v>5.7985196579888854</v>
      </c>
      <c r="H699" s="372">
        <f t="shared" si="22"/>
        <v>1</v>
      </c>
    </row>
    <row r="700" spans="1:8">
      <c r="A700" s="372">
        <v>32</v>
      </c>
      <c r="B700" s="373">
        <v>42961</v>
      </c>
      <c r="C700" s="373">
        <v>43082</v>
      </c>
      <c r="D700" s="372">
        <v>411</v>
      </c>
      <c r="F700" s="372">
        <f>IFERROR(INDEX('NonART prices by med'!$D$2:$D$102,MATCH(D700,'NonART prices by med'!$A$2:$A$102,0)),"")</f>
        <v>0.10354499389265867</v>
      </c>
      <c r="G700" s="372">
        <f t="shared" si="21"/>
        <v>0</v>
      </c>
      <c r="H700" s="372">
        <f t="shared" si="22"/>
        <v>1</v>
      </c>
    </row>
    <row r="701" spans="1:8">
      <c r="A701" s="372">
        <v>33</v>
      </c>
      <c r="B701" s="373">
        <v>42957</v>
      </c>
      <c r="C701" s="373">
        <v>42957</v>
      </c>
      <c r="D701" s="372">
        <v>287</v>
      </c>
      <c r="E701" s="372">
        <v>5</v>
      </c>
      <c r="F701" s="372">
        <f>IFERROR(INDEX('NonART prices by med'!$D$2:$D$102,MATCH(D701,'NonART prices by med'!$A$2:$A$102,0)),"")</f>
        <v>0.25509999999999999</v>
      </c>
      <c r="G701" s="372">
        <f t="shared" si="21"/>
        <v>1.2755000000000001</v>
      </c>
      <c r="H701" s="372">
        <f t="shared" si="22"/>
        <v>1</v>
      </c>
    </row>
    <row r="702" spans="1:8">
      <c r="A702" s="372">
        <v>33</v>
      </c>
      <c r="B702" s="373">
        <v>42957</v>
      </c>
      <c r="C702" s="373">
        <v>42972</v>
      </c>
      <c r="D702" s="372">
        <v>116</v>
      </c>
      <c r="E702" s="372">
        <v>2</v>
      </c>
      <c r="F702" s="372">
        <f>IFERROR(INDEX('NonART prices by med'!$D$2:$D$102,MATCH(D702,'NonART prices by med'!$A$2:$A$102,0)),"")</f>
        <v>2.9786666870117187</v>
      </c>
      <c r="G702" s="372">
        <f t="shared" si="21"/>
        <v>5.9573333740234373</v>
      </c>
      <c r="H702" s="372">
        <f t="shared" si="22"/>
        <v>1</v>
      </c>
    </row>
    <row r="703" spans="1:8">
      <c r="A703" s="372">
        <v>33</v>
      </c>
      <c r="B703" s="373">
        <v>42957</v>
      </c>
      <c r="C703" s="373">
        <v>43013</v>
      </c>
      <c r="D703" s="372">
        <v>215</v>
      </c>
      <c r="E703" s="372">
        <v>28</v>
      </c>
      <c r="F703" s="372">
        <f>IFERROR(INDEX('NonART prices by med'!$D$2:$D$102,MATCH(D703,'NonART prices by med'!$A$2:$A$102,0)),"")</f>
        <v>0.27607142857142858</v>
      </c>
      <c r="G703" s="372">
        <f t="shared" si="21"/>
        <v>7.73</v>
      </c>
      <c r="H703" s="372">
        <f t="shared" si="22"/>
        <v>1</v>
      </c>
    </row>
    <row r="704" spans="1:8">
      <c r="A704" s="372">
        <v>33</v>
      </c>
      <c r="B704" s="373">
        <v>42957</v>
      </c>
      <c r="C704" s="373">
        <v>43104</v>
      </c>
      <c r="D704" s="372">
        <v>184</v>
      </c>
      <c r="E704" s="372">
        <v>56</v>
      </c>
      <c r="F704" s="372">
        <f>IFERROR(INDEX('NonART prices by med'!$D$2:$D$102,MATCH(D704,'NonART prices by med'!$A$2:$A$102,0)),"")</f>
        <v>0.21851785714285715</v>
      </c>
      <c r="G704" s="372">
        <f t="shared" si="21"/>
        <v>12.237</v>
      </c>
      <c r="H704" s="372">
        <f t="shared" si="22"/>
        <v>1</v>
      </c>
    </row>
    <row r="705" spans="1:8">
      <c r="A705" s="372">
        <v>34</v>
      </c>
      <c r="B705" s="373">
        <v>42957</v>
      </c>
      <c r="C705" s="373">
        <v>43024</v>
      </c>
      <c r="D705" s="372">
        <v>408</v>
      </c>
      <c r="E705" s="372">
        <v>1</v>
      </c>
      <c r="F705" s="372">
        <f>IFERROR(INDEX('NonART prices by med'!$D$2:$D$102,MATCH(D705,'NonART prices by med'!$A$2:$A$102,0)),"")</f>
        <v>5.5E-2</v>
      </c>
      <c r="G705" s="372">
        <f t="shared" si="21"/>
        <v>5.5E-2</v>
      </c>
      <c r="H705" s="372">
        <f t="shared" si="22"/>
        <v>1</v>
      </c>
    </row>
    <row r="706" spans="1:8">
      <c r="A706" s="372">
        <v>35</v>
      </c>
      <c r="B706" s="373">
        <v>42937</v>
      </c>
      <c r="C706" s="373">
        <v>43007</v>
      </c>
      <c r="D706" s="372">
        <v>342</v>
      </c>
      <c r="E706" s="372">
        <v>56</v>
      </c>
      <c r="F706" s="372">
        <f>IFERROR(INDEX('NonART prices by med'!$D$2:$D$102,MATCH(D706,'NonART prices by med'!$A$2:$A$102,0)),"")</f>
        <v>0.26590000152587889</v>
      </c>
      <c r="G706" s="372">
        <f t="shared" si="21"/>
        <v>14.890400085449219</v>
      </c>
      <c r="H706" s="372">
        <f t="shared" si="22"/>
        <v>1</v>
      </c>
    </row>
    <row r="707" spans="1:8">
      <c r="A707" s="372">
        <v>35</v>
      </c>
      <c r="B707" s="373">
        <v>42937</v>
      </c>
      <c r="C707" s="373">
        <v>43061</v>
      </c>
      <c r="D707" s="372">
        <v>342</v>
      </c>
      <c r="E707" s="372">
        <v>28</v>
      </c>
      <c r="F707" s="372">
        <f>IFERROR(INDEX('NonART prices by med'!$D$2:$D$102,MATCH(D707,'NonART prices by med'!$A$2:$A$102,0)),"")</f>
        <v>0.26590000152587889</v>
      </c>
      <c r="G707" s="372">
        <f t="shared" ref="G707:G770" si="23">IFERROR(E707*F707,"")</f>
        <v>7.4452000427246094</v>
      </c>
      <c r="H707" s="372">
        <f t="shared" si="22"/>
        <v>1</v>
      </c>
    </row>
    <row r="708" spans="1:8">
      <c r="A708" s="372">
        <v>35</v>
      </c>
      <c r="B708" s="373">
        <v>42937</v>
      </c>
      <c r="C708" s="373">
        <v>43089</v>
      </c>
      <c r="D708" s="372">
        <v>408</v>
      </c>
      <c r="F708" s="372">
        <f>IFERROR(INDEX('NonART prices by med'!$D$2:$D$102,MATCH(D708,'NonART prices by med'!$A$2:$A$102,0)),"")</f>
        <v>5.5E-2</v>
      </c>
      <c r="G708" s="372">
        <f t="shared" si="23"/>
        <v>0</v>
      </c>
      <c r="H708" s="372">
        <f t="shared" ref="H708:H771" si="24">IF(C708-B708&lt;=365,1,0)</f>
        <v>1</v>
      </c>
    </row>
    <row r="709" spans="1:8">
      <c r="A709" s="372">
        <v>35</v>
      </c>
      <c r="B709" s="373">
        <v>42937</v>
      </c>
      <c r="C709" s="373">
        <v>43146</v>
      </c>
      <c r="D709" s="372">
        <v>134</v>
      </c>
      <c r="E709" s="372">
        <v>56</v>
      </c>
      <c r="F709" s="372">
        <f>IFERROR(INDEX('NonART prices by med'!$D$2:$D$102,MATCH(D709,'NonART prices by med'!$A$2:$A$102,0)),"")</f>
        <v>0.39033333366993345</v>
      </c>
      <c r="G709" s="372">
        <f t="shared" si="23"/>
        <v>21.858666685516273</v>
      </c>
      <c r="H709" s="372">
        <f t="shared" si="24"/>
        <v>1</v>
      </c>
    </row>
    <row r="710" spans="1:8">
      <c r="A710" s="372">
        <v>35</v>
      </c>
      <c r="B710" s="373">
        <v>42937</v>
      </c>
      <c r="C710" s="373">
        <v>43173</v>
      </c>
      <c r="D710" s="372">
        <v>215</v>
      </c>
      <c r="E710" s="372">
        <v>28</v>
      </c>
      <c r="F710" s="372">
        <f>IFERROR(INDEX('NonART prices by med'!$D$2:$D$102,MATCH(D710,'NonART prices by med'!$A$2:$A$102,0)),"")</f>
        <v>0.27607142857142858</v>
      </c>
      <c r="G710" s="372">
        <f t="shared" si="23"/>
        <v>7.73</v>
      </c>
      <c r="H710" s="372">
        <f t="shared" si="24"/>
        <v>1</v>
      </c>
    </row>
    <row r="711" spans="1:8">
      <c r="A711" s="372">
        <v>35</v>
      </c>
      <c r="B711" s="373">
        <v>42937</v>
      </c>
      <c r="C711" s="373">
        <v>43270</v>
      </c>
      <c r="D711" s="372">
        <v>225</v>
      </c>
      <c r="E711" s="372">
        <v>28</v>
      </c>
      <c r="F711" s="372">
        <f>IFERROR(INDEX('NonART prices by med'!$D$2:$D$102,MATCH(D711,'NonART prices by med'!$A$2:$A$102,0)),"")</f>
        <v>0.19315423345580862</v>
      </c>
      <c r="G711" s="372">
        <f t="shared" si="23"/>
        <v>5.408318536762641</v>
      </c>
      <c r="H711" s="372">
        <f t="shared" si="24"/>
        <v>1</v>
      </c>
    </row>
    <row r="712" spans="1:8">
      <c r="A712" s="372">
        <v>35</v>
      </c>
      <c r="B712" s="373">
        <v>42937</v>
      </c>
      <c r="C712" s="373">
        <v>43300</v>
      </c>
      <c r="D712" s="372">
        <v>215</v>
      </c>
      <c r="E712" s="372">
        <v>28</v>
      </c>
      <c r="F712" s="372">
        <f>IFERROR(INDEX('NonART prices by med'!$D$2:$D$102,MATCH(D712,'NonART prices by med'!$A$2:$A$102,0)),"")</f>
        <v>0.27607142857142858</v>
      </c>
      <c r="G712" s="372">
        <f t="shared" si="23"/>
        <v>7.73</v>
      </c>
      <c r="H712" s="372">
        <f t="shared" si="24"/>
        <v>1</v>
      </c>
    </row>
    <row r="713" spans="1:8">
      <c r="A713" s="372">
        <v>36</v>
      </c>
      <c r="B713" s="373">
        <v>42954</v>
      </c>
      <c r="C713" s="373">
        <v>42978</v>
      </c>
      <c r="D713" s="372">
        <v>411</v>
      </c>
      <c r="E713" s="372">
        <v>56</v>
      </c>
      <c r="F713" s="372">
        <f>IFERROR(INDEX('NonART prices by med'!$D$2:$D$102,MATCH(D713,'NonART prices by med'!$A$2:$A$102,0)),"")</f>
        <v>0.10354499389265867</v>
      </c>
      <c r="G713" s="372">
        <f t="shared" si="23"/>
        <v>5.7985196579888854</v>
      </c>
      <c r="H713" s="372">
        <f t="shared" si="24"/>
        <v>1</v>
      </c>
    </row>
    <row r="714" spans="1:8">
      <c r="A714" s="372">
        <v>36</v>
      </c>
      <c r="B714" s="373">
        <v>42954</v>
      </c>
      <c r="C714" s="373">
        <v>43187</v>
      </c>
      <c r="D714" s="372">
        <v>342</v>
      </c>
      <c r="E714" s="372">
        <v>28</v>
      </c>
      <c r="F714" s="372">
        <f>IFERROR(INDEX('NonART prices by med'!$D$2:$D$102,MATCH(D714,'NonART prices by med'!$A$2:$A$102,0)),"")</f>
        <v>0.26590000152587889</v>
      </c>
      <c r="G714" s="372">
        <f t="shared" si="23"/>
        <v>7.4452000427246094</v>
      </c>
      <c r="H714" s="372">
        <f t="shared" si="24"/>
        <v>1</v>
      </c>
    </row>
    <row r="715" spans="1:8">
      <c r="A715" s="372">
        <v>36</v>
      </c>
      <c r="B715" s="373">
        <v>42954</v>
      </c>
      <c r="C715" s="373">
        <v>43299</v>
      </c>
      <c r="D715" s="372">
        <v>342</v>
      </c>
      <c r="F715" s="372">
        <f>IFERROR(INDEX('NonART prices by med'!$D$2:$D$102,MATCH(D715,'NonART prices by med'!$A$2:$A$102,0)),"")</f>
        <v>0.26590000152587889</v>
      </c>
      <c r="G715" s="372">
        <f t="shared" si="23"/>
        <v>0</v>
      </c>
      <c r="H715" s="372">
        <f t="shared" si="24"/>
        <v>1</v>
      </c>
    </row>
    <row r="716" spans="1:8">
      <c r="A716" s="372">
        <v>36</v>
      </c>
      <c r="B716" s="373">
        <v>42954</v>
      </c>
      <c r="C716" s="373">
        <v>43327</v>
      </c>
      <c r="D716" s="372">
        <v>411</v>
      </c>
      <c r="E716" s="372">
        <v>28</v>
      </c>
      <c r="F716" s="372">
        <f>IFERROR(INDEX('NonART prices by med'!$D$2:$D$102,MATCH(D716,'NonART prices by med'!$A$2:$A$102,0)),"")</f>
        <v>0.10354499389265867</v>
      </c>
      <c r="G716" s="372">
        <f t="shared" si="23"/>
        <v>2.8992598289944427</v>
      </c>
      <c r="H716" s="372">
        <f t="shared" si="24"/>
        <v>0</v>
      </c>
    </row>
    <row r="717" spans="1:8">
      <c r="A717" s="372">
        <v>36</v>
      </c>
      <c r="B717" s="373">
        <v>42954</v>
      </c>
      <c r="C717" s="373">
        <v>43354</v>
      </c>
      <c r="D717" s="372">
        <v>411</v>
      </c>
      <c r="E717" s="372">
        <v>56</v>
      </c>
      <c r="F717" s="372">
        <f>IFERROR(INDEX('NonART prices by med'!$D$2:$D$102,MATCH(D717,'NonART prices by med'!$A$2:$A$102,0)),"")</f>
        <v>0.10354499389265867</v>
      </c>
      <c r="G717" s="372">
        <f t="shared" si="23"/>
        <v>5.7985196579888854</v>
      </c>
      <c r="H717" s="372">
        <f t="shared" si="24"/>
        <v>0</v>
      </c>
    </row>
    <row r="718" spans="1:8">
      <c r="A718" s="372">
        <v>37</v>
      </c>
      <c r="B718" s="373">
        <v>42954</v>
      </c>
      <c r="C718" s="373">
        <v>43150</v>
      </c>
      <c r="D718" s="372">
        <v>35</v>
      </c>
      <c r="E718" s="372">
        <v>28</v>
      </c>
      <c r="F718" s="372">
        <f>IFERROR(INDEX('NonART prices by med'!$D$2:$D$102,MATCH(D718,'NonART prices by med'!$A$2:$A$102,0)),"")</f>
        <v>0.60205838048342708</v>
      </c>
      <c r="G718" s="372">
        <f t="shared" si="23"/>
        <v>16.857634653535957</v>
      </c>
      <c r="H718" s="372">
        <f t="shared" si="24"/>
        <v>1</v>
      </c>
    </row>
    <row r="719" spans="1:8">
      <c r="A719" s="372">
        <v>37</v>
      </c>
      <c r="B719" s="373">
        <v>42954</v>
      </c>
      <c r="C719" s="373">
        <v>43178</v>
      </c>
      <c r="D719" s="372">
        <v>35</v>
      </c>
      <c r="E719" s="372">
        <v>28</v>
      </c>
      <c r="F719" s="372">
        <f>IFERROR(INDEX('NonART prices by med'!$D$2:$D$102,MATCH(D719,'NonART prices by med'!$A$2:$A$102,0)),"")</f>
        <v>0.60205838048342708</v>
      </c>
      <c r="G719" s="372">
        <f t="shared" si="23"/>
        <v>16.857634653535957</v>
      </c>
      <c r="H719" s="372">
        <f t="shared" si="24"/>
        <v>1</v>
      </c>
    </row>
    <row r="720" spans="1:8">
      <c r="A720" s="372">
        <v>37</v>
      </c>
      <c r="B720" s="373">
        <v>42954</v>
      </c>
      <c r="C720" s="373">
        <v>43206</v>
      </c>
      <c r="D720" s="372">
        <v>35</v>
      </c>
      <c r="E720" s="372">
        <v>28</v>
      </c>
      <c r="F720" s="372">
        <f>IFERROR(INDEX('NonART prices by med'!$D$2:$D$102,MATCH(D720,'NonART prices by med'!$A$2:$A$102,0)),"")</f>
        <v>0.60205838048342708</v>
      </c>
      <c r="G720" s="372">
        <f t="shared" si="23"/>
        <v>16.857634653535957</v>
      </c>
      <c r="H720" s="372">
        <f t="shared" si="24"/>
        <v>1</v>
      </c>
    </row>
    <row r="721" spans="1:8">
      <c r="A721" s="372">
        <v>37</v>
      </c>
      <c r="B721" s="373">
        <v>42954</v>
      </c>
      <c r="C721" s="373">
        <v>43297</v>
      </c>
      <c r="D721" s="372">
        <v>35</v>
      </c>
      <c r="E721" s="372">
        <v>28</v>
      </c>
      <c r="F721" s="372">
        <f>IFERROR(INDEX('NonART prices by med'!$D$2:$D$102,MATCH(D721,'NonART prices by med'!$A$2:$A$102,0)),"")</f>
        <v>0.60205838048342708</v>
      </c>
      <c r="G721" s="372">
        <f t="shared" si="23"/>
        <v>16.857634653535957</v>
      </c>
      <c r="H721" s="372">
        <f t="shared" si="24"/>
        <v>1</v>
      </c>
    </row>
    <row r="722" spans="1:8">
      <c r="A722" s="372">
        <v>39</v>
      </c>
      <c r="B722" s="373">
        <v>42951</v>
      </c>
      <c r="C722" s="373">
        <v>43140</v>
      </c>
      <c r="D722" s="372">
        <v>35</v>
      </c>
      <c r="F722" s="372">
        <f>IFERROR(INDEX('NonART prices by med'!$D$2:$D$102,MATCH(D722,'NonART prices by med'!$A$2:$A$102,0)),"")</f>
        <v>0.60205838048342708</v>
      </c>
      <c r="G722" s="372">
        <f t="shared" si="23"/>
        <v>0</v>
      </c>
      <c r="H722" s="372">
        <f t="shared" si="24"/>
        <v>1</v>
      </c>
    </row>
    <row r="723" spans="1:8">
      <c r="A723" s="372">
        <v>40</v>
      </c>
      <c r="B723" s="373">
        <v>42950</v>
      </c>
      <c r="C723" s="373">
        <v>42950</v>
      </c>
      <c r="D723" s="372">
        <v>35</v>
      </c>
      <c r="E723" s="372">
        <v>28</v>
      </c>
      <c r="F723" s="372">
        <f>IFERROR(INDEX('NonART prices by med'!$D$2:$D$102,MATCH(D723,'NonART prices by med'!$A$2:$A$102,0)),"")</f>
        <v>0.60205838048342708</v>
      </c>
      <c r="G723" s="372">
        <f t="shared" si="23"/>
        <v>16.857634653535957</v>
      </c>
      <c r="H723" s="372">
        <f t="shared" si="24"/>
        <v>1</v>
      </c>
    </row>
    <row r="724" spans="1:8">
      <c r="A724" s="372">
        <v>40</v>
      </c>
      <c r="B724" s="373">
        <v>42950</v>
      </c>
      <c r="C724" s="373">
        <v>43006</v>
      </c>
      <c r="D724" s="372">
        <v>411</v>
      </c>
      <c r="E724" s="372">
        <v>56</v>
      </c>
      <c r="F724" s="372">
        <f>IFERROR(INDEX('NonART prices by med'!$D$2:$D$102,MATCH(D724,'NonART prices by med'!$A$2:$A$102,0)),"")</f>
        <v>0.10354499389265867</v>
      </c>
      <c r="G724" s="372">
        <f t="shared" si="23"/>
        <v>5.7985196579888854</v>
      </c>
      <c r="H724" s="372">
        <f t="shared" si="24"/>
        <v>1</v>
      </c>
    </row>
    <row r="725" spans="1:8">
      <c r="A725" s="372">
        <v>40</v>
      </c>
      <c r="B725" s="373">
        <v>42950</v>
      </c>
      <c r="C725" s="373">
        <v>43062</v>
      </c>
      <c r="D725" s="372">
        <v>35</v>
      </c>
      <c r="E725" s="372">
        <v>56</v>
      </c>
      <c r="F725" s="372">
        <f>IFERROR(INDEX('NonART prices by med'!$D$2:$D$102,MATCH(D725,'NonART prices by med'!$A$2:$A$102,0)),"")</f>
        <v>0.60205838048342708</v>
      </c>
      <c r="G725" s="372">
        <f t="shared" si="23"/>
        <v>33.715269307071914</v>
      </c>
      <c r="H725" s="372">
        <f t="shared" si="24"/>
        <v>1</v>
      </c>
    </row>
    <row r="726" spans="1:8">
      <c r="A726" s="372">
        <v>41</v>
      </c>
      <c r="B726" s="373">
        <v>42950</v>
      </c>
      <c r="C726" s="373">
        <v>42950</v>
      </c>
      <c r="D726" s="372">
        <v>342</v>
      </c>
      <c r="E726" s="372">
        <v>28</v>
      </c>
      <c r="F726" s="372">
        <f>IFERROR(INDEX('NonART prices by med'!$D$2:$D$102,MATCH(D726,'NonART prices by med'!$A$2:$A$102,0)),"")</f>
        <v>0.26590000152587889</v>
      </c>
      <c r="G726" s="372">
        <f t="shared" si="23"/>
        <v>7.4452000427246094</v>
      </c>
      <c r="H726" s="372">
        <f t="shared" si="24"/>
        <v>1</v>
      </c>
    </row>
    <row r="727" spans="1:8">
      <c r="A727" s="372">
        <v>41</v>
      </c>
      <c r="B727" s="373">
        <v>42950</v>
      </c>
      <c r="C727" s="373">
        <v>43007</v>
      </c>
      <c r="D727" s="372">
        <v>24</v>
      </c>
      <c r="E727" s="372">
        <v>56</v>
      </c>
      <c r="F727" s="372">
        <f>IFERROR(INDEX('NonART prices by med'!$D$2:$D$102,MATCH(D727,'NonART prices by med'!$A$2:$A$102,0)),"")</f>
        <v>0.1467857142857143</v>
      </c>
      <c r="G727" s="372">
        <f t="shared" si="23"/>
        <v>8.2200000000000006</v>
      </c>
      <c r="H727" s="372">
        <f t="shared" si="24"/>
        <v>1</v>
      </c>
    </row>
    <row r="728" spans="1:8">
      <c r="A728" s="372">
        <v>41</v>
      </c>
      <c r="B728" s="373">
        <v>42950</v>
      </c>
      <c r="C728" s="373">
        <v>43062</v>
      </c>
      <c r="D728" s="372">
        <v>35</v>
      </c>
      <c r="F728" s="372">
        <f>IFERROR(INDEX('NonART prices by med'!$D$2:$D$102,MATCH(D728,'NonART prices by med'!$A$2:$A$102,0)),"")</f>
        <v>0.60205838048342708</v>
      </c>
      <c r="G728" s="372">
        <f t="shared" si="23"/>
        <v>0</v>
      </c>
      <c r="H728" s="372">
        <f t="shared" si="24"/>
        <v>1</v>
      </c>
    </row>
    <row r="729" spans="1:8">
      <c r="A729" s="372">
        <v>41</v>
      </c>
      <c r="B729" s="373">
        <v>42950</v>
      </c>
      <c r="C729" s="373">
        <v>43090</v>
      </c>
      <c r="D729" s="372">
        <v>342</v>
      </c>
      <c r="E729" s="372">
        <v>56</v>
      </c>
      <c r="F729" s="372">
        <f>IFERROR(INDEX('NonART prices by med'!$D$2:$D$102,MATCH(D729,'NonART prices by med'!$A$2:$A$102,0)),"")</f>
        <v>0.26590000152587889</v>
      </c>
      <c r="G729" s="372">
        <f t="shared" si="23"/>
        <v>14.890400085449219</v>
      </c>
      <c r="H729" s="372">
        <f t="shared" si="24"/>
        <v>1</v>
      </c>
    </row>
    <row r="730" spans="1:8">
      <c r="A730" s="372">
        <v>41</v>
      </c>
      <c r="B730" s="373">
        <v>42950</v>
      </c>
      <c r="C730" s="373">
        <v>43174</v>
      </c>
      <c r="D730" s="372">
        <v>358</v>
      </c>
      <c r="E730" s="372">
        <v>56</v>
      </c>
      <c r="F730" s="372">
        <f>IFERROR(INDEX('NonART prices by med'!$D$2:$D$102,MATCH(D730,'NonART prices by med'!$A$2:$A$102,0)),"")</f>
        <v>0.1839316921343207</v>
      </c>
      <c r="G730" s="372">
        <f t="shared" si="23"/>
        <v>10.300174759521958</v>
      </c>
      <c r="H730" s="372">
        <f t="shared" si="24"/>
        <v>1</v>
      </c>
    </row>
    <row r="731" spans="1:8">
      <c r="A731" s="372">
        <v>41</v>
      </c>
      <c r="B731" s="373">
        <v>42950</v>
      </c>
      <c r="C731" s="373">
        <v>43355</v>
      </c>
      <c r="D731" s="372">
        <v>215</v>
      </c>
      <c r="E731" s="372">
        <v>28</v>
      </c>
      <c r="F731" s="372">
        <f>IFERROR(INDEX('NonART prices by med'!$D$2:$D$102,MATCH(D731,'NonART prices by med'!$A$2:$A$102,0)),"")</f>
        <v>0.27607142857142858</v>
      </c>
      <c r="G731" s="372">
        <f t="shared" si="23"/>
        <v>7.73</v>
      </c>
      <c r="H731" s="372">
        <f t="shared" si="24"/>
        <v>0</v>
      </c>
    </row>
    <row r="732" spans="1:8">
      <c r="A732" s="372">
        <v>41</v>
      </c>
      <c r="B732" s="373">
        <v>42950</v>
      </c>
      <c r="C732" s="373">
        <v>43424</v>
      </c>
      <c r="D732" s="372">
        <v>134</v>
      </c>
      <c r="E732" s="372">
        <v>28</v>
      </c>
      <c r="F732" s="372">
        <f>IFERROR(INDEX('NonART prices by med'!$D$2:$D$102,MATCH(D732,'NonART prices by med'!$A$2:$A$102,0)),"")</f>
        <v>0.39033333366993345</v>
      </c>
      <c r="G732" s="372">
        <f t="shared" si="23"/>
        <v>10.929333342758136</v>
      </c>
      <c r="H732" s="372">
        <f t="shared" si="24"/>
        <v>0</v>
      </c>
    </row>
    <row r="733" spans="1:8">
      <c r="A733" s="372">
        <v>43</v>
      </c>
      <c r="B733" s="373">
        <v>42949</v>
      </c>
      <c r="C733" s="373">
        <v>42935</v>
      </c>
      <c r="D733" s="372">
        <v>184</v>
      </c>
      <c r="E733" s="372">
        <v>56</v>
      </c>
      <c r="F733" s="372">
        <f>IFERROR(INDEX('NonART prices by med'!$D$2:$D$102,MATCH(D733,'NonART prices by med'!$A$2:$A$102,0)),"")</f>
        <v>0.21851785714285715</v>
      </c>
      <c r="G733" s="372">
        <f t="shared" si="23"/>
        <v>12.237</v>
      </c>
      <c r="H733" s="372">
        <f t="shared" si="24"/>
        <v>1</v>
      </c>
    </row>
    <row r="734" spans="1:8">
      <c r="A734" s="372">
        <v>43</v>
      </c>
      <c r="B734" s="373">
        <v>42949</v>
      </c>
      <c r="C734" s="373">
        <v>42962</v>
      </c>
      <c r="D734" s="372">
        <v>408</v>
      </c>
      <c r="F734" s="372">
        <f>IFERROR(INDEX('NonART prices by med'!$D$2:$D$102,MATCH(D734,'NonART prices by med'!$A$2:$A$102,0)),"")</f>
        <v>5.5E-2</v>
      </c>
      <c r="G734" s="372">
        <f t="shared" si="23"/>
        <v>0</v>
      </c>
      <c r="H734" s="372">
        <f t="shared" si="24"/>
        <v>1</v>
      </c>
    </row>
    <row r="735" spans="1:8">
      <c r="A735" s="372">
        <v>43</v>
      </c>
      <c r="B735" s="373">
        <v>42949</v>
      </c>
      <c r="C735" s="373">
        <v>42975</v>
      </c>
      <c r="D735" s="372">
        <v>246</v>
      </c>
      <c r="E735" s="372">
        <v>30</v>
      </c>
      <c r="F735" s="372">
        <f>IFERROR(INDEX('NonART prices by med'!$D$2:$D$102,MATCH(D735,'NonART prices by med'!$A$2:$A$102,0)),"")</f>
        <v>0.30239999964781011</v>
      </c>
      <c r="G735" s="372">
        <f t="shared" si="23"/>
        <v>9.0719999894343033</v>
      </c>
      <c r="H735" s="372">
        <f t="shared" si="24"/>
        <v>1</v>
      </c>
    </row>
    <row r="736" spans="1:8">
      <c r="A736" s="372">
        <v>43</v>
      </c>
      <c r="B736" s="373">
        <v>42949</v>
      </c>
      <c r="C736" s="373">
        <v>42990</v>
      </c>
      <c r="D736" s="372">
        <v>342</v>
      </c>
      <c r="E736" s="372">
        <v>28</v>
      </c>
      <c r="F736" s="372">
        <f>IFERROR(INDEX('NonART prices by med'!$D$2:$D$102,MATCH(D736,'NonART prices by med'!$A$2:$A$102,0)),"")</f>
        <v>0.26590000152587889</v>
      </c>
      <c r="G736" s="372">
        <f t="shared" si="23"/>
        <v>7.4452000427246094</v>
      </c>
      <c r="H736" s="372">
        <f t="shared" si="24"/>
        <v>1</v>
      </c>
    </row>
    <row r="737" spans="1:8">
      <c r="A737" s="372">
        <v>43</v>
      </c>
      <c r="B737" s="373">
        <v>42949</v>
      </c>
      <c r="C737" s="373">
        <v>43018</v>
      </c>
      <c r="D737" s="372">
        <v>184</v>
      </c>
      <c r="F737" s="372">
        <f>IFERROR(INDEX('NonART prices by med'!$D$2:$D$102,MATCH(D737,'NonART prices by med'!$A$2:$A$102,0)),"")</f>
        <v>0.21851785714285715</v>
      </c>
      <c r="G737" s="372">
        <f t="shared" si="23"/>
        <v>0</v>
      </c>
      <c r="H737" s="372">
        <f t="shared" si="24"/>
        <v>1</v>
      </c>
    </row>
    <row r="738" spans="1:8">
      <c r="A738" s="372">
        <v>43</v>
      </c>
      <c r="B738" s="373">
        <v>42949</v>
      </c>
      <c r="C738" s="373">
        <v>43046</v>
      </c>
      <c r="D738" s="372">
        <v>408</v>
      </c>
      <c r="E738" s="372">
        <v>56</v>
      </c>
      <c r="F738" s="372">
        <f>IFERROR(INDEX('NonART prices by med'!$D$2:$D$102,MATCH(D738,'NonART prices by med'!$A$2:$A$102,0)),"")</f>
        <v>5.5E-2</v>
      </c>
      <c r="G738" s="372">
        <f t="shared" si="23"/>
        <v>3.08</v>
      </c>
      <c r="H738" s="372">
        <f t="shared" si="24"/>
        <v>1</v>
      </c>
    </row>
    <row r="739" spans="1:8">
      <c r="A739" s="372">
        <v>43</v>
      </c>
      <c r="B739" s="373">
        <v>42949</v>
      </c>
      <c r="C739" s="373">
        <v>43118</v>
      </c>
      <c r="D739" s="372">
        <v>342</v>
      </c>
      <c r="E739" s="372">
        <v>56</v>
      </c>
      <c r="F739" s="372">
        <f>IFERROR(INDEX('NonART prices by med'!$D$2:$D$102,MATCH(D739,'NonART prices by med'!$A$2:$A$102,0)),"")</f>
        <v>0.26590000152587889</v>
      </c>
      <c r="G739" s="372">
        <f t="shared" si="23"/>
        <v>14.890400085449219</v>
      </c>
      <c r="H739" s="372">
        <f t="shared" si="24"/>
        <v>1</v>
      </c>
    </row>
    <row r="740" spans="1:8">
      <c r="A740" s="372">
        <v>43</v>
      </c>
      <c r="B740" s="373">
        <v>42949</v>
      </c>
      <c r="C740" s="373">
        <v>43330</v>
      </c>
      <c r="D740" s="372">
        <v>219</v>
      </c>
      <c r="F740" s="372">
        <f>IFERROR(INDEX('NonART prices by med'!$D$2:$D$102,MATCH(D740,'NonART prices by med'!$A$2:$A$102,0)),"")</f>
        <v>0.55532131597376833</v>
      </c>
      <c r="G740" s="372">
        <f t="shared" si="23"/>
        <v>0</v>
      </c>
      <c r="H740" s="372">
        <f t="shared" si="24"/>
        <v>0</v>
      </c>
    </row>
    <row r="741" spans="1:8">
      <c r="A741" s="372">
        <v>44</v>
      </c>
      <c r="B741" s="373">
        <v>42949</v>
      </c>
      <c r="C741" s="373">
        <v>42985</v>
      </c>
      <c r="D741" s="372">
        <v>342</v>
      </c>
      <c r="E741" s="372">
        <v>56</v>
      </c>
      <c r="F741" s="372">
        <f>IFERROR(INDEX('NonART prices by med'!$D$2:$D$102,MATCH(D741,'NonART prices by med'!$A$2:$A$102,0)),"")</f>
        <v>0.26590000152587889</v>
      </c>
      <c r="G741" s="372">
        <f t="shared" si="23"/>
        <v>14.890400085449219</v>
      </c>
      <c r="H741" s="372">
        <f t="shared" si="24"/>
        <v>1</v>
      </c>
    </row>
    <row r="742" spans="1:8">
      <c r="A742" s="372">
        <v>45</v>
      </c>
      <c r="B742" s="373">
        <v>42949</v>
      </c>
      <c r="C742" s="373">
        <v>42926</v>
      </c>
      <c r="D742" s="372">
        <v>408</v>
      </c>
      <c r="E742" s="372">
        <v>28</v>
      </c>
      <c r="F742" s="372">
        <f>IFERROR(INDEX('NonART prices by med'!$D$2:$D$102,MATCH(D742,'NonART prices by med'!$A$2:$A$102,0)),"")</f>
        <v>5.5E-2</v>
      </c>
      <c r="G742" s="372">
        <f t="shared" si="23"/>
        <v>1.54</v>
      </c>
      <c r="H742" s="372">
        <f t="shared" si="24"/>
        <v>1</v>
      </c>
    </row>
    <row r="743" spans="1:8">
      <c r="A743" s="372">
        <v>45</v>
      </c>
      <c r="B743" s="373">
        <v>42949</v>
      </c>
      <c r="C743" s="373">
        <v>42944</v>
      </c>
      <c r="D743" s="372">
        <v>408</v>
      </c>
      <c r="E743" s="372">
        <v>28</v>
      </c>
      <c r="F743" s="372">
        <f>IFERROR(INDEX('NonART prices by med'!$D$2:$D$102,MATCH(D743,'NonART prices by med'!$A$2:$A$102,0)),"")</f>
        <v>5.5E-2</v>
      </c>
      <c r="G743" s="372">
        <f t="shared" si="23"/>
        <v>1.54</v>
      </c>
      <c r="H743" s="372">
        <f t="shared" si="24"/>
        <v>1</v>
      </c>
    </row>
    <row r="744" spans="1:8">
      <c r="A744" s="372">
        <v>45</v>
      </c>
      <c r="B744" s="373">
        <v>42949</v>
      </c>
      <c r="C744" s="373">
        <v>42963</v>
      </c>
      <c r="D744" s="372">
        <v>184</v>
      </c>
      <c r="E744" s="372">
        <v>56</v>
      </c>
      <c r="F744" s="372">
        <f>IFERROR(INDEX('NonART prices by med'!$D$2:$D$102,MATCH(D744,'NonART prices by med'!$A$2:$A$102,0)),"")</f>
        <v>0.21851785714285715</v>
      </c>
      <c r="G744" s="372">
        <f t="shared" si="23"/>
        <v>12.237</v>
      </c>
      <c r="H744" s="372">
        <f t="shared" si="24"/>
        <v>1</v>
      </c>
    </row>
    <row r="745" spans="1:8">
      <c r="A745" s="372">
        <v>45</v>
      </c>
      <c r="B745" s="373">
        <v>42949</v>
      </c>
      <c r="C745" s="373">
        <v>43047</v>
      </c>
      <c r="D745" s="372">
        <v>7</v>
      </c>
      <c r="E745" s="372">
        <v>28</v>
      </c>
      <c r="F745" s="372">
        <f>IFERROR(INDEX('NonART prices by med'!$D$2:$D$102,MATCH(D745,'NonART prices by med'!$A$2:$A$102,0)),"")</f>
        <v>0.16680357240796304</v>
      </c>
      <c r="G745" s="372">
        <f t="shared" si="23"/>
        <v>4.6705000274229649</v>
      </c>
      <c r="H745" s="372">
        <f t="shared" si="24"/>
        <v>1</v>
      </c>
    </row>
    <row r="746" spans="1:8">
      <c r="A746" s="372">
        <v>45</v>
      </c>
      <c r="B746" s="373">
        <v>42949</v>
      </c>
      <c r="C746" s="373">
        <v>43075</v>
      </c>
      <c r="D746" s="372">
        <v>7</v>
      </c>
      <c r="E746" s="372">
        <v>56</v>
      </c>
      <c r="F746" s="372">
        <f>IFERROR(INDEX('NonART prices by med'!$D$2:$D$102,MATCH(D746,'NonART prices by med'!$A$2:$A$102,0)),"")</f>
        <v>0.16680357240796304</v>
      </c>
      <c r="G746" s="372">
        <f t="shared" si="23"/>
        <v>9.3410000548459298</v>
      </c>
      <c r="H746" s="372">
        <f t="shared" si="24"/>
        <v>1</v>
      </c>
    </row>
    <row r="747" spans="1:8">
      <c r="A747" s="372">
        <v>45</v>
      </c>
      <c r="B747" s="373">
        <v>42949</v>
      </c>
      <c r="C747" s="373">
        <v>43131</v>
      </c>
      <c r="D747" s="372">
        <v>7</v>
      </c>
      <c r="F747" s="372">
        <f>IFERROR(INDEX('NonART prices by med'!$D$2:$D$102,MATCH(D747,'NonART prices by med'!$A$2:$A$102,0)),"")</f>
        <v>0.16680357240796304</v>
      </c>
      <c r="G747" s="372">
        <f t="shared" si="23"/>
        <v>0</v>
      </c>
      <c r="H747" s="372">
        <f t="shared" si="24"/>
        <v>1</v>
      </c>
    </row>
    <row r="748" spans="1:8">
      <c r="A748" s="372">
        <v>45</v>
      </c>
      <c r="B748" s="373">
        <v>42949</v>
      </c>
      <c r="C748" s="373">
        <v>43159</v>
      </c>
      <c r="D748" s="372">
        <v>7</v>
      </c>
      <c r="E748" s="372">
        <v>28</v>
      </c>
      <c r="F748" s="372">
        <f>IFERROR(INDEX('NonART prices by med'!$D$2:$D$102,MATCH(D748,'NonART prices by med'!$A$2:$A$102,0)),"")</f>
        <v>0.16680357240796304</v>
      </c>
      <c r="G748" s="372">
        <f t="shared" si="23"/>
        <v>4.6705000274229649</v>
      </c>
      <c r="H748" s="372">
        <f t="shared" si="24"/>
        <v>1</v>
      </c>
    </row>
    <row r="749" spans="1:8">
      <c r="A749" s="372">
        <v>45</v>
      </c>
      <c r="B749" s="373">
        <v>42949</v>
      </c>
      <c r="C749" s="373">
        <v>43188</v>
      </c>
      <c r="D749" s="372">
        <v>7</v>
      </c>
      <c r="E749" s="372">
        <v>56</v>
      </c>
      <c r="F749" s="372">
        <f>IFERROR(INDEX('NonART prices by med'!$D$2:$D$102,MATCH(D749,'NonART prices by med'!$A$2:$A$102,0)),"")</f>
        <v>0.16680357240796304</v>
      </c>
      <c r="G749" s="372">
        <f t="shared" si="23"/>
        <v>9.3410000548459298</v>
      </c>
      <c r="H749" s="372">
        <f t="shared" si="24"/>
        <v>1</v>
      </c>
    </row>
    <row r="750" spans="1:8">
      <c r="A750" s="372">
        <v>45</v>
      </c>
      <c r="B750" s="373">
        <v>42949</v>
      </c>
      <c r="C750" s="373">
        <v>43215</v>
      </c>
      <c r="D750" s="372">
        <v>7</v>
      </c>
      <c r="E750" s="372">
        <v>56</v>
      </c>
      <c r="F750" s="372">
        <f>IFERROR(INDEX('NonART prices by med'!$D$2:$D$102,MATCH(D750,'NonART prices by med'!$A$2:$A$102,0)),"")</f>
        <v>0.16680357240796304</v>
      </c>
      <c r="G750" s="372">
        <f t="shared" si="23"/>
        <v>9.3410000548459298</v>
      </c>
      <c r="H750" s="372">
        <f t="shared" si="24"/>
        <v>1</v>
      </c>
    </row>
    <row r="751" spans="1:8">
      <c r="A751" s="372">
        <v>45</v>
      </c>
      <c r="B751" s="373">
        <v>42949</v>
      </c>
      <c r="C751" s="373">
        <v>43271</v>
      </c>
      <c r="D751" s="372">
        <v>7</v>
      </c>
      <c r="E751" s="372">
        <v>56</v>
      </c>
      <c r="F751" s="372">
        <f>IFERROR(INDEX('NonART prices by med'!$D$2:$D$102,MATCH(D751,'NonART prices by med'!$A$2:$A$102,0)),"")</f>
        <v>0.16680357240796304</v>
      </c>
      <c r="G751" s="372">
        <f t="shared" si="23"/>
        <v>9.3410000548459298</v>
      </c>
      <c r="H751" s="372">
        <f t="shared" si="24"/>
        <v>1</v>
      </c>
    </row>
    <row r="752" spans="1:8">
      <c r="A752" s="372">
        <v>45</v>
      </c>
      <c r="B752" s="373">
        <v>42949</v>
      </c>
      <c r="C752" s="373">
        <v>43334</v>
      </c>
      <c r="D752" s="372">
        <v>7</v>
      </c>
      <c r="F752" s="372">
        <f>IFERROR(INDEX('NonART prices by med'!$D$2:$D$102,MATCH(D752,'NonART prices by med'!$A$2:$A$102,0)),"")</f>
        <v>0.16680357240796304</v>
      </c>
      <c r="G752" s="372">
        <f t="shared" si="23"/>
        <v>0</v>
      </c>
      <c r="H752" s="372">
        <f t="shared" si="24"/>
        <v>0</v>
      </c>
    </row>
    <row r="753" spans="1:8">
      <c r="A753" s="372">
        <v>46</v>
      </c>
      <c r="B753" s="373">
        <v>42949</v>
      </c>
      <c r="C753" s="373">
        <v>43089</v>
      </c>
      <c r="D753" s="372">
        <v>100</v>
      </c>
      <c r="F753" s="372">
        <f>IFERROR(INDEX('NonART prices by med'!$D$2:$D$102,MATCH(D753,'NonART prices by med'!$A$2:$A$102,0)),"")</f>
        <v>0.55516046284546272</v>
      </c>
      <c r="G753" s="372">
        <f t="shared" si="23"/>
        <v>0</v>
      </c>
      <c r="H753" s="372">
        <f t="shared" si="24"/>
        <v>1</v>
      </c>
    </row>
    <row r="754" spans="1:8">
      <c r="A754" s="372">
        <v>46</v>
      </c>
      <c r="B754" s="373">
        <v>42949</v>
      </c>
      <c r="C754" s="373">
        <v>43144</v>
      </c>
      <c r="D754" s="372">
        <v>52</v>
      </c>
      <c r="E754" s="372">
        <v>28</v>
      </c>
      <c r="F754" s="372">
        <f>IFERROR(INDEX('NonART prices by med'!$D$2:$D$102,MATCH(D754,'NonART prices by med'!$A$2:$A$102,0)),"")</f>
        <v>0.61873312838750838</v>
      </c>
      <c r="G754" s="372">
        <f t="shared" si="23"/>
        <v>17.324527594850235</v>
      </c>
      <c r="H754" s="372">
        <f t="shared" si="24"/>
        <v>1</v>
      </c>
    </row>
    <row r="755" spans="1:8">
      <c r="A755" s="372">
        <v>46</v>
      </c>
      <c r="B755" s="373">
        <v>42949</v>
      </c>
      <c r="C755" s="373">
        <v>43228</v>
      </c>
      <c r="D755" s="372">
        <v>408</v>
      </c>
      <c r="E755" s="372">
        <v>56</v>
      </c>
      <c r="F755" s="372">
        <f>IFERROR(INDEX('NonART prices by med'!$D$2:$D$102,MATCH(D755,'NonART prices by med'!$A$2:$A$102,0)),"")</f>
        <v>5.5E-2</v>
      </c>
      <c r="G755" s="372">
        <f t="shared" si="23"/>
        <v>3.08</v>
      </c>
      <c r="H755" s="372">
        <f t="shared" si="24"/>
        <v>1</v>
      </c>
    </row>
    <row r="756" spans="1:8">
      <c r="A756" s="372">
        <v>47</v>
      </c>
      <c r="B756" s="373">
        <v>42949</v>
      </c>
      <c r="C756" s="373">
        <v>43116</v>
      </c>
      <c r="D756" s="372">
        <v>286</v>
      </c>
      <c r="E756" s="372">
        <v>17</v>
      </c>
      <c r="F756" s="372">
        <f>IFERROR(INDEX('NonART prices by med'!$D$2:$D$102,MATCH(D756,'NonART prices by med'!$A$2:$A$102,0)),"")</f>
        <v>0.15535714285714283</v>
      </c>
      <c r="G756" s="372">
        <f t="shared" si="23"/>
        <v>2.6410714285714283</v>
      </c>
      <c r="H756" s="372">
        <f t="shared" si="24"/>
        <v>1</v>
      </c>
    </row>
    <row r="757" spans="1:8">
      <c r="A757" s="372">
        <v>48</v>
      </c>
      <c r="B757" s="373">
        <v>42947</v>
      </c>
      <c r="C757" s="373">
        <v>42970</v>
      </c>
      <c r="D757" s="372">
        <v>225</v>
      </c>
      <c r="E757" s="372">
        <v>28</v>
      </c>
      <c r="F757" s="372">
        <f>IFERROR(INDEX('NonART prices by med'!$D$2:$D$102,MATCH(D757,'NonART prices by med'!$A$2:$A$102,0)),"")</f>
        <v>0.19315423345580862</v>
      </c>
      <c r="G757" s="372">
        <f t="shared" si="23"/>
        <v>5.408318536762641</v>
      </c>
      <c r="H757" s="372">
        <f t="shared" si="24"/>
        <v>1</v>
      </c>
    </row>
    <row r="758" spans="1:8">
      <c r="A758" s="372">
        <v>48</v>
      </c>
      <c r="B758" s="373">
        <v>42947</v>
      </c>
      <c r="C758" s="373">
        <v>42998</v>
      </c>
      <c r="D758" s="372">
        <v>342</v>
      </c>
      <c r="E758" s="372">
        <v>28</v>
      </c>
      <c r="F758" s="372">
        <f>IFERROR(INDEX('NonART prices by med'!$D$2:$D$102,MATCH(D758,'NonART prices by med'!$A$2:$A$102,0)),"")</f>
        <v>0.26590000152587889</v>
      </c>
      <c r="G758" s="372">
        <f t="shared" si="23"/>
        <v>7.4452000427246094</v>
      </c>
      <c r="H758" s="372">
        <f t="shared" si="24"/>
        <v>1</v>
      </c>
    </row>
    <row r="759" spans="1:8">
      <c r="A759" s="372">
        <v>48</v>
      </c>
      <c r="B759" s="373">
        <v>42947</v>
      </c>
      <c r="C759" s="373">
        <v>43026</v>
      </c>
      <c r="D759" s="372">
        <v>342</v>
      </c>
      <c r="E759" s="372">
        <v>28</v>
      </c>
      <c r="F759" s="372">
        <f>IFERROR(INDEX('NonART prices by med'!$D$2:$D$102,MATCH(D759,'NonART prices by med'!$A$2:$A$102,0)),"")</f>
        <v>0.26590000152587889</v>
      </c>
      <c r="G759" s="372">
        <f t="shared" si="23"/>
        <v>7.4452000427246094</v>
      </c>
      <c r="H759" s="372">
        <f t="shared" si="24"/>
        <v>1</v>
      </c>
    </row>
    <row r="760" spans="1:8">
      <c r="A760" s="372">
        <v>48</v>
      </c>
      <c r="B760" s="373">
        <v>42947</v>
      </c>
      <c r="C760" s="373">
        <v>43091</v>
      </c>
      <c r="D760" s="372">
        <v>342</v>
      </c>
      <c r="E760" s="372">
        <v>28</v>
      </c>
      <c r="F760" s="372">
        <f>IFERROR(INDEX('NonART prices by med'!$D$2:$D$102,MATCH(D760,'NonART prices by med'!$A$2:$A$102,0)),"")</f>
        <v>0.26590000152587889</v>
      </c>
      <c r="G760" s="372">
        <f t="shared" si="23"/>
        <v>7.4452000427246094</v>
      </c>
      <c r="H760" s="372">
        <f t="shared" si="24"/>
        <v>1</v>
      </c>
    </row>
    <row r="761" spans="1:8">
      <c r="A761" s="372">
        <v>48</v>
      </c>
      <c r="B761" s="373">
        <v>42947</v>
      </c>
      <c r="C761" s="373">
        <v>43125</v>
      </c>
      <c r="D761" s="372">
        <v>342</v>
      </c>
      <c r="E761" s="372">
        <v>28</v>
      </c>
      <c r="F761" s="372">
        <f>IFERROR(INDEX('NonART prices by med'!$D$2:$D$102,MATCH(D761,'NonART prices by med'!$A$2:$A$102,0)),"")</f>
        <v>0.26590000152587889</v>
      </c>
      <c r="G761" s="372">
        <f t="shared" si="23"/>
        <v>7.4452000427246094</v>
      </c>
      <c r="H761" s="372">
        <f t="shared" si="24"/>
        <v>1</v>
      </c>
    </row>
    <row r="762" spans="1:8">
      <c r="A762" s="372">
        <v>48</v>
      </c>
      <c r="B762" s="373">
        <v>42947</v>
      </c>
      <c r="C762" s="373">
        <v>43153</v>
      </c>
      <c r="D762" s="372">
        <v>342</v>
      </c>
      <c r="E762" s="372">
        <v>28</v>
      </c>
      <c r="F762" s="372">
        <f>IFERROR(INDEX('NonART prices by med'!$D$2:$D$102,MATCH(D762,'NonART prices by med'!$A$2:$A$102,0)),"")</f>
        <v>0.26590000152587889</v>
      </c>
      <c r="G762" s="372">
        <f t="shared" si="23"/>
        <v>7.4452000427246094</v>
      </c>
      <c r="H762" s="372">
        <f t="shared" si="24"/>
        <v>1</v>
      </c>
    </row>
    <row r="763" spans="1:8">
      <c r="A763" s="372">
        <v>48</v>
      </c>
      <c r="B763" s="373">
        <v>42947</v>
      </c>
      <c r="C763" s="373">
        <v>43181</v>
      </c>
      <c r="D763" s="372">
        <v>342</v>
      </c>
      <c r="E763" s="372">
        <v>56</v>
      </c>
      <c r="F763" s="372">
        <f>IFERROR(INDEX('NonART prices by med'!$D$2:$D$102,MATCH(D763,'NonART prices by med'!$A$2:$A$102,0)),"")</f>
        <v>0.26590000152587889</v>
      </c>
      <c r="G763" s="372">
        <f t="shared" si="23"/>
        <v>14.890400085449219</v>
      </c>
      <c r="H763" s="372">
        <f t="shared" si="24"/>
        <v>1</v>
      </c>
    </row>
    <row r="764" spans="1:8">
      <c r="A764" s="372">
        <v>48</v>
      </c>
      <c r="B764" s="373">
        <v>42947</v>
      </c>
      <c r="C764" s="373">
        <v>43279</v>
      </c>
      <c r="D764" s="372">
        <v>286</v>
      </c>
      <c r="E764" s="372">
        <v>28</v>
      </c>
      <c r="F764" s="372">
        <f>IFERROR(INDEX('NonART prices by med'!$D$2:$D$102,MATCH(D764,'NonART prices by med'!$A$2:$A$102,0)),"")</f>
        <v>0.15535714285714283</v>
      </c>
      <c r="G764" s="372">
        <f t="shared" si="23"/>
        <v>4.3499999999999996</v>
      </c>
      <c r="H764" s="372">
        <f t="shared" si="24"/>
        <v>1</v>
      </c>
    </row>
    <row r="765" spans="1:8">
      <c r="A765" s="372">
        <v>49</v>
      </c>
      <c r="B765" s="373">
        <v>42948</v>
      </c>
      <c r="C765" s="373">
        <v>42934</v>
      </c>
      <c r="D765" s="372">
        <v>332</v>
      </c>
      <c r="E765" s="372">
        <v>1</v>
      </c>
      <c r="F765" s="372" t="str">
        <f>IFERROR(INDEX('NonART prices by med'!$D$2:$D$102,MATCH(D765,'NonART prices by med'!$A$2:$A$102,0)),"")</f>
        <v/>
      </c>
      <c r="G765" s="372" t="str">
        <f t="shared" si="23"/>
        <v/>
      </c>
      <c r="H765" s="372">
        <f t="shared" si="24"/>
        <v>1</v>
      </c>
    </row>
    <row r="766" spans="1:8">
      <c r="A766" s="372">
        <v>49</v>
      </c>
      <c r="B766" s="373">
        <v>42948</v>
      </c>
      <c r="C766" s="373">
        <v>42948</v>
      </c>
      <c r="D766" s="372">
        <v>408</v>
      </c>
      <c r="E766" s="372">
        <v>28</v>
      </c>
      <c r="F766" s="372">
        <f>IFERROR(INDEX('NonART prices by med'!$D$2:$D$102,MATCH(D766,'NonART prices by med'!$A$2:$A$102,0)),"")</f>
        <v>5.5E-2</v>
      </c>
      <c r="G766" s="372">
        <f t="shared" si="23"/>
        <v>1.54</v>
      </c>
      <c r="H766" s="372">
        <f t="shared" si="24"/>
        <v>1</v>
      </c>
    </row>
    <row r="767" spans="1:8">
      <c r="A767" s="372">
        <v>49</v>
      </c>
      <c r="B767" s="373">
        <v>42948</v>
      </c>
      <c r="C767" s="373">
        <v>42962</v>
      </c>
      <c r="D767" s="372">
        <v>408</v>
      </c>
      <c r="E767" s="372">
        <v>28</v>
      </c>
      <c r="F767" s="372">
        <f>IFERROR(INDEX('NonART prices by med'!$D$2:$D$102,MATCH(D767,'NonART prices by med'!$A$2:$A$102,0)),"")</f>
        <v>5.5E-2</v>
      </c>
      <c r="G767" s="372">
        <f t="shared" si="23"/>
        <v>1.54</v>
      </c>
      <c r="H767" s="372">
        <f t="shared" si="24"/>
        <v>1</v>
      </c>
    </row>
    <row r="768" spans="1:8">
      <c r="A768" s="372">
        <v>49</v>
      </c>
      <c r="B768" s="373">
        <v>42948</v>
      </c>
      <c r="C768" s="373">
        <v>43053</v>
      </c>
      <c r="D768" s="372">
        <v>35</v>
      </c>
      <c r="F768" s="372">
        <f>IFERROR(INDEX('NonART prices by med'!$D$2:$D$102,MATCH(D768,'NonART prices by med'!$A$2:$A$102,0)),"")</f>
        <v>0.60205838048342708</v>
      </c>
      <c r="G768" s="372">
        <f t="shared" si="23"/>
        <v>0</v>
      </c>
      <c r="H768" s="372">
        <f t="shared" si="24"/>
        <v>1</v>
      </c>
    </row>
    <row r="769" spans="1:8">
      <c r="A769" s="372">
        <v>49</v>
      </c>
      <c r="B769" s="373">
        <v>42948</v>
      </c>
      <c r="C769" s="373">
        <v>43081</v>
      </c>
      <c r="D769" s="372">
        <v>342</v>
      </c>
      <c r="E769" s="372">
        <v>56</v>
      </c>
      <c r="F769" s="372">
        <f>IFERROR(INDEX('NonART prices by med'!$D$2:$D$102,MATCH(D769,'NonART prices by med'!$A$2:$A$102,0)),"")</f>
        <v>0.26590000152587889</v>
      </c>
      <c r="G769" s="372">
        <f t="shared" si="23"/>
        <v>14.890400085449219</v>
      </c>
      <c r="H769" s="372">
        <f t="shared" si="24"/>
        <v>1</v>
      </c>
    </row>
    <row r="770" spans="1:8">
      <c r="A770" s="372">
        <v>49</v>
      </c>
      <c r="B770" s="373">
        <v>42948</v>
      </c>
      <c r="C770" s="373">
        <v>43137</v>
      </c>
      <c r="D770" s="372">
        <v>35</v>
      </c>
      <c r="E770" s="372">
        <v>28</v>
      </c>
      <c r="F770" s="372">
        <f>IFERROR(INDEX('NonART prices by med'!$D$2:$D$102,MATCH(D770,'NonART prices by med'!$A$2:$A$102,0)),"")</f>
        <v>0.60205838048342708</v>
      </c>
      <c r="G770" s="372">
        <f t="shared" si="23"/>
        <v>16.857634653535957</v>
      </c>
      <c r="H770" s="372">
        <f t="shared" si="24"/>
        <v>1</v>
      </c>
    </row>
    <row r="771" spans="1:8">
      <c r="A771" s="372">
        <v>49</v>
      </c>
      <c r="B771" s="373">
        <v>42948</v>
      </c>
      <c r="C771" s="373">
        <v>43165</v>
      </c>
      <c r="D771" s="372">
        <v>342</v>
      </c>
      <c r="E771" s="372">
        <v>56</v>
      </c>
      <c r="F771" s="372">
        <f>IFERROR(INDEX('NonART prices by med'!$D$2:$D$102,MATCH(D771,'NonART prices by med'!$A$2:$A$102,0)),"")</f>
        <v>0.26590000152587889</v>
      </c>
      <c r="G771" s="372">
        <f t="shared" ref="G771:G834" si="25">IFERROR(E771*F771,"")</f>
        <v>14.890400085449219</v>
      </c>
      <c r="H771" s="372">
        <f t="shared" si="24"/>
        <v>1</v>
      </c>
    </row>
    <row r="772" spans="1:8">
      <c r="A772" s="372">
        <v>49</v>
      </c>
      <c r="B772" s="373">
        <v>42948</v>
      </c>
      <c r="C772" s="373">
        <v>43447</v>
      </c>
      <c r="D772" s="372">
        <v>342</v>
      </c>
      <c r="F772" s="372">
        <f>IFERROR(INDEX('NonART prices by med'!$D$2:$D$102,MATCH(D772,'NonART prices by med'!$A$2:$A$102,0)),"")</f>
        <v>0.26590000152587889</v>
      </c>
      <c r="G772" s="372">
        <f t="shared" si="25"/>
        <v>0</v>
      </c>
      <c r="H772" s="372">
        <f t="shared" ref="H772:H835" si="26">IF(C772-B772&lt;=365,1,0)</f>
        <v>0</v>
      </c>
    </row>
    <row r="773" spans="1:8">
      <c r="A773" s="372">
        <v>50</v>
      </c>
      <c r="B773" s="373">
        <v>42948</v>
      </c>
      <c r="C773" s="373">
        <v>43005</v>
      </c>
      <c r="D773" s="372">
        <v>411</v>
      </c>
      <c r="F773" s="372">
        <f>IFERROR(INDEX('NonART prices by med'!$D$2:$D$102,MATCH(D773,'NonART prices by med'!$A$2:$A$102,0)),"")</f>
        <v>0.10354499389265867</v>
      </c>
      <c r="G773" s="372">
        <f t="shared" si="25"/>
        <v>0</v>
      </c>
      <c r="H773" s="372">
        <f t="shared" si="26"/>
        <v>1</v>
      </c>
    </row>
    <row r="774" spans="1:8">
      <c r="A774" s="372">
        <v>50</v>
      </c>
      <c r="B774" s="373">
        <v>42948</v>
      </c>
      <c r="C774" s="373">
        <v>43061</v>
      </c>
      <c r="D774" s="372">
        <v>411</v>
      </c>
      <c r="E774" s="372">
        <v>28</v>
      </c>
      <c r="F774" s="372">
        <f>IFERROR(INDEX('NonART prices by med'!$D$2:$D$102,MATCH(D774,'NonART prices by med'!$A$2:$A$102,0)),"")</f>
        <v>0.10354499389265867</v>
      </c>
      <c r="G774" s="372">
        <f t="shared" si="25"/>
        <v>2.8992598289944427</v>
      </c>
      <c r="H774" s="372">
        <f t="shared" si="26"/>
        <v>1</v>
      </c>
    </row>
    <row r="775" spans="1:8">
      <c r="A775" s="372">
        <v>50</v>
      </c>
      <c r="B775" s="373">
        <v>42948</v>
      </c>
      <c r="C775" s="373">
        <v>43089</v>
      </c>
      <c r="D775" s="372">
        <v>411</v>
      </c>
      <c r="F775" s="372">
        <f>IFERROR(INDEX('NonART prices by med'!$D$2:$D$102,MATCH(D775,'NonART prices by med'!$A$2:$A$102,0)),"")</f>
        <v>0.10354499389265867</v>
      </c>
      <c r="G775" s="372">
        <f t="shared" si="25"/>
        <v>0</v>
      </c>
      <c r="H775" s="372">
        <f t="shared" si="26"/>
        <v>1</v>
      </c>
    </row>
    <row r="776" spans="1:8">
      <c r="A776" s="372">
        <v>50</v>
      </c>
      <c r="B776" s="373">
        <v>42948</v>
      </c>
      <c r="C776" s="373">
        <v>43145</v>
      </c>
      <c r="D776" s="372">
        <v>35</v>
      </c>
      <c r="E776" s="372">
        <v>28</v>
      </c>
      <c r="F776" s="372">
        <f>IFERROR(INDEX('NonART prices by med'!$D$2:$D$102,MATCH(D776,'NonART prices by med'!$A$2:$A$102,0)),"")</f>
        <v>0.60205838048342708</v>
      </c>
      <c r="G776" s="372">
        <f t="shared" si="25"/>
        <v>16.857634653535957</v>
      </c>
      <c r="H776" s="372">
        <f t="shared" si="26"/>
        <v>1</v>
      </c>
    </row>
    <row r="777" spans="1:8">
      <c r="A777" s="372">
        <v>50</v>
      </c>
      <c r="B777" s="373">
        <v>42948</v>
      </c>
      <c r="C777" s="373">
        <v>43370</v>
      </c>
      <c r="D777" s="372">
        <v>411</v>
      </c>
      <c r="E777" s="372">
        <v>56</v>
      </c>
      <c r="F777" s="372">
        <f>IFERROR(INDEX('NonART prices by med'!$D$2:$D$102,MATCH(D777,'NonART prices by med'!$A$2:$A$102,0)),"")</f>
        <v>0.10354499389265867</v>
      </c>
      <c r="G777" s="372">
        <f t="shared" si="25"/>
        <v>5.7985196579888854</v>
      </c>
      <c r="H777" s="372">
        <f t="shared" si="26"/>
        <v>0</v>
      </c>
    </row>
    <row r="778" spans="1:8">
      <c r="A778" s="372">
        <v>51</v>
      </c>
      <c r="B778" s="373">
        <v>42944</v>
      </c>
      <c r="C778" s="373">
        <v>42944</v>
      </c>
      <c r="D778" s="372">
        <v>225</v>
      </c>
      <c r="E778" s="372">
        <v>28</v>
      </c>
      <c r="F778" s="372">
        <f>IFERROR(INDEX('NonART prices by med'!$D$2:$D$102,MATCH(D778,'NonART prices by med'!$A$2:$A$102,0)),"")</f>
        <v>0.19315423345580862</v>
      </c>
      <c r="G778" s="372">
        <f t="shared" si="25"/>
        <v>5.408318536762641</v>
      </c>
      <c r="H778" s="372">
        <f t="shared" si="26"/>
        <v>1</v>
      </c>
    </row>
    <row r="779" spans="1:8">
      <c r="A779" s="372">
        <v>51</v>
      </c>
      <c r="B779" s="373">
        <v>42944</v>
      </c>
      <c r="C779" s="373">
        <v>42982</v>
      </c>
      <c r="D779" s="372">
        <v>134</v>
      </c>
      <c r="F779" s="372">
        <f>IFERROR(INDEX('NonART prices by med'!$D$2:$D$102,MATCH(D779,'NonART prices by med'!$A$2:$A$102,0)),"")</f>
        <v>0.39033333366993345</v>
      </c>
      <c r="G779" s="372">
        <f t="shared" si="25"/>
        <v>0</v>
      </c>
      <c r="H779" s="372">
        <f t="shared" si="26"/>
        <v>1</v>
      </c>
    </row>
    <row r="780" spans="1:8">
      <c r="A780" s="372">
        <v>51</v>
      </c>
      <c r="B780" s="373">
        <v>42944</v>
      </c>
      <c r="C780" s="373">
        <v>43031</v>
      </c>
      <c r="D780" s="372">
        <v>134</v>
      </c>
      <c r="E780" s="372">
        <v>56</v>
      </c>
      <c r="F780" s="372">
        <f>IFERROR(INDEX('NonART prices by med'!$D$2:$D$102,MATCH(D780,'NonART prices by med'!$A$2:$A$102,0)),"")</f>
        <v>0.39033333366993345</v>
      </c>
      <c r="G780" s="372">
        <f t="shared" si="25"/>
        <v>21.858666685516273</v>
      </c>
      <c r="H780" s="372">
        <f t="shared" si="26"/>
        <v>1</v>
      </c>
    </row>
    <row r="781" spans="1:8">
      <c r="A781" s="372">
        <v>52</v>
      </c>
      <c r="B781" s="373">
        <v>42943</v>
      </c>
      <c r="C781" s="373">
        <v>42971</v>
      </c>
      <c r="D781" s="372">
        <v>342</v>
      </c>
      <c r="E781" s="372">
        <v>56</v>
      </c>
      <c r="F781" s="372">
        <f>IFERROR(INDEX('NonART prices by med'!$D$2:$D$102,MATCH(D781,'NonART prices by med'!$A$2:$A$102,0)),"")</f>
        <v>0.26590000152587889</v>
      </c>
      <c r="G781" s="372">
        <f t="shared" si="25"/>
        <v>14.890400085449219</v>
      </c>
      <c r="H781" s="372">
        <f t="shared" si="26"/>
        <v>1</v>
      </c>
    </row>
    <row r="782" spans="1:8">
      <c r="A782" s="372">
        <v>52</v>
      </c>
      <c r="B782" s="373">
        <v>42943</v>
      </c>
      <c r="C782" s="373">
        <v>43027</v>
      </c>
      <c r="D782" s="372">
        <v>342</v>
      </c>
      <c r="E782" s="372">
        <v>28</v>
      </c>
      <c r="F782" s="372">
        <f>IFERROR(INDEX('NonART prices by med'!$D$2:$D$102,MATCH(D782,'NonART prices by med'!$A$2:$A$102,0)),"")</f>
        <v>0.26590000152587889</v>
      </c>
      <c r="G782" s="372">
        <f t="shared" si="25"/>
        <v>7.4452000427246094</v>
      </c>
      <c r="H782" s="372">
        <f t="shared" si="26"/>
        <v>1</v>
      </c>
    </row>
    <row r="783" spans="1:8">
      <c r="A783" s="372">
        <v>52</v>
      </c>
      <c r="B783" s="373">
        <v>42943</v>
      </c>
      <c r="C783" s="373">
        <v>43054</v>
      </c>
      <c r="D783" s="372">
        <v>408</v>
      </c>
      <c r="F783" s="372">
        <f>IFERROR(INDEX('NonART prices by med'!$D$2:$D$102,MATCH(D783,'NonART prices by med'!$A$2:$A$102,0)),"")</f>
        <v>5.5E-2</v>
      </c>
      <c r="G783" s="372">
        <f t="shared" si="25"/>
        <v>0</v>
      </c>
      <c r="H783" s="372">
        <f t="shared" si="26"/>
        <v>1</v>
      </c>
    </row>
    <row r="784" spans="1:8">
      <c r="A784" s="372">
        <v>52</v>
      </c>
      <c r="B784" s="373">
        <v>42943</v>
      </c>
      <c r="C784" s="373">
        <v>43103</v>
      </c>
      <c r="D784" s="372">
        <v>225</v>
      </c>
      <c r="E784" s="372">
        <v>28</v>
      </c>
      <c r="F784" s="372">
        <f>IFERROR(INDEX('NonART prices by med'!$D$2:$D$102,MATCH(D784,'NonART prices by med'!$A$2:$A$102,0)),"")</f>
        <v>0.19315423345580862</v>
      </c>
      <c r="G784" s="372">
        <f t="shared" si="25"/>
        <v>5.408318536762641</v>
      </c>
      <c r="H784" s="372">
        <f t="shared" si="26"/>
        <v>1</v>
      </c>
    </row>
    <row r="785" spans="1:8">
      <c r="A785" s="372">
        <v>52</v>
      </c>
      <c r="B785" s="373">
        <v>42943</v>
      </c>
      <c r="C785" s="373">
        <v>43110</v>
      </c>
      <c r="D785" s="372">
        <v>408</v>
      </c>
      <c r="E785" s="372">
        <v>28</v>
      </c>
      <c r="F785" s="372">
        <f>IFERROR(INDEX('NonART prices by med'!$D$2:$D$102,MATCH(D785,'NonART prices by med'!$A$2:$A$102,0)),"")</f>
        <v>5.5E-2</v>
      </c>
      <c r="G785" s="372">
        <f t="shared" si="25"/>
        <v>1.54</v>
      </c>
      <c r="H785" s="372">
        <f t="shared" si="26"/>
        <v>1</v>
      </c>
    </row>
    <row r="786" spans="1:8">
      <c r="A786" s="372">
        <v>52</v>
      </c>
      <c r="B786" s="373">
        <v>42943</v>
      </c>
      <c r="C786" s="373">
        <v>43370</v>
      </c>
      <c r="D786" s="372">
        <v>134</v>
      </c>
      <c r="F786" s="372">
        <f>IFERROR(INDEX('NonART prices by med'!$D$2:$D$102,MATCH(D786,'NonART prices by med'!$A$2:$A$102,0)),"")</f>
        <v>0.39033333366993345</v>
      </c>
      <c r="G786" s="372">
        <f t="shared" si="25"/>
        <v>0</v>
      </c>
      <c r="H786" s="372">
        <f t="shared" si="26"/>
        <v>0</v>
      </c>
    </row>
    <row r="787" spans="1:8">
      <c r="A787" s="372">
        <v>52</v>
      </c>
      <c r="B787" s="373">
        <v>42943</v>
      </c>
      <c r="C787" s="373">
        <v>43412</v>
      </c>
      <c r="D787" s="372">
        <v>215</v>
      </c>
      <c r="F787" s="372">
        <f>IFERROR(INDEX('NonART prices by med'!$D$2:$D$102,MATCH(D787,'NonART prices by med'!$A$2:$A$102,0)),"")</f>
        <v>0.27607142857142858</v>
      </c>
      <c r="G787" s="372">
        <f t="shared" si="25"/>
        <v>0</v>
      </c>
      <c r="H787" s="372">
        <f t="shared" si="26"/>
        <v>0</v>
      </c>
    </row>
    <row r="788" spans="1:8">
      <c r="A788" s="372">
        <v>52</v>
      </c>
      <c r="B788" s="373">
        <v>42943</v>
      </c>
      <c r="C788" s="373">
        <v>43440</v>
      </c>
      <c r="D788" s="372">
        <v>216</v>
      </c>
      <c r="E788" s="372">
        <v>56</v>
      </c>
      <c r="F788" s="372">
        <f>IFERROR(INDEX('NonART prices by med'!$D$2:$D$102,MATCH(D788,'NonART prices by med'!$A$2:$A$102,0)),"")</f>
        <v>0.25232142857142859</v>
      </c>
      <c r="G788" s="372">
        <f t="shared" si="25"/>
        <v>14.13</v>
      </c>
      <c r="H788" s="372">
        <f t="shared" si="26"/>
        <v>0</v>
      </c>
    </row>
    <row r="789" spans="1:8">
      <c r="A789" s="372">
        <v>53</v>
      </c>
      <c r="B789" s="373">
        <v>42943</v>
      </c>
      <c r="C789" s="373">
        <v>42964</v>
      </c>
      <c r="D789" s="372">
        <v>411</v>
      </c>
      <c r="E789" s="372">
        <v>28</v>
      </c>
      <c r="F789" s="372">
        <f>IFERROR(INDEX('NonART prices by med'!$D$2:$D$102,MATCH(D789,'NonART prices by med'!$A$2:$A$102,0)),"")</f>
        <v>0.10354499389265867</v>
      </c>
      <c r="G789" s="372">
        <f t="shared" si="25"/>
        <v>2.8992598289944427</v>
      </c>
      <c r="H789" s="372">
        <f t="shared" si="26"/>
        <v>1</v>
      </c>
    </row>
    <row r="790" spans="1:8">
      <c r="A790" s="372">
        <v>53</v>
      </c>
      <c r="B790" s="373">
        <v>42943</v>
      </c>
      <c r="C790" s="373">
        <v>42996</v>
      </c>
      <c r="D790" s="372">
        <v>35</v>
      </c>
      <c r="E790" s="372">
        <v>28</v>
      </c>
      <c r="F790" s="372">
        <f>IFERROR(INDEX('NonART prices by med'!$D$2:$D$102,MATCH(D790,'NonART prices by med'!$A$2:$A$102,0)),"")</f>
        <v>0.60205838048342708</v>
      </c>
      <c r="G790" s="372">
        <f t="shared" si="25"/>
        <v>16.857634653535957</v>
      </c>
      <c r="H790" s="372">
        <f t="shared" si="26"/>
        <v>1</v>
      </c>
    </row>
    <row r="791" spans="1:8">
      <c r="A791" s="372">
        <v>53</v>
      </c>
      <c r="B791" s="373">
        <v>42943</v>
      </c>
      <c r="C791" s="373">
        <v>43024</v>
      </c>
      <c r="D791" s="372">
        <v>411</v>
      </c>
      <c r="E791" s="372">
        <v>28</v>
      </c>
      <c r="F791" s="372">
        <f>IFERROR(INDEX('NonART prices by med'!$D$2:$D$102,MATCH(D791,'NonART prices by med'!$A$2:$A$102,0)),"")</f>
        <v>0.10354499389265867</v>
      </c>
      <c r="G791" s="372">
        <f t="shared" si="25"/>
        <v>2.8992598289944427</v>
      </c>
      <c r="H791" s="372">
        <f t="shared" si="26"/>
        <v>1</v>
      </c>
    </row>
    <row r="792" spans="1:8">
      <c r="A792" s="372">
        <v>53</v>
      </c>
      <c r="B792" s="373">
        <v>42943</v>
      </c>
      <c r="C792" s="373">
        <v>43052</v>
      </c>
      <c r="D792" s="372">
        <v>411</v>
      </c>
      <c r="F792" s="372">
        <f>IFERROR(INDEX('NonART prices by med'!$D$2:$D$102,MATCH(D792,'NonART prices by med'!$A$2:$A$102,0)),"")</f>
        <v>0.10354499389265867</v>
      </c>
      <c r="G792" s="372">
        <f t="shared" si="25"/>
        <v>0</v>
      </c>
      <c r="H792" s="372">
        <f t="shared" si="26"/>
        <v>1</v>
      </c>
    </row>
    <row r="793" spans="1:8">
      <c r="A793" s="372">
        <v>53</v>
      </c>
      <c r="B793" s="373">
        <v>42943</v>
      </c>
      <c r="C793" s="373">
        <v>43108</v>
      </c>
      <c r="D793" s="372">
        <v>97</v>
      </c>
      <c r="E793" s="372">
        <v>1</v>
      </c>
      <c r="F793" s="372">
        <f>IFERROR(INDEX('NonART prices by med'!$D$2:$D$102,MATCH(D793,'NonART prices by med'!$A$2:$A$102,0)),"")</f>
        <v>7.6689787557534222E-2</v>
      </c>
      <c r="G793" s="372">
        <f t="shared" si="25"/>
        <v>7.6689787557534222E-2</v>
      </c>
      <c r="H793" s="372">
        <f t="shared" si="26"/>
        <v>1</v>
      </c>
    </row>
    <row r="794" spans="1:8">
      <c r="A794" s="372">
        <v>54</v>
      </c>
      <c r="B794" s="373">
        <v>42941</v>
      </c>
      <c r="C794" s="373">
        <v>42941</v>
      </c>
      <c r="D794" s="372">
        <v>8</v>
      </c>
      <c r="E794" s="372">
        <v>28</v>
      </c>
      <c r="F794" s="372">
        <f>IFERROR(INDEX('NonART prices by med'!$D$2:$D$102,MATCH(D794,'NonART prices by med'!$A$2:$A$102,0)),"")</f>
        <v>0.12772849588143914</v>
      </c>
      <c r="G794" s="372">
        <f t="shared" si="25"/>
        <v>3.5763978846802962</v>
      </c>
      <c r="H794" s="372">
        <f t="shared" si="26"/>
        <v>1</v>
      </c>
    </row>
    <row r="795" spans="1:8">
      <c r="A795" s="372">
        <v>54</v>
      </c>
      <c r="B795" s="373">
        <v>42941</v>
      </c>
      <c r="C795" s="373">
        <v>42969</v>
      </c>
      <c r="D795" s="372">
        <v>24</v>
      </c>
      <c r="E795" s="372">
        <v>28</v>
      </c>
      <c r="F795" s="372">
        <f>IFERROR(INDEX('NonART prices by med'!$D$2:$D$102,MATCH(D795,'NonART prices by med'!$A$2:$A$102,0)),"")</f>
        <v>0.1467857142857143</v>
      </c>
      <c r="G795" s="372">
        <f t="shared" si="25"/>
        <v>4.1100000000000003</v>
      </c>
      <c r="H795" s="372">
        <f t="shared" si="26"/>
        <v>1</v>
      </c>
    </row>
    <row r="796" spans="1:8">
      <c r="A796" s="372">
        <v>54</v>
      </c>
      <c r="B796" s="373">
        <v>42941</v>
      </c>
      <c r="C796" s="373">
        <v>42997</v>
      </c>
      <c r="D796" s="372">
        <v>24</v>
      </c>
      <c r="E796" s="372">
        <v>28</v>
      </c>
      <c r="F796" s="372">
        <f>IFERROR(INDEX('NonART prices by med'!$D$2:$D$102,MATCH(D796,'NonART prices by med'!$A$2:$A$102,0)),"")</f>
        <v>0.1467857142857143</v>
      </c>
      <c r="G796" s="372">
        <f t="shared" si="25"/>
        <v>4.1100000000000003</v>
      </c>
      <c r="H796" s="372">
        <f t="shared" si="26"/>
        <v>1</v>
      </c>
    </row>
    <row r="797" spans="1:8">
      <c r="A797" s="372">
        <v>54</v>
      </c>
      <c r="B797" s="373">
        <v>42941</v>
      </c>
      <c r="C797" s="373">
        <v>43025</v>
      </c>
      <c r="D797" s="372">
        <v>35</v>
      </c>
      <c r="E797" s="372">
        <v>28</v>
      </c>
      <c r="F797" s="372">
        <f>IFERROR(INDEX('NonART prices by med'!$D$2:$D$102,MATCH(D797,'NonART prices by med'!$A$2:$A$102,0)),"")</f>
        <v>0.60205838048342708</v>
      </c>
      <c r="G797" s="372">
        <f t="shared" si="25"/>
        <v>16.857634653535957</v>
      </c>
      <c r="H797" s="372">
        <f t="shared" si="26"/>
        <v>1</v>
      </c>
    </row>
    <row r="798" spans="1:8">
      <c r="A798" s="372">
        <v>54</v>
      </c>
      <c r="B798" s="373">
        <v>42941</v>
      </c>
      <c r="C798" s="373">
        <v>43053</v>
      </c>
      <c r="D798" s="372">
        <v>35</v>
      </c>
      <c r="F798" s="372">
        <f>IFERROR(INDEX('NonART prices by med'!$D$2:$D$102,MATCH(D798,'NonART prices by med'!$A$2:$A$102,0)),"")</f>
        <v>0.60205838048342708</v>
      </c>
      <c r="G798" s="372">
        <f t="shared" si="25"/>
        <v>0</v>
      </c>
      <c r="H798" s="372">
        <f t="shared" si="26"/>
        <v>1</v>
      </c>
    </row>
    <row r="799" spans="1:8">
      <c r="A799" s="372">
        <v>54</v>
      </c>
      <c r="B799" s="373">
        <v>42941</v>
      </c>
      <c r="C799" s="373">
        <v>43109</v>
      </c>
      <c r="D799" s="372">
        <v>7</v>
      </c>
      <c r="E799" s="372">
        <v>28</v>
      </c>
      <c r="F799" s="372">
        <f>IFERROR(INDEX('NonART prices by med'!$D$2:$D$102,MATCH(D799,'NonART prices by med'!$A$2:$A$102,0)),"")</f>
        <v>0.16680357240796304</v>
      </c>
      <c r="G799" s="372">
        <f t="shared" si="25"/>
        <v>4.6705000274229649</v>
      </c>
      <c r="H799" s="372">
        <f t="shared" si="26"/>
        <v>1</v>
      </c>
    </row>
    <row r="800" spans="1:8">
      <c r="A800" s="372">
        <v>54</v>
      </c>
      <c r="B800" s="373">
        <v>42941</v>
      </c>
      <c r="C800" s="373">
        <v>43353</v>
      </c>
      <c r="D800" s="372">
        <v>8</v>
      </c>
      <c r="E800" s="372">
        <v>56</v>
      </c>
      <c r="F800" s="372">
        <f>IFERROR(INDEX('NonART prices by med'!$D$2:$D$102,MATCH(D800,'NonART prices by med'!$A$2:$A$102,0)),"")</f>
        <v>0.12772849588143914</v>
      </c>
      <c r="G800" s="372">
        <f t="shared" si="25"/>
        <v>7.1527957693605924</v>
      </c>
      <c r="H800" s="372">
        <f t="shared" si="26"/>
        <v>0</v>
      </c>
    </row>
    <row r="801" spans="1:8">
      <c r="A801" s="372">
        <v>55</v>
      </c>
      <c r="B801" s="373">
        <v>42941</v>
      </c>
      <c r="C801" s="373">
        <v>42941</v>
      </c>
      <c r="D801" s="372">
        <v>215</v>
      </c>
      <c r="E801" s="372">
        <v>28</v>
      </c>
      <c r="F801" s="372">
        <f>IFERROR(INDEX('NonART prices by med'!$D$2:$D$102,MATCH(D801,'NonART prices by med'!$A$2:$A$102,0)),"")</f>
        <v>0.27607142857142858</v>
      </c>
      <c r="G801" s="372">
        <f t="shared" si="25"/>
        <v>7.73</v>
      </c>
      <c r="H801" s="372">
        <f t="shared" si="26"/>
        <v>1</v>
      </c>
    </row>
    <row r="802" spans="1:8">
      <c r="A802" s="372">
        <v>55</v>
      </c>
      <c r="B802" s="373">
        <v>42941</v>
      </c>
      <c r="C802" s="373">
        <v>42984</v>
      </c>
      <c r="D802" s="372">
        <v>225</v>
      </c>
      <c r="E802" s="372">
        <v>28</v>
      </c>
      <c r="F802" s="372">
        <f>IFERROR(INDEX('NonART prices by med'!$D$2:$D$102,MATCH(D802,'NonART prices by med'!$A$2:$A$102,0)),"")</f>
        <v>0.19315423345580862</v>
      </c>
      <c r="G802" s="372">
        <f t="shared" si="25"/>
        <v>5.408318536762641</v>
      </c>
      <c r="H802" s="372">
        <f t="shared" si="26"/>
        <v>1</v>
      </c>
    </row>
    <row r="803" spans="1:8">
      <c r="A803" s="372">
        <v>55</v>
      </c>
      <c r="B803" s="373">
        <v>42941</v>
      </c>
      <c r="C803" s="373">
        <v>43026</v>
      </c>
      <c r="D803" s="372">
        <v>215</v>
      </c>
      <c r="E803" s="372">
        <v>28</v>
      </c>
      <c r="F803" s="372">
        <f>IFERROR(INDEX('NonART prices by med'!$D$2:$D$102,MATCH(D803,'NonART prices by med'!$A$2:$A$102,0)),"")</f>
        <v>0.27607142857142858</v>
      </c>
      <c r="G803" s="372">
        <f t="shared" si="25"/>
        <v>7.73</v>
      </c>
      <c r="H803" s="372">
        <f t="shared" si="26"/>
        <v>1</v>
      </c>
    </row>
    <row r="804" spans="1:8">
      <c r="A804" s="372">
        <v>55</v>
      </c>
      <c r="B804" s="373">
        <v>42941</v>
      </c>
      <c r="C804" s="373">
        <v>43054</v>
      </c>
      <c r="D804" s="372">
        <v>215</v>
      </c>
      <c r="E804" s="372">
        <v>28</v>
      </c>
      <c r="F804" s="372">
        <f>IFERROR(INDEX('NonART prices by med'!$D$2:$D$102,MATCH(D804,'NonART prices by med'!$A$2:$A$102,0)),"")</f>
        <v>0.27607142857142858</v>
      </c>
      <c r="G804" s="372">
        <f t="shared" si="25"/>
        <v>7.73</v>
      </c>
      <c r="H804" s="372">
        <f t="shared" si="26"/>
        <v>1</v>
      </c>
    </row>
    <row r="805" spans="1:8">
      <c r="A805" s="372">
        <v>55</v>
      </c>
      <c r="B805" s="373">
        <v>42941</v>
      </c>
      <c r="C805" s="373">
        <v>43082</v>
      </c>
      <c r="D805" s="372">
        <v>411</v>
      </c>
      <c r="F805" s="372">
        <f>IFERROR(INDEX('NonART prices by med'!$D$2:$D$102,MATCH(D805,'NonART prices by med'!$A$2:$A$102,0)),"")</f>
        <v>0.10354499389265867</v>
      </c>
      <c r="G805" s="372">
        <f t="shared" si="25"/>
        <v>0</v>
      </c>
      <c r="H805" s="372">
        <f t="shared" si="26"/>
        <v>1</v>
      </c>
    </row>
    <row r="806" spans="1:8">
      <c r="A806" s="372">
        <v>56</v>
      </c>
      <c r="B806" s="373">
        <v>42941</v>
      </c>
      <c r="C806" s="373">
        <v>42941</v>
      </c>
      <c r="D806" s="372">
        <v>133</v>
      </c>
      <c r="F806" s="372">
        <f>IFERROR(INDEX('NonART prices by med'!$D$2:$D$102,MATCH(D806,'NonART prices by med'!$A$2:$A$102,0)),"")</f>
        <v>0.68440000098466458</v>
      </c>
      <c r="G806" s="372">
        <f t="shared" si="25"/>
        <v>0</v>
      </c>
      <c r="H806" s="372">
        <f t="shared" si="26"/>
        <v>1</v>
      </c>
    </row>
    <row r="807" spans="1:8">
      <c r="A807" s="372">
        <v>56</v>
      </c>
      <c r="B807" s="373">
        <v>42941</v>
      </c>
      <c r="C807" s="373">
        <v>43017</v>
      </c>
      <c r="D807" s="372">
        <v>134</v>
      </c>
      <c r="E807" s="372">
        <v>56</v>
      </c>
      <c r="F807" s="372">
        <f>IFERROR(INDEX('NonART prices by med'!$D$2:$D$102,MATCH(D807,'NonART prices by med'!$A$2:$A$102,0)),"")</f>
        <v>0.39033333366993345</v>
      </c>
      <c r="G807" s="372">
        <f t="shared" si="25"/>
        <v>21.858666685516273</v>
      </c>
      <c r="H807" s="372">
        <f t="shared" si="26"/>
        <v>1</v>
      </c>
    </row>
    <row r="808" spans="1:8">
      <c r="A808" s="372">
        <v>56</v>
      </c>
      <c r="B808" s="373">
        <v>42941</v>
      </c>
      <c r="C808" s="373">
        <v>43059</v>
      </c>
      <c r="D808" s="372">
        <v>342</v>
      </c>
      <c r="F808" s="372">
        <f>IFERROR(INDEX('NonART prices by med'!$D$2:$D$102,MATCH(D808,'NonART prices by med'!$A$2:$A$102,0)),"")</f>
        <v>0.26590000152587889</v>
      </c>
      <c r="G808" s="372">
        <f t="shared" si="25"/>
        <v>0</v>
      </c>
      <c r="H808" s="372">
        <f t="shared" si="26"/>
        <v>1</v>
      </c>
    </row>
    <row r="809" spans="1:8">
      <c r="A809" s="372">
        <v>56</v>
      </c>
      <c r="B809" s="373">
        <v>42941</v>
      </c>
      <c r="C809" s="373">
        <v>43080</v>
      </c>
      <c r="D809" s="372">
        <v>342</v>
      </c>
      <c r="E809" s="372">
        <v>28</v>
      </c>
      <c r="F809" s="372">
        <f>IFERROR(INDEX('NonART prices by med'!$D$2:$D$102,MATCH(D809,'NonART prices by med'!$A$2:$A$102,0)),"")</f>
        <v>0.26590000152587889</v>
      </c>
      <c r="G809" s="372">
        <f t="shared" si="25"/>
        <v>7.4452000427246094</v>
      </c>
      <c r="H809" s="372">
        <f t="shared" si="26"/>
        <v>1</v>
      </c>
    </row>
    <row r="810" spans="1:8">
      <c r="A810" s="372">
        <v>57</v>
      </c>
      <c r="B810" s="373">
        <v>42895</v>
      </c>
      <c r="C810" s="373">
        <v>43031</v>
      </c>
      <c r="D810" s="372">
        <v>82</v>
      </c>
      <c r="E810" s="372">
        <v>42</v>
      </c>
      <c r="F810" s="372">
        <f>IFERROR(INDEX('NonART prices by med'!$D$2:$D$102,MATCH(D810,'NonART prices by med'!$A$2:$A$102,0)),"")</f>
        <v>0.77571428571428569</v>
      </c>
      <c r="G810" s="372">
        <f t="shared" si="25"/>
        <v>32.58</v>
      </c>
      <c r="H810" s="372">
        <f t="shared" si="26"/>
        <v>1</v>
      </c>
    </row>
    <row r="811" spans="1:8">
      <c r="A811" s="372">
        <v>58</v>
      </c>
      <c r="B811" s="373">
        <v>42933</v>
      </c>
      <c r="C811" s="373">
        <v>42941</v>
      </c>
      <c r="D811" s="372">
        <v>342</v>
      </c>
      <c r="E811" s="372">
        <v>28</v>
      </c>
      <c r="F811" s="372">
        <f>IFERROR(INDEX('NonART prices by med'!$D$2:$D$102,MATCH(D811,'NonART prices by med'!$A$2:$A$102,0)),"")</f>
        <v>0.26590000152587889</v>
      </c>
      <c r="G811" s="372">
        <f t="shared" si="25"/>
        <v>7.4452000427246094</v>
      </c>
      <c r="H811" s="372">
        <f t="shared" si="26"/>
        <v>1</v>
      </c>
    </row>
    <row r="812" spans="1:8">
      <c r="A812" s="372">
        <v>58</v>
      </c>
      <c r="B812" s="373">
        <v>42933</v>
      </c>
      <c r="C812" s="373">
        <v>43025</v>
      </c>
      <c r="D812" s="372">
        <v>35</v>
      </c>
      <c r="E812" s="372">
        <v>28</v>
      </c>
      <c r="F812" s="372">
        <f>IFERROR(INDEX('NonART prices by med'!$D$2:$D$102,MATCH(D812,'NonART prices by med'!$A$2:$A$102,0)),"")</f>
        <v>0.60205838048342708</v>
      </c>
      <c r="G812" s="372">
        <f t="shared" si="25"/>
        <v>16.857634653535957</v>
      </c>
      <c r="H812" s="372">
        <f t="shared" si="26"/>
        <v>1</v>
      </c>
    </row>
    <row r="813" spans="1:8">
      <c r="A813" s="372">
        <v>58</v>
      </c>
      <c r="B813" s="373">
        <v>42933</v>
      </c>
      <c r="C813" s="373">
        <v>43053</v>
      </c>
      <c r="D813" s="372">
        <v>342</v>
      </c>
      <c r="E813" s="372">
        <v>56</v>
      </c>
      <c r="F813" s="372">
        <f>IFERROR(INDEX('NonART prices by med'!$D$2:$D$102,MATCH(D813,'NonART prices by med'!$A$2:$A$102,0)),"")</f>
        <v>0.26590000152587889</v>
      </c>
      <c r="G813" s="372">
        <f t="shared" si="25"/>
        <v>14.890400085449219</v>
      </c>
      <c r="H813" s="372">
        <f t="shared" si="26"/>
        <v>1</v>
      </c>
    </row>
    <row r="814" spans="1:8">
      <c r="A814" s="372">
        <v>59</v>
      </c>
      <c r="B814" s="373">
        <v>42941</v>
      </c>
      <c r="C814" s="373">
        <v>42941</v>
      </c>
      <c r="D814" s="372">
        <v>246</v>
      </c>
      <c r="E814" s="372">
        <v>28</v>
      </c>
      <c r="F814" s="372">
        <f>IFERROR(INDEX('NonART prices by med'!$D$2:$D$102,MATCH(D814,'NonART prices by med'!$A$2:$A$102,0)),"")</f>
        <v>0.30239999964781011</v>
      </c>
      <c r="G814" s="372">
        <f t="shared" si="25"/>
        <v>8.467199990138683</v>
      </c>
      <c r="H814" s="372">
        <f t="shared" si="26"/>
        <v>1</v>
      </c>
    </row>
    <row r="815" spans="1:8">
      <c r="A815" s="372">
        <v>59</v>
      </c>
      <c r="B815" s="373">
        <v>42941</v>
      </c>
      <c r="C815" s="373">
        <v>42970</v>
      </c>
      <c r="D815" s="372">
        <v>411</v>
      </c>
      <c r="E815" s="372">
        <v>56</v>
      </c>
      <c r="F815" s="372">
        <f>IFERROR(INDEX('NonART prices by med'!$D$2:$D$102,MATCH(D815,'NonART prices by med'!$A$2:$A$102,0)),"")</f>
        <v>0.10354499389265867</v>
      </c>
      <c r="G815" s="372">
        <f t="shared" si="25"/>
        <v>5.7985196579888854</v>
      </c>
      <c r="H815" s="372">
        <f t="shared" si="26"/>
        <v>1</v>
      </c>
    </row>
    <row r="816" spans="1:8">
      <c r="A816" s="372">
        <v>59</v>
      </c>
      <c r="B816" s="373">
        <v>42941</v>
      </c>
      <c r="C816" s="373">
        <v>43026</v>
      </c>
      <c r="D816" s="372">
        <v>411</v>
      </c>
      <c r="E816" s="372">
        <v>28</v>
      </c>
      <c r="F816" s="372">
        <f>IFERROR(INDEX('NonART prices by med'!$D$2:$D$102,MATCH(D816,'NonART prices by med'!$A$2:$A$102,0)),"")</f>
        <v>0.10354499389265867</v>
      </c>
      <c r="G816" s="372">
        <f t="shared" si="25"/>
        <v>2.8992598289944427</v>
      </c>
      <c r="H816" s="372">
        <f t="shared" si="26"/>
        <v>1</v>
      </c>
    </row>
    <row r="817" spans="1:8">
      <c r="A817" s="372">
        <v>59</v>
      </c>
      <c r="B817" s="373">
        <v>42941</v>
      </c>
      <c r="C817" s="373">
        <v>43054</v>
      </c>
      <c r="D817" s="372">
        <v>35</v>
      </c>
      <c r="E817" s="372">
        <v>56</v>
      </c>
      <c r="F817" s="372">
        <f>IFERROR(INDEX('NonART prices by med'!$D$2:$D$102,MATCH(D817,'NonART prices by med'!$A$2:$A$102,0)),"")</f>
        <v>0.60205838048342708</v>
      </c>
      <c r="G817" s="372">
        <f t="shared" si="25"/>
        <v>33.715269307071914</v>
      </c>
      <c r="H817" s="372">
        <f t="shared" si="26"/>
        <v>1</v>
      </c>
    </row>
    <row r="818" spans="1:8">
      <c r="A818" s="372">
        <v>59</v>
      </c>
      <c r="B818" s="373">
        <v>42941</v>
      </c>
      <c r="C818" s="373">
        <v>43306</v>
      </c>
      <c r="D818" s="372">
        <v>411</v>
      </c>
      <c r="E818" s="372">
        <v>28</v>
      </c>
      <c r="F818" s="372">
        <f>IFERROR(INDEX('NonART prices by med'!$D$2:$D$102,MATCH(D818,'NonART prices by med'!$A$2:$A$102,0)),"")</f>
        <v>0.10354499389265867</v>
      </c>
      <c r="G818" s="372">
        <f t="shared" si="25"/>
        <v>2.8992598289944427</v>
      </c>
      <c r="H818" s="372">
        <f t="shared" si="26"/>
        <v>1</v>
      </c>
    </row>
    <row r="819" spans="1:8">
      <c r="A819" s="372">
        <v>59</v>
      </c>
      <c r="B819" s="373">
        <v>42941</v>
      </c>
      <c r="C819" s="373">
        <v>43361</v>
      </c>
      <c r="D819" s="372">
        <v>318</v>
      </c>
      <c r="E819" s="372">
        <v>20</v>
      </c>
      <c r="F819" s="372">
        <f>IFERROR(INDEX('NonART prices by med'!$D$2:$D$102,MATCH(D819,'NonART prices by med'!$A$2:$A$102,0)),"")</f>
        <v>0.19286066077210379</v>
      </c>
      <c r="G819" s="372">
        <f t="shared" si="25"/>
        <v>3.8572132154420755</v>
      </c>
      <c r="H819" s="372">
        <f t="shared" si="26"/>
        <v>0</v>
      </c>
    </row>
    <row r="820" spans="1:8">
      <c r="A820" s="372">
        <v>60</v>
      </c>
      <c r="B820" s="373">
        <v>42926</v>
      </c>
      <c r="C820" s="373">
        <v>42941</v>
      </c>
      <c r="D820" s="372">
        <v>1</v>
      </c>
      <c r="E820" s="372">
        <v>1</v>
      </c>
      <c r="F820" s="372" t="str">
        <f>IFERROR(INDEX('NonART prices by med'!$D$2:$D$102,MATCH(D820,'NonART prices by med'!$A$2:$A$102,0)),"")</f>
        <v/>
      </c>
      <c r="G820" s="372" t="str">
        <f t="shared" si="25"/>
        <v/>
      </c>
      <c r="H820" s="372">
        <f t="shared" si="26"/>
        <v>1</v>
      </c>
    </row>
    <row r="821" spans="1:8">
      <c r="A821" s="372">
        <v>60</v>
      </c>
      <c r="B821" s="373">
        <v>42926</v>
      </c>
      <c r="C821" s="373">
        <v>42969</v>
      </c>
      <c r="D821" s="372">
        <v>119</v>
      </c>
      <c r="E821" s="372">
        <v>2</v>
      </c>
      <c r="F821" s="372">
        <f>IFERROR(INDEX('NonART prices by med'!$D$2:$D$102,MATCH(D821,'NonART prices by med'!$A$2:$A$102,0)),"")</f>
        <v>4.8429999999999991</v>
      </c>
      <c r="G821" s="372">
        <f t="shared" si="25"/>
        <v>9.6859999999999982</v>
      </c>
      <c r="H821" s="372">
        <f t="shared" si="26"/>
        <v>1</v>
      </c>
    </row>
    <row r="822" spans="1:8">
      <c r="A822" s="372">
        <v>60</v>
      </c>
      <c r="B822" s="373">
        <v>42926</v>
      </c>
      <c r="C822" s="373">
        <v>43024</v>
      </c>
      <c r="D822" s="372">
        <v>46</v>
      </c>
      <c r="E822" s="372">
        <v>84</v>
      </c>
      <c r="F822" s="372">
        <f>IFERROR(INDEX('NonART prices by med'!$D$2:$D$102,MATCH(D822,'NonART prices by med'!$A$2:$A$102,0)),"")</f>
        <v>0.24251214563675313</v>
      </c>
      <c r="G822" s="372">
        <f t="shared" si="25"/>
        <v>20.371020233487265</v>
      </c>
      <c r="H822" s="372">
        <f t="shared" si="26"/>
        <v>1</v>
      </c>
    </row>
    <row r="823" spans="1:8">
      <c r="A823" s="372">
        <v>60</v>
      </c>
      <c r="B823" s="373">
        <v>42926</v>
      </c>
      <c r="C823" s="373">
        <v>43052</v>
      </c>
      <c r="D823" s="372">
        <v>1</v>
      </c>
      <c r="E823" s="372">
        <v>20</v>
      </c>
      <c r="F823" s="372" t="str">
        <f>IFERROR(INDEX('NonART prices by med'!$D$2:$D$102,MATCH(D823,'NonART prices by med'!$A$2:$A$102,0)),"")</f>
        <v/>
      </c>
      <c r="G823" s="372" t="str">
        <f t="shared" si="25"/>
        <v/>
      </c>
      <c r="H823" s="372">
        <f t="shared" si="26"/>
        <v>1</v>
      </c>
    </row>
    <row r="824" spans="1:8">
      <c r="A824" s="372">
        <v>60</v>
      </c>
      <c r="B824" s="373">
        <v>42926</v>
      </c>
      <c r="C824" s="373">
        <v>43066</v>
      </c>
      <c r="D824" s="372">
        <v>24</v>
      </c>
      <c r="F824" s="372">
        <f>IFERROR(INDEX('NonART prices by med'!$D$2:$D$102,MATCH(D824,'NonART prices by med'!$A$2:$A$102,0)),"")</f>
        <v>0.1467857142857143</v>
      </c>
      <c r="G824" s="372">
        <f t="shared" si="25"/>
        <v>0</v>
      </c>
      <c r="H824" s="372">
        <f t="shared" si="26"/>
        <v>1</v>
      </c>
    </row>
    <row r="825" spans="1:8">
      <c r="A825" s="372">
        <v>60</v>
      </c>
      <c r="B825" s="373">
        <v>42926</v>
      </c>
      <c r="C825" s="373">
        <v>43087</v>
      </c>
      <c r="D825" s="372">
        <v>1</v>
      </c>
      <c r="E825" s="372">
        <v>20</v>
      </c>
      <c r="F825" s="372" t="str">
        <f>IFERROR(INDEX('NonART prices by med'!$D$2:$D$102,MATCH(D825,'NonART prices by med'!$A$2:$A$102,0)),"")</f>
        <v/>
      </c>
      <c r="G825" s="372" t="str">
        <f t="shared" si="25"/>
        <v/>
      </c>
      <c r="H825" s="372">
        <f t="shared" si="26"/>
        <v>1</v>
      </c>
    </row>
    <row r="826" spans="1:8">
      <c r="A826" s="372">
        <v>60</v>
      </c>
      <c r="B826" s="373">
        <v>42926</v>
      </c>
      <c r="C826" s="373">
        <v>43115</v>
      </c>
      <c r="D826" s="372">
        <v>24</v>
      </c>
      <c r="E826" s="372">
        <v>28</v>
      </c>
      <c r="F826" s="372">
        <f>IFERROR(INDEX('NonART prices by med'!$D$2:$D$102,MATCH(D826,'NonART prices by med'!$A$2:$A$102,0)),"")</f>
        <v>0.1467857142857143</v>
      </c>
      <c r="G826" s="372">
        <f t="shared" si="25"/>
        <v>4.1100000000000003</v>
      </c>
      <c r="H826" s="372">
        <f t="shared" si="26"/>
        <v>1</v>
      </c>
    </row>
    <row r="827" spans="1:8">
      <c r="A827" s="372">
        <v>60</v>
      </c>
      <c r="B827" s="373">
        <v>42926</v>
      </c>
      <c r="C827" s="373">
        <v>43144</v>
      </c>
      <c r="D827" s="372">
        <v>24</v>
      </c>
      <c r="E827" s="372">
        <v>28</v>
      </c>
      <c r="F827" s="372">
        <f>IFERROR(INDEX('NonART prices by med'!$D$2:$D$102,MATCH(D827,'NonART prices by med'!$A$2:$A$102,0)),"")</f>
        <v>0.1467857142857143</v>
      </c>
      <c r="G827" s="372">
        <f t="shared" si="25"/>
        <v>4.1100000000000003</v>
      </c>
      <c r="H827" s="372">
        <f t="shared" si="26"/>
        <v>1</v>
      </c>
    </row>
    <row r="828" spans="1:8">
      <c r="A828" s="372">
        <v>60</v>
      </c>
      <c r="B828" s="373">
        <v>42926</v>
      </c>
      <c r="C828" s="373">
        <v>43171</v>
      </c>
      <c r="D828" s="372">
        <v>13</v>
      </c>
      <c r="E828" s="372">
        <v>28</v>
      </c>
      <c r="F828" s="372">
        <f>IFERROR(INDEX('NonART prices by med'!$D$2:$D$102,MATCH(D828,'NonART prices by med'!$A$2:$A$102,0)),"")</f>
        <v>0.15256434030246604</v>
      </c>
      <c r="G828" s="372">
        <f t="shared" si="25"/>
        <v>4.2718015284690489</v>
      </c>
      <c r="H828" s="372">
        <f t="shared" si="26"/>
        <v>1</v>
      </c>
    </row>
    <row r="829" spans="1:8">
      <c r="A829" s="372">
        <v>60</v>
      </c>
      <c r="B829" s="373">
        <v>42926</v>
      </c>
      <c r="C829" s="373">
        <v>43201</v>
      </c>
      <c r="D829" s="372">
        <v>25</v>
      </c>
      <c r="F829" s="372">
        <f>IFERROR(INDEX('NonART prices by med'!$D$2:$D$102,MATCH(D829,'NonART prices by med'!$A$2:$A$102,0)),"")</f>
        <v>0.14207142845452692</v>
      </c>
      <c r="G829" s="372">
        <f t="shared" si="25"/>
        <v>0</v>
      </c>
      <c r="H829" s="372">
        <f t="shared" si="26"/>
        <v>1</v>
      </c>
    </row>
    <row r="830" spans="1:8">
      <c r="A830" s="372">
        <v>60</v>
      </c>
      <c r="B830" s="373">
        <v>42926</v>
      </c>
      <c r="C830" s="373">
        <v>43285</v>
      </c>
      <c r="D830" s="372">
        <v>24</v>
      </c>
      <c r="E830" s="372">
        <v>28</v>
      </c>
      <c r="F830" s="372">
        <f>IFERROR(INDEX('NonART prices by med'!$D$2:$D$102,MATCH(D830,'NonART prices by med'!$A$2:$A$102,0)),"")</f>
        <v>0.1467857142857143</v>
      </c>
      <c r="G830" s="372">
        <f t="shared" si="25"/>
        <v>4.1100000000000003</v>
      </c>
      <c r="H830" s="372">
        <f t="shared" si="26"/>
        <v>1</v>
      </c>
    </row>
    <row r="831" spans="1:8">
      <c r="A831" s="372">
        <v>60</v>
      </c>
      <c r="B831" s="373">
        <v>42926</v>
      </c>
      <c r="C831" s="373">
        <v>43313</v>
      </c>
      <c r="D831" s="372">
        <v>24</v>
      </c>
      <c r="E831" s="372">
        <v>56</v>
      </c>
      <c r="F831" s="372">
        <f>IFERROR(INDEX('NonART prices by med'!$D$2:$D$102,MATCH(D831,'NonART prices by med'!$A$2:$A$102,0)),"")</f>
        <v>0.1467857142857143</v>
      </c>
      <c r="G831" s="372">
        <f t="shared" si="25"/>
        <v>8.2200000000000006</v>
      </c>
      <c r="H831" s="372">
        <f t="shared" si="26"/>
        <v>0</v>
      </c>
    </row>
    <row r="832" spans="1:8">
      <c r="A832" s="372">
        <v>60</v>
      </c>
      <c r="B832" s="373">
        <v>42926</v>
      </c>
      <c r="C832" s="373">
        <v>43369</v>
      </c>
      <c r="D832" s="372">
        <v>13</v>
      </c>
      <c r="E832" s="372">
        <v>28</v>
      </c>
      <c r="F832" s="372">
        <f>IFERROR(INDEX('NonART prices by med'!$D$2:$D$102,MATCH(D832,'NonART prices by med'!$A$2:$A$102,0)),"")</f>
        <v>0.15256434030246604</v>
      </c>
      <c r="G832" s="372">
        <f t="shared" si="25"/>
        <v>4.2718015284690489</v>
      </c>
      <c r="H832" s="372">
        <f t="shared" si="26"/>
        <v>0</v>
      </c>
    </row>
    <row r="833" spans="1:8">
      <c r="A833" s="372">
        <v>60</v>
      </c>
      <c r="B833" s="373">
        <v>42926</v>
      </c>
      <c r="C833" s="373">
        <v>43397</v>
      </c>
      <c r="D833" s="372">
        <v>109</v>
      </c>
      <c r="E833" s="372">
        <v>28</v>
      </c>
      <c r="F833" s="372">
        <f>IFERROR(INDEX('NonART prices by med'!$D$2:$D$102,MATCH(D833,'NonART prices by med'!$A$2:$A$102,0)),"")</f>
        <v>0.29699636168187971</v>
      </c>
      <c r="G833" s="372">
        <f t="shared" si="25"/>
        <v>8.3158981270926322</v>
      </c>
      <c r="H833" s="372">
        <f t="shared" si="26"/>
        <v>0</v>
      </c>
    </row>
    <row r="834" spans="1:8">
      <c r="A834" s="372">
        <v>61</v>
      </c>
      <c r="B834" s="373">
        <v>42907</v>
      </c>
      <c r="C834" s="373">
        <v>42907</v>
      </c>
      <c r="D834" s="372">
        <v>411</v>
      </c>
      <c r="E834" s="372">
        <v>28</v>
      </c>
      <c r="F834" s="372">
        <f>IFERROR(INDEX('NonART prices by med'!$D$2:$D$102,MATCH(D834,'NonART prices by med'!$A$2:$A$102,0)),"")</f>
        <v>0.10354499389265867</v>
      </c>
      <c r="G834" s="372">
        <f t="shared" si="25"/>
        <v>2.8992598289944427</v>
      </c>
      <c r="H834" s="372">
        <f t="shared" si="26"/>
        <v>1</v>
      </c>
    </row>
    <row r="835" spans="1:8">
      <c r="A835" s="372">
        <v>61</v>
      </c>
      <c r="B835" s="373">
        <v>42907</v>
      </c>
      <c r="C835" s="373">
        <v>42934</v>
      </c>
      <c r="D835" s="372">
        <v>35</v>
      </c>
      <c r="E835" s="372">
        <v>28</v>
      </c>
      <c r="F835" s="372">
        <f>IFERROR(INDEX('NonART prices by med'!$D$2:$D$102,MATCH(D835,'NonART prices by med'!$A$2:$A$102,0)),"")</f>
        <v>0.60205838048342708</v>
      </c>
      <c r="G835" s="372">
        <f t="shared" ref="G835:G898" si="27">IFERROR(E835*F835,"")</f>
        <v>16.857634653535957</v>
      </c>
      <c r="H835" s="372">
        <f t="shared" si="26"/>
        <v>1</v>
      </c>
    </row>
    <row r="836" spans="1:8">
      <c r="A836" s="372">
        <v>61</v>
      </c>
      <c r="B836" s="373">
        <v>42907</v>
      </c>
      <c r="C836" s="373">
        <v>42991</v>
      </c>
      <c r="D836" s="372">
        <v>411</v>
      </c>
      <c r="E836" s="372">
        <v>28</v>
      </c>
      <c r="F836" s="372">
        <f>IFERROR(INDEX('NonART prices by med'!$D$2:$D$102,MATCH(D836,'NonART prices by med'!$A$2:$A$102,0)),"")</f>
        <v>0.10354499389265867</v>
      </c>
      <c r="G836" s="372">
        <f t="shared" si="27"/>
        <v>2.8992598289944427</v>
      </c>
      <c r="H836" s="372">
        <f t="shared" ref="H836:H899" si="28">IF(C836-B836&lt;=365,1,0)</f>
        <v>1</v>
      </c>
    </row>
    <row r="837" spans="1:8">
      <c r="A837" s="372">
        <v>61</v>
      </c>
      <c r="B837" s="373">
        <v>42907</v>
      </c>
      <c r="C837" s="373">
        <v>43024</v>
      </c>
      <c r="D837" s="372">
        <v>35</v>
      </c>
      <c r="E837" s="372">
        <v>28</v>
      </c>
      <c r="F837" s="372">
        <f>IFERROR(INDEX('NonART prices by med'!$D$2:$D$102,MATCH(D837,'NonART prices by med'!$A$2:$A$102,0)),"")</f>
        <v>0.60205838048342708</v>
      </c>
      <c r="G837" s="372">
        <f t="shared" si="27"/>
        <v>16.857634653535957</v>
      </c>
      <c r="H837" s="372">
        <f t="shared" si="28"/>
        <v>1</v>
      </c>
    </row>
    <row r="838" spans="1:8">
      <c r="A838" s="372">
        <v>61</v>
      </c>
      <c r="B838" s="373">
        <v>42907</v>
      </c>
      <c r="C838" s="373">
        <v>43083</v>
      </c>
      <c r="D838" s="372">
        <v>35</v>
      </c>
      <c r="F838" s="372">
        <f>IFERROR(INDEX('NonART prices by med'!$D$2:$D$102,MATCH(D838,'NonART prices by med'!$A$2:$A$102,0)),"")</f>
        <v>0.60205838048342708</v>
      </c>
      <c r="G838" s="372">
        <f t="shared" si="27"/>
        <v>0</v>
      </c>
      <c r="H838" s="372">
        <f t="shared" si="28"/>
        <v>1</v>
      </c>
    </row>
    <row r="839" spans="1:8">
      <c r="A839" s="372">
        <v>62</v>
      </c>
      <c r="B839" s="373">
        <v>42936</v>
      </c>
      <c r="C839" s="373">
        <v>42936</v>
      </c>
      <c r="D839" s="372">
        <v>215</v>
      </c>
      <c r="E839" s="372">
        <v>28</v>
      </c>
      <c r="F839" s="372">
        <f>IFERROR(INDEX('NonART prices by med'!$D$2:$D$102,MATCH(D839,'NonART prices by med'!$A$2:$A$102,0)),"")</f>
        <v>0.27607142857142858</v>
      </c>
      <c r="G839" s="372">
        <f t="shared" si="27"/>
        <v>7.73</v>
      </c>
      <c r="H839" s="372">
        <f t="shared" si="28"/>
        <v>1</v>
      </c>
    </row>
    <row r="840" spans="1:8">
      <c r="A840" s="372">
        <v>62</v>
      </c>
      <c r="B840" s="373">
        <v>42936</v>
      </c>
      <c r="C840" s="373">
        <v>42951</v>
      </c>
      <c r="D840" s="372">
        <v>215</v>
      </c>
      <c r="E840" s="372">
        <v>28</v>
      </c>
      <c r="F840" s="372">
        <f>IFERROR(INDEX('NonART prices by med'!$D$2:$D$102,MATCH(D840,'NonART prices by med'!$A$2:$A$102,0)),"")</f>
        <v>0.27607142857142858</v>
      </c>
      <c r="G840" s="372">
        <f t="shared" si="27"/>
        <v>7.73</v>
      </c>
      <c r="H840" s="372">
        <f t="shared" si="28"/>
        <v>1</v>
      </c>
    </row>
    <row r="841" spans="1:8">
      <c r="A841" s="372">
        <v>62</v>
      </c>
      <c r="B841" s="373">
        <v>42936</v>
      </c>
      <c r="C841" s="373">
        <v>43061</v>
      </c>
      <c r="D841" s="372">
        <v>411</v>
      </c>
      <c r="E841" s="372">
        <v>56</v>
      </c>
      <c r="F841" s="372">
        <f>IFERROR(INDEX('NonART prices by med'!$D$2:$D$102,MATCH(D841,'NonART prices by med'!$A$2:$A$102,0)),"")</f>
        <v>0.10354499389265867</v>
      </c>
      <c r="G841" s="372">
        <f t="shared" si="27"/>
        <v>5.7985196579888854</v>
      </c>
      <c r="H841" s="372">
        <f t="shared" si="28"/>
        <v>1</v>
      </c>
    </row>
    <row r="842" spans="1:8">
      <c r="A842" s="372">
        <v>62</v>
      </c>
      <c r="B842" s="373">
        <v>42936</v>
      </c>
      <c r="C842" s="373">
        <v>43103</v>
      </c>
      <c r="D842" s="372">
        <v>132</v>
      </c>
      <c r="F842" s="372">
        <f>IFERROR(INDEX('NonART prices by med'!$D$2:$D$102,MATCH(D842,'NonART prices by med'!$A$2:$A$102,0)),"")</f>
        <v>7.0309523809523822E-2</v>
      </c>
      <c r="G842" s="372">
        <f t="shared" si="27"/>
        <v>0</v>
      </c>
      <c r="H842" s="372">
        <f t="shared" si="28"/>
        <v>1</v>
      </c>
    </row>
    <row r="843" spans="1:8">
      <c r="A843" s="372">
        <v>63</v>
      </c>
      <c r="B843" s="373">
        <v>42935</v>
      </c>
      <c r="C843" s="373">
        <v>42936</v>
      </c>
      <c r="D843" s="372">
        <v>215</v>
      </c>
      <c r="E843" s="372">
        <v>28</v>
      </c>
      <c r="F843" s="372">
        <f>IFERROR(INDEX('NonART prices by med'!$D$2:$D$102,MATCH(D843,'NonART prices by med'!$A$2:$A$102,0)),"")</f>
        <v>0.27607142857142858</v>
      </c>
      <c r="G843" s="372">
        <f t="shared" si="27"/>
        <v>7.73</v>
      </c>
      <c r="H843" s="372">
        <f t="shared" si="28"/>
        <v>1</v>
      </c>
    </row>
    <row r="844" spans="1:8">
      <c r="A844" s="372">
        <v>63</v>
      </c>
      <c r="B844" s="373">
        <v>42935</v>
      </c>
      <c r="C844" s="373">
        <v>42951</v>
      </c>
      <c r="D844" s="372">
        <v>342</v>
      </c>
      <c r="E844" s="372">
        <v>28</v>
      </c>
      <c r="F844" s="372">
        <f>IFERROR(INDEX('NonART prices by med'!$D$2:$D$102,MATCH(D844,'NonART prices by med'!$A$2:$A$102,0)),"")</f>
        <v>0.26590000152587889</v>
      </c>
      <c r="G844" s="372">
        <f t="shared" si="27"/>
        <v>7.4452000427246094</v>
      </c>
      <c r="H844" s="372">
        <f t="shared" si="28"/>
        <v>1</v>
      </c>
    </row>
    <row r="845" spans="1:8">
      <c r="A845" s="372">
        <v>63</v>
      </c>
      <c r="B845" s="373">
        <v>42935</v>
      </c>
      <c r="C845" s="373">
        <v>42986</v>
      </c>
      <c r="D845" s="372">
        <v>342</v>
      </c>
      <c r="E845" s="372">
        <v>28</v>
      </c>
      <c r="F845" s="372">
        <f>IFERROR(INDEX('NonART prices by med'!$D$2:$D$102,MATCH(D845,'NonART prices by med'!$A$2:$A$102,0)),"")</f>
        <v>0.26590000152587889</v>
      </c>
      <c r="G845" s="372">
        <f t="shared" si="27"/>
        <v>7.4452000427246094</v>
      </c>
      <c r="H845" s="372">
        <f t="shared" si="28"/>
        <v>1</v>
      </c>
    </row>
    <row r="846" spans="1:8">
      <c r="A846" s="372">
        <v>63</v>
      </c>
      <c r="B846" s="373">
        <v>42935</v>
      </c>
      <c r="C846" s="373">
        <v>43014</v>
      </c>
      <c r="D846" s="372">
        <v>119</v>
      </c>
      <c r="E846" s="372">
        <v>2</v>
      </c>
      <c r="F846" s="372">
        <f>IFERROR(INDEX('NonART prices by med'!$D$2:$D$102,MATCH(D846,'NonART prices by med'!$A$2:$A$102,0)),"")</f>
        <v>4.8429999999999991</v>
      </c>
      <c r="G846" s="372">
        <f t="shared" si="27"/>
        <v>9.6859999999999982</v>
      </c>
      <c r="H846" s="372">
        <f t="shared" si="28"/>
        <v>1</v>
      </c>
    </row>
    <row r="847" spans="1:8">
      <c r="A847" s="372">
        <v>63</v>
      </c>
      <c r="B847" s="373">
        <v>42935</v>
      </c>
      <c r="C847" s="373">
        <v>43041</v>
      </c>
      <c r="D847" s="372">
        <v>134</v>
      </c>
      <c r="F847" s="372">
        <f>IFERROR(INDEX('NonART prices by med'!$D$2:$D$102,MATCH(D847,'NonART prices by med'!$A$2:$A$102,0)),"")</f>
        <v>0.39033333366993345</v>
      </c>
      <c r="G847" s="372">
        <f t="shared" si="27"/>
        <v>0</v>
      </c>
      <c r="H847" s="372">
        <f t="shared" si="28"/>
        <v>1</v>
      </c>
    </row>
    <row r="848" spans="1:8">
      <c r="A848" s="372">
        <v>63</v>
      </c>
      <c r="B848" s="373">
        <v>42935</v>
      </c>
      <c r="C848" s="373">
        <v>43075</v>
      </c>
      <c r="D848" s="372">
        <v>342</v>
      </c>
      <c r="E848" s="372">
        <v>28</v>
      </c>
      <c r="F848" s="372">
        <f>IFERROR(INDEX('NonART prices by med'!$D$2:$D$102,MATCH(D848,'NonART prices by med'!$A$2:$A$102,0)),"")</f>
        <v>0.26590000152587889</v>
      </c>
      <c r="G848" s="372">
        <f t="shared" si="27"/>
        <v>7.4452000427246094</v>
      </c>
      <c r="H848" s="372">
        <f t="shared" si="28"/>
        <v>1</v>
      </c>
    </row>
    <row r="849" spans="1:8">
      <c r="A849" s="372">
        <v>63</v>
      </c>
      <c r="B849" s="373">
        <v>42935</v>
      </c>
      <c r="C849" s="373">
        <v>43115</v>
      </c>
      <c r="D849" s="372">
        <v>342</v>
      </c>
      <c r="E849" s="372">
        <v>28</v>
      </c>
      <c r="F849" s="372">
        <f>IFERROR(INDEX('NonART prices by med'!$D$2:$D$102,MATCH(D849,'NonART prices by med'!$A$2:$A$102,0)),"")</f>
        <v>0.26590000152587889</v>
      </c>
      <c r="G849" s="372">
        <f t="shared" si="27"/>
        <v>7.4452000427246094</v>
      </c>
      <c r="H849" s="372">
        <f t="shared" si="28"/>
        <v>1</v>
      </c>
    </row>
    <row r="850" spans="1:8">
      <c r="A850" s="372">
        <v>64</v>
      </c>
      <c r="B850" s="373">
        <v>42936</v>
      </c>
      <c r="C850" s="373">
        <v>42936</v>
      </c>
      <c r="D850" s="372">
        <v>215</v>
      </c>
      <c r="E850" s="372">
        <v>28</v>
      </c>
      <c r="F850" s="372">
        <f>IFERROR(INDEX('NonART prices by med'!$D$2:$D$102,MATCH(D850,'NonART prices by med'!$A$2:$A$102,0)),"")</f>
        <v>0.27607142857142858</v>
      </c>
      <c r="G850" s="372">
        <f t="shared" si="27"/>
        <v>7.73</v>
      </c>
      <c r="H850" s="372">
        <f t="shared" si="28"/>
        <v>1</v>
      </c>
    </row>
    <row r="851" spans="1:8">
      <c r="A851" s="372">
        <v>64</v>
      </c>
      <c r="B851" s="373">
        <v>42936</v>
      </c>
      <c r="C851" s="373">
        <v>42951</v>
      </c>
      <c r="D851" s="372">
        <v>411</v>
      </c>
      <c r="E851" s="372">
        <v>56</v>
      </c>
      <c r="F851" s="372">
        <f>IFERROR(INDEX('NonART prices by med'!$D$2:$D$102,MATCH(D851,'NonART prices by med'!$A$2:$A$102,0)),"")</f>
        <v>0.10354499389265867</v>
      </c>
      <c r="G851" s="372">
        <f t="shared" si="27"/>
        <v>5.7985196579888854</v>
      </c>
      <c r="H851" s="372">
        <f t="shared" si="28"/>
        <v>1</v>
      </c>
    </row>
    <row r="852" spans="1:8">
      <c r="A852" s="372">
        <v>64</v>
      </c>
      <c r="B852" s="373">
        <v>42936</v>
      </c>
      <c r="C852" s="373">
        <v>43006</v>
      </c>
      <c r="D852" s="372">
        <v>411</v>
      </c>
      <c r="E852" s="372">
        <v>28</v>
      </c>
      <c r="F852" s="372">
        <f>IFERROR(INDEX('NonART prices by med'!$D$2:$D$102,MATCH(D852,'NonART prices by med'!$A$2:$A$102,0)),"")</f>
        <v>0.10354499389265867</v>
      </c>
      <c r="G852" s="372">
        <f t="shared" si="27"/>
        <v>2.8992598289944427</v>
      </c>
      <c r="H852" s="372">
        <f t="shared" si="28"/>
        <v>1</v>
      </c>
    </row>
    <row r="853" spans="1:8">
      <c r="A853" s="372">
        <v>65</v>
      </c>
      <c r="B853" s="373">
        <v>42936</v>
      </c>
      <c r="C853" s="373">
        <v>42936</v>
      </c>
      <c r="D853" s="372">
        <v>215</v>
      </c>
      <c r="E853" s="372">
        <v>28</v>
      </c>
      <c r="F853" s="372">
        <f>IFERROR(INDEX('NonART prices by med'!$D$2:$D$102,MATCH(D853,'NonART prices by med'!$A$2:$A$102,0)),"")</f>
        <v>0.27607142857142858</v>
      </c>
      <c r="G853" s="372">
        <f t="shared" si="27"/>
        <v>7.73</v>
      </c>
      <c r="H853" s="372">
        <f t="shared" si="28"/>
        <v>1</v>
      </c>
    </row>
    <row r="854" spans="1:8">
      <c r="A854" s="372">
        <v>65</v>
      </c>
      <c r="B854" s="373">
        <v>42936</v>
      </c>
      <c r="C854" s="373">
        <v>42951</v>
      </c>
      <c r="D854" s="372">
        <v>215</v>
      </c>
      <c r="F854" s="372">
        <f>IFERROR(INDEX('NonART prices by med'!$D$2:$D$102,MATCH(D854,'NonART prices by med'!$A$2:$A$102,0)),"")</f>
        <v>0.27607142857142858</v>
      </c>
      <c r="G854" s="372">
        <f t="shared" si="27"/>
        <v>0</v>
      </c>
      <c r="H854" s="372">
        <f t="shared" si="28"/>
        <v>1</v>
      </c>
    </row>
    <row r="855" spans="1:8">
      <c r="A855" s="372">
        <v>65</v>
      </c>
      <c r="B855" s="373">
        <v>42936</v>
      </c>
      <c r="C855" s="373">
        <v>43006</v>
      </c>
      <c r="D855" s="372">
        <v>342</v>
      </c>
      <c r="E855" s="372">
        <v>56</v>
      </c>
      <c r="F855" s="372">
        <f>IFERROR(INDEX('NonART prices by med'!$D$2:$D$102,MATCH(D855,'NonART prices by med'!$A$2:$A$102,0)),"")</f>
        <v>0.26590000152587889</v>
      </c>
      <c r="G855" s="372">
        <f t="shared" si="27"/>
        <v>14.890400085449219</v>
      </c>
      <c r="H855" s="372">
        <f t="shared" si="28"/>
        <v>1</v>
      </c>
    </row>
    <row r="856" spans="1:8">
      <c r="A856" s="372">
        <v>65</v>
      </c>
      <c r="B856" s="373">
        <v>42936</v>
      </c>
      <c r="C856" s="373">
        <v>43061</v>
      </c>
      <c r="D856" s="372">
        <v>342</v>
      </c>
      <c r="E856" s="372">
        <v>56</v>
      </c>
      <c r="F856" s="372">
        <f>IFERROR(INDEX('NonART prices by med'!$D$2:$D$102,MATCH(D856,'NonART prices by med'!$A$2:$A$102,0)),"")</f>
        <v>0.26590000152587889</v>
      </c>
      <c r="G856" s="372">
        <f t="shared" si="27"/>
        <v>14.890400085449219</v>
      </c>
      <c r="H856" s="372">
        <f t="shared" si="28"/>
        <v>1</v>
      </c>
    </row>
    <row r="857" spans="1:8">
      <c r="A857" s="372">
        <v>65</v>
      </c>
      <c r="B857" s="373">
        <v>42936</v>
      </c>
      <c r="C857" s="373">
        <v>43103</v>
      </c>
      <c r="D857" s="372">
        <v>408</v>
      </c>
      <c r="F857" s="372">
        <f>IFERROR(INDEX('NonART prices by med'!$D$2:$D$102,MATCH(D857,'NonART prices by med'!$A$2:$A$102,0)),"")</f>
        <v>5.5E-2</v>
      </c>
      <c r="G857" s="372">
        <f t="shared" si="27"/>
        <v>0</v>
      </c>
      <c r="H857" s="372">
        <f t="shared" si="28"/>
        <v>1</v>
      </c>
    </row>
    <row r="858" spans="1:8">
      <c r="A858" s="372">
        <v>65</v>
      </c>
      <c r="B858" s="373">
        <v>42936</v>
      </c>
      <c r="C858" s="373">
        <v>43201</v>
      </c>
      <c r="D858" s="372">
        <v>1</v>
      </c>
      <c r="E858" s="372">
        <v>2</v>
      </c>
      <c r="F858" s="372" t="str">
        <f>IFERROR(INDEX('NonART prices by med'!$D$2:$D$102,MATCH(D858,'NonART prices by med'!$A$2:$A$102,0)),"")</f>
        <v/>
      </c>
      <c r="G858" s="372" t="str">
        <f t="shared" si="27"/>
        <v/>
      </c>
      <c r="H858" s="372">
        <f t="shared" si="28"/>
        <v>1</v>
      </c>
    </row>
    <row r="859" spans="1:8">
      <c r="A859" s="372">
        <v>65</v>
      </c>
      <c r="B859" s="373">
        <v>42936</v>
      </c>
      <c r="C859" s="373">
        <v>43334</v>
      </c>
      <c r="D859" s="372">
        <v>1</v>
      </c>
      <c r="E859" s="372">
        <v>2</v>
      </c>
      <c r="F859" s="372" t="str">
        <f>IFERROR(INDEX('NonART prices by med'!$D$2:$D$102,MATCH(D859,'NonART prices by med'!$A$2:$A$102,0)),"")</f>
        <v/>
      </c>
      <c r="G859" s="372" t="str">
        <f t="shared" si="27"/>
        <v/>
      </c>
      <c r="H859" s="372">
        <f t="shared" si="28"/>
        <v>0</v>
      </c>
    </row>
    <row r="860" spans="1:8">
      <c r="A860" s="372">
        <v>65</v>
      </c>
      <c r="B860" s="373">
        <v>42936</v>
      </c>
      <c r="C860" s="373">
        <v>43448</v>
      </c>
      <c r="D860" s="372">
        <v>215</v>
      </c>
      <c r="E860" s="372">
        <v>28</v>
      </c>
      <c r="F860" s="372">
        <f>IFERROR(INDEX('NonART prices by med'!$D$2:$D$102,MATCH(D860,'NonART prices by med'!$A$2:$A$102,0)),"")</f>
        <v>0.27607142857142858</v>
      </c>
      <c r="G860" s="372">
        <f t="shared" si="27"/>
        <v>7.73</v>
      </c>
      <c r="H860" s="372">
        <f t="shared" si="28"/>
        <v>0</v>
      </c>
    </row>
    <row r="861" spans="1:8">
      <c r="A861" s="372">
        <v>66</v>
      </c>
      <c r="B861" s="373">
        <v>42935</v>
      </c>
      <c r="C861" s="373">
        <v>42935</v>
      </c>
      <c r="D861" s="372">
        <v>225</v>
      </c>
      <c r="F861" s="372">
        <f>IFERROR(INDEX('NonART prices by med'!$D$2:$D$102,MATCH(D861,'NonART prices by med'!$A$2:$A$102,0)),"")</f>
        <v>0.19315423345580862</v>
      </c>
      <c r="G861" s="372">
        <f t="shared" si="27"/>
        <v>0</v>
      </c>
      <c r="H861" s="372">
        <f t="shared" si="28"/>
        <v>1</v>
      </c>
    </row>
    <row r="862" spans="1:8">
      <c r="A862" s="372">
        <v>66</v>
      </c>
      <c r="B862" s="373">
        <v>42935</v>
      </c>
      <c r="C862" s="373">
        <v>43025</v>
      </c>
      <c r="D862" s="372">
        <v>342</v>
      </c>
      <c r="E862" s="372">
        <v>28</v>
      </c>
      <c r="F862" s="372">
        <f>IFERROR(INDEX('NonART prices by med'!$D$2:$D$102,MATCH(D862,'NonART prices by med'!$A$2:$A$102,0)),"")</f>
        <v>0.26590000152587889</v>
      </c>
      <c r="G862" s="372">
        <f t="shared" si="27"/>
        <v>7.4452000427246094</v>
      </c>
      <c r="H862" s="372">
        <f t="shared" si="28"/>
        <v>1</v>
      </c>
    </row>
    <row r="863" spans="1:8">
      <c r="A863" s="372">
        <v>66</v>
      </c>
      <c r="B863" s="373">
        <v>42935</v>
      </c>
      <c r="C863" s="373">
        <v>43053</v>
      </c>
      <c r="D863" s="372">
        <v>342</v>
      </c>
      <c r="E863" s="372">
        <v>28</v>
      </c>
      <c r="F863" s="372">
        <f>IFERROR(INDEX('NonART prices by med'!$D$2:$D$102,MATCH(D863,'NonART prices by med'!$A$2:$A$102,0)),"")</f>
        <v>0.26590000152587889</v>
      </c>
      <c r="G863" s="372">
        <f t="shared" si="27"/>
        <v>7.4452000427246094</v>
      </c>
      <c r="H863" s="372">
        <f t="shared" si="28"/>
        <v>1</v>
      </c>
    </row>
    <row r="864" spans="1:8">
      <c r="A864" s="372">
        <v>66</v>
      </c>
      <c r="B864" s="373">
        <v>42935</v>
      </c>
      <c r="C864" s="373">
        <v>43081</v>
      </c>
      <c r="D864" s="372">
        <v>35</v>
      </c>
      <c r="F864" s="372">
        <f>IFERROR(INDEX('NonART prices by med'!$D$2:$D$102,MATCH(D864,'NonART prices by med'!$A$2:$A$102,0)),"")</f>
        <v>0.60205838048342708</v>
      </c>
      <c r="G864" s="372">
        <f t="shared" si="27"/>
        <v>0</v>
      </c>
      <c r="H864" s="372">
        <f t="shared" si="28"/>
        <v>1</v>
      </c>
    </row>
    <row r="865" spans="1:8">
      <c r="A865" s="372">
        <v>66</v>
      </c>
      <c r="B865" s="373">
        <v>42935</v>
      </c>
      <c r="C865" s="373">
        <v>43109</v>
      </c>
      <c r="D865" s="372">
        <v>342</v>
      </c>
      <c r="E865" s="372">
        <v>28</v>
      </c>
      <c r="F865" s="372">
        <f>IFERROR(INDEX('NonART prices by med'!$D$2:$D$102,MATCH(D865,'NonART prices by med'!$A$2:$A$102,0)),"")</f>
        <v>0.26590000152587889</v>
      </c>
      <c r="G865" s="372">
        <f t="shared" si="27"/>
        <v>7.4452000427246094</v>
      </c>
      <c r="H865" s="372">
        <f t="shared" si="28"/>
        <v>1</v>
      </c>
    </row>
    <row r="866" spans="1:8">
      <c r="A866" s="372">
        <v>67</v>
      </c>
      <c r="B866" s="373">
        <v>42935</v>
      </c>
      <c r="C866" s="373">
        <v>42935</v>
      </c>
      <c r="D866" s="372">
        <v>132</v>
      </c>
      <c r="E866" s="372">
        <v>168</v>
      </c>
      <c r="F866" s="372">
        <f>IFERROR(INDEX('NonART prices by med'!$D$2:$D$102,MATCH(D866,'NonART prices by med'!$A$2:$A$102,0)),"")</f>
        <v>7.0309523809523822E-2</v>
      </c>
      <c r="G866" s="372">
        <f t="shared" si="27"/>
        <v>11.812000000000001</v>
      </c>
      <c r="H866" s="372">
        <f t="shared" si="28"/>
        <v>1</v>
      </c>
    </row>
    <row r="867" spans="1:8">
      <c r="A867" s="372">
        <v>67</v>
      </c>
      <c r="B867" s="373">
        <v>42935</v>
      </c>
      <c r="C867" s="373">
        <v>42950</v>
      </c>
      <c r="D867" s="372">
        <v>225</v>
      </c>
      <c r="E867" s="372">
        <v>28</v>
      </c>
      <c r="F867" s="372">
        <f>IFERROR(INDEX('NonART prices by med'!$D$2:$D$102,MATCH(D867,'NonART prices by med'!$A$2:$A$102,0)),"")</f>
        <v>0.19315423345580862</v>
      </c>
      <c r="G867" s="372">
        <f t="shared" si="27"/>
        <v>5.408318536762641</v>
      </c>
      <c r="H867" s="372">
        <f t="shared" si="28"/>
        <v>1</v>
      </c>
    </row>
    <row r="868" spans="1:8">
      <c r="A868" s="372">
        <v>67</v>
      </c>
      <c r="B868" s="373">
        <v>42935</v>
      </c>
      <c r="C868" s="373">
        <v>42992</v>
      </c>
      <c r="D868" s="372">
        <v>225</v>
      </c>
      <c r="E868" s="372">
        <v>28</v>
      </c>
      <c r="F868" s="372">
        <f>IFERROR(INDEX('NonART prices by med'!$D$2:$D$102,MATCH(D868,'NonART prices by med'!$A$2:$A$102,0)),"")</f>
        <v>0.19315423345580862</v>
      </c>
      <c r="G868" s="372">
        <f t="shared" si="27"/>
        <v>5.408318536762641</v>
      </c>
      <c r="H868" s="372">
        <f t="shared" si="28"/>
        <v>1</v>
      </c>
    </row>
    <row r="869" spans="1:8">
      <c r="A869" s="372">
        <v>67</v>
      </c>
      <c r="B869" s="373">
        <v>42935</v>
      </c>
      <c r="C869" s="373">
        <v>43047</v>
      </c>
      <c r="D869" s="372">
        <v>215</v>
      </c>
      <c r="F869" s="372">
        <f>IFERROR(INDEX('NonART prices by med'!$D$2:$D$102,MATCH(D869,'NonART prices by med'!$A$2:$A$102,0)),"")</f>
        <v>0.27607142857142858</v>
      </c>
      <c r="G869" s="372">
        <f t="shared" si="27"/>
        <v>0</v>
      </c>
      <c r="H869" s="372">
        <f t="shared" si="28"/>
        <v>1</v>
      </c>
    </row>
    <row r="870" spans="1:8">
      <c r="A870" s="372">
        <v>68</v>
      </c>
      <c r="B870" s="373">
        <v>42912</v>
      </c>
      <c r="C870" s="373">
        <v>42969</v>
      </c>
      <c r="D870" s="372">
        <v>411</v>
      </c>
      <c r="E870" s="372">
        <v>56</v>
      </c>
      <c r="F870" s="372">
        <f>IFERROR(INDEX('NonART prices by med'!$D$2:$D$102,MATCH(D870,'NonART prices by med'!$A$2:$A$102,0)),"")</f>
        <v>0.10354499389265867</v>
      </c>
      <c r="G870" s="372">
        <f t="shared" si="27"/>
        <v>5.7985196579888854</v>
      </c>
      <c r="H870" s="372">
        <f t="shared" si="28"/>
        <v>1</v>
      </c>
    </row>
    <row r="871" spans="1:8">
      <c r="A871" s="372">
        <v>68</v>
      </c>
      <c r="B871" s="373">
        <v>42912</v>
      </c>
      <c r="C871" s="373">
        <v>43012</v>
      </c>
      <c r="D871" s="372">
        <v>342</v>
      </c>
      <c r="E871" s="372">
        <v>28</v>
      </c>
      <c r="F871" s="372">
        <f>IFERROR(INDEX('NonART prices by med'!$D$2:$D$102,MATCH(D871,'NonART prices by med'!$A$2:$A$102,0)),"")</f>
        <v>0.26590000152587889</v>
      </c>
      <c r="G871" s="372">
        <f t="shared" si="27"/>
        <v>7.4452000427246094</v>
      </c>
      <c r="H871" s="372">
        <f t="shared" si="28"/>
        <v>1</v>
      </c>
    </row>
    <row r="872" spans="1:8">
      <c r="A872" s="372">
        <v>68</v>
      </c>
      <c r="B872" s="373">
        <v>42912</v>
      </c>
      <c r="C872" s="373">
        <v>43040</v>
      </c>
      <c r="D872" s="372">
        <v>342</v>
      </c>
      <c r="E872" s="372">
        <v>56</v>
      </c>
      <c r="F872" s="372">
        <f>IFERROR(INDEX('NonART prices by med'!$D$2:$D$102,MATCH(D872,'NonART prices by med'!$A$2:$A$102,0)),"")</f>
        <v>0.26590000152587889</v>
      </c>
      <c r="G872" s="372">
        <f t="shared" si="27"/>
        <v>14.890400085449219</v>
      </c>
      <c r="H872" s="372">
        <f t="shared" si="28"/>
        <v>1</v>
      </c>
    </row>
    <row r="873" spans="1:8">
      <c r="A873" s="372">
        <v>68</v>
      </c>
      <c r="B873" s="373">
        <v>42912</v>
      </c>
      <c r="C873" s="373">
        <v>43320</v>
      </c>
      <c r="D873" s="372">
        <v>245</v>
      </c>
      <c r="E873" s="372">
        <v>15</v>
      </c>
      <c r="F873" s="372">
        <f>IFERROR(INDEX('NonART prices by med'!$D$2:$D$102,MATCH(D873,'NonART prices by med'!$A$2:$A$102,0)),"")</f>
        <v>0.30239999964781011</v>
      </c>
      <c r="G873" s="372">
        <f t="shared" si="27"/>
        <v>4.5359999947171517</v>
      </c>
      <c r="H873" s="372">
        <f t="shared" si="28"/>
        <v>0</v>
      </c>
    </row>
    <row r="874" spans="1:8">
      <c r="A874" s="372">
        <v>70</v>
      </c>
      <c r="B874" s="373">
        <v>42934</v>
      </c>
      <c r="C874" s="373">
        <v>42934</v>
      </c>
      <c r="D874" s="372">
        <v>215</v>
      </c>
      <c r="E874" s="372">
        <v>28</v>
      </c>
      <c r="F874" s="372">
        <f>IFERROR(INDEX('NonART prices by med'!$D$2:$D$102,MATCH(D874,'NonART prices by med'!$A$2:$A$102,0)),"")</f>
        <v>0.27607142857142858</v>
      </c>
      <c r="G874" s="372">
        <f t="shared" si="27"/>
        <v>7.73</v>
      </c>
      <c r="H874" s="372">
        <f t="shared" si="28"/>
        <v>1</v>
      </c>
    </row>
    <row r="875" spans="1:8">
      <c r="A875" s="372">
        <v>70</v>
      </c>
      <c r="B875" s="373">
        <v>42934</v>
      </c>
      <c r="C875" s="373">
        <v>42993</v>
      </c>
      <c r="D875" s="372">
        <v>215</v>
      </c>
      <c r="E875" s="372">
        <v>28</v>
      </c>
      <c r="F875" s="372">
        <f>IFERROR(INDEX('NonART prices by med'!$D$2:$D$102,MATCH(D875,'NonART prices by med'!$A$2:$A$102,0)),"")</f>
        <v>0.27607142857142858</v>
      </c>
      <c r="G875" s="372">
        <f t="shared" si="27"/>
        <v>7.73</v>
      </c>
      <c r="H875" s="372">
        <f t="shared" si="28"/>
        <v>1</v>
      </c>
    </row>
    <row r="876" spans="1:8">
      <c r="A876" s="372">
        <v>70</v>
      </c>
      <c r="B876" s="373">
        <v>42934</v>
      </c>
      <c r="C876" s="373">
        <v>43034</v>
      </c>
      <c r="D876" s="372">
        <v>35</v>
      </c>
      <c r="E876" s="372">
        <v>56</v>
      </c>
      <c r="F876" s="372">
        <f>IFERROR(INDEX('NonART prices by med'!$D$2:$D$102,MATCH(D876,'NonART prices by med'!$A$2:$A$102,0)),"")</f>
        <v>0.60205838048342708</v>
      </c>
      <c r="G876" s="372">
        <f t="shared" si="27"/>
        <v>33.715269307071914</v>
      </c>
      <c r="H876" s="372">
        <f t="shared" si="28"/>
        <v>1</v>
      </c>
    </row>
    <row r="877" spans="1:8">
      <c r="A877" s="372">
        <v>70</v>
      </c>
      <c r="B877" s="373">
        <v>42934</v>
      </c>
      <c r="C877" s="373">
        <v>43047</v>
      </c>
      <c r="D877" s="372">
        <v>215</v>
      </c>
      <c r="F877" s="372">
        <f>IFERROR(INDEX('NonART prices by med'!$D$2:$D$102,MATCH(D877,'NonART prices by med'!$A$2:$A$102,0)),"")</f>
        <v>0.27607142857142858</v>
      </c>
      <c r="G877" s="372">
        <f t="shared" si="27"/>
        <v>0</v>
      </c>
      <c r="H877" s="372">
        <f t="shared" si="28"/>
        <v>1</v>
      </c>
    </row>
    <row r="878" spans="1:8">
      <c r="A878" s="372">
        <v>71</v>
      </c>
      <c r="B878" s="373">
        <v>42934</v>
      </c>
      <c r="C878" s="373">
        <v>42934</v>
      </c>
      <c r="D878" s="372">
        <v>342</v>
      </c>
      <c r="E878" s="372">
        <v>28</v>
      </c>
      <c r="F878" s="372">
        <f>IFERROR(INDEX('NonART prices by med'!$D$2:$D$102,MATCH(D878,'NonART prices by med'!$A$2:$A$102,0)),"")</f>
        <v>0.26590000152587889</v>
      </c>
      <c r="G878" s="372">
        <f t="shared" si="27"/>
        <v>7.4452000427246094</v>
      </c>
      <c r="H878" s="372">
        <f t="shared" si="28"/>
        <v>1</v>
      </c>
    </row>
    <row r="879" spans="1:8">
      <c r="A879" s="372">
        <v>71</v>
      </c>
      <c r="B879" s="373">
        <v>42934</v>
      </c>
      <c r="C879" s="373">
        <v>42990</v>
      </c>
      <c r="D879" s="372">
        <v>35</v>
      </c>
      <c r="E879" s="372">
        <v>28</v>
      </c>
      <c r="F879" s="372">
        <f>IFERROR(INDEX('NonART prices by med'!$D$2:$D$102,MATCH(D879,'NonART prices by med'!$A$2:$A$102,0)),"")</f>
        <v>0.60205838048342708</v>
      </c>
      <c r="G879" s="372">
        <f t="shared" si="27"/>
        <v>16.857634653535957</v>
      </c>
      <c r="H879" s="372">
        <f t="shared" si="28"/>
        <v>1</v>
      </c>
    </row>
    <row r="880" spans="1:8">
      <c r="A880" s="372">
        <v>71</v>
      </c>
      <c r="B880" s="373">
        <v>42934</v>
      </c>
      <c r="C880" s="373">
        <v>43010</v>
      </c>
      <c r="D880" s="372">
        <v>342</v>
      </c>
      <c r="E880" s="372">
        <v>28</v>
      </c>
      <c r="F880" s="372">
        <f>IFERROR(INDEX('NonART prices by med'!$D$2:$D$102,MATCH(D880,'NonART prices by med'!$A$2:$A$102,0)),"")</f>
        <v>0.26590000152587889</v>
      </c>
      <c r="G880" s="372">
        <f t="shared" si="27"/>
        <v>7.4452000427246094</v>
      </c>
      <c r="H880" s="372">
        <f t="shared" si="28"/>
        <v>1</v>
      </c>
    </row>
    <row r="881" spans="1:8">
      <c r="A881" s="372">
        <v>71</v>
      </c>
      <c r="B881" s="373">
        <v>42934</v>
      </c>
      <c r="C881" s="373">
        <v>43046</v>
      </c>
      <c r="D881" s="372">
        <v>342</v>
      </c>
      <c r="F881" s="372">
        <f>IFERROR(INDEX('NonART prices by med'!$D$2:$D$102,MATCH(D881,'NonART prices by med'!$A$2:$A$102,0)),"")</f>
        <v>0.26590000152587889</v>
      </c>
      <c r="G881" s="372">
        <f t="shared" si="27"/>
        <v>0</v>
      </c>
      <c r="H881" s="372">
        <f t="shared" si="28"/>
        <v>1</v>
      </c>
    </row>
    <row r="882" spans="1:8">
      <c r="A882" s="372">
        <v>71</v>
      </c>
      <c r="B882" s="373">
        <v>42934</v>
      </c>
      <c r="C882" s="373">
        <v>43109</v>
      </c>
      <c r="D882" s="372">
        <v>318</v>
      </c>
      <c r="E882" s="372">
        <v>20</v>
      </c>
      <c r="F882" s="372">
        <f>IFERROR(INDEX('NonART prices by med'!$D$2:$D$102,MATCH(D882,'NonART prices by med'!$A$2:$A$102,0)),"")</f>
        <v>0.19286066077210379</v>
      </c>
      <c r="G882" s="372">
        <f t="shared" si="27"/>
        <v>3.8572132154420755</v>
      </c>
      <c r="H882" s="372">
        <f t="shared" si="28"/>
        <v>1</v>
      </c>
    </row>
    <row r="883" spans="1:8">
      <c r="A883" s="372">
        <v>71</v>
      </c>
      <c r="B883" s="373">
        <v>42934</v>
      </c>
      <c r="C883" s="373">
        <v>43305</v>
      </c>
      <c r="D883" s="372">
        <v>280</v>
      </c>
      <c r="E883" s="372">
        <v>1</v>
      </c>
      <c r="F883" s="372">
        <f>IFERROR(INDEX('NonART prices by med'!$D$2:$D$102,MATCH(D883,'NonART prices by med'!$A$2:$A$102,0)),"")</f>
        <v>0.11576000030852043</v>
      </c>
      <c r="G883" s="372">
        <f t="shared" si="27"/>
        <v>0.11576000030852043</v>
      </c>
      <c r="H883" s="372">
        <f t="shared" si="28"/>
        <v>0</v>
      </c>
    </row>
    <row r="884" spans="1:8">
      <c r="A884" s="372">
        <v>72</v>
      </c>
      <c r="B884" s="373">
        <v>42934</v>
      </c>
      <c r="C884" s="373">
        <v>42948</v>
      </c>
      <c r="D884" s="372">
        <v>1</v>
      </c>
      <c r="F884" s="372" t="str">
        <f>IFERROR(INDEX('NonART prices by med'!$D$2:$D$102,MATCH(D884,'NonART prices by med'!$A$2:$A$102,0)),"")</f>
        <v/>
      </c>
      <c r="G884" s="372" t="str">
        <f t="shared" si="27"/>
        <v/>
      </c>
      <c r="H884" s="372">
        <f t="shared" si="28"/>
        <v>1</v>
      </c>
    </row>
    <row r="885" spans="1:8">
      <c r="A885" s="372">
        <v>72</v>
      </c>
      <c r="B885" s="373">
        <v>42934</v>
      </c>
      <c r="C885" s="373">
        <v>42955</v>
      </c>
      <c r="D885" s="372">
        <v>1</v>
      </c>
      <c r="F885" s="372" t="str">
        <f>IFERROR(INDEX('NonART prices by med'!$D$2:$D$102,MATCH(D885,'NonART prices by med'!$A$2:$A$102,0)),"")</f>
        <v/>
      </c>
      <c r="G885" s="372" t="str">
        <f t="shared" si="27"/>
        <v/>
      </c>
      <c r="H885" s="372">
        <f t="shared" si="28"/>
        <v>1</v>
      </c>
    </row>
    <row r="886" spans="1:8">
      <c r="A886" s="372">
        <v>72</v>
      </c>
      <c r="B886" s="373">
        <v>42934</v>
      </c>
      <c r="C886" s="373">
        <v>42972</v>
      </c>
      <c r="D886" s="372">
        <v>155</v>
      </c>
      <c r="E886" s="372">
        <v>1</v>
      </c>
      <c r="F886" s="372">
        <f>IFERROR(INDEX('NonART prices by med'!$D$2:$D$102,MATCH(D886,'NonART prices by med'!$A$2:$A$102,0)),"")</f>
        <v>3.2250000000000001E-2</v>
      </c>
      <c r="G886" s="372">
        <f t="shared" si="27"/>
        <v>3.2250000000000001E-2</v>
      </c>
      <c r="H886" s="372">
        <f t="shared" si="28"/>
        <v>1</v>
      </c>
    </row>
    <row r="887" spans="1:8">
      <c r="A887" s="372">
        <v>72</v>
      </c>
      <c r="B887" s="373">
        <v>42934</v>
      </c>
      <c r="C887" s="373">
        <v>43215</v>
      </c>
      <c r="D887" s="372">
        <v>1</v>
      </c>
      <c r="E887" s="372">
        <v>56</v>
      </c>
      <c r="F887" s="372" t="str">
        <f>IFERROR(INDEX('NonART prices by med'!$D$2:$D$102,MATCH(D887,'NonART prices by med'!$A$2:$A$102,0)),"")</f>
        <v/>
      </c>
      <c r="G887" s="372" t="str">
        <f t="shared" si="27"/>
        <v/>
      </c>
      <c r="H887" s="372">
        <f t="shared" si="28"/>
        <v>1</v>
      </c>
    </row>
    <row r="888" spans="1:8">
      <c r="A888" s="372">
        <v>73</v>
      </c>
      <c r="B888" s="373">
        <v>42936</v>
      </c>
      <c r="C888" s="373">
        <v>43045</v>
      </c>
      <c r="D888" s="372">
        <v>342</v>
      </c>
      <c r="E888" s="372">
        <v>56</v>
      </c>
      <c r="F888" s="372">
        <f>IFERROR(INDEX('NonART prices by med'!$D$2:$D$102,MATCH(D888,'NonART prices by med'!$A$2:$A$102,0)),"")</f>
        <v>0.26590000152587889</v>
      </c>
      <c r="G888" s="372">
        <f t="shared" si="27"/>
        <v>14.890400085449219</v>
      </c>
      <c r="H888" s="372">
        <f t="shared" si="28"/>
        <v>1</v>
      </c>
    </row>
    <row r="889" spans="1:8">
      <c r="A889" s="372">
        <v>73</v>
      </c>
      <c r="B889" s="373">
        <v>42936</v>
      </c>
      <c r="C889" s="373">
        <v>43102</v>
      </c>
      <c r="D889" s="372">
        <v>246</v>
      </c>
      <c r="F889" s="372">
        <f>IFERROR(INDEX('NonART prices by med'!$D$2:$D$102,MATCH(D889,'NonART prices by med'!$A$2:$A$102,0)),"")</f>
        <v>0.30239999964781011</v>
      </c>
      <c r="G889" s="372">
        <f t="shared" si="27"/>
        <v>0</v>
      </c>
      <c r="H889" s="372">
        <f t="shared" si="28"/>
        <v>1</v>
      </c>
    </row>
    <row r="890" spans="1:8">
      <c r="A890" s="372">
        <v>74</v>
      </c>
      <c r="B890" s="373">
        <v>42929</v>
      </c>
      <c r="C890" s="373">
        <v>42929</v>
      </c>
      <c r="D890" s="372">
        <v>215</v>
      </c>
      <c r="E890" s="372">
        <v>28</v>
      </c>
      <c r="F890" s="372">
        <f>IFERROR(INDEX('NonART prices by med'!$D$2:$D$102,MATCH(D890,'NonART prices by med'!$A$2:$A$102,0)),"")</f>
        <v>0.27607142857142858</v>
      </c>
      <c r="G890" s="372">
        <f t="shared" si="27"/>
        <v>7.73</v>
      </c>
      <c r="H890" s="372">
        <f t="shared" si="28"/>
        <v>1</v>
      </c>
    </row>
    <row r="891" spans="1:8">
      <c r="A891" s="372">
        <v>74</v>
      </c>
      <c r="B891" s="373">
        <v>42929</v>
      </c>
      <c r="C891" s="373">
        <v>42943</v>
      </c>
      <c r="D891" s="372">
        <v>119</v>
      </c>
      <c r="E891" s="372">
        <v>2</v>
      </c>
      <c r="F891" s="372">
        <f>IFERROR(INDEX('NonART prices by med'!$D$2:$D$102,MATCH(D891,'NonART prices by med'!$A$2:$A$102,0)),"")</f>
        <v>4.8429999999999991</v>
      </c>
      <c r="G891" s="372">
        <f t="shared" si="27"/>
        <v>9.6859999999999982</v>
      </c>
      <c r="H891" s="372">
        <f t="shared" si="28"/>
        <v>1</v>
      </c>
    </row>
    <row r="892" spans="1:8">
      <c r="A892" s="372">
        <v>74</v>
      </c>
      <c r="B892" s="373">
        <v>42929</v>
      </c>
      <c r="C892" s="373">
        <v>42965</v>
      </c>
      <c r="D892" s="372">
        <v>179</v>
      </c>
      <c r="E892" s="372">
        <v>1</v>
      </c>
      <c r="F892" s="372">
        <f>IFERROR(INDEX('NonART prices by med'!$D$2:$D$102,MATCH(D892,'NonART prices by med'!$A$2:$A$102,0)),"")</f>
        <v>12.69</v>
      </c>
      <c r="G892" s="372">
        <f t="shared" si="27"/>
        <v>12.69</v>
      </c>
      <c r="H892" s="372">
        <f t="shared" si="28"/>
        <v>1</v>
      </c>
    </row>
    <row r="893" spans="1:8">
      <c r="A893" s="372">
        <v>74</v>
      </c>
      <c r="B893" s="373">
        <v>42929</v>
      </c>
      <c r="C893" s="373">
        <v>42971</v>
      </c>
      <c r="D893" s="372">
        <v>342</v>
      </c>
      <c r="E893" s="372">
        <v>28</v>
      </c>
      <c r="F893" s="372">
        <f>IFERROR(INDEX('NonART prices by med'!$D$2:$D$102,MATCH(D893,'NonART prices by med'!$A$2:$A$102,0)),"")</f>
        <v>0.26590000152587889</v>
      </c>
      <c r="G893" s="372">
        <f t="shared" si="27"/>
        <v>7.4452000427246094</v>
      </c>
      <c r="H893" s="372">
        <f t="shared" si="28"/>
        <v>1</v>
      </c>
    </row>
    <row r="894" spans="1:8">
      <c r="A894" s="372">
        <v>74</v>
      </c>
      <c r="B894" s="373">
        <v>42929</v>
      </c>
      <c r="C894" s="373">
        <v>43041</v>
      </c>
      <c r="D894" s="372">
        <v>135</v>
      </c>
      <c r="F894" s="372">
        <f>IFERROR(INDEX('NonART prices by med'!$D$2:$D$102,MATCH(D894,'NonART prices by med'!$A$2:$A$102,0)),"")</f>
        <v>12.65</v>
      </c>
      <c r="G894" s="372">
        <f t="shared" si="27"/>
        <v>0</v>
      </c>
      <c r="H894" s="372">
        <f t="shared" si="28"/>
        <v>1</v>
      </c>
    </row>
    <row r="895" spans="1:8">
      <c r="A895" s="372">
        <v>74</v>
      </c>
      <c r="B895" s="373">
        <v>42929</v>
      </c>
      <c r="C895" s="373">
        <v>43110</v>
      </c>
      <c r="D895" s="372">
        <v>342</v>
      </c>
      <c r="E895" s="372">
        <v>28</v>
      </c>
      <c r="F895" s="372">
        <f>IFERROR(INDEX('NonART prices by med'!$D$2:$D$102,MATCH(D895,'NonART prices by med'!$A$2:$A$102,0)),"")</f>
        <v>0.26590000152587889</v>
      </c>
      <c r="G895" s="372">
        <f t="shared" si="27"/>
        <v>7.4452000427246094</v>
      </c>
      <c r="H895" s="372">
        <f t="shared" si="28"/>
        <v>1</v>
      </c>
    </row>
    <row r="896" spans="1:8">
      <c r="A896" s="372">
        <v>74</v>
      </c>
      <c r="B896" s="373">
        <v>42929</v>
      </c>
      <c r="C896" s="373">
        <v>43202</v>
      </c>
      <c r="D896" s="372">
        <v>178</v>
      </c>
      <c r="E896" s="372">
        <v>1</v>
      </c>
      <c r="F896" s="372">
        <f>IFERROR(INDEX('NonART prices by med'!$D$2:$D$102,MATCH(D896,'NonART prices by med'!$A$2:$A$102,0)),"")</f>
        <v>0.22140000000000001</v>
      </c>
      <c r="G896" s="372">
        <f t="shared" si="27"/>
        <v>0.22140000000000001</v>
      </c>
      <c r="H896" s="372">
        <f t="shared" si="28"/>
        <v>1</v>
      </c>
    </row>
    <row r="897" spans="1:8">
      <c r="A897" s="372">
        <v>74</v>
      </c>
      <c r="B897" s="373">
        <v>42929</v>
      </c>
      <c r="C897" s="373">
        <v>43421</v>
      </c>
      <c r="D897" s="372">
        <v>285</v>
      </c>
      <c r="F897" s="372">
        <f>IFERROR(INDEX('NonART prices by med'!$D$2:$D$102,MATCH(D897,'NonART prices by med'!$A$2:$A$102,0)),"")</f>
        <v>0.1769047619047619</v>
      </c>
      <c r="G897" s="372">
        <f t="shared" si="27"/>
        <v>0</v>
      </c>
      <c r="H897" s="372">
        <f t="shared" si="28"/>
        <v>0</v>
      </c>
    </row>
    <row r="898" spans="1:8">
      <c r="A898" s="372">
        <v>75</v>
      </c>
      <c r="B898" s="373">
        <v>42928</v>
      </c>
      <c r="C898" s="373">
        <v>43027</v>
      </c>
      <c r="D898" s="372">
        <v>342</v>
      </c>
      <c r="E898" s="372">
        <v>28</v>
      </c>
      <c r="F898" s="372">
        <f>IFERROR(INDEX('NonART prices by med'!$D$2:$D$102,MATCH(D898,'NonART prices by med'!$A$2:$A$102,0)),"")</f>
        <v>0.26590000152587889</v>
      </c>
      <c r="G898" s="372">
        <f t="shared" si="27"/>
        <v>7.4452000427246094</v>
      </c>
      <c r="H898" s="372">
        <f t="shared" si="28"/>
        <v>1</v>
      </c>
    </row>
    <row r="899" spans="1:8">
      <c r="A899" s="372">
        <v>75</v>
      </c>
      <c r="B899" s="373">
        <v>42928</v>
      </c>
      <c r="C899" s="373">
        <v>43125</v>
      </c>
      <c r="D899" s="372">
        <v>342</v>
      </c>
      <c r="E899" s="372">
        <v>28</v>
      </c>
      <c r="F899" s="372">
        <f>IFERROR(INDEX('NonART prices by med'!$D$2:$D$102,MATCH(D899,'NonART prices by med'!$A$2:$A$102,0)),"")</f>
        <v>0.26590000152587889</v>
      </c>
      <c r="G899" s="372">
        <f t="shared" ref="G899:G962" si="29">IFERROR(E899*F899,"")</f>
        <v>7.4452000427246094</v>
      </c>
      <c r="H899" s="372">
        <f t="shared" si="28"/>
        <v>1</v>
      </c>
    </row>
    <row r="900" spans="1:8">
      <c r="A900" s="372">
        <v>75</v>
      </c>
      <c r="B900" s="373">
        <v>42928</v>
      </c>
      <c r="C900" s="373">
        <v>43299</v>
      </c>
      <c r="D900" s="372">
        <v>151</v>
      </c>
      <c r="F900" s="372">
        <f>IFERROR(INDEX('NonART prices by med'!$D$2:$D$102,MATCH(D900,'NonART prices by med'!$A$2:$A$102,0)),"")</f>
        <v>9.74</v>
      </c>
      <c r="G900" s="372">
        <f t="shared" si="29"/>
        <v>0</v>
      </c>
      <c r="H900" s="372">
        <f t="shared" ref="H900:H963" si="30">IF(C900-B900&lt;=365,1,0)</f>
        <v>0</v>
      </c>
    </row>
    <row r="901" spans="1:8">
      <c r="A901" s="372">
        <v>76</v>
      </c>
      <c r="B901" s="373">
        <v>42927</v>
      </c>
      <c r="C901" s="373">
        <v>42957</v>
      </c>
      <c r="D901" s="372">
        <v>34</v>
      </c>
      <c r="E901" s="372">
        <v>56</v>
      </c>
      <c r="F901" s="372">
        <f>IFERROR(INDEX('NonART prices by med'!$D$2:$D$102,MATCH(D901,'NonART prices by med'!$A$2:$A$102,0)),"")</f>
        <v>0.38757142857142851</v>
      </c>
      <c r="G901" s="372">
        <f t="shared" si="29"/>
        <v>21.703999999999997</v>
      </c>
      <c r="H901" s="372">
        <f t="shared" si="30"/>
        <v>1</v>
      </c>
    </row>
    <row r="902" spans="1:8">
      <c r="A902" s="372">
        <v>76</v>
      </c>
      <c r="B902" s="373">
        <v>42927</v>
      </c>
      <c r="C902" s="373">
        <v>43056</v>
      </c>
      <c r="D902" s="372">
        <v>342</v>
      </c>
      <c r="E902" s="372">
        <v>56</v>
      </c>
      <c r="F902" s="372">
        <f>IFERROR(INDEX('NonART prices by med'!$D$2:$D$102,MATCH(D902,'NonART prices by med'!$A$2:$A$102,0)),"")</f>
        <v>0.26590000152587889</v>
      </c>
      <c r="G902" s="372">
        <f t="shared" si="29"/>
        <v>14.890400085449219</v>
      </c>
      <c r="H902" s="372">
        <f t="shared" si="30"/>
        <v>1</v>
      </c>
    </row>
    <row r="903" spans="1:8">
      <c r="A903" s="372">
        <v>76</v>
      </c>
      <c r="B903" s="373">
        <v>42927</v>
      </c>
      <c r="C903" s="373">
        <v>43073</v>
      </c>
      <c r="D903" s="372">
        <v>342</v>
      </c>
      <c r="F903" s="372">
        <f>IFERROR(INDEX('NonART prices by med'!$D$2:$D$102,MATCH(D903,'NonART prices by med'!$A$2:$A$102,0)),"")</f>
        <v>0.26590000152587889</v>
      </c>
      <c r="G903" s="372">
        <f t="shared" si="29"/>
        <v>0</v>
      </c>
      <c r="H903" s="372">
        <f t="shared" si="30"/>
        <v>1</v>
      </c>
    </row>
    <row r="904" spans="1:8">
      <c r="A904" s="372">
        <v>76</v>
      </c>
      <c r="B904" s="373">
        <v>42927</v>
      </c>
      <c r="C904" s="373">
        <v>43125</v>
      </c>
      <c r="D904" s="372">
        <v>342</v>
      </c>
      <c r="E904" s="372">
        <v>28</v>
      </c>
      <c r="F904" s="372">
        <f>IFERROR(INDEX('NonART prices by med'!$D$2:$D$102,MATCH(D904,'NonART prices by med'!$A$2:$A$102,0)),"")</f>
        <v>0.26590000152587889</v>
      </c>
      <c r="G904" s="372">
        <f t="shared" si="29"/>
        <v>7.4452000427246094</v>
      </c>
      <c r="H904" s="372">
        <f t="shared" si="30"/>
        <v>1</v>
      </c>
    </row>
    <row r="905" spans="1:8">
      <c r="A905" s="372">
        <v>76</v>
      </c>
      <c r="B905" s="373">
        <v>42927</v>
      </c>
      <c r="C905" s="373">
        <v>43320</v>
      </c>
      <c r="D905" s="372">
        <v>116</v>
      </c>
      <c r="F905" s="372">
        <f>IFERROR(INDEX('NonART prices by med'!$D$2:$D$102,MATCH(D905,'NonART prices by med'!$A$2:$A$102,0)),"")</f>
        <v>2.9786666870117187</v>
      </c>
      <c r="G905" s="372">
        <f t="shared" si="29"/>
        <v>0</v>
      </c>
      <c r="H905" s="372">
        <f t="shared" si="30"/>
        <v>0</v>
      </c>
    </row>
    <row r="906" spans="1:8">
      <c r="A906" s="372">
        <v>2</v>
      </c>
      <c r="B906" s="373">
        <v>43000</v>
      </c>
      <c r="C906" s="373">
        <v>43293</v>
      </c>
      <c r="D906" s="372">
        <v>225</v>
      </c>
      <c r="E906" s="372">
        <v>28</v>
      </c>
      <c r="F906" s="372">
        <f>IFERROR(INDEX('NonART prices by med'!$D$2:$D$102,MATCH(D906,'NonART prices by med'!$A$2:$A$102,0)),"")</f>
        <v>0.19315423345580862</v>
      </c>
      <c r="G906" s="372">
        <f t="shared" si="29"/>
        <v>5.408318536762641</v>
      </c>
      <c r="H906" s="372">
        <f t="shared" si="30"/>
        <v>1</v>
      </c>
    </row>
    <row r="907" spans="1:8">
      <c r="A907" s="372">
        <v>2</v>
      </c>
      <c r="B907" s="373">
        <v>43000</v>
      </c>
      <c r="C907" s="373">
        <v>43349</v>
      </c>
      <c r="D907" s="372">
        <v>134</v>
      </c>
      <c r="E907" s="372">
        <v>28</v>
      </c>
      <c r="F907" s="372">
        <f>IFERROR(INDEX('NonART prices by med'!$D$2:$D$102,MATCH(D907,'NonART prices by med'!$A$2:$A$102,0)),"")</f>
        <v>0.39033333366993345</v>
      </c>
      <c r="G907" s="372">
        <f t="shared" si="29"/>
        <v>10.929333342758136</v>
      </c>
      <c r="H907" s="372">
        <f t="shared" si="30"/>
        <v>1</v>
      </c>
    </row>
    <row r="908" spans="1:8">
      <c r="A908" s="372">
        <v>3</v>
      </c>
      <c r="B908" s="373">
        <v>42970</v>
      </c>
      <c r="C908" s="373">
        <v>42970</v>
      </c>
      <c r="D908" s="372">
        <v>132</v>
      </c>
      <c r="E908" s="372">
        <v>168</v>
      </c>
      <c r="F908" s="372">
        <f>IFERROR(INDEX('NonART prices by med'!$D$2:$D$102,MATCH(D908,'NonART prices by med'!$A$2:$A$102,0)),"")</f>
        <v>7.0309523809523822E-2</v>
      </c>
      <c r="G908" s="372">
        <f t="shared" si="29"/>
        <v>11.812000000000001</v>
      </c>
      <c r="H908" s="372">
        <f t="shared" si="30"/>
        <v>1</v>
      </c>
    </row>
    <row r="909" spans="1:8">
      <c r="A909" s="372">
        <v>3</v>
      </c>
      <c r="B909" s="373">
        <v>42970</v>
      </c>
      <c r="C909" s="373">
        <v>43062</v>
      </c>
      <c r="D909" s="372">
        <v>342</v>
      </c>
      <c r="E909" s="372">
        <v>28</v>
      </c>
      <c r="F909" s="372">
        <f>IFERROR(INDEX('NonART prices by med'!$D$2:$D$102,MATCH(D909,'NonART prices by med'!$A$2:$A$102,0)),"")</f>
        <v>0.26590000152587889</v>
      </c>
      <c r="G909" s="372">
        <f t="shared" si="29"/>
        <v>7.4452000427246094</v>
      </c>
      <c r="H909" s="372">
        <f t="shared" si="30"/>
        <v>1</v>
      </c>
    </row>
    <row r="910" spans="1:8">
      <c r="A910" s="372">
        <v>3</v>
      </c>
      <c r="B910" s="373">
        <v>42970</v>
      </c>
      <c r="C910" s="373">
        <v>43105</v>
      </c>
      <c r="D910" s="372">
        <v>35</v>
      </c>
      <c r="E910" s="372">
        <v>28</v>
      </c>
      <c r="F910" s="372">
        <f>IFERROR(INDEX('NonART prices by med'!$D$2:$D$102,MATCH(D910,'NonART prices by med'!$A$2:$A$102,0)),"")</f>
        <v>0.60205838048342708</v>
      </c>
      <c r="G910" s="372">
        <f t="shared" si="29"/>
        <v>16.857634653535957</v>
      </c>
      <c r="H910" s="372">
        <f t="shared" si="30"/>
        <v>1</v>
      </c>
    </row>
    <row r="911" spans="1:8">
      <c r="A911" s="372">
        <v>4</v>
      </c>
      <c r="B911" s="373">
        <v>42970</v>
      </c>
      <c r="C911" s="373">
        <v>42970</v>
      </c>
      <c r="D911" s="372">
        <v>132</v>
      </c>
      <c r="E911" s="372">
        <v>5</v>
      </c>
      <c r="F911" s="372">
        <f>IFERROR(INDEX('NonART prices by med'!$D$2:$D$102,MATCH(D911,'NonART prices by med'!$A$2:$A$102,0)),"")</f>
        <v>7.0309523809523822E-2</v>
      </c>
      <c r="G911" s="372">
        <f t="shared" si="29"/>
        <v>0.35154761904761911</v>
      </c>
      <c r="H911" s="372">
        <f t="shared" si="30"/>
        <v>1</v>
      </c>
    </row>
    <row r="912" spans="1:8">
      <c r="A912" s="372">
        <v>4</v>
      </c>
      <c r="B912" s="373">
        <v>42970</v>
      </c>
      <c r="C912" s="373">
        <v>43040</v>
      </c>
      <c r="D912" s="372">
        <v>225</v>
      </c>
      <c r="E912" s="372">
        <v>28</v>
      </c>
      <c r="F912" s="372">
        <f>IFERROR(INDEX('NonART prices by med'!$D$2:$D$102,MATCH(D912,'NonART prices by med'!$A$2:$A$102,0)),"")</f>
        <v>0.19315423345580862</v>
      </c>
      <c r="G912" s="372">
        <f t="shared" si="29"/>
        <v>5.408318536762641</v>
      </c>
      <c r="H912" s="372">
        <f t="shared" si="30"/>
        <v>1</v>
      </c>
    </row>
    <row r="913" spans="1:8">
      <c r="A913" s="372">
        <v>4</v>
      </c>
      <c r="B913" s="373">
        <v>42970</v>
      </c>
      <c r="C913" s="373">
        <v>43089</v>
      </c>
      <c r="D913" s="372">
        <v>342</v>
      </c>
      <c r="E913" s="372">
        <v>56</v>
      </c>
      <c r="F913" s="372">
        <f>IFERROR(INDEX('NonART prices by med'!$D$2:$D$102,MATCH(D913,'NonART prices by med'!$A$2:$A$102,0)),"")</f>
        <v>0.26590000152587889</v>
      </c>
      <c r="G913" s="372">
        <f t="shared" si="29"/>
        <v>14.890400085449219</v>
      </c>
      <c r="H913" s="372">
        <f t="shared" si="30"/>
        <v>1</v>
      </c>
    </row>
    <row r="914" spans="1:8">
      <c r="A914" s="372">
        <v>5</v>
      </c>
      <c r="B914" s="373">
        <v>42963</v>
      </c>
      <c r="C914" s="373">
        <v>43047</v>
      </c>
      <c r="D914" s="372">
        <v>342</v>
      </c>
      <c r="E914" s="372">
        <v>28</v>
      </c>
      <c r="F914" s="372">
        <f>IFERROR(INDEX('NonART prices by med'!$D$2:$D$102,MATCH(D914,'NonART prices by med'!$A$2:$A$102,0)),"")</f>
        <v>0.26590000152587889</v>
      </c>
      <c r="G914" s="372">
        <f t="shared" si="29"/>
        <v>7.4452000427246094</v>
      </c>
      <c r="H914" s="372">
        <f t="shared" si="30"/>
        <v>1</v>
      </c>
    </row>
    <row r="915" spans="1:8">
      <c r="A915" s="372">
        <v>5</v>
      </c>
      <c r="B915" s="373">
        <v>42963</v>
      </c>
      <c r="C915" s="373">
        <v>43091</v>
      </c>
      <c r="D915" s="372">
        <v>225</v>
      </c>
      <c r="E915" s="372">
        <v>28</v>
      </c>
      <c r="F915" s="372">
        <f>IFERROR(INDEX('NonART prices by med'!$D$2:$D$102,MATCH(D915,'NonART prices by med'!$A$2:$A$102,0)),"")</f>
        <v>0.19315423345580862</v>
      </c>
      <c r="G915" s="372">
        <f t="shared" si="29"/>
        <v>5.408318536762641</v>
      </c>
      <c r="H915" s="372">
        <f t="shared" si="30"/>
        <v>1</v>
      </c>
    </row>
    <row r="916" spans="1:8">
      <c r="A916" s="372">
        <v>6</v>
      </c>
      <c r="B916" s="373">
        <v>42970</v>
      </c>
      <c r="C916" s="373">
        <v>43335</v>
      </c>
      <c r="D916" s="372">
        <v>342</v>
      </c>
      <c r="E916" s="372">
        <v>28</v>
      </c>
      <c r="F916" s="372">
        <f>IFERROR(INDEX('NonART prices by med'!$D$2:$D$102,MATCH(D916,'NonART prices by med'!$A$2:$A$102,0)),"")</f>
        <v>0.26590000152587889</v>
      </c>
      <c r="G916" s="372">
        <f t="shared" si="29"/>
        <v>7.4452000427246094</v>
      </c>
      <c r="H916" s="372">
        <f t="shared" si="30"/>
        <v>1</v>
      </c>
    </row>
    <row r="917" spans="1:8">
      <c r="A917" s="372">
        <v>7</v>
      </c>
      <c r="B917" s="373">
        <v>43048</v>
      </c>
      <c r="C917" s="373">
        <v>42971</v>
      </c>
      <c r="D917" s="372">
        <v>132</v>
      </c>
      <c r="E917" s="372">
        <v>1</v>
      </c>
      <c r="F917" s="372">
        <f>IFERROR(INDEX('NonART prices by med'!$D$2:$D$102,MATCH(D917,'NonART prices by med'!$A$2:$A$102,0)),"")</f>
        <v>7.0309523809523822E-2</v>
      </c>
      <c r="G917" s="372">
        <f t="shared" si="29"/>
        <v>7.0309523809523822E-2</v>
      </c>
      <c r="H917" s="372">
        <f t="shared" si="30"/>
        <v>1</v>
      </c>
    </row>
    <row r="918" spans="1:8">
      <c r="A918" s="372">
        <v>8</v>
      </c>
      <c r="B918" s="373">
        <v>42971</v>
      </c>
      <c r="C918" s="373">
        <v>42971</v>
      </c>
      <c r="D918" s="372">
        <v>214</v>
      </c>
      <c r="F918" s="372">
        <f>IFERROR(INDEX('NonART prices by med'!$D$2:$D$102,MATCH(D918,'NonART prices by med'!$A$2:$A$102,0)),"")</f>
        <v>0.24476190476190474</v>
      </c>
      <c r="G918" s="372">
        <f t="shared" si="29"/>
        <v>0</v>
      </c>
      <c r="H918" s="372">
        <f t="shared" si="30"/>
        <v>1</v>
      </c>
    </row>
    <row r="919" spans="1:8">
      <c r="A919" s="372">
        <v>11</v>
      </c>
      <c r="B919" s="373">
        <v>42976</v>
      </c>
      <c r="C919" s="373">
        <v>43117</v>
      </c>
      <c r="D919" s="372">
        <v>318</v>
      </c>
      <c r="E919" s="372">
        <v>20</v>
      </c>
      <c r="F919" s="372">
        <f>IFERROR(INDEX('NonART prices by med'!$D$2:$D$102,MATCH(D919,'NonART prices by med'!$A$2:$A$102,0)),"")</f>
        <v>0.19286066077210379</v>
      </c>
      <c r="G919" s="372">
        <f t="shared" si="29"/>
        <v>3.8572132154420755</v>
      </c>
      <c r="H919" s="372">
        <f t="shared" si="30"/>
        <v>1</v>
      </c>
    </row>
    <row r="920" spans="1:8">
      <c r="A920" s="372">
        <v>12</v>
      </c>
      <c r="B920" s="373">
        <v>42977</v>
      </c>
      <c r="C920" s="373">
        <v>43006</v>
      </c>
      <c r="D920" s="372">
        <v>280</v>
      </c>
      <c r="E920" s="372">
        <v>1</v>
      </c>
      <c r="F920" s="372">
        <f>IFERROR(INDEX('NonART prices by med'!$D$2:$D$102,MATCH(D920,'NonART prices by med'!$A$2:$A$102,0)),"")</f>
        <v>0.11576000030852043</v>
      </c>
      <c r="G920" s="372">
        <f t="shared" si="29"/>
        <v>0.11576000030852043</v>
      </c>
      <c r="H920" s="372">
        <f t="shared" si="30"/>
        <v>1</v>
      </c>
    </row>
    <row r="921" spans="1:8">
      <c r="A921" s="372">
        <v>12</v>
      </c>
      <c r="B921" s="373">
        <v>42977</v>
      </c>
      <c r="C921" s="373">
        <v>43089</v>
      </c>
      <c r="D921" s="372">
        <v>318</v>
      </c>
      <c r="E921" s="372">
        <v>20</v>
      </c>
      <c r="F921" s="372">
        <f>IFERROR(INDEX('NonART prices by med'!$D$2:$D$102,MATCH(D921,'NonART prices by med'!$A$2:$A$102,0)),"")</f>
        <v>0.19286066077210379</v>
      </c>
      <c r="G921" s="372">
        <f t="shared" si="29"/>
        <v>3.8572132154420755</v>
      </c>
      <c r="H921" s="372">
        <f t="shared" si="30"/>
        <v>1</v>
      </c>
    </row>
    <row r="922" spans="1:8">
      <c r="A922" s="372">
        <v>12</v>
      </c>
      <c r="B922" s="373">
        <v>42977</v>
      </c>
      <c r="C922" s="373">
        <v>43173</v>
      </c>
      <c r="D922" s="372">
        <v>342</v>
      </c>
      <c r="E922" s="372">
        <v>28</v>
      </c>
      <c r="F922" s="372">
        <f>IFERROR(INDEX('NonART prices by med'!$D$2:$D$102,MATCH(D922,'NonART prices by med'!$A$2:$A$102,0)),"")</f>
        <v>0.26590000152587889</v>
      </c>
      <c r="G922" s="372">
        <f t="shared" si="29"/>
        <v>7.4452000427246094</v>
      </c>
      <c r="H922" s="372">
        <f t="shared" si="30"/>
        <v>1</v>
      </c>
    </row>
    <row r="923" spans="1:8">
      <c r="A923" s="372">
        <v>12</v>
      </c>
      <c r="B923" s="373">
        <v>42977</v>
      </c>
      <c r="C923" s="373">
        <v>43222</v>
      </c>
      <c r="D923" s="372">
        <v>318</v>
      </c>
      <c r="E923" s="372">
        <v>20</v>
      </c>
      <c r="F923" s="372">
        <f>IFERROR(INDEX('NonART prices by med'!$D$2:$D$102,MATCH(D923,'NonART prices by med'!$A$2:$A$102,0)),"")</f>
        <v>0.19286066077210379</v>
      </c>
      <c r="G923" s="372">
        <f t="shared" si="29"/>
        <v>3.8572132154420755</v>
      </c>
      <c r="H923" s="372">
        <f t="shared" si="30"/>
        <v>1</v>
      </c>
    </row>
    <row r="924" spans="1:8">
      <c r="A924" s="372">
        <v>12</v>
      </c>
      <c r="B924" s="373">
        <v>42977</v>
      </c>
      <c r="C924" s="373">
        <v>43334</v>
      </c>
      <c r="D924" s="372">
        <v>225</v>
      </c>
      <c r="E924" s="372">
        <v>28</v>
      </c>
      <c r="F924" s="372">
        <f>IFERROR(INDEX('NonART prices by med'!$D$2:$D$102,MATCH(D924,'NonART prices by med'!$A$2:$A$102,0)),"")</f>
        <v>0.19315423345580862</v>
      </c>
      <c r="G924" s="372">
        <f t="shared" si="29"/>
        <v>5.408318536762641</v>
      </c>
      <c r="H924" s="372">
        <f t="shared" si="30"/>
        <v>1</v>
      </c>
    </row>
    <row r="925" spans="1:8">
      <c r="A925" s="372">
        <v>13</v>
      </c>
      <c r="B925" s="373">
        <v>42977</v>
      </c>
      <c r="C925" s="373">
        <v>42984</v>
      </c>
      <c r="D925" s="372">
        <v>35</v>
      </c>
      <c r="E925" s="372">
        <v>56</v>
      </c>
      <c r="F925" s="372">
        <f>IFERROR(INDEX('NonART prices by med'!$D$2:$D$102,MATCH(D925,'NonART prices by med'!$A$2:$A$102,0)),"")</f>
        <v>0.60205838048342708</v>
      </c>
      <c r="G925" s="372">
        <f t="shared" si="29"/>
        <v>33.715269307071914</v>
      </c>
      <c r="H925" s="372">
        <f t="shared" si="30"/>
        <v>1</v>
      </c>
    </row>
    <row r="926" spans="1:8">
      <c r="A926" s="372">
        <v>13</v>
      </c>
      <c r="B926" s="373">
        <v>42977</v>
      </c>
      <c r="C926" s="373">
        <v>43055</v>
      </c>
      <c r="D926" s="372">
        <v>161</v>
      </c>
      <c r="E926" s="372">
        <v>10</v>
      </c>
      <c r="F926" s="372">
        <f>IFERROR(INDEX('NonART prices by med'!$D$2:$D$102,MATCH(D926,'NonART prices by med'!$A$2:$A$102,0)),"")</f>
        <v>7.1200000371702349E-2</v>
      </c>
      <c r="G926" s="372">
        <f t="shared" si="29"/>
        <v>0.71200000371702354</v>
      </c>
      <c r="H926" s="372">
        <f t="shared" si="30"/>
        <v>1</v>
      </c>
    </row>
    <row r="927" spans="1:8">
      <c r="A927" s="372">
        <v>13</v>
      </c>
      <c r="B927" s="373">
        <v>42977</v>
      </c>
      <c r="C927" s="373">
        <v>43082</v>
      </c>
      <c r="D927" s="372">
        <v>342</v>
      </c>
      <c r="E927" s="372">
        <v>56</v>
      </c>
      <c r="F927" s="372">
        <f>IFERROR(INDEX('NonART prices by med'!$D$2:$D$102,MATCH(D927,'NonART prices by med'!$A$2:$A$102,0)),"")</f>
        <v>0.26590000152587889</v>
      </c>
      <c r="G927" s="372">
        <f t="shared" si="29"/>
        <v>14.890400085449219</v>
      </c>
      <c r="H927" s="372">
        <f t="shared" si="30"/>
        <v>1</v>
      </c>
    </row>
    <row r="928" spans="1:8">
      <c r="A928" s="372">
        <v>13</v>
      </c>
      <c r="B928" s="373">
        <v>42977</v>
      </c>
      <c r="C928" s="373">
        <v>43166</v>
      </c>
      <c r="D928" s="372">
        <v>408</v>
      </c>
      <c r="E928" s="372">
        <v>56</v>
      </c>
      <c r="F928" s="372">
        <f>IFERROR(INDEX('NonART prices by med'!$D$2:$D$102,MATCH(D928,'NonART prices by med'!$A$2:$A$102,0)),"")</f>
        <v>5.5E-2</v>
      </c>
      <c r="G928" s="372">
        <f t="shared" si="29"/>
        <v>3.08</v>
      </c>
      <c r="H928" s="372">
        <f t="shared" si="30"/>
        <v>1</v>
      </c>
    </row>
    <row r="929" spans="1:8">
      <c r="A929" s="372">
        <v>14</v>
      </c>
      <c r="B929" s="373">
        <v>42977</v>
      </c>
      <c r="C929" s="373">
        <v>42991</v>
      </c>
      <c r="D929" s="372">
        <v>35</v>
      </c>
      <c r="E929" s="372">
        <v>56</v>
      </c>
      <c r="F929" s="372">
        <f>IFERROR(INDEX('NonART prices by med'!$D$2:$D$102,MATCH(D929,'NonART prices by med'!$A$2:$A$102,0)),"")</f>
        <v>0.60205838048342708</v>
      </c>
      <c r="G929" s="372">
        <f t="shared" si="29"/>
        <v>33.715269307071914</v>
      </c>
      <c r="H929" s="372">
        <f t="shared" si="30"/>
        <v>1</v>
      </c>
    </row>
    <row r="930" spans="1:8">
      <c r="A930" s="372">
        <v>15</v>
      </c>
      <c r="B930" s="373">
        <v>42977</v>
      </c>
      <c r="C930" s="373">
        <v>43006</v>
      </c>
      <c r="D930" s="372">
        <v>219</v>
      </c>
      <c r="E930" s="372">
        <v>40</v>
      </c>
      <c r="F930" s="372">
        <f>IFERROR(INDEX('NonART prices by med'!$D$2:$D$102,MATCH(D930,'NonART prices by med'!$A$2:$A$102,0)),"")</f>
        <v>0.55532131597376833</v>
      </c>
      <c r="G930" s="372">
        <f t="shared" si="29"/>
        <v>22.212852638950732</v>
      </c>
      <c r="H930" s="372">
        <f t="shared" si="30"/>
        <v>1</v>
      </c>
    </row>
    <row r="931" spans="1:8">
      <c r="A931" s="372">
        <v>15</v>
      </c>
      <c r="B931" s="373">
        <v>42977</v>
      </c>
      <c r="C931" s="373">
        <v>43088</v>
      </c>
      <c r="D931" s="372">
        <v>1</v>
      </c>
      <c r="E931" s="372">
        <v>112</v>
      </c>
      <c r="F931" s="372" t="str">
        <f>IFERROR(INDEX('NonART prices by med'!$D$2:$D$102,MATCH(D931,'NonART prices by med'!$A$2:$A$102,0)),"")</f>
        <v/>
      </c>
      <c r="G931" s="372" t="str">
        <f t="shared" si="29"/>
        <v/>
      </c>
      <c r="H931" s="372">
        <f t="shared" si="30"/>
        <v>1</v>
      </c>
    </row>
    <row r="932" spans="1:8">
      <c r="A932" s="372">
        <v>15</v>
      </c>
      <c r="B932" s="373">
        <v>42977</v>
      </c>
      <c r="C932" s="373">
        <v>43229</v>
      </c>
      <c r="D932" s="372">
        <v>342</v>
      </c>
      <c r="E932" s="372">
        <v>56</v>
      </c>
      <c r="F932" s="372">
        <f>IFERROR(INDEX('NonART prices by med'!$D$2:$D$102,MATCH(D932,'NonART prices by med'!$A$2:$A$102,0)),"")</f>
        <v>0.26590000152587889</v>
      </c>
      <c r="G932" s="372">
        <f t="shared" si="29"/>
        <v>14.890400085449219</v>
      </c>
      <c r="H932" s="372">
        <f t="shared" si="30"/>
        <v>1</v>
      </c>
    </row>
    <row r="933" spans="1:8">
      <c r="A933" s="372">
        <v>17</v>
      </c>
      <c r="B933" s="373">
        <v>42970</v>
      </c>
      <c r="C933" s="373">
        <v>42970</v>
      </c>
      <c r="D933" s="372">
        <v>135</v>
      </c>
      <c r="F933" s="372">
        <f>IFERROR(INDEX('NonART prices by med'!$D$2:$D$102,MATCH(D933,'NonART prices by med'!$A$2:$A$102,0)),"")</f>
        <v>12.65</v>
      </c>
      <c r="G933" s="372">
        <f t="shared" si="29"/>
        <v>0</v>
      </c>
      <c r="H933" s="372">
        <f t="shared" si="30"/>
        <v>1</v>
      </c>
    </row>
    <row r="934" spans="1:8">
      <c r="A934" s="372">
        <v>17</v>
      </c>
      <c r="B934" s="373">
        <v>42970</v>
      </c>
      <c r="C934" s="373">
        <v>43040</v>
      </c>
      <c r="D934" s="372">
        <v>225</v>
      </c>
      <c r="E934" s="372">
        <v>28</v>
      </c>
      <c r="F934" s="372">
        <f>IFERROR(INDEX('NonART prices by med'!$D$2:$D$102,MATCH(D934,'NonART prices by med'!$A$2:$A$102,0)),"")</f>
        <v>0.19315423345580862</v>
      </c>
      <c r="G934" s="372">
        <f t="shared" si="29"/>
        <v>5.408318536762641</v>
      </c>
      <c r="H934" s="372">
        <f t="shared" si="30"/>
        <v>1</v>
      </c>
    </row>
    <row r="935" spans="1:8">
      <c r="A935" s="372">
        <v>17</v>
      </c>
      <c r="B935" s="373">
        <v>42970</v>
      </c>
      <c r="C935" s="373">
        <v>43089</v>
      </c>
      <c r="D935" s="372">
        <v>215</v>
      </c>
      <c r="F935" s="372">
        <f>IFERROR(INDEX('NonART prices by med'!$D$2:$D$102,MATCH(D935,'NonART prices by med'!$A$2:$A$102,0)),"")</f>
        <v>0.27607142857142858</v>
      </c>
      <c r="G935" s="372">
        <f t="shared" si="29"/>
        <v>0</v>
      </c>
      <c r="H935" s="372">
        <f t="shared" si="30"/>
        <v>1</v>
      </c>
    </row>
    <row r="936" spans="1:8">
      <c r="A936" s="372">
        <v>18</v>
      </c>
      <c r="B936" s="373">
        <v>43032</v>
      </c>
      <c r="C936" s="373">
        <v>43032</v>
      </c>
      <c r="D936" s="372">
        <v>132</v>
      </c>
      <c r="E936" s="372">
        <v>56</v>
      </c>
      <c r="F936" s="372">
        <f>IFERROR(INDEX('NonART prices by med'!$D$2:$D$102,MATCH(D936,'NonART prices by med'!$A$2:$A$102,0)),"")</f>
        <v>7.0309523809523822E-2</v>
      </c>
      <c r="G936" s="372">
        <f t="shared" si="29"/>
        <v>3.937333333333334</v>
      </c>
      <c r="H936" s="372">
        <f t="shared" si="30"/>
        <v>1</v>
      </c>
    </row>
    <row r="937" spans="1:8">
      <c r="A937" s="372">
        <v>18</v>
      </c>
      <c r="B937" s="373">
        <v>43032</v>
      </c>
      <c r="C937" s="373">
        <v>43089</v>
      </c>
      <c r="D937" s="372">
        <v>225</v>
      </c>
      <c r="E937" s="372">
        <v>28</v>
      </c>
      <c r="F937" s="372">
        <f>IFERROR(INDEX('NonART prices by med'!$D$2:$D$102,MATCH(D937,'NonART prices by med'!$A$2:$A$102,0)),"")</f>
        <v>0.19315423345580862</v>
      </c>
      <c r="G937" s="372">
        <f t="shared" si="29"/>
        <v>5.408318536762641</v>
      </c>
      <c r="H937" s="372">
        <f t="shared" si="30"/>
        <v>1</v>
      </c>
    </row>
    <row r="938" spans="1:8">
      <c r="A938" s="372">
        <v>18</v>
      </c>
      <c r="B938" s="373">
        <v>43032</v>
      </c>
      <c r="C938" s="373">
        <v>43131</v>
      </c>
      <c r="D938" s="372">
        <v>59</v>
      </c>
      <c r="E938" s="372">
        <v>56</v>
      </c>
      <c r="F938" s="372">
        <f>IFERROR(INDEX('NonART prices by med'!$D$2:$D$102,MATCH(D938,'NonART prices by med'!$A$2:$A$102,0)),"")</f>
        <v>1.6595</v>
      </c>
      <c r="G938" s="372">
        <f t="shared" si="29"/>
        <v>92.932000000000002</v>
      </c>
      <c r="H938" s="372">
        <f t="shared" si="30"/>
        <v>1</v>
      </c>
    </row>
    <row r="939" spans="1:8">
      <c r="A939" s="372">
        <v>18</v>
      </c>
      <c r="B939" s="373">
        <v>43032</v>
      </c>
      <c r="C939" s="373">
        <v>43202</v>
      </c>
      <c r="D939" s="372">
        <v>59</v>
      </c>
      <c r="E939" s="372">
        <v>28</v>
      </c>
      <c r="F939" s="372">
        <f>IFERROR(INDEX('NonART prices by med'!$D$2:$D$102,MATCH(D939,'NonART prices by med'!$A$2:$A$102,0)),"")</f>
        <v>1.6595</v>
      </c>
      <c r="G939" s="372">
        <f t="shared" si="29"/>
        <v>46.466000000000001</v>
      </c>
      <c r="H939" s="372">
        <f t="shared" si="30"/>
        <v>1</v>
      </c>
    </row>
    <row r="940" spans="1:8">
      <c r="A940" s="372">
        <v>19</v>
      </c>
      <c r="B940" s="373">
        <v>42969</v>
      </c>
      <c r="C940" s="373">
        <v>43054</v>
      </c>
      <c r="D940" s="372">
        <v>1</v>
      </c>
      <c r="F940" s="372" t="str">
        <f>IFERROR(INDEX('NonART prices by med'!$D$2:$D$102,MATCH(D940,'NonART prices by med'!$A$2:$A$102,0)),"")</f>
        <v/>
      </c>
      <c r="G940" s="372" t="str">
        <f t="shared" si="29"/>
        <v/>
      </c>
      <c r="H940" s="372">
        <f t="shared" si="30"/>
        <v>1</v>
      </c>
    </row>
    <row r="941" spans="1:8">
      <c r="A941" s="372">
        <v>20</v>
      </c>
      <c r="B941" s="373">
        <v>42968</v>
      </c>
      <c r="C941" s="373">
        <v>42935</v>
      </c>
      <c r="D941" s="372">
        <v>180</v>
      </c>
      <c r="E941" s="372">
        <v>56</v>
      </c>
      <c r="F941" s="372">
        <f>IFERROR(INDEX('NonART prices by med'!$D$2:$D$102,MATCH(D941,'NonART prices by med'!$A$2:$A$102,0)),"")</f>
        <v>13.040999412536621</v>
      </c>
      <c r="G941" s="372">
        <f t="shared" si="29"/>
        <v>730.29596710205078</v>
      </c>
      <c r="H941" s="372">
        <f t="shared" si="30"/>
        <v>1</v>
      </c>
    </row>
    <row r="942" spans="1:8">
      <c r="A942" s="372">
        <v>21</v>
      </c>
      <c r="B942" s="373">
        <v>42968</v>
      </c>
      <c r="C942" s="373">
        <v>42961</v>
      </c>
      <c r="D942" s="372">
        <v>318</v>
      </c>
      <c r="E942" s="372">
        <v>20</v>
      </c>
      <c r="F942" s="372">
        <f>IFERROR(INDEX('NonART prices by med'!$D$2:$D$102,MATCH(D942,'NonART prices by med'!$A$2:$A$102,0)),"")</f>
        <v>0.19286066077210379</v>
      </c>
      <c r="G942" s="372">
        <f t="shared" si="29"/>
        <v>3.8572132154420755</v>
      </c>
      <c r="H942" s="372">
        <f t="shared" si="30"/>
        <v>1</v>
      </c>
    </row>
    <row r="943" spans="1:8">
      <c r="A943" s="372">
        <v>21</v>
      </c>
      <c r="B943" s="373">
        <v>42968</v>
      </c>
      <c r="C943" s="373">
        <v>43027</v>
      </c>
      <c r="D943" s="372">
        <v>106</v>
      </c>
      <c r="E943" s="372">
        <v>1</v>
      </c>
      <c r="F943" s="372">
        <f>IFERROR(INDEX('NonART prices by med'!$D$2:$D$102,MATCH(D943,'NonART prices by med'!$A$2:$A$102,0)),"")</f>
        <v>3.4300000000000004E-2</v>
      </c>
      <c r="G943" s="372">
        <f t="shared" si="29"/>
        <v>3.4300000000000004E-2</v>
      </c>
      <c r="H943" s="372">
        <f t="shared" si="30"/>
        <v>1</v>
      </c>
    </row>
    <row r="944" spans="1:8">
      <c r="A944" s="372">
        <v>21</v>
      </c>
      <c r="B944" s="373">
        <v>42968</v>
      </c>
      <c r="C944" s="373">
        <v>43153</v>
      </c>
      <c r="D944" s="372">
        <v>285</v>
      </c>
      <c r="E944" s="372">
        <v>5</v>
      </c>
      <c r="F944" s="372">
        <f>IFERROR(INDEX('NonART prices by med'!$D$2:$D$102,MATCH(D944,'NonART prices by med'!$A$2:$A$102,0)),"")</f>
        <v>0.1769047619047619</v>
      </c>
      <c r="G944" s="372">
        <f t="shared" si="29"/>
        <v>0.88452380952380949</v>
      </c>
      <c r="H944" s="372">
        <f t="shared" si="30"/>
        <v>1</v>
      </c>
    </row>
    <row r="945" spans="1:8">
      <c r="A945" s="372">
        <v>21</v>
      </c>
      <c r="B945" s="373">
        <v>42968</v>
      </c>
      <c r="C945" s="373">
        <v>43181</v>
      </c>
      <c r="D945" s="372">
        <v>180</v>
      </c>
      <c r="E945" s="372">
        <v>56</v>
      </c>
      <c r="F945" s="372">
        <f>IFERROR(INDEX('NonART prices by med'!$D$2:$D$102,MATCH(D945,'NonART prices by med'!$A$2:$A$102,0)),"")</f>
        <v>13.040999412536621</v>
      </c>
      <c r="G945" s="372">
        <f t="shared" si="29"/>
        <v>730.29596710205078</v>
      </c>
      <c r="H945" s="372">
        <f t="shared" si="30"/>
        <v>1</v>
      </c>
    </row>
    <row r="946" spans="1:8">
      <c r="A946" s="372">
        <v>23</v>
      </c>
      <c r="B946" s="373">
        <v>42968</v>
      </c>
      <c r="C946" s="373">
        <v>43080</v>
      </c>
      <c r="D946" s="372">
        <v>408</v>
      </c>
      <c r="E946" s="372">
        <v>28</v>
      </c>
      <c r="F946" s="372">
        <f>IFERROR(INDEX('NonART prices by med'!$D$2:$D$102,MATCH(D946,'NonART prices by med'!$A$2:$A$102,0)),"")</f>
        <v>5.5E-2</v>
      </c>
      <c r="G946" s="372">
        <f t="shared" si="29"/>
        <v>1.54</v>
      </c>
      <c r="H946" s="372">
        <f t="shared" si="30"/>
        <v>1</v>
      </c>
    </row>
    <row r="947" spans="1:8">
      <c r="A947" s="372">
        <v>24</v>
      </c>
      <c r="B947" s="373">
        <v>42958</v>
      </c>
      <c r="C947" s="373">
        <v>43196</v>
      </c>
      <c r="D947" s="372">
        <v>184</v>
      </c>
      <c r="E947" s="372">
        <v>56</v>
      </c>
      <c r="F947" s="372">
        <f>IFERROR(INDEX('NonART prices by med'!$D$2:$D$102,MATCH(D947,'NonART prices by med'!$A$2:$A$102,0)),"")</f>
        <v>0.21851785714285715</v>
      </c>
      <c r="G947" s="372">
        <f t="shared" si="29"/>
        <v>12.237</v>
      </c>
      <c r="H947" s="372">
        <f t="shared" si="30"/>
        <v>1</v>
      </c>
    </row>
    <row r="948" spans="1:8">
      <c r="A948" s="372">
        <v>24</v>
      </c>
      <c r="B948" s="373">
        <v>42958</v>
      </c>
      <c r="C948" s="373">
        <v>43242</v>
      </c>
      <c r="D948" s="372">
        <v>184</v>
      </c>
      <c r="E948" s="372">
        <v>56</v>
      </c>
      <c r="F948" s="372">
        <f>IFERROR(INDEX('NonART prices by med'!$D$2:$D$102,MATCH(D948,'NonART prices by med'!$A$2:$A$102,0)),"")</f>
        <v>0.21851785714285715</v>
      </c>
      <c r="G948" s="372">
        <f t="shared" si="29"/>
        <v>12.237</v>
      </c>
      <c r="H948" s="372">
        <f t="shared" si="30"/>
        <v>1</v>
      </c>
    </row>
    <row r="949" spans="1:8">
      <c r="A949" s="372">
        <v>24</v>
      </c>
      <c r="B949" s="373">
        <v>42958</v>
      </c>
      <c r="C949" s="373">
        <v>43270</v>
      </c>
      <c r="D949" s="372">
        <v>408</v>
      </c>
      <c r="E949" s="372">
        <v>28</v>
      </c>
      <c r="F949" s="372">
        <f>IFERROR(INDEX('NonART prices by med'!$D$2:$D$102,MATCH(D949,'NonART prices by med'!$A$2:$A$102,0)),"")</f>
        <v>5.5E-2</v>
      </c>
      <c r="G949" s="372">
        <f t="shared" si="29"/>
        <v>1.54</v>
      </c>
      <c r="H949" s="372">
        <f t="shared" si="30"/>
        <v>1</v>
      </c>
    </row>
    <row r="950" spans="1:8">
      <c r="A950" s="372">
        <v>24</v>
      </c>
      <c r="B950" s="373">
        <v>42958</v>
      </c>
      <c r="C950" s="373">
        <v>43298</v>
      </c>
      <c r="D950" s="372">
        <v>408</v>
      </c>
      <c r="E950" s="372">
        <v>28</v>
      </c>
      <c r="F950" s="372">
        <f>IFERROR(INDEX('NonART prices by med'!$D$2:$D$102,MATCH(D950,'NonART prices by med'!$A$2:$A$102,0)),"")</f>
        <v>5.5E-2</v>
      </c>
      <c r="G950" s="372">
        <f t="shared" si="29"/>
        <v>1.54</v>
      </c>
      <c r="H950" s="372">
        <f t="shared" si="30"/>
        <v>1</v>
      </c>
    </row>
    <row r="951" spans="1:8">
      <c r="A951" s="372">
        <v>26</v>
      </c>
      <c r="B951" s="373">
        <v>42963</v>
      </c>
      <c r="C951" s="373">
        <v>43186</v>
      </c>
      <c r="D951" s="372">
        <v>316</v>
      </c>
      <c r="E951" s="372">
        <v>20</v>
      </c>
      <c r="F951" s="372">
        <f>IFERROR(INDEX('NonART prices by med'!$D$2:$D$102,MATCH(D951,'NonART prices by med'!$A$2:$A$102,0)),"")</f>
        <v>5.0199999999999995E-2</v>
      </c>
      <c r="G951" s="372">
        <f t="shared" si="29"/>
        <v>1.004</v>
      </c>
      <c r="H951" s="372">
        <f t="shared" si="30"/>
        <v>1</v>
      </c>
    </row>
    <row r="952" spans="1:8">
      <c r="A952" s="372">
        <v>27</v>
      </c>
      <c r="B952" s="373">
        <v>42961</v>
      </c>
      <c r="C952" s="373">
        <v>42976</v>
      </c>
      <c r="D952" s="372">
        <v>35</v>
      </c>
      <c r="E952" s="372">
        <v>56</v>
      </c>
      <c r="F952" s="372">
        <f>IFERROR(INDEX('NonART prices by med'!$D$2:$D$102,MATCH(D952,'NonART prices by med'!$A$2:$A$102,0)),"")</f>
        <v>0.60205838048342708</v>
      </c>
      <c r="G952" s="372">
        <f t="shared" si="29"/>
        <v>33.715269307071914</v>
      </c>
      <c r="H952" s="372">
        <f t="shared" si="30"/>
        <v>1</v>
      </c>
    </row>
    <row r="953" spans="1:8">
      <c r="A953" s="372">
        <v>27</v>
      </c>
      <c r="B953" s="373">
        <v>42961</v>
      </c>
      <c r="C953" s="373">
        <v>43060</v>
      </c>
      <c r="D953" s="372">
        <v>132</v>
      </c>
      <c r="E953" s="372">
        <v>60</v>
      </c>
      <c r="F953" s="372">
        <f>IFERROR(INDEX('NonART prices by med'!$D$2:$D$102,MATCH(D953,'NonART prices by med'!$A$2:$A$102,0)),"")</f>
        <v>7.0309523809523822E-2</v>
      </c>
      <c r="G953" s="372">
        <f t="shared" si="29"/>
        <v>4.2185714285714297</v>
      </c>
      <c r="H953" s="372">
        <f t="shared" si="30"/>
        <v>1</v>
      </c>
    </row>
    <row r="954" spans="1:8">
      <c r="A954" s="372">
        <v>27</v>
      </c>
      <c r="B954" s="373">
        <v>42961</v>
      </c>
      <c r="C954" s="373">
        <v>43131</v>
      </c>
      <c r="D954" s="372">
        <v>119</v>
      </c>
      <c r="E954" s="372">
        <v>2</v>
      </c>
      <c r="F954" s="372">
        <f>IFERROR(INDEX('NonART prices by med'!$D$2:$D$102,MATCH(D954,'NonART prices by med'!$A$2:$A$102,0)),"")</f>
        <v>4.8429999999999991</v>
      </c>
      <c r="G954" s="372">
        <f t="shared" si="29"/>
        <v>9.6859999999999982</v>
      </c>
      <c r="H954" s="372">
        <f t="shared" si="30"/>
        <v>1</v>
      </c>
    </row>
    <row r="955" spans="1:8">
      <c r="A955" s="372">
        <v>27</v>
      </c>
      <c r="B955" s="373">
        <v>42961</v>
      </c>
      <c r="C955" s="373">
        <v>43308</v>
      </c>
      <c r="D955" s="372">
        <v>279</v>
      </c>
      <c r="E955" s="372">
        <v>15</v>
      </c>
      <c r="F955" s="372">
        <f>IFERROR(INDEX('NonART prices by med'!$D$2:$D$102,MATCH(D955,'NonART prices by med'!$A$2:$A$102,0)),"")</f>
        <v>1.7373333333333332</v>
      </c>
      <c r="G955" s="372">
        <f t="shared" si="29"/>
        <v>26.06</v>
      </c>
      <c r="H955" s="372">
        <f t="shared" si="30"/>
        <v>1</v>
      </c>
    </row>
    <row r="956" spans="1:8">
      <c r="A956" s="372">
        <v>28</v>
      </c>
      <c r="B956" s="373">
        <v>42961</v>
      </c>
      <c r="C956" s="373">
        <v>42961</v>
      </c>
      <c r="D956" s="372">
        <v>285</v>
      </c>
      <c r="F956" s="372">
        <f>IFERROR(INDEX('NonART prices by med'!$D$2:$D$102,MATCH(D956,'NonART prices by med'!$A$2:$A$102,0)),"")</f>
        <v>0.1769047619047619</v>
      </c>
      <c r="G956" s="372">
        <f t="shared" si="29"/>
        <v>0</v>
      </c>
      <c r="H956" s="372">
        <f t="shared" si="30"/>
        <v>1</v>
      </c>
    </row>
    <row r="957" spans="1:8">
      <c r="A957" s="372">
        <v>28</v>
      </c>
      <c r="B957" s="373">
        <v>42961</v>
      </c>
      <c r="C957" s="373">
        <v>43024</v>
      </c>
      <c r="D957" s="372">
        <v>411</v>
      </c>
      <c r="E957" s="372">
        <v>28</v>
      </c>
      <c r="F957" s="372">
        <f>IFERROR(INDEX('NonART prices by med'!$D$2:$D$102,MATCH(D957,'NonART prices by med'!$A$2:$A$102,0)),"")</f>
        <v>0.10354499389265867</v>
      </c>
      <c r="G957" s="372">
        <f t="shared" si="29"/>
        <v>2.8992598289944427</v>
      </c>
      <c r="H957" s="372">
        <f t="shared" si="30"/>
        <v>1</v>
      </c>
    </row>
    <row r="958" spans="1:8">
      <c r="A958" s="372">
        <v>33</v>
      </c>
      <c r="B958" s="373">
        <v>42957</v>
      </c>
      <c r="C958" s="373">
        <v>42957</v>
      </c>
      <c r="D958" s="372">
        <v>117</v>
      </c>
      <c r="E958" s="372">
        <v>2</v>
      </c>
      <c r="F958" s="372">
        <f>IFERROR(INDEX('NonART prices by med'!$D$2:$D$102,MATCH(D958,'NonART prices by med'!$A$2:$A$102,0)),"")</f>
        <v>2.9786666870117187</v>
      </c>
      <c r="G958" s="372">
        <f t="shared" si="29"/>
        <v>5.9573333740234373</v>
      </c>
      <c r="H958" s="372">
        <f t="shared" si="30"/>
        <v>1</v>
      </c>
    </row>
    <row r="959" spans="1:8">
      <c r="A959" s="372">
        <v>33</v>
      </c>
      <c r="B959" s="373">
        <v>42957</v>
      </c>
      <c r="C959" s="373">
        <v>42972</v>
      </c>
      <c r="D959" s="372">
        <v>82</v>
      </c>
      <c r="E959" s="372">
        <v>42</v>
      </c>
      <c r="F959" s="372">
        <f>IFERROR(INDEX('NonART prices by med'!$D$2:$D$102,MATCH(D959,'NonART prices by med'!$A$2:$A$102,0)),"")</f>
        <v>0.77571428571428569</v>
      </c>
      <c r="G959" s="372">
        <f t="shared" si="29"/>
        <v>32.58</v>
      </c>
      <c r="H959" s="372">
        <f t="shared" si="30"/>
        <v>1</v>
      </c>
    </row>
    <row r="960" spans="1:8">
      <c r="A960" s="372">
        <v>33</v>
      </c>
      <c r="B960" s="373">
        <v>42957</v>
      </c>
      <c r="C960" s="373">
        <v>43013</v>
      </c>
      <c r="D960" s="372">
        <v>225</v>
      </c>
      <c r="E960" s="372">
        <v>28</v>
      </c>
      <c r="F960" s="372">
        <f>IFERROR(INDEX('NonART prices by med'!$D$2:$D$102,MATCH(D960,'NonART prices by med'!$A$2:$A$102,0)),"")</f>
        <v>0.19315423345580862</v>
      </c>
      <c r="G960" s="372">
        <f t="shared" si="29"/>
        <v>5.408318536762641</v>
      </c>
      <c r="H960" s="372">
        <f t="shared" si="30"/>
        <v>1</v>
      </c>
    </row>
    <row r="961" spans="1:8">
      <c r="A961" s="372">
        <v>35</v>
      </c>
      <c r="B961" s="373">
        <v>42937</v>
      </c>
      <c r="C961" s="373">
        <v>43146</v>
      </c>
      <c r="D961" s="372">
        <v>215</v>
      </c>
      <c r="F961" s="372">
        <f>IFERROR(INDEX('NonART prices by med'!$D$2:$D$102,MATCH(D961,'NonART prices by med'!$A$2:$A$102,0)),"")</f>
        <v>0.27607142857142858</v>
      </c>
      <c r="G961" s="372">
        <f t="shared" si="29"/>
        <v>0</v>
      </c>
      <c r="H961" s="372">
        <f t="shared" si="30"/>
        <v>1</v>
      </c>
    </row>
    <row r="962" spans="1:8">
      <c r="A962" s="372">
        <v>35</v>
      </c>
      <c r="B962" s="373">
        <v>42937</v>
      </c>
      <c r="C962" s="373">
        <v>43173</v>
      </c>
      <c r="D962" s="372">
        <v>225</v>
      </c>
      <c r="E962" s="372">
        <v>28</v>
      </c>
      <c r="F962" s="372">
        <f>IFERROR(INDEX('NonART prices by med'!$D$2:$D$102,MATCH(D962,'NonART prices by med'!$A$2:$A$102,0)),"")</f>
        <v>0.19315423345580862</v>
      </c>
      <c r="G962" s="372">
        <f t="shared" si="29"/>
        <v>5.408318536762641</v>
      </c>
      <c r="H962" s="372">
        <f t="shared" si="30"/>
        <v>1</v>
      </c>
    </row>
    <row r="963" spans="1:8">
      <c r="A963" s="372">
        <v>35</v>
      </c>
      <c r="B963" s="373">
        <v>42937</v>
      </c>
      <c r="C963" s="373">
        <v>43270</v>
      </c>
      <c r="D963" s="372">
        <v>134</v>
      </c>
      <c r="E963" s="372">
        <v>30</v>
      </c>
      <c r="F963" s="372">
        <f>IFERROR(INDEX('NonART prices by med'!$D$2:$D$102,MATCH(D963,'NonART prices by med'!$A$2:$A$102,0)),"")</f>
        <v>0.39033333366993345</v>
      </c>
      <c r="G963" s="372">
        <f t="shared" ref="G963:G1026" si="31">IFERROR(E963*F963,"")</f>
        <v>11.710000010098003</v>
      </c>
      <c r="H963" s="372">
        <f t="shared" si="30"/>
        <v>1</v>
      </c>
    </row>
    <row r="964" spans="1:8">
      <c r="A964" s="372">
        <v>35</v>
      </c>
      <c r="B964" s="373">
        <v>42937</v>
      </c>
      <c r="C964" s="373">
        <v>43300</v>
      </c>
      <c r="D964" s="372">
        <v>134</v>
      </c>
      <c r="E964" s="372">
        <v>28</v>
      </c>
      <c r="F964" s="372">
        <f>IFERROR(INDEX('NonART prices by med'!$D$2:$D$102,MATCH(D964,'NonART prices by med'!$A$2:$A$102,0)),"")</f>
        <v>0.39033333366993345</v>
      </c>
      <c r="G964" s="372">
        <f t="shared" si="31"/>
        <v>10.929333342758136</v>
      </c>
      <c r="H964" s="372">
        <f t="shared" ref="H964:H1027" si="32">IF(C964-B964&lt;=365,1,0)</f>
        <v>1</v>
      </c>
    </row>
    <row r="965" spans="1:8">
      <c r="A965" s="372">
        <v>36</v>
      </c>
      <c r="B965" s="373">
        <v>42954</v>
      </c>
      <c r="C965" s="373">
        <v>43327</v>
      </c>
      <c r="D965" s="372">
        <v>242</v>
      </c>
      <c r="E965" s="372">
        <v>15</v>
      </c>
      <c r="F965" s="372">
        <f>IFERROR(INDEX('NonART prices by med'!$D$2:$D$102,MATCH(D965,'NonART prices by med'!$A$2:$A$102,0)),"")</f>
        <v>0.22770712586409192</v>
      </c>
      <c r="G965" s="372">
        <f t="shared" si="31"/>
        <v>3.4156068879613786</v>
      </c>
      <c r="H965" s="372">
        <f t="shared" si="32"/>
        <v>0</v>
      </c>
    </row>
    <row r="966" spans="1:8">
      <c r="A966" s="372">
        <v>37</v>
      </c>
      <c r="B966" s="373">
        <v>42954</v>
      </c>
      <c r="C966" s="373">
        <v>43325</v>
      </c>
      <c r="D966" s="372">
        <v>408</v>
      </c>
      <c r="E966" s="372">
        <v>28</v>
      </c>
      <c r="F966" s="372">
        <f>IFERROR(INDEX('NonART prices by med'!$D$2:$D$102,MATCH(D966,'NonART prices by med'!$A$2:$A$102,0)),"")</f>
        <v>5.5E-2</v>
      </c>
      <c r="G966" s="372">
        <f t="shared" si="31"/>
        <v>1.54</v>
      </c>
      <c r="H966" s="372">
        <f t="shared" si="32"/>
        <v>0</v>
      </c>
    </row>
    <row r="967" spans="1:8">
      <c r="A967" s="372">
        <v>40</v>
      </c>
      <c r="B967" s="373">
        <v>42950</v>
      </c>
      <c r="C967" s="373">
        <v>43062</v>
      </c>
      <c r="D967" s="372">
        <v>285</v>
      </c>
      <c r="F967" s="372">
        <f>IFERROR(INDEX('NonART prices by med'!$D$2:$D$102,MATCH(D967,'NonART prices by med'!$A$2:$A$102,0)),"")</f>
        <v>0.1769047619047619</v>
      </c>
      <c r="G967" s="372">
        <f t="shared" si="31"/>
        <v>0</v>
      </c>
      <c r="H967" s="372">
        <f t="shared" si="32"/>
        <v>1</v>
      </c>
    </row>
    <row r="968" spans="1:8">
      <c r="A968" s="372">
        <v>41</v>
      </c>
      <c r="B968" s="373">
        <v>42950</v>
      </c>
      <c r="C968" s="373">
        <v>42979</v>
      </c>
      <c r="D968" s="372">
        <v>24</v>
      </c>
      <c r="E968" s="372">
        <v>28</v>
      </c>
      <c r="F968" s="372">
        <f>IFERROR(INDEX('NonART prices by med'!$D$2:$D$102,MATCH(D968,'NonART prices by med'!$A$2:$A$102,0)),"")</f>
        <v>0.1467857142857143</v>
      </c>
      <c r="G968" s="372">
        <f t="shared" si="31"/>
        <v>4.1100000000000003</v>
      </c>
      <c r="H968" s="372">
        <f t="shared" si="32"/>
        <v>1</v>
      </c>
    </row>
    <row r="969" spans="1:8">
      <c r="A969" s="372">
        <v>41</v>
      </c>
      <c r="B969" s="373">
        <v>42950</v>
      </c>
      <c r="C969" s="373">
        <v>43007</v>
      </c>
      <c r="D969" s="372">
        <v>35</v>
      </c>
      <c r="E969" s="372">
        <v>56</v>
      </c>
      <c r="F969" s="372">
        <f>IFERROR(INDEX('NonART prices by med'!$D$2:$D$102,MATCH(D969,'NonART prices by med'!$A$2:$A$102,0)),"")</f>
        <v>0.60205838048342708</v>
      </c>
      <c r="G969" s="372">
        <f t="shared" si="31"/>
        <v>33.715269307071914</v>
      </c>
      <c r="H969" s="372">
        <f t="shared" si="32"/>
        <v>1</v>
      </c>
    </row>
    <row r="970" spans="1:8">
      <c r="A970" s="372">
        <v>41</v>
      </c>
      <c r="B970" s="373">
        <v>42950</v>
      </c>
      <c r="C970" s="373">
        <v>43062</v>
      </c>
      <c r="D970" s="372">
        <v>342</v>
      </c>
      <c r="E970" s="372">
        <v>28</v>
      </c>
      <c r="F970" s="372">
        <f>IFERROR(INDEX('NonART prices by med'!$D$2:$D$102,MATCH(D970,'NonART prices by med'!$A$2:$A$102,0)),"")</f>
        <v>0.26590000152587889</v>
      </c>
      <c r="G970" s="372">
        <f t="shared" si="31"/>
        <v>7.4452000427246094</v>
      </c>
      <c r="H970" s="372">
        <f t="shared" si="32"/>
        <v>1</v>
      </c>
    </row>
    <row r="971" spans="1:8">
      <c r="A971" s="372">
        <v>41</v>
      </c>
      <c r="B971" s="373">
        <v>42950</v>
      </c>
      <c r="C971" s="373">
        <v>43090</v>
      </c>
      <c r="D971" s="372">
        <v>24</v>
      </c>
      <c r="E971" s="372">
        <v>56</v>
      </c>
      <c r="F971" s="372">
        <f>IFERROR(INDEX('NonART prices by med'!$D$2:$D$102,MATCH(D971,'NonART prices by med'!$A$2:$A$102,0)),"")</f>
        <v>0.1467857142857143</v>
      </c>
      <c r="G971" s="372">
        <f t="shared" si="31"/>
        <v>8.2200000000000006</v>
      </c>
      <c r="H971" s="372">
        <f t="shared" si="32"/>
        <v>1</v>
      </c>
    </row>
    <row r="972" spans="1:8">
      <c r="A972" s="372">
        <v>41</v>
      </c>
      <c r="B972" s="373">
        <v>42950</v>
      </c>
      <c r="C972" s="373">
        <v>43355</v>
      </c>
      <c r="D972" s="372">
        <v>225</v>
      </c>
      <c r="E972" s="372">
        <v>28</v>
      </c>
      <c r="F972" s="372">
        <f>IFERROR(INDEX('NonART prices by med'!$D$2:$D$102,MATCH(D972,'NonART prices by med'!$A$2:$A$102,0)),"")</f>
        <v>0.19315423345580862</v>
      </c>
      <c r="G972" s="372">
        <f t="shared" si="31"/>
        <v>5.408318536762641</v>
      </c>
      <c r="H972" s="372">
        <f t="shared" si="32"/>
        <v>0</v>
      </c>
    </row>
    <row r="973" spans="1:8">
      <c r="A973" s="372">
        <v>43</v>
      </c>
      <c r="B973" s="373">
        <v>42949</v>
      </c>
      <c r="C973" s="373">
        <v>42935</v>
      </c>
      <c r="D973" s="372">
        <v>56</v>
      </c>
      <c r="E973" s="372">
        <v>8</v>
      </c>
      <c r="F973" s="372">
        <f>IFERROR(INDEX('NonART prices by med'!$D$2:$D$102,MATCH(D973,'NonART prices by med'!$A$2:$A$102,0)),"")</f>
        <v>1.8939285714285714</v>
      </c>
      <c r="G973" s="372">
        <f t="shared" si="31"/>
        <v>15.151428571428571</v>
      </c>
      <c r="H973" s="372">
        <f t="shared" si="32"/>
        <v>1</v>
      </c>
    </row>
    <row r="974" spans="1:8">
      <c r="A974" s="372">
        <v>43</v>
      </c>
      <c r="B974" s="373">
        <v>42949</v>
      </c>
      <c r="C974" s="373">
        <v>42949</v>
      </c>
      <c r="D974" s="372">
        <v>57</v>
      </c>
      <c r="E974" s="372">
        <v>56</v>
      </c>
      <c r="F974" s="372">
        <f>IFERROR(INDEX('NonART prices by med'!$D$2:$D$102,MATCH(D974,'NonART prices by med'!$A$2:$A$102,0)),"")</f>
        <v>2.0742857142857143</v>
      </c>
      <c r="G974" s="372">
        <f t="shared" si="31"/>
        <v>116.16</v>
      </c>
      <c r="H974" s="372">
        <f t="shared" si="32"/>
        <v>1</v>
      </c>
    </row>
    <row r="975" spans="1:8">
      <c r="A975" s="372">
        <v>43</v>
      </c>
      <c r="B975" s="373">
        <v>42949</v>
      </c>
      <c r="C975" s="373">
        <v>42962</v>
      </c>
      <c r="D975" s="372">
        <v>184</v>
      </c>
      <c r="E975" s="372">
        <v>56</v>
      </c>
      <c r="F975" s="372">
        <f>IFERROR(INDEX('NonART prices by med'!$D$2:$D$102,MATCH(D975,'NonART prices by med'!$A$2:$A$102,0)),"")</f>
        <v>0.21851785714285715</v>
      </c>
      <c r="G975" s="372">
        <f t="shared" si="31"/>
        <v>12.237</v>
      </c>
      <c r="H975" s="372">
        <f t="shared" si="32"/>
        <v>1</v>
      </c>
    </row>
    <row r="976" spans="1:8">
      <c r="A976" s="372">
        <v>43</v>
      </c>
      <c r="B976" s="373">
        <v>42949</v>
      </c>
      <c r="C976" s="373">
        <v>42975</v>
      </c>
      <c r="D976" s="372">
        <v>283</v>
      </c>
      <c r="E976" s="372">
        <v>10</v>
      </c>
      <c r="F976" s="372">
        <f>IFERROR(INDEX('NonART prices by med'!$D$2:$D$102,MATCH(D976,'NonART prices by med'!$A$2:$A$102,0)),"")</f>
        <v>0.17899999898380203</v>
      </c>
      <c r="G976" s="372">
        <f t="shared" si="31"/>
        <v>1.7899999898380203</v>
      </c>
      <c r="H976" s="372">
        <f t="shared" si="32"/>
        <v>1</v>
      </c>
    </row>
    <row r="977" spans="1:8">
      <c r="A977" s="372">
        <v>43</v>
      </c>
      <c r="B977" s="373">
        <v>42949</v>
      </c>
      <c r="C977" s="373">
        <v>42990</v>
      </c>
      <c r="D977" s="372">
        <v>408</v>
      </c>
      <c r="E977" s="372">
        <v>28</v>
      </c>
      <c r="F977" s="372">
        <f>IFERROR(INDEX('NonART prices by med'!$D$2:$D$102,MATCH(D977,'NonART prices by med'!$A$2:$A$102,0)),"")</f>
        <v>5.5E-2</v>
      </c>
      <c r="G977" s="372">
        <f t="shared" si="31"/>
        <v>1.54</v>
      </c>
      <c r="H977" s="372">
        <f t="shared" si="32"/>
        <v>1</v>
      </c>
    </row>
    <row r="978" spans="1:8">
      <c r="A978" s="372">
        <v>43</v>
      </c>
      <c r="B978" s="373">
        <v>42949</v>
      </c>
      <c r="C978" s="373">
        <v>43018</v>
      </c>
      <c r="D978" s="372">
        <v>59</v>
      </c>
      <c r="E978" s="372">
        <v>28</v>
      </c>
      <c r="F978" s="372">
        <f>IFERROR(INDEX('NonART prices by med'!$D$2:$D$102,MATCH(D978,'NonART prices by med'!$A$2:$A$102,0)),"")</f>
        <v>1.6595</v>
      </c>
      <c r="G978" s="372">
        <f t="shared" si="31"/>
        <v>46.466000000000001</v>
      </c>
      <c r="H978" s="372">
        <f t="shared" si="32"/>
        <v>1</v>
      </c>
    </row>
    <row r="979" spans="1:8">
      <c r="A979" s="372">
        <v>43</v>
      </c>
      <c r="B979" s="373">
        <v>42949</v>
      </c>
      <c r="C979" s="373">
        <v>43046</v>
      </c>
      <c r="D979" s="372">
        <v>184</v>
      </c>
      <c r="E979" s="372">
        <v>112</v>
      </c>
      <c r="F979" s="372">
        <f>IFERROR(INDEX('NonART prices by med'!$D$2:$D$102,MATCH(D979,'NonART prices by med'!$A$2:$A$102,0)),"")</f>
        <v>0.21851785714285715</v>
      </c>
      <c r="G979" s="372">
        <f t="shared" si="31"/>
        <v>24.474</v>
      </c>
      <c r="H979" s="372">
        <f t="shared" si="32"/>
        <v>1</v>
      </c>
    </row>
    <row r="980" spans="1:8">
      <c r="A980" s="372">
        <v>43</v>
      </c>
      <c r="B980" s="373">
        <v>42949</v>
      </c>
      <c r="C980" s="373">
        <v>43118</v>
      </c>
      <c r="D980" s="372">
        <v>408</v>
      </c>
      <c r="E980" s="372">
        <v>56</v>
      </c>
      <c r="F980" s="372">
        <f>IFERROR(INDEX('NonART prices by med'!$D$2:$D$102,MATCH(D980,'NonART prices by med'!$A$2:$A$102,0)),"")</f>
        <v>5.5E-2</v>
      </c>
      <c r="G980" s="372">
        <f t="shared" si="31"/>
        <v>3.08</v>
      </c>
      <c r="H980" s="372">
        <f t="shared" si="32"/>
        <v>1</v>
      </c>
    </row>
    <row r="981" spans="1:8">
      <c r="A981" s="372">
        <v>44</v>
      </c>
      <c r="B981" s="373">
        <v>42949</v>
      </c>
      <c r="C981" s="373">
        <v>42985</v>
      </c>
      <c r="D981" s="372">
        <v>225</v>
      </c>
      <c r="E981" s="372">
        <v>56</v>
      </c>
      <c r="F981" s="372">
        <f>IFERROR(INDEX('NonART prices by med'!$D$2:$D$102,MATCH(D981,'NonART prices by med'!$A$2:$A$102,0)),"")</f>
        <v>0.19315423345580862</v>
      </c>
      <c r="G981" s="372">
        <f t="shared" si="31"/>
        <v>10.816637073525282</v>
      </c>
      <c r="H981" s="372">
        <f t="shared" si="32"/>
        <v>1</v>
      </c>
    </row>
    <row r="982" spans="1:8">
      <c r="A982" s="372">
        <v>44</v>
      </c>
      <c r="B982" s="373">
        <v>42949</v>
      </c>
      <c r="C982" s="373">
        <v>43027</v>
      </c>
      <c r="D982" s="372">
        <v>134</v>
      </c>
      <c r="E982" s="372">
        <v>60</v>
      </c>
      <c r="F982" s="372">
        <f>IFERROR(INDEX('NonART prices by med'!$D$2:$D$102,MATCH(D982,'NonART prices by med'!$A$2:$A$102,0)),"")</f>
        <v>0.39033333366993345</v>
      </c>
      <c r="G982" s="372">
        <f t="shared" si="31"/>
        <v>23.420000020196007</v>
      </c>
      <c r="H982" s="372">
        <f t="shared" si="32"/>
        <v>1</v>
      </c>
    </row>
    <row r="983" spans="1:8">
      <c r="A983" s="372">
        <v>45</v>
      </c>
      <c r="B983" s="373">
        <v>42949</v>
      </c>
      <c r="C983" s="373">
        <v>42963</v>
      </c>
      <c r="D983" s="372">
        <v>8</v>
      </c>
      <c r="E983" s="372">
        <v>28</v>
      </c>
      <c r="F983" s="372">
        <f>IFERROR(INDEX('NonART prices by med'!$D$2:$D$102,MATCH(D983,'NonART prices by med'!$A$2:$A$102,0)),"")</f>
        <v>0.12772849588143914</v>
      </c>
      <c r="G983" s="372">
        <f t="shared" si="31"/>
        <v>3.5763978846802962</v>
      </c>
      <c r="H983" s="372">
        <f t="shared" si="32"/>
        <v>1</v>
      </c>
    </row>
    <row r="984" spans="1:8">
      <c r="A984" s="372">
        <v>45</v>
      </c>
      <c r="B984" s="373">
        <v>42949</v>
      </c>
      <c r="C984" s="373">
        <v>43047</v>
      </c>
      <c r="D984" s="372">
        <v>13</v>
      </c>
      <c r="E984" s="372">
        <v>28</v>
      </c>
      <c r="F984" s="372">
        <f>IFERROR(INDEX('NonART prices by med'!$D$2:$D$102,MATCH(D984,'NonART prices by med'!$A$2:$A$102,0)),"")</f>
        <v>0.15256434030246604</v>
      </c>
      <c r="G984" s="372">
        <f t="shared" si="31"/>
        <v>4.2718015284690489</v>
      </c>
      <c r="H984" s="372">
        <f t="shared" si="32"/>
        <v>1</v>
      </c>
    </row>
    <row r="985" spans="1:8">
      <c r="A985" s="372">
        <v>45</v>
      </c>
      <c r="B985" s="373">
        <v>42949</v>
      </c>
      <c r="C985" s="373">
        <v>43075</v>
      </c>
      <c r="D985" s="372">
        <v>13</v>
      </c>
      <c r="E985" s="372">
        <v>56</v>
      </c>
      <c r="F985" s="372">
        <f>IFERROR(INDEX('NonART prices by med'!$D$2:$D$102,MATCH(D985,'NonART prices by med'!$A$2:$A$102,0)),"")</f>
        <v>0.15256434030246604</v>
      </c>
      <c r="G985" s="372">
        <f t="shared" si="31"/>
        <v>8.5436030569380979</v>
      </c>
      <c r="H985" s="372">
        <f t="shared" si="32"/>
        <v>1</v>
      </c>
    </row>
    <row r="986" spans="1:8">
      <c r="A986" s="372">
        <v>45</v>
      </c>
      <c r="B986" s="373">
        <v>42949</v>
      </c>
      <c r="C986" s="373">
        <v>43131</v>
      </c>
      <c r="D986" s="372">
        <v>13</v>
      </c>
      <c r="E986" s="372">
        <v>28</v>
      </c>
      <c r="F986" s="372">
        <f>IFERROR(INDEX('NonART prices by med'!$D$2:$D$102,MATCH(D986,'NonART prices by med'!$A$2:$A$102,0)),"")</f>
        <v>0.15256434030246604</v>
      </c>
      <c r="G986" s="372">
        <f t="shared" si="31"/>
        <v>4.2718015284690489</v>
      </c>
      <c r="H986" s="372">
        <f t="shared" si="32"/>
        <v>1</v>
      </c>
    </row>
    <row r="987" spans="1:8">
      <c r="A987" s="372">
        <v>45</v>
      </c>
      <c r="B987" s="373">
        <v>42949</v>
      </c>
      <c r="C987" s="373">
        <v>43159</v>
      </c>
      <c r="D987" s="372">
        <v>13</v>
      </c>
      <c r="E987" s="372">
        <v>28</v>
      </c>
      <c r="F987" s="372">
        <f>IFERROR(INDEX('NonART prices by med'!$D$2:$D$102,MATCH(D987,'NonART prices by med'!$A$2:$A$102,0)),"")</f>
        <v>0.15256434030246604</v>
      </c>
      <c r="G987" s="372">
        <f t="shared" si="31"/>
        <v>4.2718015284690489</v>
      </c>
      <c r="H987" s="372">
        <f t="shared" si="32"/>
        <v>1</v>
      </c>
    </row>
    <row r="988" spans="1:8">
      <c r="A988" s="372">
        <v>45</v>
      </c>
      <c r="B988" s="373">
        <v>42949</v>
      </c>
      <c r="C988" s="373">
        <v>43188</v>
      </c>
      <c r="D988" s="372">
        <v>13</v>
      </c>
      <c r="E988" s="372">
        <v>28</v>
      </c>
      <c r="F988" s="372">
        <f>IFERROR(INDEX('NonART prices by med'!$D$2:$D$102,MATCH(D988,'NonART prices by med'!$A$2:$A$102,0)),"")</f>
        <v>0.15256434030246604</v>
      </c>
      <c r="G988" s="372">
        <f t="shared" si="31"/>
        <v>4.2718015284690489</v>
      </c>
      <c r="H988" s="372">
        <f t="shared" si="32"/>
        <v>1</v>
      </c>
    </row>
    <row r="989" spans="1:8">
      <c r="A989" s="372">
        <v>45</v>
      </c>
      <c r="B989" s="373">
        <v>42949</v>
      </c>
      <c r="C989" s="373">
        <v>43215</v>
      </c>
      <c r="D989" s="372">
        <v>13</v>
      </c>
      <c r="E989" s="372">
        <v>56</v>
      </c>
      <c r="F989" s="372">
        <f>IFERROR(INDEX('NonART prices by med'!$D$2:$D$102,MATCH(D989,'NonART prices by med'!$A$2:$A$102,0)),"")</f>
        <v>0.15256434030246604</v>
      </c>
      <c r="G989" s="372">
        <f t="shared" si="31"/>
        <v>8.5436030569380979</v>
      </c>
      <c r="H989" s="372">
        <f t="shared" si="32"/>
        <v>1</v>
      </c>
    </row>
    <row r="990" spans="1:8">
      <c r="A990" s="372">
        <v>45</v>
      </c>
      <c r="B990" s="373">
        <v>42949</v>
      </c>
      <c r="C990" s="373">
        <v>43271</v>
      </c>
      <c r="D990" s="372">
        <v>13</v>
      </c>
      <c r="E990" s="372">
        <v>56</v>
      </c>
      <c r="F990" s="372">
        <f>IFERROR(INDEX('NonART prices by med'!$D$2:$D$102,MATCH(D990,'NonART prices by med'!$A$2:$A$102,0)),"")</f>
        <v>0.15256434030246604</v>
      </c>
      <c r="G990" s="372">
        <f t="shared" si="31"/>
        <v>8.5436030569380979</v>
      </c>
      <c r="H990" s="372">
        <f t="shared" si="32"/>
        <v>1</v>
      </c>
    </row>
    <row r="991" spans="1:8">
      <c r="A991" s="372">
        <v>45</v>
      </c>
      <c r="B991" s="373">
        <v>42949</v>
      </c>
      <c r="C991" s="373">
        <v>43334</v>
      </c>
      <c r="D991" s="372">
        <v>13</v>
      </c>
      <c r="E991" s="372">
        <v>28</v>
      </c>
      <c r="F991" s="372">
        <f>IFERROR(INDEX('NonART prices by med'!$D$2:$D$102,MATCH(D991,'NonART prices by med'!$A$2:$A$102,0)),"")</f>
        <v>0.15256434030246604</v>
      </c>
      <c r="G991" s="372">
        <f t="shared" si="31"/>
        <v>4.2718015284690489</v>
      </c>
      <c r="H991" s="372">
        <f t="shared" si="32"/>
        <v>0</v>
      </c>
    </row>
    <row r="992" spans="1:8">
      <c r="A992" s="372">
        <v>46</v>
      </c>
      <c r="B992" s="373">
        <v>42949</v>
      </c>
      <c r="C992" s="373">
        <v>43089</v>
      </c>
      <c r="D992" s="372">
        <v>146</v>
      </c>
      <c r="F992" s="372">
        <f>IFERROR(INDEX('NonART prices by med'!$D$2:$D$102,MATCH(D992,'NonART prices by med'!$A$2:$A$102,0)),"")</f>
        <v>4.2040000000000006</v>
      </c>
      <c r="G992" s="372">
        <f t="shared" si="31"/>
        <v>0</v>
      </c>
      <c r="H992" s="372">
        <f t="shared" si="32"/>
        <v>1</v>
      </c>
    </row>
    <row r="993" spans="1:8">
      <c r="A993" s="372">
        <v>46</v>
      </c>
      <c r="B993" s="373">
        <v>42949</v>
      </c>
      <c r="C993" s="373">
        <v>43228</v>
      </c>
      <c r="D993" s="372">
        <v>342</v>
      </c>
      <c r="E993" s="372">
        <v>28</v>
      </c>
      <c r="F993" s="372">
        <f>IFERROR(INDEX('NonART prices by med'!$D$2:$D$102,MATCH(D993,'NonART prices by med'!$A$2:$A$102,0)),"")</f>
        <v>0.26590000152587889</v>
      </c>
      <c r="G993" s="372">
        <f t="shared" si="31"/>
        <v>7.4452000427246094</v>
      </c>
      <c r="H993" s="372">
        <f t="shared" si="32"/>
        <v>1</v>
      </c>
    </row>
    <row r="994" spans="1:8">
      <c r="A994" s="372">
        <v>46</v>
      </c>
      <c r="B994" s="373">
        <v>42949</v>
      </c>
      <c r="C994" s="373">
        <v>43313</v>
      </c>
      <c r="D994" s="372">
        <v>342</v>
      </c>
      <c r="E994" s="372">
        <v>28</v>
      </c>
      <c r="F994" s="372">
        <f>IFERROR(INDEX('NonART prices by med'!$D$2:$D$102,MATCH(D994,'NonART prices by med'!$A$2:$A$102,0)),"")</f>
        <v>0.26590000152587889</v>
      </c>
      <c r="G994" s="372">
        <f t="shared" si="31"/>
        <v>7.4452000427246094</v>
      </c>
      <c r="H994" s="372">
        <f t="shared" si="32"/>
        <v>1</v>
      </c>
    </row>
    <row r="995" spans="1:8">
      <c r="A995" s="372">
        <v>48</v>
      </c>
      <c r="B995" s="373">
        <v>42947</v>
      </c>
      <c r="C995" s="373">
        <v>42970</v>
      </c>
      <c r="D995" s="372">
        <v>134</v>
      </c>
      <c r="E995" s="372">
        <v>44</v>
      </c>
      <c r="F995" s="372">
        <f>IFERROR(INDEX('NonART prices by med'!$D$2:$D$102,MATCH(D995,'NonART prices by med'!$A$2:$A$102,0)),"")</f>
        <v>0.39033333366993345</v>
      </c>
      <c r="G995" s="372">
        <f t="shared" si="31"/>
        <v>17.174666681477071</v>
      </c>
      <c r="H995" s="372">
        <f t="shared" si="32"/>
        <v>1</v>
      </c>
    </row>
    <row r="996" spans="1:8">
      <c r="A996" s="372">
        <v>48</v>
      </c>
      <c r="B996" s="373">
        <v>42947</v>
      </c>
      <c r="C996" s="373">
        <v>42998</v>
      </c>
      <c r="D996" s="372">
        <v>402</v>
      </c>
      <c r="E996" s="372">
        <v>1</v>
      </c>
      <c r="F996" s="372">
        <f>IFERROR(INDEX('NonART prices by med'!$D$2:$D$102,MATCH(D996,'NonART prices by med'!$A$2:$A$102,0)),"")</f>
        <v>84.57</v>
      </c>
      <c r="G996" s="372">
        <f t="shared" si="31"/>
        <v>84.57</v>
      </c>
      <c r="H996" s="372">
        <f t="shared" si="32"/>
        <v>1</v>
      </c>
    </row>
    <row r="997" spans="1:8">
      <c r="A997" s="372">
        <v>48</v>
      </c>
      <c r="B997" s="373">
        <v>42947</v>
      </c>
      <c r="C997" s="373">
        <v>43041</v>
      </c>
      <c r="D997" s="372">
        <v>35</v>
      </c>
      <c r="E997" s="372">
        <v>56</v>
      </c>
      <c r="F997" s="372">
        <f>IFERROR(INDEX('NonART prices by med'!$D$2:$D$102,MATCH(D997,'NonART prices by med'!$A$2:$A$102,0)),"")</f>
        <v>0.60205838048342708</v>
      </c>
      <c r="G997" s="372">
        <f t="shared" si="31"/>
        <v>33.715269307071914</v>
      </c>
      <c r="H997" s="372">
        <f t="shared" si="32"/>
        <v>1</v>
      </c>
    </row>
    <row r="998" spans="1:8">
      <c r="A998" s="372">
        <v>48</v>
      </c>
      <c r="B998" s="373">
        <v>42947</v>
      </c>
      <c r="C998" s="373">
        <v>43279</v>
      </c>
      <c r="D998" s="372">
        <v>1</v>
      </c>
      <c r="E998" s="372">
        <v>2</v>
      </c>
      <c r="F998" s="372" t="str">
        <f>IFERROR(INDEX('NonART prices by med'!$D$2:$D$102,MATCH(D998,'NonART prices by med'!$A$2:$A$102,0)),"")</f>
        <v/>
      </c>
      <c r="G998" s="372" t="str">
        <f t="shared" si="31"/>
        <v/>
      </c>
      <c r="H998" s="372">
        <f t="shared" si="32"/>
        <v>1</v>
      </c>
    </row>
    <row r="999" spans="1:8">
      <c r="A999" s="372">
        <v>49</v>
      </c>
      <c r="B999" s="373">
        <v>42948</v>
      </c>
      <c r="C999" s="373">
        <v>43053</v>
      </c>
      <c r="D999" s="372">
        <v>342</v>
      </c>
      <c r="E999" s="372">
        <v>28</v>
      </c>
      <c r="F999" s="372">
        <f>IFERROR(INDEX('NonART prices by med'!$D$2:$D$102,MATCH(D999,'NonART prices by med'!$A$2:$A$102,0)),"")</f>
        <v>0.26590000152587889</v>
      </c>
      <c r="G999" s="372">
        <f t="shared" si="31"/>
        <v>7.4452000427246094</v>
      </c>
      <c r="H999" s="372">
        <f t="shared" si="32"/>
        <v>1</v>
      </c>
    </row>
    <row r="1000" spans="1:8">
      <c r="A1000" s="372">
        <v>49</v>
      </c>
      <c r="B1000" s="373">
        <v>42948</v>
      </c>
      <c r="C1000" s="373">
        <v>43081</v>
      </c>
      <c r="D1000" s="372">
        <v>184</v>
      </c>
      <c r="E1000" s="372">
        <v>56</v>
      </c>
      <c r="F1000" s="372">
        <f>IFERROR(INDEX('NonART prices by med'!$D$2:$D$102,MATCH(D1000,'NonART prices by med'!$A$2:$A$102,0)),"")</f>
        <v>0.21851785714285715</v>
      </c>
      <c r="G1000" s="372">
        <f t="shared" si="31"/>
        <v>12.237</v>
      </c>
      <c r="H1000" s="372">
        <f t="shared" si="32"/>
        <v>1</v>
      </c>
    </row>
    <row r="1001" spans="1:8">
      <c r="A1001" s="372">
        <v>49</v>
      </c>
      <c r="B1001" s="373">
        <v>42948</v>
      </c>
      <c r="C1001" s="373">
        <v>43137</v>
      </c>
      <c r="D1001" s="372">
        <v>408</v>
      </c>
      <c r="E1001" s="372">
        <v>28</v>
      </c>
      <c r="F1001" s="372">
        <f>IFERROR(INDEX('NonART prices by med'!$D$2:$D$102,MATCH(D1001,'NonART prices by med'!$A$2:$A$102,0)),"")</f>
        <v>5.5E-2</v>
      </c>
      <c r="G1001" s="372">
        <f t="shared" si="31"/>
        <v>1.54</v>
      </c>
      <c r="H1001" s="372">
        <f t="shared" si="32"/>
        <v>1</v>
      </c>
    </row>
    <row r="1002" spans="1:8">
      <c r="A1002" s="372">
        <v>49</v>
      </c>
      <c r="B1002" s="373">
        <v>42948</v>
      </c>
      <c r="C1002" s="373">
        <v>43339</v>
      </c>
      <c r="D1002" s="372">
        <v>35</v>
      </c>
      <c r="E1002" s="372">
        <v>28</v>
      </c>
      <c r="F1002" s="372">
        <f>IFERROR(INDEX('NonART prices by med'!$D$2:$D$102,MATCH(D1002,'NonART prices by med'!$A$2:$A$102,0)),"")</f>
        <v>0.60205838048342708</v>
      </c>
      <c r="G1002" s="372">
        <f t="shared" si="31"/>
        <v>16.857634653535957</v>
      </c>
      <c r="H1002" s="372">
        <f t="shared" si="32"/>
        <v>0</v>
      </c>
    </row>
    <row r="1003" spans="1:8">
      <c r="A1003" s="372">
        <v>49</v>
      </c>
      <c r="B1003" s="373">
        <v>42948</v>
      </c>
      <c r="C1003" s="373">
        <v>43369</v>
      </c>
      <c r="D1003" s="372">
        <v>35</v>
      </c>
      <c r="E1003" s="372">
        <v>28</v>
      </c>
      <c r="F1003" s="372">
        <f>IFERROR(INDEX('NonART prices by med'!$D$2:$D$102,MATCH(D1003,'NonART prices by med'!$A$2:$A$102,0)),"")</f>
        <v>0.60205838048342708</v>
      </c>
      <c r="G1003" s="372">
        <f t="shared" si="31"/>
        <v>16.857634653535957</v>
      </c>
      <c r="H1003" s="372">
        <f t="shared" si="32"/>
        <v>0</v>
      </c>
    </row>
    <row r="1004" spans="1:8">
      <c r="A1004" s="372">
        <v>51</v>
      </c>
      <c r="B1004" s="373">
        <v>42944</v>
      </c>
      <c r="C1004" s="373">
        <v>42944</v>
      </c>
      <c r="D1004" s="372">
        <v>215</v>
      </c>
      <c r="E1004" s="372">
        <v>28</v>
      </c>
      <c r="F1004" s="372">
        <f>IFERROR(INDEX('NonART prices by med'!$D$2:$D$102,MATCH(D1004,'NonART prices by med'!$A$2:$A$102,0)),"")</f>
        <v>0.27607142857142858</v>
      </c>
      <c r="G1004" s="372">
        <f t="shared" si="31"/>
        <v>7.73</v>
      </c>
      <c r="H1004" s="372">
        <f t="shared" si="32"/>
        <v>1</v>
      </c>
    </row>
    <row r="1005" spans="1:8">
      <c r="A1005" s="372">
        <v>52</v>
      </c>
      <c r="B1005" s="373">
        <v>42943</v>
      </c>
      <c r="C1005" s="373">
        <v>43440</v>
      </c>
      <c r="D1005" s="372">
        <v>134</v>
      </c>
      <c r="F1005" s="372">
        <f>IFERROR(INDEX('NonART prices by med'!$D$2:$D$102,MATCH(D1005,'NonART prices by med'!$A$2:$A$102,0)),"")</f>
        <v>0.39033333366993345</v>
      </c>
      <c r="G1005" s="372">
        <f t="shared" si="31"/>
        <v>0</v>
      </c>
      <c r="H1005" s="372">
        <f t="shared" si="32"/>
        <v>0</v>
      </c>
    </row>
    <row r="1006" spans="1:8">
      <c r="A1006" s="372">
        <v>53</v>
      </c>
      <c r="B1006" s="373">
        <v>42943</v>
      </c>
      <c r="C1006" s="373">
        <v>42964</v>
      </c>
      <c r="D1006" s="372">
        <v>273</v>
      </c>
      <c r="E1006" s="372">
        <v>6</v>
      </c>
      <c r="F1006" s="372">
        <f>IFERROR(INDEX('NonART prices by med'!$D$2:$D$102,MATCH(D1006,'NonART prices by med'!$A$2:$A$102,0)),"")</f>
        <v>0.24683334111326952</v>
      </c>
      <c r="G1006" s="372">
        <f t="shared" si="31"/>
        <v>1.4810000466796172</v>
      </c>
      <c r="H1006" s="372">
        <f t="shared" si="32"/>
        <v>1</v>
      </c>
    </row>
    <row r="1007" spans="1:8">
      <c r="A1007" s="372">
        <v>53</v>
      </c>
      <c r="B1007" s="373">
        <v>42943</v>
      </c>
      <c r="C1007" s="373">
        <v>43024</v>
      </c>
      <c r="D1007" s="372">
        <v>311</v>
      </c>
      <c r="E1007" s="372">
        <v>2</v>
      </c>
      <c r="F1007" s="372">
        <f>IFERROR(INDEX('NonART prices by med'!$D$2:$D$102,MATCH(D1007,'NonART prices by med'!$A$2:$A$102,0)),"")</f>
        <v>11.92</v>
      </c>
      <c r="G1007" s="372">
        <f t="shared" si="31"/>
        <v>23.84</v>
      </c>
      <c r="H1007" s="372">
        <f t="shared" si="32"/>
        <v>1</v>
      </c>
    </row>
    <row r="1008" spans="1:8">
      <c r="A1008" s="372">
        <v>54</v>
      </c>
      <c r="B1008" s="373">
        <v>42941</v>
      </c>
      <c r="C1008" s="373">
        <v>42941</v>
      </c>
      <c r="D1008" s="372">
        <v>184</v>
      </c>
      <c r="E1008" s="372">
        <v>56</v>
      </c>
      <c r="F1008" s="372">
        <f>IFERROR(INDEX('NonART prices by med'!$D$2:$D$102,MATCH(D1008,'NonART prices by med'!$A$2:$A$102,0)),"")</f>
        <v>0.21851785714285715</v>
      </c>
      <c r="G1008" s="372">
        <f t="shared" si="31"/>
        <v>12.237</v>
      </c>
      <c r="H1008" s="372">
        <f t="shared" si="32"/>
        <v>1</v>
      </c>
    </row>
    <row r="1009" spans="1:8">
      <c r="A1009" s="372">
        <v>54</v>
      </c>
      <c r="B1009" s="373">
        <v>42941</v>
      </c>
      <c r="C1009" s="373">
        <v>42969</v>
      </c>
      <c r="D1009" s="372">
        <v>7</v>
      </c>
      <c r="E1009" s="372">
        <v>28</v>
      </c>
      <c r="F1009" s="372">
        <f>IFERROR(INDEX('NonART prices by med'!$D$2:$D$102,MATCH(D1009,'NonART prices by med'!$A$2:$A$102,0)),"")</f>
        <v>0.16680357240796304</v>
      </c>
      <c r="G1009" s="372">
        <f t="shared" si="31"/>
        <v>4.6705000274229649</v>
      </c>
      <c r="H1009" s="372">
        <f t="shared" si="32"/>
        <v>1</v>
      </c>
    </row>
    <row r="1010" spans="1:8">
      <c r="A1010" s="372">
        <v>54</v>
      </c>
      <c r="B1010" s="373">
        <v>42941</v>
      </c>
      <c r="C1010" s="373">
        <v>42997</v>
      </c>
      <c r="D1010" s="372">
        <v>8</v>
      </c>
      <c r="E1010" s="372">
        <v>28</v>
      </c>
      <c r="F1010" s="372">
        <f>IFERROR(INDEX('NonART prices by med'!$D$2:$D$102,MATCH(D1010,'NonART prices by med'!$A$2:$A$102,0)),"")</f>
        <v>0.12772849588143914</v>
      </c>
      <c r="G1010" s="372">
        <f t="shared" si="31"/>
        <v>3.5763978846802962</v>
      </c>
      <c r="H1010" s="372">
        <f t="shared" si="32"/>
        <v>1</v>
      </c>
    </row>
    <row r="1011" spans="1:8">
      <c r="A1011" s="372">
        <v>54</v>
      </c>
      <c r="B1011" s="373">
        <v>42941</v>
      </c>
      <c r="C1011" s="373">
        <v>43025</v>
      </c>
      <c r="D1011" s="372">
        <v>411</v>
      </c>
      <c r="E1011" s="372">
        <v>28</v>
      </c>
      <c r="F1011" s="372">
        <f>IFERROR(INDEX('NonART prices by med'!$D$2:$D$102,MATCH(D1011,'NonART prices by med'!$A$2:$A$102,0)),"")</f>
        <v>0.10354499389265867</v>
      </c>
      <c r="G1011" s="372">
        <f t="shared" si="31"/>
        <v>2.8992598289944427</v>
      </c>
      <c r="H1011" s="372">
        <f t="shared" si="32"/>
        <v>1</v>
      </c>
    </row>
    <row r="1012" spans="1:8">
      <c r="A1012" s="372">
        <v>54</v>
      </c>
      <c r="B1012" s="373">
        <v>42941</v>
      </c>
      <c r="C1012" s="373">
        <v>43053</v>
      </c>
      <c r="D1012" s="372">
        <v>411</v>
      </c>
      <c r="E1012" s="372">
        <v>56</v>
      </c>
      <c r="F1012" s="372">
        <f>IFERROR(INDEX('NonART prices by med'!$D$2:$D$102,MATCH(D1012,'NonART prices by med'!$A$2:$A$102,0)),"")</f>
        <v>0.10354499389265867</v>
      </c>
      <c r="G1012" s="372">
        <f t="shared" si="31"/>
        <v>5.7985196579888854</v>
      </c>
      <c r="H1012" s="372">
        <f t="shared" si="32"/>
        <v>1</v>
      </c>
    </row>
    <row r="1013" spans="1:8">
      <c r="A1013" s="372">
        <v>54</v>
      </c>
      <c r="B1013" s="373">
        <v>42941</v>
      </c>
      <c r="C1013" s="373">
        <v>43109</v>
      </c>
      <c r="D1013" s="372">
        <v>35</v>
      </c>
      <c r="E1013" s="372">
        <v>28</v>
      </c>
      <c r="F1013" s="372">
        <f>IFERROR(INDEX('NonART prices by med'!$D$2:$D$102,MATCH(D1013,'NonART prices by med'!$A$2:$A$102,0)),"")</f>
        <v>0.60205838048342708</v>
      </c>
      <c r="G1013" s="372">
        <f t="shared" si="31"/>
        <v>16.857634653535957</v>
      </c>
      <c r="H1013" s="372">
        <f t="shared" si="32"/>
        <v>1</v>
      </c>
    </row>
    <row r="1014" spans="1:8">
      <c r="A1014" s="372">
        <v>54</v>
      </c>
      <c r="B1014" s="373">
        <v>42941</v>
      </c>
      <c r="C1014" s="373">
        <v>43325</v>
      </c>
      <c r="D1014" s="372">
        <v>184</v>
      </c>
      <c r="E1014" s="372">
        <v>56</v>
      </c>
      <c r="F1014" s="372">
        <f>IFERROR(INDEX('NonART prices by med'!$D$2:$D$102,MATCH(D1014,'NonART prices by med'!$A$2:$A$102,0)),"")</f>
        <v>0.21851785714285715</v>
      </c>
      <c r="G1014" s="372">
        <f t="shared" si="31"/>
        <v>12.237</v>
      </c>
      <c r="H1014" s="372">
        <f t="shared" si="32"/>
        <v>0</v>
      </c>
    </row>
    <row r="1015" spans="1:8">
      <c r="A1015" s="372">
        <v>54</v>
      </c>
      <c r="B1015" s="373">
        <v>42941</v>
      </c>
      <c r="C1015" s="373">
        <v>43353</v>
      </c>
      <c r="D1015" s="372">
        <v>24</v>
      </c>
      <c r="E1015" s="372">
        <v>56</v>
      </c>
      <c r="F1015" s="372">
        <f>IFERROR(INDEX('NonART prices by med'!$D$2:$D$102,MATCH(D1015,'NonART prices by med'!$A$2:$A$102,0)),"")</f>
        <v>0.1467857142857143</v>
      </c>
      <c r="G1015" s="372">
        <f t="shared" si="31"/>
        <v>8.2200000000000006</v>
      </c>
      <c r="H1015" s="372">
        <f t="shared" si="32"/>
        <v>0</v>
      </c>
    </row>
    <row r="1016" spans="1:8">
      <c r="A1016" s="372">
        <v>55</v>
      </c>
      <c r="B1016" s="373">
        <v>42941</v>
      </c>
      <c r="C1016" s="373">
        <v>42941</v>
      </c>
      <c r="D1016" s="372">
        <v>134</v>
      </c>
      <c r="E1016" s="372">
        <v>28</v>
      </c>
      <c r="F1016" s="372">
        <f>IFERROR(INDEX('NonART prices by med'!$D$2:$D$102,MATCH(D1016,'NonART prices by med'!$A$2:$A$102,0)),"")</f>
        <v>0.39033333366993345</v>
      </c>
      <c r="G1016" s="372">
        <f t="shared" si="31"/>
        <v>10.929333342758136</v>
      </c>
      <c r="H1016" s="372">
        <f t="shared" si="32"/>
        <v>1</v>
      </c>
    </row>
    <row r="1017" spans="1:8">
      <c r="A1017" s="372">
        <v>55</v>
      </c>
      <c r="B1017" s="373">
        <v>42941</v>
      </c>
      <c r="C1017" s="373">
        <v>42984</v>
      </c>
      <c r="D1017" s="372">
        <v>215</v>
      </c>
      <c r="E1017" s="372">
        <v>28</v>
      </c>
      <c r="F1017" s="372">
        <f>IFERROR(INDEX('NonART prices by med'!$D$2:$D$102,MATCH(D1017,'NonART prices by med'!$A$2:$A$102,0)),"")</f>
        <v>0.27607142857142858</v>
      </c>
      <c r="G1017" s="372">
        <f t="shared" si="31"/>
        <v>7.73</v>
      </c>
      <c r="H1017" s="372">
        <f t="shared" si="32"/>
        <v>1</v>
      </c>
    </row>
    <row r="1018" spans="1:8">
      <c r="A1018" s="372">
        <v>55</v>
      </c>
      <c r="B1018" s="373">
        <v>42941</v>
      </c>
      <c r="C1018" s="373">
        <v>43054</v>
      </c>
      <c r="D1018" s="372">
        <v>134</v>
      </c>
      <c r="E1018" s="372">
        <v>30</v>
      </c>
      <c r="F1018" s="372">
        <f>IFERROR(INDEX('NonART prices by med'!$D$2:$D$102,MATCH(D1018,'NonART prices by med'!$A$2:$A$102,0)),"")</f>
        <v>0.39033333366993345</v>
      </c>
      <c r="G1018" s="372">
        <f t="shared" si="31"/>
        <v>11.710000010098003</v>
      </c>
      <c r="H1018" s="372">
        <f t="shared" si="32"/>
        <v>1</v>
      </c>
    </row>
    <row r="1019" spans="1:8">
      <c r="A1019" s="372">
        <v>56</v>
      </c>
      <c r="B1019" s="373">
        <v>42941</v>
      </c>
      <c r="C1019" s="373">
        <v>42941</v>
      </c>
      <c r="D1019" s="372">
        <v>184</v>
      </c>
      <c r="E1019" s="372">
        <v>56</v>
      </c>
      <c r="F1019" s="372">
        <f>IFERROR(INDEX('NonART prices by med'!$D$2:$D$102,MATCH(D1019,'NonART prices by med'!$A$2:$A$102,0)),"")</f>
        <v>0.21851785714285715</v>
      </c>
      <c r="G1019" s="372">
        <f t="shared" si="31"/>
        <v>12.237</v>
      </c>
      <c r="H1019" s="372">
        <f t="shared" si="32"/>
        <v>1</v>
      </c>
    </row>
    <row r="1020" spans="1:8">
      <c r="A1020" s="372">
        <v>56</v>
      </c>
      <c r="B1020" s="373">
        <v>42941</v>
      </c>
      <c r="C1020" s="373">
        <v>43059</v>
      </c>
      <c r="D1020" s="372">
        <v>225</v>
      </c>
      <c r="E1020" s="372">
        <v>28</v>
      </c>
      <c r="F1020" s="372">
        <f>IFERROR(INDEX('NonART prices by med'!$D$2:$D$102,MATCH(D1020,'NonART prices by med'!$A$2:$A$102,0)),"")</f>
        <v>0.19315423345580862</v>
      </c>
      <c r="G1020" s="372">
        <f t="shared" si="31"/>
        <v>5.408318536762641</v>
      </c>
      <c r="H1020" s="372">
        <f t="shared" si="32"/>
        <v>1</v>
      </c>
    </row>
    <row r="1021" spans="1:8">
      <c r="A1021" s="372">
        <v>59</v>
      </c>
      <c r="B1021" s="373">
        <v>42941</v>
      </c>
      <c r="C1021" s="373">
        <v>42941</v>
      </c>
      <c r="D1021" s="372">
        <v>35</v>
      </c>
      <c r="E1021" s="372">
        <v>28</v>
      </c>
      <c r="F1021" s="372">
        <f>IFERROR(INDEX('NonART prices by med'!$D$2:$D$102,MATCH(D1021,'NonART prices by med'!$A$2:$A$102,0)),"")</f>
        <v>0.60205838048342708</v>
      </c>
      <c r="G1021" s="372">
        <f t="shared" si="31"/>
        <v>16.857634653535957</v>
      </c>
      <c r="H1021" s="372">
        <f t="shared" si="32"/>
        <v>1</v>
      </c>
    </row>
    <row r="1022" spans="1:8">
      <c r="A1022" s="372">
        <v>59</v>
      </c>
      <c r="B1022" s="373">
        <v>42941</v>
      </c>
      <c r="C1022" s="373">
        <v>43026</v>
      </c>
      <c r="D1022" s="372">
        <v>318</v>
      </c>
      <c r="E1022" s="372">
        <v>20</v>
      </c>
      <c r="F1022" s="372">
        <f>IFERROR(INDEX('NonART prices by med'!$D$2:$D$102,MATCH(D1022,'NonART prices by med'!$A$2:$A$102,0)),"")</f>
        <v>0.19286066077210379</v>
      </c>
      <c r="G1022" s="372">
        <f t="shared" si="31"/>
        <v>3.8572132154420755</v>
      </c>
      <c r="H1022" s="372">
        <f t="shared" si="32"/>
        <v>1</v>
      </c>
    </row>
    <row r="1023" spans="1:8">
      <c r="A1023" s="372">
        <v>59</v>
      </c>
      <c r="B1023" s="373">
        <v>42941</v>
      </c>
      <c r="C1023" s="373">
        <v>43054</v>
      </c>
      <c r="D1023" s="372">
        <v>318</v>
      </c>
      <c r="E1023" s="372">
        <v>20</v>
      </c>
      <c r="F1023" s="372">
        <f>IFERROR(INDEX('NonART prices by med'!$D$2:$D$102,MATCH(D1023,'NonART prices by med'!$A$2:$A$102,0)),"")</f>
        <v>0.19286066077210379</v>
      </c>
      <c r="G1023" s="372">
        <f t="shared" si="31"/>
        <v>3.8572132154420755</v>
      </c>
      <c r="H1023" s="372">
        <f t="shared" si="32"/>
        <v>1</v>
      </c>
    </row>
    <row r="1024" spans="1:8">
      <c r="A1024" s="372">
        <v>59</v>
      </c>
      <c r="B1024" s="373">
        <v>42941</v>
      </c>
      <c r="C1024" s="373">
        <v>43361</v>
      </c>
      <c r="D1024" s="372">
        <v>280</v>
      </c>
      <c r="E1024" s="372">
        <v>1</v>
      </c>
      <c r="F1024" s="372">
        <f>IFERROR(INDEX('NonART prices by med'!$D$2:$D$102,MATCH(D1024,'NonART prices by med'!$A$2:$A$102,0)),"")</f>
        <v>0.11576000030852043</v>
      </c>
      <c r="G1024" s="372">
        <f t="shared" si="31"/>
        <v>0.11576000030852043</v>
      </c>
      <c r="H1024" s="372">
        <f t="shared" si="32"/>
        <v>0</v>
      </c>
    </row>
    <row r="1025" spans="1:8">
      <c r="A1025" s="372">
        <v>60</v>
      </c>
      <c r="B1025" s="373">
        <v>42926</v>
      </c>
      <c r="C1025" s="373">
        <v>42941</v>
      </c>
      <c r="D1025" s="372">
        <v>1</v>
      </c>
      <c r="E1025" s="372">
        <v>10</v>
      </c>
      <c r="F1025" s="372" t="str">
        <f>IFERROR(INDEX('NonART prices by med'!$D$2:$D$102,MATCH(D1025,'NonART prices by med'!$A$2:$A$102,0)),"")</f>
        <v/>
      </c>
      <c r="G1025" s="372" t="str">
        <f t="shared" si="31"/>
        <v/>
      </c>
      <c r="H1025" s="372">
        <f t="shared" si="32"/>
        <v>1</v>
      </c>
    </row>
    <row r="1026" spans="1:8">
      <c r="A1026" s="372">
        <v>60</v>
      </c>
      <c r="B1026" s="373">
        <v>42926</v>
      </c>
      <c r="C1026" s="373">
        <v>42969</v>
      </c>
      <c r="D1026" s="372">
        <v>245</v>
      </c>
      <c r="E1026" s="372">
        <v>15</v>
      </c>
      <c r="F1026" s="372">
        <f>IFERROR(INDEX('NonART prices by med'!$D$2:$D$102,MATCH(D1026,'NonART prices by med'!$A$2:$A$102,0)),"")</f>
        <v>0.30239999964781011</v>
      </c>
      <c r="G1026" s="372">
        <f t="shared" si="31"/>
        <v>4.5359999947171517</v>
      </c>
      <c r="H1026" s="372">
        <f t="shared" si="32"/>
        <v>1</v>
      </c>
    </row>
    <row r="1027" spans="1:8">
      <c r="A1027" s="372">
        <v>60</v>
      </c>
      <c r="B1027" s="373">
        <v>42926</v>
      </c>
      <c r="C1027" s="373">
        <v>43024</v>
      </c>
      <c r="D1027" s="372">
        <v>1</v>
      </c>
      <c r="F1027" s="372" t="str">
        <f>IFERROR(INDEX('NonART prices by med'!$D$2:$D$102,MATCH(D1027,'NonART prices by med'!$A$2:$A$102,0)),"")</f>
        <v/>
      </c>
      <c r="G1027" s="372" t="str">
        <f t="shared" ref="G1027:G1090" si="33">IFERROR(E1027*F1027,"")</f>
        <v/>
      </c>
      <c r="H1027" s="372">
        <f t="shared" si="32"/>
        <v>1</v>
      </c>
    </row>
    <row r="1028" spans="1:8">
      <c r="A1028" s="372">
        <v>60</v>
      </c>
      <c r="B1028" s="373">
        <v>42926</v>
      </c>
      <c r="C1028" s="373">
        <v>43066</v>
      </c>
      <c r="D1028" s="372">
        <v>358</v>
      </c>
      <c r="E1028" s="372">
        <v>28</v>
      </c>
      <c r="F1028" s="372">
        <f>IFERROR(INDEX('NonART prices by med'!$D$2:$D$102,MATCH(D1028,'NonART prices by med'!$A$2:$A$102,0)),"")</f>
        <v>0.1839316921343207</v>
      </c>
      <c r="G1028" s="372">
        <f t="shared" si="33"/>
        <v>5.1500873797609792</v>
      </c>
      <c r="H1028" s="372">
        <f t="shared" ref="H1028:H1091" si="34">IF(C1028-B1028&lt;=365,1,0)</f>
        <v>1</v>
      </c>
    </row>
    <row r="1029" spans="1:8">
      <c r="A1029" s="372">
        <v>60</v>
      </c>
      <c r="B1029" s="373">
        <v>42926</v>
      </c>
      <c r="C1029" s="373">
        <v>43087</v>
      </c>
      <c r="D1029" s="372">
        <v>24</v>
      </c>
      <c r="E1029" s="372">
        <v>28</v>
      </c>
      <c r="F1029" s="372">
        <f>IFERROR(INDEX('NonART prices by med'!$D$2:$D$102,MATCH(D1029,'NonART prices by med'!$A$2:$A$102,0)),"")</f>
        <v>0.1467857142857143</v>
      </c>
      <c r="G1029" s="372">
        <f t="shared" si="33"/>
        <v>4.1100000000000003</v>
      </c>
      <c r="H1029" s="372">
        <f t="shared" si="34"/>
        <v>1</v>
      </c>
    </row>
    <row r="1030" spans="1:8">
      <c r="A1030" s="372">
        <v>60</v>
      </c>
      <c r="B1030" s="373">
        <v>42926</v>
      </c>
      <c r="C1030" s="373">
        <v>43115</v>
      </c>
      <c r="D1030" s="372">
        <v>13</v>
      </c>
      <c r="E1030" s="372">
        <v>28</v>
      </c>
      <c r="F1030" s="372">
        <f>IFERROR(INDEX('NonART prices by med'!$D$2:$D$102,MATCH(D1030,'NonART prices by med'!$A$2:$A$102,0)),"")</f>
        <v>0.15256434030246604</v>
      </c>
      <c r="G1030" s="372">
        <f t="shared" si="33"/>
        <v>4.2718015284690489</v>
      </c>
      <c r="H1030" s="372">
        <f t="shared" si="34"/>
        <v>1</v>
      </c>
    </row>
    <row r="1031" spans="1:8">
      <c r="A1031" s="372">
        <v>60</v>
      </c>
      <c r="B1031" s="373">
        <v>42926</v>
      </c>
      <c r="C1031" s="373">
        <v>43144</v>
      </c>
      <c r="D1031" s="372">
        <v>358</v>
      </c>
      <c r="E1031" s="372">
        <v>28</v>
      </c>
      <c r="F1031" s="372">
        <f>IFERROR(INDEX('NonART prices by med'!$D$2:$D$102,MATCH(D1031,'NonART prices by med'!$A$2:$A$102,0)),"")</f>
        <v>0.1839316921343207</v>
      </c>
      <c r="G1031" s="372">
        <f t="shared" si="33"/>
        <v>5.1500873797609792</v>
      </c>
      <c r="H1031" s="372">
        <f t="shared" si="34"/>
        <v>1</v>
      </c>
    </row>
    <row r="1032" spans="1:8">
      <c r="A1032" s="372">
        <v>60</v>
      </c>
      <c r="B1032" s="373">
        <v>42926</v>
      </c>
      <c r="C1032" s="373">
        <v>43171</v>
      </c>
      <c r="D1032" s="372">
        <v>358</v>
      </c>
      <c r="E1032" s="372">
        <v>28</v>
      </c>
      <c r="F1032" s="372">
        <f>IFERROR(INDEX('NonART prices by med'!$D$2:$D$102,MATCH(D1032,'NonART prices by med'!$A$2:$A$102,0)),"")</f>
        <v>0.1839316921343207</v>
      </c>
      <c r="G1032" s="372">
        <f t="shared" si="33"/>
        <v>5.1500873797609792</v>
      </c>
      <c r="H1032" s="372">
        <f t="shared" si="34"/>
        <v>1</v>
      </c>
    </row>
    <row r="1033" spans="1:8">
      <c r="A1033" s="372">
        <v>60</v>
      </c>
      <c r="B1033" s="373">
        <v>42926</v>
      </c>
      <c r="C1033" s="373">
        <v>43201</v>
      </c>
      <c r="D1033" s="372">
        <v>13</v>
      </c>
      <c r="E1033" s="372">
        <v>56</v>
      </c>
      <c r="F1033" s="372">
        <f>IFERROR(INDEX('NonART prices by med'!$D$2:$D$102,MATCH(D1033,'NonART prices by med'!$A$2:$A$102,0)),"")</f>
        <v>0.15256434030246604</v>
      </c>
      <c r="G1033" s="372">
        <f t="shared" si="33"/>
        <v>8.5436030569380979</v>
      </c>
      <c r="H1033" s="372">
        <f t="shared" si="34"/>
        <v>1</v>
      </c>
    </row>
    <row r="1034" spans="1:8">
      <c r="A1034" s="372">
        <v>60</v>
      </c>
      <c r="B1034" s="373">
        <v>42926</v>
      </c>
      <c r="C1034" s="373">
        <v>43285</v>
      </c>
      <c r="D1034" s="372">
        <v>13</v>
      </c>
      <c r="E1034" s="372">
        <v>28</v>
      </c>
      <c r="F1034" s="372">
        <f>IFERROR(INDEX('NonART prices by med'!$D$2:$D$102,MATCH(D1034,'NonART prices by med'!$A$2:$A$102,0)),"")</f>
        <v>0.15256434030246604</v>
      </c>
      <c r="G1034" s="372">
        <f t="shared" si="33"/>
        <v>4.2718015284690489</v>
      </c>
      <c r="H1034" s="372">
        <f t="shared" si="34"/>
        <v>1</v>
      </c>
    </row>
    <row r="1035" spans="1:8">
      <c r="A1035" s="372">
        <v>60</v>
      </c>
      <c r="B1035" s="373">
        <v>42926</v>
      </c>
      <c r="C1035" s="373">
        <v>43313</v>
      </c>
      <c r="D1035" s="372">
        <v>109</v>
      </c>
      <c r="E1035" s="372">
        <v>28</v>
      </c>
      <c r="F1035" s="372">
        <f>IFERROR(INDEX('NonART prices by med'!$D$2:$D$102,MATCH(D1035,'NonART prices by med'!$A$2:$A$102,0)),"")</f>
        <v>0.29699636168187971</v>
      </c>
      <c r="G1035" s="372">
        <f t="shared" si="33"/>
        <v>8.3158981270926322</v>
      </c>
      <c r="H1035" s="372">
        <f t="shared" si="34"/>
        <v>0</v>
      </c>
    </row>
    <row r="1036" spans="1:8">
      <c r="A1036" s="372">
        <v>60</v>
      </c>
      <c r="B1036" s="373">
        <v>42926</v>
      </c>
      <c r="C1036" s="373">
        <v>43369</v>
      </c>
      <c r="D1036" s="372">
        <v>109</v>
      </c>
      <c r="E1036" s="372">
        <v>14</v>
      </c>
      <c r="F1036" s="372">
        <f>IFERROR(INDEX('NonART prices by med'!$D$2:$D$102,MATCH(D1036,'NonART prices by med'!$A$2:$A$102,0)),"")</f>
        <v>0.29699636168187971</v>
      </c>
      <c r="G1036" s="372">
        <f t="shared" si="33"/>
        <v>4.1579490635463161</v>
      </c>
      <c r="H1036" s="372">
        <f t="shared" si="34"/>
        <v>0</v>
      </c>
    </row>
    <row r="1037" spans="1:8">
      <c r="A1037" s="372">
        <v>60</v>
      </c>
      <c r="B1037" s="373">
        <v>42926</v>
      </c>
      <c r="C1037" s="373">
        <v>43397</v>
      </c>
      <c r="D1037" s="372">
        <v>358</v>
      </c>
      <c r="E1037" s="372">
        <v>56</v>
      </c>
      <c r="F1037" s="372">
        <f>IFERROR(INDEX('NonART prices by med'!$D$2:$D$102,MATCH(D1037,'NonART prices by med'!$A$2:$A$102,0)),"")</f>
        <v>0.1839316921343207</v>
      </c>
      <c r="G1037" s="372">
        <f t="shared" si="33"/>
        <v>10.300174759521958</v>
      </c>
      <c r="H1037" s="372">
        <f t="shared" si="34"/>
        <v>0</v>
      </c>
    </row>
    <row r="1038" spans="1:8">
      <c r="A1038" s="372">
        <v>62</v>
      </c>
      <c r="B1038" s="373">
        <v>42936</v>
      </c>
      <c r="C1038" s="373">
        <v>42936</v>
      </c>
      <c r="D1038" s="372">
        <v>132</v>
      </c>
      <c r="E1038" s="372">
        <v>168</v>
      </c>
      <c r="F1038" s="372">
        <f>IFERROR(INDEX('NonART prices by med'!$D$2:$D$102,MATCH(D1038,'NonART prices by med'!$A$2:$A$102,0)),"")</f>
        <v>7.0309523809523822E-2</v>
      </c>
      <c r="G1038" s="372">
        <f t="shared" si="33"/>
        <v>11.812000000000001</v>
      </c>
      <c r="H1038" s="372">
        <f t="shared" si="34"/>
        <v>1</v>
      </c>
    </row>
    <row r="1039" spans="1:8">
      <c r="A1039" s="372">
        <v>62</v>
      </c>
      <c r="B1039" s="373">
        <v>42936</v>
      </c>
      <c r="C1039" s="373">
        <v>42951</v>
      </c>
      <c r="D1039" s="372">
        <v>132</v>
      </c>
      <c r="E1039" s="372">
        <v>168</v>
      </c>
      <c r="F1039" s="372">
        <f>IFERROR(INDEX('NonART prices by med'!$D$2:$D$102,MATCH(D1039,'NonART prices by med'!$A$2:$A$102,0)),"")</f>
        <v>7.0309523809523822E-2</v>
      </c>
      <c r="G1039" s="372">
        <f t="shared" si="33"/>
        <v>11.812000000000001</v>
      </c>
      <c r="H1039" s="372">
        <f t="shared" si="34"/>
        <v>1</v>
      </c>
    </row>
    <row r="1040" spans="1:8">
      <c r="A1040" s="372">
        <v>62</v>
      </c>
      <c r="B1040" s="373">
        <v>42936</v>
      </c>
      <c r="C1040" s="373">
        <v>43061</v>
      </c>
      <c r="D1040" s="372">
        <v>225</v>
      </c>
      <c r="E1040" s="372">
        <v>56</v>
      </c>
      <c r="F1040" s="372">
        <f>IFERROR(INDEX('NonART prices by med'!$D$2:$D$102,MATCH(D1040,'NonART prices by med'!$A$2:$A$102,0)),"")</f>
        <v>0.19315423345580862</v>
      </c>
      <c r="G1040" s="372">
        <f t="shared" si="33"/>
        <v>10.816637073525282</v>
      </c>
      <c r="H1040" s="372">
        <f t="shared" si="34"/>
        <v>1</v>
      </c>
    </row>
    <row r="1041" spans="1:8">
      <c r="A1041" s="372">
        <v>62</v>
      </c>
      <c r="B1041" s="373">
        <v>42936</v>
      </c>
      <c r="C1041" s="373">
        <v>43103</v>
      </c>
      <c r="D1041" s="372">
        <v>35</v>
      </c>
      <c r="E1041" s="372">
        <v>28</v>
      </c>
      <c r="F1041" s="372">
        <f>IFERROR(INDEX('NonART prices by med'!$D$2:$D$102,MATCH(D1041,'NonART prices by med'!$A$2:$A$102,0)),"")</f>
        <v>0.60205838048342708</v>
      </c>
      <c r="G1041" s="372">
        <f t="shared" si="33"/>
        <v>16.857634653535957</v>
      </c>
      <c r="H1041" s="372">
        <f t="shared" si="34"/>
        <v>1</v>
      </c>
    </row>
    <row r="1042" spans="1:8">
      <c r="A1042" s="372">
        <v>63</v>
      </c>
      <c r="B1042" s="373">
        <v>42935</v>
      </c>
      <c r="C1042" s="373">
        <v>42936</v>
      </c>
      <c r="D1042" s="372">
        <v>225</v>
      </c>
      <c r="F1042" s="372">
        <f>IFERROR(INDEX('NonART prices by med'!$D$2:$D$102,MATCH(D1042,'NonART prices by med'!$A$2:$A$102,0)),"")</f>
        <v>0.19315423345580862</v>
      </c>
      <c r="G1042" s="372">
        <f t="shared" si="33"/>
        <v>0</v>
      </c>
      <c r="H1042" s="372">
        <f t="shared" si="34"/>
        <v>1</v>
      </c>
    </row>
    <row r="1043" spans="1:8">
      <c r="A1043" s="372">
        <v>63</v>
      </c>
      <c r="B1043" s="373">
        <v>42935</v>
      </c>
      <c r="C1043" s="373">
        <v>42986</v>
      </c>
      <c r="D1043" s="372">
        <v>225</v>
      </c>
      <c r="E1043" s="372">
        <v>28</v>
      </c>
      <c r="F1043" s="372">
        <f>IFERROR(INDEX('NonART prices by med'!$D$2:$D$102,MATCH(D1043,'NonART prices by med'!$A$2:$A$102,0)),"")</f>
        <v>0.19315423345580862</v>
      </c>
      <c r="G1043" s="372">
        <f t="shared" si="33"/>
        <v>5.408318536762641</v>
      </c>
      <c r="H1043" s="372">
        <f t="shared" si="34"/>
        <v>1</v>
      </c>
    </row>
    <row r="1044" spans="1:8">
      <c r="A1044" s="372">
        <v>64</v>
      </c>
      <c r="B1044" s="373">
        <v>42936</v>
      </c>
      <c r="C1044" s="373">
        <v>42936</v>
      </c>
      <c r="D1044" s="372">
        <v>132</v>
      </c>
      <c r="E1044" s="372">
        <v>168</v>
      </c>
      <c r="F1044" s="372">
        <f>IFERROR(INDEX('NonART prices by med'!$D$2:$D$102,MATCH(D1044,'NonART prices by med'!$A$2:$A$102,0)),"")</f>
        <v>7.0309523809523822E-2</v>
      </c>
      <c r="G1044" s="372">
        <f t="shared" si="33"/>
        <v>11.812000000000001</v>
      </c>
      <c r="H1044" s="372">
        <f t="shared" si="34"/>
        <v>1</v>
      </c>
    </row>
    <row r="1045" spans="1:8">
      <c r="A1045" s="372">
        <v>65</v>
      </c>
      <c r="B1045" s="373">
        <v>42936</v>
      </c>
      <c r="C1045" s="373">
        <v>42936</v>
      </c>
      <c r="D1045" s="372">
        <v>132</v>
      </c>
      <c r="E1045" s="372">
        <v>168</v>
      </c>
      <c r="F1045" s="372">
        <f>IFERROR(INDEX('NonART prices by med'!$D$2:$D$102,MATCH(D1045,'NonART prices by med'!$A$2:$A$102,0)),"")</f>
        <v>7.0309523809523822E-2</v>
      </c>
      <c r="G1045" s="372">
        <f t="shared" si="33"/>
        <v>11.812000000000001</v>
      </c>
      <c r="H1045" s="372">
        <f t="shared" si="34"/>
        <v>1</v>
      </c>
    </row>
    <row r="1046" spans="1:8">
      <c r="A1046" s="372">
        <v>65</v>
      </c>
      <c r="B1046" s="373">
        <v>42936</v>
      </c>
      <c r="C1046" s="373">
        <v>42951</v>
      </c>
      <c r="D1046" s="372">
        <v>134</v>
      </c>
      <c r="F1046" s="372">
        <f>IFERROR(INDEX('NonART prices by med'!$D$2:$D$102,MATCH(D1046,'NonART prices by med'!$A$2:$A$102,0)),"")</f>
        <v>0.39033333366993345</v>
      </c>
      <c r="G1046" s="372">
        <f t="shared" si="33"/>
        <v>0</v>
      </c>
      <c r="H1046" s="372">
        <f t="shared" si="34"/>
        <v>1</v>
      </c>
    </row>
    <row r="1047" spans="1:8">
      <c r="A1047" s="372">
        <v>65</v>
      </c>
      <c r="B1047" s="373">
        <v>42936</v>
      </c>
      <c r="C1047" s="373">
        <v>43061</v>
      </c>
      <c r="D1047" s="372">
        <v>216</v>
      </c>
      <c r="E1047" s="372">
        <v>56</v>
      </c>
      <c r="F1047" s="372">
        <f>IFERROR(INDEX('NonART prices by med'!$D$2:$D$102,MATCH(D1047,'NonART prices by med'!$A$2:$A$102,0)),"")</f>
        <v>0.25232142857142859</v>
      </c>
      <c r="G1047" s="372">
        <f t="shared" si="33"/>
        <v>14.13</v>
      </c>
      <c r="H1047" s="372">
        <f t="shared" si="34"/>
        <v>1</v>
      </c>
    </row>
    <row r="1048" spans="1:8">
      <c r="A1048" s="372">
        <v>65</v>
      </c>
      <c r="B1048" s="373">
        <v>42936</v>
      </c>
      <c r="C1048" s="373">
        <v>43103</v>
      </c>
      <c r="D1048" s="372">
        <v>134</v>
      </c>
      <c r="E1048" s="372">
        <v>56</v>
      </c>
      <c r="F1048" s="372">
        <f>IFERROR(INDEX('NonART prices by med'!$D$2:$D$102,MATCH(D1048,'NonART prices by med'!$A$2:$A$102,0)),"")</f>
        <v>0.39033333366993345</v>
      </c>
      <c r="G1048" s="372">
        <f t="shared" si="33"/>
        <v>21.858666685516273</v>
      </c>
      <c r="H1048" s="372">
        <f t="shared" si="34"/>
        <v>1</v>
      </c>
    </row>
    <row r="1049" spans="1:8">
      <c r="A1049" s="372">
        <v>65</v>
      </c>
      <c r="B1049" s="373">
        <v>42936</v>
      </c>
      <c r="C1049" s="373">
        <v>43448</v>
      </c>
      <c r="D1049" s="372">
        <v>133</v>
      </c>
      <c r="F1049" s="372">
        <f>IFERROR(INDEX('NonART prices by med'!$D$2:$D$102,MATCH(D1049,'NonART prices by med'!$A$2:$A$102,0)),"")</f>
        <v>0.68440000098466458</v>
      </c>
      <c r="G1049" s="372">
        <f t="shared" si="33"/>
        <v>0</v>
      </c>
      <c r="H1049" s="372">
        <f t="shared" si="34"/>
        <v>0</v>
      </c>
    </row>
    <row r="1050" spans="1:8">
      <c r="A1050" s="372">
        <v>66</v>
      </c>
      <c r="B1050" s="373">
        <v>42935</v>
      </c>
      <c r="C1050" s="373">
        <v>42935</v>
      </c>
      <c r="D1050" s="372">
        <v>215</v>
      </c>
      <c r="E1050" s="372">
        <v>28</v>
      </c>
      <c r="F1050" s="372">
        <f>IFERROR(INDEX('NonART prices by med'!$D$2:$D$102,MATCH(D1050,'NonART prices by med'!$A$2:$A$102,0)),"")</f>
        <v>0.27607142857142858</v>
      </c>
      <c r="G1050" s="372">
        <f t="shared" si="33"/>
        <v>7.73</v>
      </c>
      <c r="H1050" s="372">
        <f t="shared" si="34"/>
        <v>1</v>
      </c>
    </row>
    <row r="1051" spans="1:8">
      <c r="A1051" s="372">
        <v>67</v>
      </c>
      <c r="B1051" s="373">
        <v>42935</v>
      </c>
      <c r="C1051" s="373">
        <v>42950</v>
      </c>
      <c r="D1051" s="372">
        <v>133</v>
      </c>
      <c r="E1051" s="372">
        <v>10</v>
      </c>
      <c r="F1051" s="372">
        <f>IFERROR(INDEX('NonART prices by med'!$D$2:$D$102,MATCH(D1051,'NonART prices by med'!$A$2:$A$102,0)),"")</f>
        <v>0.68440000098466458</v>
      </c>
      <c r="G1051" s="372">
        <f t="shared" si="33"/>
        <v>6.8440000098466456</v>
      </c>
      <c r="H1051" s="372">
        <f t="shared" si="34"/>
        <v>1</v>
      </c>
    </row>
    <row r="1052" spans="1:8">
      <c r="A1052" s="372">
        <v>67</v>
      </c>
      <c r="B1052" s="373">
        <v>42935</v>
      </c>
      <c r="C1052" s="373">
        <v>42992</v>
      </c>
      <c r="D1052" s="372">
        <v>132</v>
      </c>
      <c r="E1052" s="372">
        <v>60</v>
      </c>
      <c r="F1052" s="372">
        <f>IFERROR(INDEX('NonART prices by med'!$D$2:$D$102,MATCH(D1052,'NonART prices by med'!$A$2:$A$102,0)),"")</f>
        <v>7.0309523809523822E-2</v>
      </c>
      <c r="G1052" s="372">
        <f t="shared" si="33"/>
        <v>4.2185714285714297</v>
      </c>
      <c r="H1052" s="372">
        <f t="shared" si="34"/>
        <v>1</v>
      </c>
    </row>
    <row r="1053" spans="1:8">
      <c r="A1053" s="372">
        <v>67</v>
      </c>
      <c r="B1053" s="373">
        <v>42935</v>
      </c>
      <c r="C1053" s="373">
        <v>43034</v>
      </c>
      <c r="D1053" s="372">
        <v>35</v>
      </c>
      <c r="E1053" s="372">
        <v>56</v>
      </c>
      <c r="F1053" s="372">
        <f>IFERROR(INDEX('NonART prices by med'!$D$2:$D$102,MATCH(D1053,'NonART prices by med'!$A$2:$A$102,0)),"")</f>
        <v>0.60205838048342708</v>
      </c>
      <c r="G1053" s="372">
        <f t="shared" si="33"/>
        <v>33.715269307071914</v>
      </c>
      <c r="H1053" s="372">
        <f t="shared" si="34"/>
        <v>1</v>
      </c>
    </row>
    <row r="1054" spans="1:8">
      <c r="A1054" s="372">
        <v>67</v>
      </c>
      <c r="B1054" s="373">
        <v>42935</v>
      </c>
      <c r="C1054" s="373">
        <v>43047</v>
      </c>
      <c r="D1054" s="372">
        <v>132</v>
      </c>
      <c r="E1054" s="372">
        <v>56</v>
      </c>
      <c r="F1054" s="372">
        <f>IFERROR(INDEX('NonART prices by med'!$D$2:$D$102,MATCH(D1054,'NonART prices by med'!$A$2:$A$102,0)),"")</f>
        <v>7.0309523809523822E-2</v>
      </c>
      <c r="G1054" s="372">
        <f t="shared" si="33"/>
        <v>3.937333333333334</v>
      </c>
      <c r="H1054" s="372">
        <f t="shared" si="34"/>
        <v>1</v>
      </c>
    </row>
    <row r="1055" spans="1:8">
      <c r="A1055" s="372">
        <v>70</v>
      </c>
      <c r="B1055" s="373">
        <v>42934</v>
      </c>
      <c r="C1055" s="373">
        <v>42934</v>
      </c>
      <c r="D1055" s="372">
        <v>132</v>
      </c>
      <c r="E1055" s="372">
        <v>168</v>
      </c>
      <c r="F1055" s="372">
        <f>IFERROR(INDEX('NonART prices by med'!$D$2:$D$102,MATCH(D1055,'NonART prices by med'!$A$2:$A$102,0)),"")</f>
        <v>7.0309523809523822E-2</v>
      </c>
      <c r="G1055" s="372">
        <f t="shared" si="33"/>
        <v>11.812000000000001</v>
      </c>
      <c r="H1055" s="372">
        <f t="shared" si="34"/>
        <v>1</v>
      </c>
    </row>
    <row r="1056" spans="1:8">
      <c r="A1056" s="372">
        <v>70</v>
      </c>
      <c r="B1056" s="373">
        <v>42934</v>
      </c>
      <c r="C1056" s="373">
        <v>42993</v>
      </c>
      <c r="D1056" s="372">
        <v>132</v>
      </c>
      <c r="E1056" s="372">
        <v>60</v>
      </c>
      <c r="F1056" s="372">
        <f>IFERROR(INDEX('NonART prices by med'!$D$2:$D$102,MATCH(D1056,'NonART prices by med'!$A$2:$A$102,0)),"")</f>
        <v>7.0309523809523822E-2</v>
      </c>
      <c r="G1056" s="372">
        <f t="shared" si="33"/>
        <v>4.2185714285714297</v>
      </c>
      <c r="H1056" s="372">
        <f t="shared" si="34"/>
        <v>1</v>
      </c>
    </row>
    <row r="1057" spans="1:8">
      <c r="A1057" s="372">
        <v>70</v>
      </c>
      <c r="B1057" s="373">
        <v>42934</v>
      </c>
      <c r="C1057" s="373">
        <v>43034</v>
      </c>
      <c r="D1057" s="372">
        <v>225</v>
      </c>
      <c r="E1057" s="372">
        <v>28</v>
      </c>
      <c r="F1057" s="372">
        <f>IFERROR(INDEX('NonART prices by med'!$D$2:$D$102,MATCH(D1057,'NonART prices by med'!$A$2:$A$102,0)),"")</f>
        <v>0.19315423345580862</v>
      </c>
      <c r="G1057" s="372">
        <f t="shared" si="33"/>
        <v>5.408318536762641</v>
      </c>
      <c r="H1057" s="372">
        <f t="shared" si="34"/>
        <v>1</v>
      </c>
    </row>
    <row r="1058" spans="1:8">
      <c r="A1058" s="372">
        <v>70</v>
      </c>
      <c r="B1058" s="373">
        <v>42934</v>
      </c>
      <c r="C1058" s="373">
        <v>43047</v>
      </c>
      <c r="D1058" s="372">
        <v>225</v>
      </c>
      <c r="E1058" s="372">
        <v>28</v>
      </c>
      <c r="F1058" s="372">
        <f>IFERROR(INDEX('NonART prices by med'!$D$2:$D$102,MATCH(D1058,'NonART prices by med'!$A$2:$A$102,0)),"")</f>
        <v>0.19315423345580862</v>
      </c>
      <c r="G1058" s="372">
        <f t="shared" si="33"/>
        <v>5.408318536762641</v>
      </c>
      <c r="H1058" s="372">
        <f t="shared" si="34"/>
        <v>1</v>
      </c>
    </row>
    <row r="1059" spans="1:8">
      <c r="A1059" s="372">
        <v>71</v>
      </c>
      <c r="B1059" s="373">
        <v>42934</v>
      </c>
      <c r="C1059" s="373">
        <v>43010</v>
      </c>
      <c r="D1059" s="372">
        <v>100</v>
      </c>
      <c r="E1059" s="372">
        <v>15</v>
      </c>
      <c r="F1059" s="372">
        <f>IFERROR(INDEX('NonART prices by med'!$D$2:$D$102,MATCH(D1059,'NonART prices by med'!$A$2:$A$102,0)),"")</f>
        <v>0.55516046284546272</v>
      </c>
      <c r="G1059" s="372">
        <f t="shared" si="33"/>
        <v>8.3274069426819413</v>
      </c>
      <c r="H1059" s="372">
        <f t="shared" si="34"/>
        <v>1</v>
      </c>
    </row>
    <row r="1060" spans="1:8">
      <c r="A1060" s="372">
        <v>71</v>
      </c>
      <c r="B1060" s="373">
        <v>42934</v>
      </c>
      <c r="C1060" s="373">
        <v>43046</v>
      </c>
      <c r="D1060" s="372">
        <v>318</v>
      </c>
      <c r="E1060" s="372">
        <v>20</v>
      </c>
      <c r="F1060" s="372">
        <f>IFERROR(INDEX('NonART prices by med'!$D$2:$D$102,MATCH(D1060,'NonART prices by med'!$A$2:$A$102,0)),"")</f>
        <v>0.19286066077210379</v>
      </c>
      <c r="G1060" s="372">
        <f t="shared" si="33"/>
        <v>3.8572132154420755</v>
      </c>
      <c r="H1060" s="372">
        <f t="shared" si="34"/>
        <v>1</v>
      </c>
    </row>
    <row r="1061" spans="1:8">
      <c r="A1061" s="372">
        <v>71</v>
      </c>
      <c r="B1061" s="373">
        <v>42934</v>
      </c>
      <c r="C1061" s="373">
        <v>43109</v>
      </c>
      <c r="D1061" s="372">
        <v>408</v>
      </c>
      <c r="E1061" s="372">
        <v>28</v>
      </c>
      <c r="F1061" s="372">
        <f>IFERROR(INDEX('NonART prices by med'!$D$2:$D$102,MATCH(D1061,'NonART prices by med'!$A$2:$A$102,0)),"")</f>
        <v>5.5E-2</v>
      </c>
      <c r="G1061" s="372">
        <f t="shared" si="33"/>
        <v>1.54</v>
      </c>
      <c r="H1061" s="372">
        <f t="shared" si="34"/>
        <v>1</v>
      </c>
    </row>
    <row r="1062" spans="1:8">
      <c r="A1062" s="372">
        <v>71</v>
      </c>
      <c r="B1062" s="373">
        <v>42934</v>
      </c>
      <c r="C1062" s="373">
        <v>43305</v>
      </c>
      <c r="D1062" s="372">
        <v>178</v>
      </c>
      <c r="F1062" s="372">
        <f>IFERROR(INDEX('NonART prices by med'!$D$2:$D$102,MATCH(D1062,'NonART prices by med'!$A$2:$A$102,0)),"")</f>
        <v>0.22140000000000001</v>
      </c>
      <c r="G1062" s="372">
        <f t="shared" si="33"/>
        <v>0</v>
      </c>
      <c r="H1062" s="372">
        <f t="shared" si="34"/>
        <v>0</v>
      </c>
    </row>
    <row r="1063" spans="1:8">
      <c r="A1063" s="372">
        <v>72</v>
      </c>
      <c r="B1063" s="373">
        <v>42934</v>
      </c>
      <c r="C1063" s="373">
        <v>42972</v>
      </c>
      <c r="D1063" s="372">
        <v>318</v>
      </c>
      <c r="E1063" s="372">
        <v>20</v>
      </c>
      <c r="F1063" s="372">
        <f>IFERROR(INDEX('NonART prices by med'!$D$2:$D$102,MATCH(D1063,'NonART prices by med'!$A$2:$A$102,0)),"")</f>
        <v>0.19286066077210379</v>
      </c>
      <c r="G1063" s="372">
        <f t="shared" si="33"/>
        <v>3.8572132154420755</v>
      </c>
      <c r="H1063" s="372">
        <f t="shared" si="34"/>
        <v>1</v>
      </c>
    </row>
    <row r="1064" spans="1:8">
      <c r="A1064" s="372">
        <v>73</v>
      </c>
      <c r="B1064" s="373">
        <v>42936</v>
      </c>
      <c r="C1064" s="373">
        <v>43012</v>
      </c>
      <c r="D1064" s="372">
        <v>163</v>
      </c>
      <c r="E1064" s="372">
        <v>10</v>
      </c>
      <c r="F1064" s="372">
        <f>IFERROR(INDEX('NonART prices by med'!$D$2:$D$102,MATCH(D1064,'NonART prices by med'!$A$2:$A$102,0)),"")</f>
        <v>6.7666666666666667E-2</v>
      </c>
      <c r="G1064" s="372">
        <f t="shared" si="33"/>
        <v>0.67666666666666664</v>
      </c>
      <c r="H1064" s="372">
        <f t="shared" si="34"/>
        <v>1</v>
      </c>
    </row>
    <row r="1065" spans="1:8">
      <c r="A1065" s="372">
        <v>74</v>
      </c>
      <c r="B1065" s="373">
        <v>42929</v>
      </c>
      <c r="C1065" s="373">
        <v>42929</v>
      </c>
      <c r="D1065" s="372">
        <v>132</v>
      </c>
      <c r="E1065" s="372">
        <v>168</v>
      </c>
      <c r="F1065" s="372">
        <f>IFERROR(INDEX('NonART prices by med'!$D$2:$D$102,MATCH(D1065,'NonART prices by med'!$A$2:$A$102,0)),"")</f>
        <v>7.0309523809523822E-2</v>
      </c>
      <c r="G1065" s="372">
        <f t="shared" si="33"/>
        <v>11.812000000000001</v>
      </c>
      <c r="H1065" s="372">
        <f t="shared" si="34"/>
        <v>1</v>
      </c>
    </row>
    <row r="1066" spans="1:8">
      <c r="A1066" s="372">
        <v>74</v>
      </c>
      <c r="B1066" s="373">
        <v>42929</v>
      </c>
      <c r="C1066" s="373">
        <v>42943</v>
      </c>
      <c r="D1066" s="372">
        <v>80</v>
      </c>
      <c r="E1066" s="372">
        <v>42</v>
      </c>
      <c r="F1066" s="372">
        <f>IFERROR(INDEX('NonART prices by med'!$D$2:$D$102,MATCH(D1066,'NonART prices by med'!$A$2:$A$102,0)),"")</f>
        <v>0.54559999999999997</v>
      </c>
      <c r="G1066" s="372">
        <f t="shared" si="33"/>
        <v>22.915199999999999</v>
      </c>
      <c r="H1066" s="372">
        <f t="shared" si="34"/>
        <v>1</v>
      </c>
    </row>
    <row r="1067" spans="1:8">
      <c r="A1067" s="372">
        <v>75</v>
      </c>
      <c r="B1067" s="373">
        <v>42928</v>
      </c>
      <c r="C1067" s="373">
        <v>42999</v>
      </c>
      <c r="D1067" s="372">
        <v>184</v>
      </c>
      <c r="E1067" s="372">
        <v>112</v>
      </c>
      <c r="F1067" s="372">
        <f>IFERROR(INDEX('NonART prices by med'!$D$2:$D$102,MATCH(D1067,'NonART prices by med'!$A$2:$A$102,0)),"")</f>
        <v>0.21851785714285715</v>
      </c>
      <c r="G1067" s="372">
        <f t="shared" si="33"/>
        <v>24.474</v>
      </c>
      <c r="H1067" s="372">
        <f t="shared" si="34"/>
        <v>1</v>
      </c>
    </row>
    <row r="1068" spans="1:8">
      <c r="A1068" s="372">
        <v>75</v>
      </c>
      <c r="B1068" s="373">
        <v>42928</v>
      </c>
      <c r="C1068" s="373">
        <v>43027</v>
      </c>
      <c r="D1068" s="372">
        <v>184</v>
      </c>
      <c r="E1068" s="372">
        <v>56</v>
      </c>
      <c r="F1068" s="372">
        <f>IFERROR(INDEX('NonART prices by med'!$D$2:$D$102,MATCH(D1068,'NonART prices by med'!$A$2:$A$102,0)),"")</f>
        <v>0.21851785714285715</v>
      </c>
      <c r="G1068" s="372">
        <f t="shared" si="33"/>
        <v>12.237</v>
      </c>
      <c r="H1068" s="372">
        <f t="shared" si="34"/>
        <v>1</v>
      </c>
    </row>
    <row r="1069" spans="1:8">
      <c r="A1069" s="372">
        <v>75</v>
      </c>
      <c r="B1069" s="373">
        <v>42928</v>
      </c>
      <c r="C1069" s="373">
        <v>43299</v>
      </c>
      <c r="D1069" s="372">
        <v>318</v>
      </c>
      <c r="E1069" s="372">
        <v>20</v>
      </c>
      <c r="F1069" s="372">
        <f>IFERROR(INDEX('NonART prices by med'!$D$2:$D$102,MATCH(D1069,'NonART prices by med'!$A$2:$A$102,0)),"")</f>
        <v>0.19286066077210379</v>
      </c>
      <c r="G1069" s="372">
        <f t="shared" si="33"/>
        <v>3.8572132154420755</v>
      </c>
      <c r="H1069" s="372">
        <f t="shared" si="34"/>
        <v>0</v>
      </c>
    </row>
    <row r="1070" spans="1:8">
      <c r="A1070" s="372">
        <v>76</v>
      </c>
      <c r="B1070" s="373">
        <v>42927</v>
      </c>
      <c r="C1070" s="373">
        <v>43320</v>
      </c>
      <c r="D1070" s="372">
        <v>245</v>
      </c>
      <c r="E1070" s="372">
        <v>15</v>
      </c>
      <c r="F1070" s="372">
        <f>IFERROR(INDEX('NonART prices by med'!$D$2:$D$102,MATCH(D1070,'NonART prices by med'!$A$2:$A$102,0)),"")</f>
        <v>0.30239999964781011</v>
      </c>
      <c r="G1070" s="372">
        <f t="shared" si="33"/>
        <v>4.5359999947171517</v>
      </c>
      <c r="H1070" s="372">
        <f t="shared" si="34"/>
        <v>0</v>
      </c>
    </row>
    <row r="1071" spans="1:8">
      <c r="A1071" s="372">
        <v>2</v>
      </c>
      <c r="B1071" s="373">
        <v>43000</v>
      </c>
      <c r="C1071" s="373">
        <v>43293</v>
      </c>
      <c r="D1071" s="372">
        <v>113</v>
      </c>
      <c r="E1071" s="372">
        <v>1</v>
      </c>
      <c r="F1071" s="372">
        <f>IFERROR(INDEX('NonART prices by med'!$D$2:$D$102,MATCH(D1071,'NonART prices by med'!$A$2:$A$102,0)),"")</f>
        <v>4.3160000000000007</v>
      </c>
      <c r="G1071" s="372">
        <f t="shared" si="33"/>
        <v>4.3160000000000007</v>
      </c>
      <c r="H1071" s="372">
        <f t="shared" si="34"/>
        <v>1</v>
      </c>
    </row>
    <row r="1072" spans="1:8">
      <c r="A1072" s="372">
        <v>3</v>
      </c>
      <c r="B1072" s="373">
        <v>42970</v>
      </c>
      <c r="C1072" s="373">
        <v>43105</v>
      </c>
      <c r="D1072" s="372">
        <v>342</v>
      </c>
      <c r="E1072" s="372">
        <v>28</v>
      </c>
      <c r="F1072" s="372">
        <f>IFERROR(INDEX('NonART prices by med'!$D$2:$D$102,MATCH(D1072,'NonART prices by med'!$A$2:$A$102,0)),"")</f>
        <v>0.26590000152587889</v>
      </c>
      <c r="G1072" s="372">
        <f t="shared" si="33"/>
        <v>7.4452000427246094</v>
      </c>
      <c r="H1072" s="372">
        <f t="shared" si="34"/>
        <v>1</v>
      </c>
    </row>
    <row r="1073" spans="1:8">
      <c r="A1073" s="372">
        <v>4</v>
      </c>
      <c r="B1073" s="373">
        <v>42970</v>
      </c>
      <c r="C1073" s="373">
        <v>43089</v>
      </c>
      <c r="D1073" s="372">
        <v>59</v>
      </c>
      <c r="E1073" s="372">
        <v>56</v>
      </c>
      <c r="F1073" s="372">
        <f>IFERROR(INDEX('NonART prices by med'!$D$2:$D$102,MATCH(D1073,'NonART prices by med'!$A$2:$A$102,0)),"")</f>
        <v>1.6595</v>
      </c>
      <c r="G1073" s="372">
        <f t="shared" si="33"/>
        <v>92.932000000000002</v>
      </c>
      <c r="H1073" s="372">
        <f t="shared" si="34"/>
        <v>1</v>
      </c>
    </row>
    <row r="1074" spans="1:8">
      <c r="A1074" s="372">
        <v>5</v>
      </c>
      <c r="B1074" s="373">
        <v>42963</v>
      </c>
      <c r="C1074" s="373">
        <v>43091</v>
      </c>
      <c r="D1074" s="372">
        <v>132</v>
      </c>
      <c r="E1074" s="372">
        <v>56</v>
      </c>
      <c r="F1074" s="372">
        <f>IFERROR(INDEX('NonART prices by med'!$D$2:$D$102,MATCH(D1074,'NonART prices by med'!$A$2:$A$102,0)),"")</f>
        <v>7.0309523809523822E-2</v>
      </c>
      <c r="G1074" s="372">
        <f t="shared" si="33"/>
        <v>3.937333333333334</v>
      </c>
      <c r="H1074" s="372">
        <f t="shared" si="34"/>
        <v>1</v>
      </c>
    </row>
    <row r="1075" spans="1:8">
      <c r="A1075" s="372">
        <v>7</v>
      </c>
      <c r="B1075" s="373">
        <v>43048</v>
      </c>
      <c r="C1075" s="373">
        <v>42971</v>
      </c>
      <c r="D1075" s="372">
        <v>215</v>
      </c>
      <c r="E1075" s="372">
        <v>28</v>
      </c>
      <c r="F1075" s="372">
        <f>IFERROR(INDEX('NonART prices by med'!$D$2:$D$102,MATCH(D1075,'NonART prices by med'!$A$2:$A$102,0)),"")</f>
        <v>0.27607142857142858</v>
      </c>
      <c r="G1075" s="372">
        <f t="shared" si="33"/>
        <v>7.73</v>
      </c>
      <c r="H1075" s="372">
        <f t="shared" si="34"/>
        <v>1</v>
      </c>
    </row>
    <row r="1076" spans="1:8">
      <c r="A1076" s="372">
        <v>8</v>
      </c>
      <c r="B1076" s="373">
        <v>42971</v>
      </c>
      <c r="C1076" s="373">
        <v>42971</v>
      </c>
      <c r="D1076" s="372">
        <v>146</v>
      </c>
      <c r="F1076" s="372">
        <f>IFERROR(INDEX('NonART prices by med'!$D$2:$D$102,MATCH(D1076,'NonART prices by med'!$A$2:$A$102,0)),"")</f>
        <v>4.2040000000000006</v>
      </c>
      <c r="G1076" s="372">
        <f t="shared" si="33"/>
        <v>0</v>
      </c>
      <c r="H1076" s="372">
        <f t="shared" si="34"/>
        <v>1</v>
      </c>
    </row>
    <row r="1077" spans="1:8">
      <c r="A1077" s="372">
        <v>8</v>
      </c>
      <c r="B1077" s="373">
        <v>42971</v>
      </c>
      <c r="C1077" s="373">
        <v>43062</v>
      </c>
      <c r="D1077" s="372">
        <v>35</v>
      </c>
      <c r="E1077" s="372">
        <v>56</v>
      </c>
      <c r="F1077" s="372">
        <f>IFERROR(INDEX('NonART prices by med'!$D$2:$D$102,MATCH(D1077,'NonART prices by med'!$A$2:$A$102,0)),"")</f>
        <v>0.60205838048342708</v>
      </c>
      <c r="G1077" s="372">
        <f t="shared" si="33"/>
        <v>33.715269307071914</v>
      </c>
      <c r="H1077" s="372">
        <f t="shared" si="34"/>
        <v>1</v>
      </c>
    </row>
    <row r="1078" spans="1:8">
      <c r="A1078" s="372">
        <v>11</v>
      </c>
      <c r="B1078" s="373">
        <v>42976</v>
      </c>
      <c r="C1078" s="373">
        <v>43117</v>
      </c>
      <c r="D1078" s="372">
        <v>290</v>
      </c>
      <c r="E1078" s="372">
        <v>5</v>
      </c>
      <c r="F1078" s="372">
        <f>IFERROR(INDEX('NonART prices by med'!$D$2:$D$102,MATCH(D1078,'NonART prices by med'!$A$2:$A$102,0)),"")</f>
        <v>0.37279999999999996</v>
      </c>
      <c r="G1078" s="372">
        <f t="shared" si="33"/>
        <v>1.8639999999999999</v>
      </c>
      <c r="H1078" s="372">
        <f t="shared" si="34"/>
        <v>1</v>
      </c>
    </row>
    <row r="1079" spans="1:8">
      <c r="A1079" s="372">
        <v>12</v>
      </c>
      <c r="B1079" s="373">
        <v>42977</v>
      </c>
      <c r="C1079" s="373">
        <v>43006</v>
      </c>
      <c r="D1079" s="372">
        <v>318</v>
      </c>
      <c r="E1079" s="372">
        <v>20</v>
      </c>
      <c r="F1079" s="372">
        <f>IFERROR(INDEX('NonART prices by med'!$D$2:$D$102,MATCH(D1079,'NonART prices by med'!$A$2:$A$102,0)),"")</f>
        <v>0.19286066077210379</v>
      </c>
      <c r="G1079" s="372">
        <f t="shared" si="33"/>
        <v>3.8572132154420755</v>
      </c>
      <c r="H1079" s="372">
        <f t="shared" si="34"/>
        <v>1</v>
      </c>
    </row>
    <row r="1080" spans="1:8">
      <c r="A1080" s="372">
        <v>12</v>
      </c>
      <c r="B1080" s="373">
        <v>42977</v>
      </c>
      <c r="C1080" s="373">
        <v>43089</v>
      </c>
      <c r="D1080" s="372">
        <v>245</v>
      </c>
      <c r="E1080" s="372">
        <v>15</v>
      </c>
      <c r="F1080" s="372">
        <f>IFERROR(INDEX('NonART prices by med'!$D$2:$D$102,MATCH(D1080,'NonART prices by med'!$A$2:$A$102,0)),"")</f>
        <v>0.30239999964781011</v>
      </c>
      <c r="G1080" s="372">
        <f t="shared" si="33"/>
        <v>4.5359999947171517</v>
      </c>
      <c r="H1080" s="372">
        <f t="shared" si="34"/>
        <v>1</v>
      </c>
    </row>
    <row r="1081" spans="1:8">
      <c r="A1081" s="372">
        <v>12</v>
      </c>
      <c r="B1081" s="373">
        <v>42977</v>
      </c>
      <c r="C1081" s="373">
        <v>43173</v>
      </c>
      <c r="D1081" s="372">
        <v>225</v>
      </c>
      <c r="E1081" s="372">
        <v>28</v>
      </c>
      <c r="F1081" s="372">
        <f>IFERROR(INDEX('NonART prices by med'!$D$2:$D$102,MATCH(D1081,'NonART prices by med'!$A$2:$A$102,0)),"")</f>
        <v>0.19315423345580862</v>
      </c>
      <c r="G1081" s="372">
        <f t="shared" si="33"/>
        <v>5.408318536762641</v>
      </c>
      <c r="H1081" s="372">
        <f t="shared" si="34"/>
        <v>1</v>
      </c>
    </row>
    <row r="1082" spans="1:8">
      <c r="A1082" s="372">
        <v>13</v>
      </c>
      <c r="B1082" s="373">
        <v>42977</v>
      </c>
      <c r="C1082" s="373">
        <v>42984</v>
      </c>
      <c r="D1082" s="372">
        <v>225</v>
      </c>
      <c r="E1082" s="372">
        <v>56</v>
      </c>
      <c r="F1082" s="372">
        <f>IFERROR(INDEX('NonART prices by med'!$D$2:$D$102,MATCH(D1082,'NonART prices by med'!$A$2:$A$102,0)),"")</f>
        <v>0.19315423345580862</v>
      </c>
      <c r="G1082" s="372">
        <f t="shared" si="33"/>
        <v>10.816637073525282</v>
      </c>
      <c r="H1082" s="372">
        <f t="shared" si="34"/>
        <v>1</v>
      </c>
    </row>
    <row r="1083" spans="1:8">
      <c r="A1083" s="372">
        <v>13</v>
      </c>
      <c r="B1083" s="373">
        <v>42977</v>
      </c>
      <c r="C1083" s="373">
        <v>43055</v>
      </c>
      <c r="D1083" s="372">
        <v>408</v>
      </c>
      <c r="E1083" s="372">
        <v>28</v>
      </c>
      <c r="F1083" s="372">
        <f>IFERROR(INDEX('NonART prices by med'!$D$2:$D$102,MATCH(D1083,'NonART prices by med'!$A$2:$A$102,0)),"")</f>
        <v>5.5E-2</v>
      </c>
      <c r="G1083" s="372">
        <f t="shared" si="33"/>
        <v>1.54</v>
      </c>
      <c r="H1083" s="372">
        <f t="shared" si="34"/>
        <v>1</v>
      </c>
    </row>
    <row r="1084" spans="1:8">
      <c r="A1084" s="372">
        <v>13</v>
      </c>
      <c r="B1084" s="373">
        <v>42977</v>
      </c>
      <c r="C1084" s="373">
        <v>43082</v>
      </c>
      <c r="D1084" s="372">
        <v>1</v>
      </c>
      <c r="E1084" s="372">
        <v>30</v>
      </c>
      <c r="F1084" s="372" t="str">
        <f>IFERROR(INDEX('NonART prices by med'!$D$2:$D$102,MATCH(D1084,'NonART prices by med'!$A$2:$A$102,0)),"")</f>
        <v/>
      </c>
      <c r="G1084" s="372" t="str">
        <f t="shared" si="33"/>
        <v/>
      </c>
      <c r="H1084" s="372">
        <f t="shared" si="34"/>
        <v>1</v>
      </c>
    </row>
    <row r="1085" spans="1:8">
      <c r="A1085" s="372">
        <v>13</v>
      </c>
      <c r="B1085" s="373">
        <v>42977</v>
      </c>
      <c r="C1085" s="373">
        <v>43166</v>
      </c>
      <c r="D1085" s="372">
        <v>1</v>
      </c>
      <c r="E1085" s="372">
        <v>15</v>
      </c>
      <c r="F1085" s="372" t="str">
        <f>IFERROR(INDEX('NonART prices by med'!$D$2:$D$102,MATCH(D1085,'NonART prices by med'!$A$2:$A$102,0)),"")</f>
        <v/>
      </c>
      <c r="G1085" s="372" t="str">
        <f t="shared" si="33"/>
        <v/>
      </c>
      <c r="H1085" s="372">
        <f t="shared" si="34"/>
        <v>1</v>
      </c>
    </row>
    <row r="1086" spans="1:8">
      <c r="A1086" s="372">
        <v>14</v>
      </c>
      <c r="B1086" s="373">
        <v>42977</v>
      </c>
      <c r="C1086" s="373">
        <v>42991</v>
      </c>
      <c r="D1086" s="372">
        <v>225</v>
      </c>
      <c r="E1086" s="372">
        <v>56</v>
      </c>
      <c r="F1086" s="372">
        <f>IFERROR(INDEX('NonART prices by med'!$D$2:$D$102,MATCH(D1086,'NonART prices by med'!$A$2:$A$102,0)),"")</f>
        <v>0.19315423345580862</v>
      </c>
      <c r="G1086" s="372">
        <f t="shared" si="33"/>
        <v>10.816637073525282</v>
      </c>
      <c r="H1086" s="372">
        <f t="shared" si="34"/>
        <v>1</v>
      </c>
    </row>
    <row r="1087" spans="1:8">
      <c r="A1087" s="372">
        <v>17</v>
      </c>
      <c r="B1087" s="373">
        <v>42970</v>
      </c>
      <c r="C1087" s="373">
        <v>43040</v>
      </c>
      <c r="D1087" s="372">
        <v>214</v>
      </c>
      <c r="F1087" s="372">
        <f>IFERROR(INDEX('NonART prices by med'!$D$2:$D$102,MATCH(D1087,'NonART prices by med'!$A$2:$A$102,0)),"")</f>
        <v>0.24476190476190474</v>
      </c>
      <c r="G1087" s="372">
        <f t="shared" si="33"/>
        <v>0</v>
      </c>
      <c r="H1087" s="372">
        <f t="shared" si="34"/>
        <v>1</v>
      </c>
    </row>
    <row r="1088" spans="1:8">
      <c r="A1088" s="372">
        <v>17</v>
      </c>
      <c r="B1088" s="373">
        <v>42970</v>
      </c>
      <c r="C1088" s="373">
        <v>43089</v>
      </c>
      <c r="D1088" s="372">
        <v>342</v>
      </c>
      <c r="E1088" s="372">
        <v>56</v>
      </c>
      <c r="F1088" s="372">
        <f>IFERROR(INDEX('NonART prices by med'!$D$2:$D$102,MATCH(D1088,'NonART prices by med'!$A$2:$A$102,0)),"")</f>
        <v>0.26590000152587889</v>
      </c>
      <c r="G1088" s="372">
        <f t="shared" si="33"/>
        <v>14.890400085449219</v>
      </c>
      <c r="H1088" s="372">
        <f t="shared" si="34"/>
        <v>1</v>
      </c>
    </row>
    <row r="1089" spans="1:8">
      <c r="A1089" s="372">
        <v>18</v>
      </c>
      <c r="B1089" s="373">
        <v>43032</v>
      </c>
      <c r="C1089" s="373">
        <v>43089</v>
      </c>
      <c r="D1089" s="372">
        <v>58</v>
      </c>
      <c r="E1089" s="372">
        <v>56</v>
      </c>
      <c r="F1089" s="372">
        <f>IFERROR(INDEX('NonART prices by med'!$D$2:$D$102,MATCH(D1089,'NonART prices by med'!$A$2:$A$102,0)),"")</f>
        <v>2.0527380952380954</v>
      </c>
      <c r="G1089" s="372">
        <f t="shared" si="33"/>
        <v>114.95333333333335</v>
      </c>
      <c r="H1089" s="372">
        <f t="shared" si="34"/>
        <v>1</v>
      </c>
    </row>
    <row r="1090" spans="1:8">
      <c r="A1090" s="372">
        <v>18</v>
      </c>
      <c r="B1090" s="373">
        <v>43032</v>
      </c>
      <c r="C1090" s="373">
        <v>43131</v>
      </c>
      <c r="D1090" s="372">
        <v>342</v>
      </c>
      <c r="E1090" s="372">
        <v>56</v>
      </c>
      <c r="F1090" s="372">
        <f>IFERROR(INDEX('NonART prices by med'!$D$2:$D$102,MATCH(D1090,'NonART prices by med'!$A$2:$A$102,0)),"")</f>
        <v>0.26590000152587889</v>
      </c>
      <c r="G1090" s="372">
        <f t="shared" si="33"/>
        <v>14.890400085449219</v>
      </c>
      <c r="H1090" s="372">
        <f t="shared" si="34"/>
        <v>1</v>
      </c>
    </row>
    <row r="1091" spans="1:8">
      <c r="A1091" s="372">
        <v>18</v>
      </c>
      <c r="B1091" s="373">
        <v>43032</v>
      </c>
      <c r="C1091" s="373">
        <v>43202</v>
      </c>
      <c r="D1091" s="372">
        <v>342</v>
      </c>
      <c r="E1091" s="372">
        <v>28</v>
      </c>
      <c r="F1091" s="372">
        <f>IFERROR(INDEX('NonART prices by med'!$D$2:$D$102,MATCH(D1091,'NonART prices by med'!$A$2:$A$102,0)),"")</f>
        <v>0.26590000152587889</v>
      </c>
      <c r="G1091" s="372">
        <f t="shared" ref="G1091:G1154" si="35">IFERROR(E1091*F1091,"")</f>
        <v>7.4452000427246094</v>
      </c>
      <c r="H1091" s="372">
        <f t="shared" si="34"/>
        <v>1</v>
      </c>
    </row>
    <row r="1092" spans="1:8">
      <c r="A1092" s="372">
        <v>20</v>
      </c>
      <c r="B1092" s="373">
        <v>42968</v>
      </c>
      <c r="C1092" s="373">
        <v>42935</v>
      </c>
      <c r="D1092" s="372">
        <v>13</v>
      </c>
      <c r="E1092" s="372">
        <v>28</v>
      </c>
      <c r="F1092" s="372">
        <f>IFERROR(INDEX('NonART prices by med'!$D$2:$D$102,MATCH(D1092,'NonART prices by med'!$A$2:$A$102,0)),"")</f>
        <v>0.15256434030246604</v>
      </c>
      <c r="G1092" s="372">
        <f t="shared" si="35"/>
        <v>4.2718015284690489</v>
      </c>
      <c r="H1092" s="372">
        <f t="shared" ref="H1092:H1155" si="36">IF(C1092-B1092&lt;=365,1,0)</f>
        <v>1</v>
      </c>
    </row>
    <row r="1093" spans="1:8">
      <c r="A1093" s="372">
        <v>21</v>
      </c>
      <c r="B1093" s="373">
        <v>42968</v>
      </c>
      <c r="C1093" s="373">
        <v>43027</v>
      </c>
      <c r="D1093" s="372">
        <v>162</v>
      </c>
      <c r="E1093" s="372">
        <v>10</v>
      </c>
      <c r="F1093" s="372">
        <f>IFERROR(INDEX('NonART prices by med'!$D$2:$D$102,MATCH(D1093,'NonART prices by med'!$A$2:$A$102,0)),"")</f>
        <v>0.126</v>
      </c>
      <c r="G1093" s="372">
        <f t="shared" si="35"/>
        <v>1.26</v>
      </c>
      <c r="H1093" s="372">
        <f t="shared" si="36"/>
        <v>1</v>
      </c>
    </row>
    <row r="1094" spans="1:8">
      <c r="A1094" s="372">
        <v>21</v>
      </c>
      <c r="B1094" s="373">
        <v>42968</v>
      </c>
      <c r="C1094" s="373">
        <v>43153</v>
      </c>
      <c r="D1094" s="372">
        <v>179</v>
      </c>
      <c r="F1094" s="372">
        <f>IFERROR(INDEX('NonART prices by med'!$D$2:$D$102,MATCH(D1094,'NonART prices by med'!$A$2:$A$102,0)),"")</f>
        <v>12.69</v>
      </c>
      <c r="G1094" s="372">
        <f t="shared" si="35"/>
        <v>0</v>
      </c>
      <c r="H1094" s="372">
        <f t="shared" si="36"/>
        <v>1</v>
      </c>
    </row>
    <row r="1095" spans="1:8">
      <c r="A1095" s="372">
        <v>24</v>
      </c>
      <c r="B1095" s="373">
        <v>42958</v>
      </c>
      <c r="C1095" s="373">
        <v>43298</v>
      </c>
      <c r="D1095" s="372">
        <v>184</v>
      </c>
      <c r="E1095" s="372">
        <v>56</v>
      </c>
      <c r="F1095" s="372">
        <f>IFERROR(INDEX('NonART prices by med'!$D$2:$D$102,MATCH(D1095,'NonART prices by med'!$A$2:$A$102,0)),"")</f>
        <v>0.21851785714285715</v>
      </c>
      <c r="G1095" s="372">
        <f t="shared" si="35"/>
        <v>12.237</v>
      </c>
      <c r="H1095" s="372">
        <f t="shared" si="36"/>
        <v>1</v>
      </c>
    </row>
    <row r="1096" spans="1:8">
      <c r="A1096" s="372">
        <v>27</v>
      </c>
      <c r="B1096" s="373">
        <v>42961</v>
      </c>
      <c r="C1096" s="373">
        <v>42976</v>
      </c>
      <c r="D1096" s="372">
        <v>342</v>
      </c>
      <c r="E1096" s="372">
        <v>56</v>
      </c>
      <c r="F1096" s="372">
        <f>IFERROR(INDEX('NonART prices by med'!$D$2:$D$102,MATCH(D1096,'NonART prices by med'!$A$2:$A$102,0)),"")</f>
        <v>0.26590000152587889</v>
      </c>
      <c r="G1096" s="372">
        <f t="shared" si="35"/>
        <v>14.890400085449219</v>
      </c>
      <c r="H1096" s="372">
        <f t="shared" si="36"/>
        <v>1</v>
      </c>
    </row>
    <row r="1097" spans="1:8">
      <c r="A1097" s="372">
        <v>27</v>
      </c>
      <c r="B1097" s="373">
        <v>42961</v>
      </c>
      <c r="C1097" s="373">
        <v>43060</v>
      </c>
      <c r="D1097" s="372">
        <v>342</v>
      </c>
      <c r="E1097" s="372">
        <v>28</v>
      </c>
      <c r="F1097" s="372">
        <f>IFERROR(INDEX('NonART prices by med'!$D$2:$D$102,MATCH(D1097,'NonART prices by med'!$A$2:$A$102,0)),"")</f>
        <v>0.26590000152587889</v>
      </c>
      <c r="G1097" s="372">
        <f t="shared" si="35"/>
        <v>7.4452000427246094</v>
      </c>
      <c r="H1097" s="372">
        <f t="shared" si="36"/>
        <v>1</v>
      </c>
    </row>
    <row r="1098" spans="1:8">
      <c r="A1098" s="372">
        <v>27</v>
      </c>
      <c r="B1098" s="373">
        <v>42961</v>
      </c>
      <c r="C1098" s="373">
        <v>43081</v>
      </c>
      <c r="D1098" s="372">
        <v>35</v>
      </c>
      <c r="E1098" s="372">
        <v>28</v>
      </c>
      <c r="F1098" s="372">
        <f>IFERROR(INDEX('NonART prices by med'!$D$2:$D$102,MATCH(D1098,'NonART prices by med'!$A$2:$A$102,0)),"")</f>
        <v>0.60205838048342708</v>
      </c>
      <c r="G1098" s="372">
        <f t="shared" si="35"/>
        <v>16.857634653535957</v>
      </c>
      <c r="H1098" s="372">
        <f t="shared" si="36"/>
        <v>1</v>
      </c>
    </row>
    <row r="1099" spans="1:8">
      <c r="A1099" s="372">
        <v>27</v>
      </c>
      <c r="B1099" s="373">
        <v>42961</v>
      </c>
      <c r="C1099" s="373">
        <v>43131</v>
      </c>
      <c r="D1099" s="372">
        <v>288</v>
      </c>
      <c r="E1099" s="372">
        <v>14</v>
      </c>
      <c r="F1099" s="372">
        <f>IFERROR(INDEX('NonART prices by med'!$D$2:$D$102,MATCH(D1099,'NonART prices by med'!$A$2:$A$102,0)),"")</f>
        <v>0.27771428571428569</v>
      </c>
      <c r="G1099" s="372">
        <f t="shared" si="35"/>
        <v>3.8879999999999999</v>
      </c>
      <c r="H1099" s="372">
        <f t="shared" si="36"/>
        <v>1</v>
      </c>
    </row>
    <row r="1100" spans="1:8">
      <c r="A1100" s="372">
        <v>28</v>
      </c>
      <c r="B1100" s="373">
        <v>42961</v>
      </c>
      <c r="C1100" s="373">
        <v>42961</v>
      </c>
      <c r="D1100" s="372">
        <v>146</v>
      </c>
      <c r="F1100" s="372">
        <f>IFERROR(INDEX('NonART prices by med'!$D$2:$D$102,MATCH(D1100,'NonART prices by med'!$A$2:$A$102,0)),"")</f>
        <v>4.2040000000000006</v>
      </c>
      <c r="G1100" s="372">
        <f t="shared" si="35"/>
        <v>0</v>
      </c>
      <c r="H1100" s="372">
        <f t="shared" si="36"/>
        <v>1</v>
      </c>
    </row>
    <row r="1101" spans="1:8">
      <c r="A1101" s="372">
        <v>33</v>
      </c>
      <c r="B1101" s="373">
        <v>42957</v>
      </c>
      <c r="C1101" s="373">
        <v>42957</v>
      </c>
      <c r="D1101" s="372">
        <v>146</v>
      </c>
      <c r="E1101" s="372">
        <v>1</v>
      </c>
      <c r="F1101" s="372">
        <f>IFERROR(INDEX('NonART prices by med'!$D$2:$D$102,MATCH(D1101,'NonART prices by med'!$A$2:$A$102,0)),"")</f>
        <v>4.2040000000000006</v>
      </c>
      <c r="G1101" s="372">
        <f t="shared" si="35"/>
        <v>4.2040000000000006</v>
      </c>
      <c r="H1101" s="372">
        <f t="shared" si="36"/>
        <v>1</v>
      </c>
    </row>
    <row r="1102" spans="1:8">
      <c r="A1102" s="372">
        <v>33</v>
      </c>
      <c r="B1102" s="373">
        <v>42957</v>
      </c>
      <c r="C1102" s="373">
        <v>42972</v>
      </c>
      <c r="D1102" s="372">
        <v>179</v>
      </c>
      <c r="E1102" s="372">
        <v>1</v>
      </c>
      <c r="F1102" s="372">
        <f>IFERROR(INDEX('NonART prices by med'!$D$2:$D$102,MATCH(D1102,'NonART prices by med'!$A$2:$A$102,0)),"")</f>
        <v>12.69</v>
      </c>
      <c r="G1102" s="372">
        <f t="shared" si="35"/>
        <v>12.69</v>
      </c>
      <c r="H1102" s="372">
        <f t="shared" si="36"/>
        <v>1</v>
      </c>
    </row>
    <row r="1103" spans="1:8">
      <c r="A1103" s="372">
        <v>33</v>
      </c>
      <c r="B1103" s="373">
        <v>42957</v>
      </c>
      <c r="C1103" s="373">
        <v>43013</v>
      </c>
      <c r="D1103" s="372">
        <v>132</v>
      </c>
      <c r="E1103" s="372">
        <v>60</v>
      </c>
      <c r="F1103" s="372">
        <f>IFERROR(INDEX('NonART prices by med'!$D$2:$D$102,MATCH(D1103,'NonART prices by med'!$A$2:$A$102,0)),"")</f>
        <v>7.0309523809523822E-2</v>
      </c>
      <c r="G1103" s="372">
        <f t="shared" si="35"/>
        <v>4.2185714285714297</v>
      </c>
      <c r="H1103" s="372">
        <f t="shared" si="36"/>
        <v>1</v>
      </c>
    </row>
    <row r="1104" spans="1:8">
      <c r="A1104" s="372">
        <v>35</v>
      </c>
      <c r="B1104" s="373">
        <v>42937</v>
      </c>
      <c r="C1104" s="373">
        <v>43146</v>
      </c>
      <c r="D1104" s="372">
        <v>225</v>
      </c>
      <c r="E1104" s="372">
        <v>28</v>
      </c>
      <c r="F1104" s="372">
        <f>IFERROR(INDEX('NonART prices by med'!$D$2:$D$102,MATCH(D1104,'NonART prices by med'!$A$2:$A$102,0)),"")</f>
        <v>0.19315423345580862</v>
      </c>
      <c r="G1104" s="372">
        <f t="shared" si="35"/>
        <v>5.408318536762641</v>
      </c>
      <c r="H1104" s="372">
        <f t="shared" si="36"/>
        <v>1</v>
      </c>
    </row>
    <row r="1105" spans="1:8">
      <c r="A1105" s="372">
        <v>43</v>
      </c>
      <c r="B1105" s="373">
        <v>42949</v>
      </c>
      <c r="C1105" s="373">
        <v>42949</v>
      </c>
      <c r="D1105" s="372">
        <v>342</v>
      </c>
      <c r="E1105" s="372">
        <v>28</v>
      </c>
      <c r="F1105" s="372">
        <f>IFERROR(INDEX('NonART prices by med'!$D$2:$D$102,MATCH(D1105,'NonART prices by med'!$A$2:$A$102,0)),"")</f>
        <v>0.26590000152587889</v>
      </c>
      <c r="G1105" s="372">
        <f t="shared" si="35"/>
        <v>7.4452000427246094</v>
      </c>
      <c r="H1105" s="372">
        <f t="shared" si="36"/>
        <v>1</v>
      </c>
    </row>
    <row r="1106" spans="1:8">
      <c r="A1106" s="372">
        <v>43</v>
      </c>
      <c r="B1106" s="373">
        <v>42949</v>
      </c>
      <c r="C1106" s="373">
        <v>42990</v>
      </c>
      <c r="D1106" s="372">
        <v>184</v>
      </c>
      <c r="E1106" s="372">
        <v>56</v>
      </c>
      <c r="F1106" s="372">
        <f>IFERROR(INDEX('NonART prices by med'!$D$2:$D$102,MATCH(D1106,'NonART prices by med'!$A$2:$A$102,0)),"")</f>
        <v>0.21851785714285715</v>
      </c>
      <c r="G1106" s="372">
        <f t="shared" si="35"/>
        <v>12.237</v>
      </c>
      <c r="H1106" s="372">
        <f t="shared" si="36"/>
        <v>1</v>
      </c>
    </row>
    <row r="1107" spans="1:8">
      <c r="A1107" s="372">
        <v>43</v>
      </c>
      <c r="B1107" s="373">
        <v>42949</v>
      </c>
      <c r="C1107" s="373">
        <v>43118</v>
      </c>
      <c r="D1107" s="372">
        <v>184</v>
      </c>
      <c r="E1107" s="372">
        <v>28</v>
      </c>
      <c r="F1107" s="372">
        <f>IFERROR(INDEX('NonART prices by med'!$D$2:$D$102,MATCH(D1107,'NonART prices by med'!$A$2:$A$102,0)),"")</f>
        <v>0.21851785714285715</v>
      </c>
      <c r="G1107" s="372">
        <f t="shared" si="35"/>
        <v>6.1185</v>
      </c>
      <c r="H1107" s="372">
        <f t="shared" si="36"/>
        <v>1</v>
      </c>
    </row>
    <row r="1108" spans="1:8">
      <c r="A1108" s="372">
        <v>44</v>
      </c>
      <c r="B1108" s="373">
        <v>42949</v>
      </c>
      <c r="C1108" s="373">
        <v>42985</v>
      </c>
      <c r="D1108" s="372">
        <v>216</v>
      </c>
      <c r="E1108" s="372">
        <v>5</v>
      </c>
      <c r="F1108" s="372">
        <f>IFERROR(INDEX('NonART prices by med'!$D$2:$D$102,MATCH(D1108,'NonART prices by med'!$A$2:$A$102,0)),"")</f>
        <v>0.25232142857142859</v>
      </c>
      <c r="G1108" s="372">
        <f t="shared" si="35"/>
        <v>1.2616071428571429</v>
      </c>
      <c r="H1108" s="372">
        <f t="shared" si="36"/>
        <v>1</v>
      </c>
    </row>
    <row r="1109" spans="1:8">
      <c r="A1109" s="372">
        <v>44</v>
      </c>
      <c r="B1109" s="373">
        <v>42949</v>
      </c>
      <c r="C1109" s="373">
        <v>43027</v>
      </c>
      <c r="D1109" s="372">
        <v>225</v>
      </c>
      <c r="E1109" s="372">
        <v>28</v>
      </c>
      <c r="F1109" s="372">
        <f>IFERROR(INDEX('NonART prices by med'!$D$2:$D$102,MATCH(D1109,'NonART prices by med'!$A$2:$A$102,0)),"")</f>
        <v>0.19315423345580862</v>
      </c>
      <c r="G1109" s="372">
        <f t="shared" si="35"/>
        <v>5.408318536762641</v>
      </c>
      <c r="H1109" s="372">
        <f t="shared" si="36"/>
        <v>1</v>
      </c>
    </row>
    <row r="1110" spans="1:8">
      <c r="A1110" s="372">
        <v>45</v>
      </c>
      <c r="B1110" s="373">
        <v>42949</v>
      </c>
      <c r="C1110" s="373">
        <v>42963</v>
      </c>
      <c r="D1110" s="372">
        <v>316</v>
      </c>
      <c r="E1110" s="372">
        <v>28</v>
      </c>
      <c r="F1110" s="372">
        <f>IFERROR(INDEX('NonART prices by med'!$D$2:$D$102,MATCH(D1110,'NonART prices by med'!$A$2:$A$102,0)),"")</f>
        <v>5.0199999999999995E-2</v>
      </c>
      <c r="G1110" s="372">
        <f t="shared" si="35"/>
        <v>1.4055999999999997</v>
      </c>
      <c r="H1110" s="372">
        <f t="shared" si="36"/>
        <v>1</v>
      </c>
    </row>
    <row r="1111" spans="1:8">
      <c r="A1111" s="372">
        <v>45</v>
      </c>
      <c r="B1111" s="373">
        <v>42949</v>
      </c>
      <c r="C1111" s="373">
        <v>43047</v>
      </c>
      <c r="D1111" s="372">
        <v>184</v>
      </c>
      <c r="E1111" s="372">
        <v>56</v>
      </c>
      <c r="F1111" s="372">
        <f>IFERROR(INDEX('NonART prices by med'!$D$2:$D$102,MATCH(D1111,'NonART prices by med'!$A$2:$A$102,0)),"")</f>
        <v>0.21851785714285715</v>
      </c>
      <c r="G1111" s="372">
        <f t="shared" si="35"/>
        <v>12.237</v>
      </c>
      <c r="H1111" s="372">
        <f t="shared" si="36"/>
        <v>1</v>
      </c>
    </row>
    <row r="1112" spans="1:8">
      <c r="A1112" s="372">
        <v>45</v>
      </c>
      <c r="B1112" s="373">
        <v>42949</v>
      </c>
      <c r="C1112" s="373">
        <v>43075</v>
      </c>
      <c r="D1112" s="372">
        <v>184</v>
      </c>
      <c r="E1112" s="372">
        <v>112</v>
      </c>
      <c r="F1112" s="372">
        <f>IFERROR(INDEX('NonART prices by med'!$D$2:$D$102,MATCH(D1112,'NonART prices by med'!$A$2:$A$102,0)),"")</f>
        <v>0.21851785714285715</v>
      </c>
      <c r="G1112" s="372">
        <f t="shared" si="35"/>
        <v>24.474</v>
      </c>
      <c r="H1112" s="372">
        <f t="shared" si="36"/>
        <v>1</v>
      </c>
    </row>
    <row r="1113" spans="1:8">
      <c r="A1113" s="372">
        <v>45</v>
      </c>
      <c r="B1113" s="373">
        <v>42949</v>
      </c>
      <c r="C1113" s="373">
        <v>43131</v>
      </c>
      <c r="D1113" s="372">
        <v>184</v>
      </c>
      <c r="E1113" s="372">
        <v>56</v>
      </c>
      <c r="F1113" s="372">
        <f>IFERROR(INDEX('NonART prices by med'!$D$2:$D$102,MATCH(D1113,'NonART prices by med'!$A$2:$A$102,0)),"")</f>
        <v>0.21851785714285715</v>
      </c>
      <c r="G1113" s="372">
        <f t="shared" si="35"/>
        <v>12.237</v>
      </c>
      <c r="H1113" s="372">
        <f t="shared" si="36"/>
        <v>1</v>
      </c>
    </row>
    <row r="1114" spans="1:8">
      <c r="A1114" s="372">
        <v>45</v>
      </c>
      <c r="B1114" s="373">
        <v>42949</v>
      </c>
      <c r="C1114" s="373">
        <v>43159</v>
      </c>
      <c r="D1114" s="372">
        <v>184</v>
      </c>
      <c r="E1114" s="372">
        <v>56</v>
      </c>
      <c r="F1114" s="372">
        <f>IFERROR(INDEX('NonART prices by med'!$D$2:$D$102,MATCH(D1114,'NonART prices by med'!$A$2:$A$102,0)),"")</f>
        <v>0.21851785714285715</v>
      </c>
      <c r="G1114" s="372">
        <f t="shared" si="35"/>
        <v>12.237</v>
      </c>
      <c r="H1114" s="372">
        <f t="shared" si="36"/>
        <v>1</v>
      </c>
    </row>
    <row r="1115" spans="1:8">
      <c r="A1115" s="372">
        <v>45</v>
      </c>
      <c r="B1115" s="373">
        <v>42949</v>
      </c>
      <c r="C1115" s="373">
        <v>43188</v>
      </c>
      <c r="D1115" s="372">
        <v>184</v>
      </c>
      <c r="E1115" s="372">
        <v>56</v>
      </c>
      <c r="F1115" s="372">
        <f>IFERROR(INDEX('NonART prices by med'!$D$2:$D$102,MATCH(D1115,'NonART prices by med'!$A$2:$A$102,0)),"")</f>
        <v>0.21851785714285715</v>
      </c>
      <c r="G1115" s="372">
        <f t="shared" si="35"/>
        <v>12.237</v>
      </c>
      <c r="H1115" s="372">
        <f t="shared" si="36"/>
        <v>1</v>
      </c>
    </row>
    <row r="1116" spans="1:8">
      <c r="A1116" s="372">
        <v>45</v>
      </c>
      <c r="B1116" s="373">
        <v>42949</v>
      </c>
      <c r="C1116" s="373">
        <v>43215</v>
      </c>
      <c r="D1116" s="372">
        <v>358</v>
      </c>
      <c r="E1116" s="372">
        <v>56</v>
      </c>
      <c r="F1116" s="372">
        <f>IFERROR(INDEX('NonART prices by med'!$D$2:$D$102,MATCH(D1116,'NonART prices by med'!$A$2:$A$102,0)),"")</f>
        <v>0.1839316921343207</v>
      </c>
      <c r="G1116" s="372">
        <f t="shared" si="35"/>
        <v>10.300174759521958</v>
      </c>
      <c r="H1116" s="372">
        <f t="shared" si="36"/>
        <v>1</v>
      </c>
    </row>
    <row r="1117" spans="1:8">
      <c r="A1117" s="372">
        <v>45</v>
      </c>
      <c r="B1117" s="373">
        <v>42949</v>
      </c>
      <c r="C1117" s="373">
        <v>43271</v>
      </c>
      <c r="D1117" s="372">
        <v>184</v>
      </c>
      <c r="E1117" s="372">
        <v>112</v>
      </c>
      <c r="F1117" s="372">
        <f>IFERROR(INDEX('NonART prices by med'!$D$2:$D$102,MATCH(D1117,'NonART prices by med'!$A$2:$A$102,0)),"")</f>
        <v>0.21851785714285715</v>
      </c>
      <c r="G1117" s="372">
        <f t="shared" si="35"/>
        <v>24.474</v>
      </c>
      <c r="H1117" s="372">
        <f t="shared" si="36"/>
        <v>1</v>
      </c>
    </row>
    <row r="1118" spans="1:8">
      <c r="A1118" s="372">
        <v>45</v>
      </c>
      <c r="B1118" s="373">
        <v>42949</v>
      </c>
      <c r="C1118" s="373">
        <v>43334</v>
      </c>
      <c r="D1118" s="372">
        <v>184</v>
      </c>
      <c r="E1118" s="372">
        <v>56</v>
      </c>
      <c r="F1118" s="372">
        <f>IFERROR(INDEX('NonART prices by med'!$D$2:$D$102,MATCH(D1118,'NonART prices by med'!$A$2:$A$102,0)),"")</f>
        <v>0.21851785714285715</v>
      </c>
      <c r="G1118" s="372">
        <f t="shared" si="35"/>
        <v>12.237</v>
      </c>
      <c r="H1118" s="372">
        <f t="shared" si="36"/>
        <v>0</v>
      </c>
    </row>
    <row r="1119" spans="1:8">
      <c r="A1119" s="372">
        <v>46</v>
      </c>
      <c r="B1119" s="373">
        <v>42949</v>
      </c>
      <c r="C1119" s="373">
        <v>43089</v>
      </c>
      <c r="D1119" s="372">
        <v>118</v>
      </c>
      <c r="F1119" s="372">
        <f>IFERROR(INDEX('NonART prices by med'!$D$2:$D$102,MATCH(D1119,'NonART prices by med'!$A$2:$A$102,0)),"")</f>
        <v>3.0300000508626304</v>
      </c>
      <c r="G1119" s="372">
        <f t="shared" si="35"/>
        <v>0</v>
      </c>
      <c r="H1119" s="372">
        <f t="shared" si="36"/>
        <v>1</v>
      </c>
    </row>
    <row r="1120" spans="1:8">
      <c r="A1120" s="372">
        <v>46</v>
      </c>
      <c r="B1120" s="373">
        <v>42949</v>
      </c>
      <c r="C1120" s="373">
        <v>43228</v>
      </c>
      <c r="D1120" s="372">
        <v>146</v>
      </c>
      <c r="E1120" s="372">
        <v>1</v>
      </c>
      <c r="F1120" s="372">
        <f>IFERROR(INDEX('NonART prices by med'!$D$2:$D$102,MATCH(D1120,'NonART prices by med'!$A$2:$A$102,0)),"")</f>
        <v>4.2040000000000006</v>
      </c>
      <c r="G1120" s="372">
        <f t="shared" si="35"/>
        <v>4.2040000000000006</v>
      </c>
      <c r="H1120" s="372">
        <f t="shared" si="36"/>
        <v>1</v>
      </c>
    </row>
    <row r="1121" spans="1:8">
      <c r="A1121" s="372">
        <v>46</v>
      </c>
      <c r="B1121" s="373">
        <v>42949</v>
      </c>
      <c r="C1121" s="373">
        <v>43313</v>
      </c>
      <c r="D1121" s="372">
        <v>35</v>
      </c>
      <c r="E1121" s="372">
        <v>28</v>
      </c>
      <c r="F1121" s="372">
        <f>IFERROR(INDEX('NonART prices by med'!$D$2:$D$102,MATCH(D1121,'NonART prices by med'!$A$2:$A$102,0)),"")</f>
        <v>0.60205838048342708</v>
      </c>
      <c r="G1121" s="372">
        <f t="shared" si="35"/>
        <v>16.857634653535957</v>
      </c>
      <c r="H1121" s="372">
        <f t="shared" si="36"/>
        <v>1</v>
      </c>
    </row>
    <row r="1122" spans="1:8">
      <c r="A1122" s="372">
        <v>48</v>
      </c>
      <c r="B1122" s="373">
        <v>42947</v>
      </c>
      <c r="C1122" s="373">
        <v>43041</v>
      </c>
      <c r="D1122" s="372">
        <v>342</v>
      </c>
      <c r="E1122" s="372">
        <v>56</v>
      </c>
      <c r="F1122" s="372">
        <f>IFERROR(INDEX('NonART prices by med'!$D$2:$D$102,MATCH(D1122,'NonART prices by med'!$A$2:$A$102,0)),"")</f>
        <v>0.26590000152587889</v>
      </c>
      <c r="G1122" s="372">
        <f t="shared" si="35"/>
        <v>14.890400085449219</v>
      </c>
      <c r="H1122" s="372">
        <f t="shared" si="36"/>
        <v>1</v>
      </c>
    </row>
    <row r="1123" spans="1:8">
      <c r="A1123" s="372">
        <v>48</v>
      </c>
      <c r="B1123" s="373">
        <v>42947</v>
      </c>
      <c r="C1123" s="373">
        <v>43279</v>
      </c>
      <c r="D1123" s="372">
        <v>245</v>
      </c>
      <c r="E1123" s="372">
        <v>15</v>
      </c>
      <c r="F1123" s="372">
        <f>IFERROR(INDEX('NonART prices by med'!$D$2:$D$102,MATCH(D1123,'NonART prices by med'!$A$2:$A$102,0)),"")</f>
        <v>0.30239999964781011</v>
      </c>
      <c r="G1123" s="372">
        <f t="shared" si="35"/>
        <v>4.5359999947171517</v>
      </c>
      <c r="H1123" s="372">
        <f t="shared" si="36"/>
        <v>1</v>
      </c>
    </row>
    <row r="1124" spans="1:8">
      <c r="A1124" s="372">
        <v>49</v>
      </c>
      <c r="B1124" s="373">
        <v>42948</v>
      </c>
      <c r="C1124" s="373">
        <v>43339</v>
      </c>
      <c r="D1124" s="372">
        <v>342</v>
      </c>
      <c r="E1124" s="372">
        <v>28</v>
      </c>
      <c r="F1124" s="372">
        <f>IFERROR(INDEX('NonART prices by med'!$D$2:$D$102,MATCH(D1124,'NonART prices by med'!$A$2:$A$102,0)),"")</f>
        <v>0.26590000152587889</v>
      </c>
      <c r="G1124" s="372">
        <f t="shared" si="35"/>
        <v>7.4452000427246094</v>
      </c>
      <c r="H1124" s="372">
        <f t="shared" si="36"/>
        <v>0</v>
      </c>
    </row>
    <row r="1125" spans="1:8">
      <c r="A1125" s="372">
        <v>49</v>
      </c>
      <c r="B1125" s="373">
        <v>42948</v>
      </c>
      <c r="C1125" s="373">
        <v>43369</v>
      </c>
      <c r="D1125" s="372">
        <v>342</v>
      </c>
      <c r="E1125" s="372">
        <v>28</v>
      </c>
      <c r="F1125" s="372">
        <f>IFERROR(INDEX('NonART prices by med'!$D$2:$D$102,MATCH(D1125,'NonART prices by med'!$A$2:$A$102,0)),"")</f>
        <v>0.26590000152587889</v>
      </c>
      <c r="G1125" s="372">
        <f t="shared" si="35"/>
        <v>7.4452000427246094</v>
      </c>
      <c r="H1125" s="372">
        <f t="shared" si="36"/>
        <v>0</v>
      </c>
    </row>
    <row r="1126" spans="1:8">
      <c r="A1126" s="372">
        <v>51</v>
      </c>
      <c r="B1126" s="373">
        <v>42944</v>
      </c>
      <c r="C1126" s="373">
        <v>42944</v>
      </c>
      <c r="D1126" s="372">
        <v>133</v>
      </c>
      <c r="E1126" s="372">
        <v>10</v>
      </c>
      <c r="F1126" s="372">
        <f>IFERROR(INDEX('NonART prices by med'!$D$2:$D$102,MATCH(D1126,'NonART prices by med'!$A$2:$A$102,0)),"")</f>
        <v>0.68440000098466458</v>
      </c>
      <c r="G1126" s="372">
        <f t="shared" si="35"/>
        <v>6.8440000098466456</v>
      </c>
      <c r="H1126" s="372">
        <f t="shared" si="36"/>
        <v>1</v>
      </c>
    </row>
    <row r="1127" spans="1:8">
      <c r="A1127" s="372">
        <v>51</v>
      </c>
      <c r="B1127" s="373">
        <v>42944</v>
      </c>
      <c r="C1127" s="373">
        <v>42982</v>
      </c>
      <c r="D1127" s="372">
        <v>35</v>
      </c>
      <c r="E1127" s="372">
        <v>56</v>
      </c>
      <c r="F1127" s="372">
        <f>IFERROR(INDEX('NonART prices by med'!$D$2:$D$102,MATCH(D1127,'NonART prices by med'!$A$2:$A$102,0)),"")</f>
        <v>0.60205838048342708</v>
      </c>
      <c r="G1127" s="372">
        <f t="shared" si="35"/>
        <v>33.715269307071914</v>
      </c>
      <c r="H1127" s="372">
        <f t="shared" si="36"/>
        <v>1</v>
      </c>
    </row>
    <row r="1128" spans="1:8">
      <c r="A1128" s="372">
        <v>51</v>
      </c>
      <c r="B1128" s="373">
        <v>42944</v>
      </c>
      <c r="C1128" s="373">
        <v>43031</v>
      </c>
      <c r="D1128" s="372">
        <v>35</v>
      </c>
      <c r="E1128" s="372">
        <v>56</v>
      </c>
      <c r="F1128" s="372">
        <f>IFERROR(INDEX('NonART prices by med'!$D$2:$D$102,MATCH(D1128,'NonART prices by med'!$A$2:$A$102,0)),"")</f>
        <v>0.60205838048342708</v>
      </c>
      <c r="G1128" s="372">
        <f t="shared" si="35"/>
        <v>33.715269307071914</v>
      </c>
      <c r="H1128" s="372">
        <f t="shared" si="36"/>
        <v>1</v>
      </c>
    </row>
    <row r="1129" spans="1:8">
      <c r="A1129" s="372">
        <v>53</v>
      </c>
      <c r="B1129" s="373">
        <v>42943</v>
      </c>
      <c r="C1129" s="373">
        <v>43024</v>
      </c>
      <c r="D1129" s="372">
        <v>178</v>
      </c>
      <c r="E1129" s="372">
        <v>2</v>
      </c>
      <c r="F1129" s="372">
        <f>IFERROR(INDEX('NonART prices by med'!$D$2:$D$102,MATCH(D1129,'NonART prices by med'!$A$2:$A$102,0)),"")</f>
        <v>0.22140000000000001</v>
      </c>
      <c r="G1129" s="372">
        <f t="shared" si="35"/>
        <v>0.44280000000000003</v>
      </c>
      <c r="H1129" s="372">
        <f t="shared" si="36"/>
        <v>1</v>
      </c>
    </row>
    <row r="1130" spans="1:8">
      <c r="A1130" s="372">
        <v>54</v>
      </c>
      <c r="B1130" s="373">
        <v>42941</v>
      </c>
      <c r="C1130" s="373">
        <v>42997</v>
      </c>
      <c r="D1130" s="372">
        <v>35</v>
      </c>
      <c r="E1130" s="372">
        <v>28</v>
      </c>
      <c r="F1130" s="372">
        <f>IFERROR(INDEX('NonART prices by med'!$D$2:$D$102,MATCH(D1130,'NonART prices by med'!$A$2:$A$102,0)),"")</f>
        <v>0.60205838048342708</v>
      </c>
      <c r="G1130" s="372">
        <f t="shared" si="35"/>
        <v>16.857634653535957</v>
      </c>
      <c r="H1130" s="372">
        <f t="shared" si="36"/>
        <v>1</v>
      </c>
    </row>
    <row r="1131" spans="1:8">
      <c r="A1131" s="372">
        <v>54</v>
      </c>
      <c r="B1131" s="373">
        <v>42941</v>
      </c>
      <c r="C1131" s="373">
        <v>43025</v>
      </c>
      <c r="D1131" s="372">
        <v>24</v>
      </c>
      <c r="E1131" s="372">
        <v>28</v>
      </c>
      <c r="F1131" s="372">
        <f>IFERROR(INDEX('NonART prices by med'!$D$2:$D$102,MATCH(D1131,'NonART prices by med'!$A$2:$A$102,0)),"")</f>
        <v>0.1467857142857143</v>
      </c>
      <c r="G1131" s="372">
        <f t="shared" si="35"/>
        <v>4.1100000000000003</v>
      </c>
      <c r="H1131" s="372">
        <f t="shared" si="36"/>
        <v>1</v>
      </c>
    </row>
    <row r="1132" spans="1:8">
      <c r="A1132" s="372">
        <v>54</v>
      </c>
      <c r="B1132" s="373">
        <v>42941</v>
      </c>
      <c r="C1132" s="373">
        <v>43053</v>
      </c>
      <c r="D1132" s="372">
        <v>7</v>
      </c>
      <c r="E1132" s="372">
        <v>60</v>
      </c>
      <c r="F1132" s="372">
        <f>IFERROR(INDEX('NonART prices by med'!$D$2:$D$102,MATCH(D1132,'NonART prices by med'!$A$2:$A$102,0)),"")</f>
        <v>0.16680357240796304</v>
      </c>
      <c r="G1132" s="372">
        <f t="shared" si="35"/>
        <v>10.008214344477782</v>
      </c>
      <c r="H1132" s="372">
        <f t="shared" si="36"/>
        <v>1</v>
      </c>
    </row>
    <row r="1133" spans="1:8">
      <c r="A1133" s="372">
        <v>54</v>
      </c>
      <c r="B1133" s="373">
        <v>42941</v>
      </c>
      <c r="C1133" s="373">
        <v>43109</v>
      </c>
      <c r="D1133" s="372">
        <v>342</v>
      </c>
      <c r="E1133" s="372">
        <v>28</v>
      </c>
      <c r="F1133" s="372">
        <f>IFERROR(INDEX('NonART prices by med'!$D$2:$D$102,MATCH(D1133,'NonART prices by med'!$A$2:$A$102,0)),"")</f>
        <v>0.26590000152587889</v>
      </c>
      <c r="G1133" s="372">
        <f t="shared" si="35"/>
        <v>7.4452000427246094</v>
      </c>
      <c r="H1133" s="372">
        <f t="shared" si="36"/>
        <v>1</v>
      </c>
    </row>
    <row r="1134" spans="1:8">
      <c r="A1134" s="372">
        <v>55</v>
      </c>
      <c r="B1134" s="373">
        <v>42941</v>
      </c>
      <c r="C1134" s="373">
        <v>43026</v>
      </c>
      <c r="D1134" s="372">
        <v>35</v>
      </c>
      <c r="E1134" s="372">
        <v>28</v>
      </c>
      <c r="F1134" s="372">
        <f>IFERROR(INDEX('NonART prices by med'!$D$2:$D$102,MATCH(D1134,'NonART prices by med'!$A$2:$A$102,0)),"")</f>
        <v>0.60205838048342708</v>
      </c>
      <c r="G1134" s="372">
        <f t="shared" si="35"/>
        <v>16.857634653535957</v>
      </c>
      <c r="H1134" s="372">
        <f t="shared" si="36"/>
        <v>1</v>
      </c>
    </row>
    <row r="1135" spans="1:8">
      <c r="A1135" s="372">
        <v>55</v>
      </c>
      <c r="B1135" s="373">
        <v>42941</v>
      </c>
      <c r="C1135" s="373">
        <v>43054</v>
      </c>
      <c r="D1135" s="372">
        <v>35</v>
      </c>
      <c r="E1135" s="372">
        <v>28</v>
      </c>
      <c r="F1135" s="372">
        <f>IFERROR(INDEX('NonART prices by med'!$D$2:$D$102,MATCH(D1135,'NonART prices by med'!$A$2:$A$102,0)),"")</f>
        <v>0.60205838048342708</v>
      </c>
      <c r="G1135" s="372">
        <f t="shared" si="35"/>
        <v>16.857634653535957</v>
      </c>
      <c r="H1135" s="372">
        <f t="shared" si="36"/>
        <v>1</v>
      </c>
    </row>
    <row r="1136" spans="1:8">
      <c r="A1136" s="372">
        <v>56</v>
      </c>
      <c r="B1136" s="373">
        <v>42941</v>
      </c>
      <c r="C1136" s="373">
        <v>43017</v>
      </c>
      <c r="D1136" s="372">
        <v>183</v>
      </c>
      <c r="E1136" s="372">
        <v>112</v>
      </c>
      <c r="F1136" s="372">
        <f>IFERROR(INDEX('NonART prices by med'!$D$2:$D$102,MATCH(D1136,'NonART prices by med'!$A$2:$A$102,0)),"")</f>
        <v>0.24214285714285716</v>
      </c>
      <c r="G1136" s="372">
        <f t="shared" si="35"/>
        <v>27.12</v>
      </c>
      <c r="H1136" s="372">
        <f t="shared" si="36"/>
        <v>1</v>
      </c>
    </row>
    <row r="1137" spans="1:8">
      <c r="A1137" s="372">
        <v>56</v>
      </c>
      <c r="B1137" s="373">
        <v>42941</v>
      </c>
      <c r="C1137" s="373">
        <v>43059</v>
      </c>
      <c r="D1137" s="372">
        <v>215</v>
      </c>
      <c r="E1137" s="372">
        <v>28</v>
      </c>
      <c r="F1137" s="372">
        <f>IFERROR(INDEX('NonART prices by med'!$D$2:$D$102,MATCH(D1137,'NonART prices by med'!$A$2:$A$102,0)),"")</f>
        <v>0.27607142857142858</v>
      </c>
      <c r="G1137" s="372">
        <f t="shared" si="35"/>
        <v>7.73</v>
      </c>
      <c r="H1137" s="372">
        <f t="shared" si="36"/>
        <v>1</v>
      </c>
    </row>
    <row r="1138" spans="1:8">
      <c r="A1138" s="372">
        <v>59</v>
      </c>
      <c r="B1138" s="373">
        <v>42941</v>
      </c>
      <c r="C1138" s="373">
        <v>42941</v>
      </c>
      <c r="D1138" s="372">
        <v>411</v>
      </c>
      <c r="E1138" s="372">
        <v>28</v>
      </c>
      <c r="F1138" s="372">
        <f>IFERROR(INDEX('NonART prices by med'!$D$2:$D$102,MATCH(D1138,'NonART prices by med'!$A$2:$A$102,0)),"")</f>
        <v>0.10354499389265867</v>
      </c>
      <c r="G1138" s="372">
        <f t="shared" si="35"/>
        <v>2.8992598289944427</v>
      </c>
      <c r="H1138" s="372">
        <f t="shared" si="36"/>
        <v>1</v>
      </c>
    </row>
    <row r="1139" spans="1:8">
      <c r="A1139" s="372">
        <v>59</v>
      </c>
      <c r="B1139" s="373">
        <v>42941</v>
      </c>
      <c r="C1139" s="373">
        <v>43054</v>
      </c>
      <c r="D1139" s="372">
        <v>246</v>
      </c>
      <c r="E1139" s="372">
        <v>30</v>
      </c>
      <c r="F1139" s="372">
        <f>IFERROR(INDEX('NonART prices by med'!$D$2:$D$102,MATCH(D1139,'NonART prices by med'!$A$2:$A$102,0)),"")</f>
        <v>0.30239999964781011</v>
      </c>
      <c r="G1139" s="372">
        <f t="shared" si="35"/>
        <v>9.0719999894343033</v>
      </c>
      <c r="H1139" s="372">
        <f t="shared" si="36"/>
        <v>1</v>
      </c>
    </row>
    <row r="1140" spans="1:8">
      <c r="A1140" s="372">
        <v>60</v>
      </c>
      <c r="B1140" s="373">
        <v>42926</v>
      </c>
      <c r="C1140" s="373">
        <v>42941</v>
      </c>
      <c r="D1140" s="372">
        <v>46</v>
      </c>
      <c r="E1140" s="372">
        <v>84</v>
      </c>
      <c r="F1140" s="372">
        <f>IFERROR(INDEX('NonART prices by med'!$D$2:$D$102,MATCH(D1140,'NonART prices by med'!$A$2:$A$102,0)),"")</f>
        <v>0.24251214563675313</v>
      </c>
      <c r="G1140" s="372">
        <f t="shared" si="35"/>
        <v>20.371020233487265</v>
      </c>
      <c r="H1140" s="372">
        <f t="shared" si="36"/>
        <v>1</v>
      </c>
    </row>
    <row r="1141" spans="1:8">
      <c r="A1141" s="372">
        <v>60</v>
      </c>
      <c r="B1141" s="373">
        <v>42926</v>
      </c>
      <c r="C1141" s="373">
        <v>43066</v>
      </c>
      <c r="D1141" s="372">
        <v>109</v>
      </c>
      <c r="E1141" s="372">
        <v>14</v>
      </c>
      <c r="F1141" s="372">
        <f>IFERROR(INDEX('NonART prices by med'!$D$2:$D$102,MATCH(D1141,'NonART prices by med'!$A$2:$A$102,0)),"")</f>
        <v>0.29699636168187971</v>
      </c>
      <c r="G1141" s="372">
        <f t="shared" si="35"/>
        <v>4.1579490635463161</v>
      </c>
      <c r="H1141" s="372">
        <f t="shared" si="36"/>
        <v>1</v>
      </c>
    </row>
    <row r="1142" spans="1:8">
      <c r="A1142" s="372">
        <v>60</v>
      </c>
      <c r="B1142" s="373">
        <v>42926</v>
      </c>
      <c r="C1142" s="373">
        <v>43087</v>
      </c>
      <c r="D1142" s="372">
        <v>358</v>
      </c>
      <c r="E1142" s="372">
        <v>28</v>
      </c>
      <c r="F1142" s="372">
        <f>IFERROR(INDEX('NonART prices by med'!$D$2:$D$102,MATCH(D1142,'NonART prices by med'!$A$2:$A$102,0)),"")</f>
        <v>0.1839316921343207</v>
      </c>
      <c r="G1142" s="372">
        <f t="shared" si="35"/>
        <v>5.1500873797609792</v>
      </c>
      <c r="H1142" s="372">
        <f t="shared" si="36"/>
        <v>1</v>
      </c>
    </row>
    <row r="1143" spans="1:8">
      <c r="A1143" s="372">
        <v>60</v>
      </c>
      <c r="B1143" s="373">
        <v>42926</v>
      </c>
      <c r="C1143" s="373">
        <v>43115</v>
      </c>
      <c r="D1143" s="372">
        <v>358</v>
      </c>
      <c r="E1143" s="372">
        <v>28</v>
      </c>
      <c r="F1143" s="372">
        <f>IFERROR(INDEX('NonART prices by med'!$D$2:$D$102,MATCH(D1143,'NonART prices by med'!$A$2:$A$102,0)),"")</f>
        <v>0.1839316921343207</v>
      </c>
      <c r="G1143" s="372">
        <f t="shared" si="35"/>
        <v>5.1500873797609792</v>
      </c>
      <c r="H1143" s="372">
        <f t="shared" si="36"/>
        <v>1</v>
      </c>
    </row>
    <row r="1144" spans="1:8">
      <c r="A1144" s="372">
        <v>60</v>
      </c>
      <c r="B1144" s="373">
        <v>42926</v>
      </c>
      <c r="C1144" s="373">
        <v>43144</v>
      </c>
      <c r="D1144" s="372">
        <v>109</v>
      </c>
      <c r="E1144" s="372">
        <v>14</v>
      </c>
      <c r="F1144" s="372">
        <f>IFERROR(INDEX('NonART prices by med'!$D$2:$D$102,MATCH(D1144,'NonART prices by med'!$A$2:$A$102,0)),"")</f>
        <v>0.29699636168187971</v>
      </c>
      <c r="G1144" s="372">
        <f t="shared" si="35"/>
        <v>4.1579490635463161</v>
      </c>
      <c r="H1144" s="372">
        <f t="shared" si="36"/>
        <v>1</v>
      </c>
    </row>
    <row r="1145" spans="1:8">
      <c r="A1145" s="372">
        <v>60</v>
      </c>
      <c r="B1145" s="373">
        <v>42926</v>
      </c>
      <c r="C1145" s="373">
        <v>43171</v>
      </c>
      <c r="D1145" s="372">
        <v>109</v>
      </c>
      <c r="E1145" s="372">
        <v>14</v>
      </c>
      <c r="F1145" s="372">
        <f>IFERROR(INDEX('NonART prices by med'!$D$2:$D$102,MATCH(D1145,'NonART prices by med'!$A$2:$A$102,0)),"")</f>
        <v>0.29699636168187971</v>
      </c>
      <c r="G1145" s="372">
        <f t="shared" si="35"/>
        <v>4.1579490635463161</v>
      </c>
      <c r="H1145" s="372">
        <f t="shared" si="36"/>
        <v>1</v>
      </c>
    </row>
    <row r="1146" spans="1:8">
      <c r="A1146" s="372">
        <v>60</v>
      </c>
      <c r="B1146" s="373">
        <v>42926</v>
      </c>
      <c r="C1146" s="373">
        <v>43201</v>
      </c>
      <c r="D1146" s="372">
        <v>358</v>
      </c>
      <c r="E1146" s="372">
        <v>56</v>
      </c>
      <c r="F1146" s="372">
        <f>IFERROR(INDEX('NonART prices by med'!$D$2:$D$102,MATCH(D1146,'NonART prices by med'!$A$2:$A$102,0)),"")</f>
        <v>0.1839316921343207</v>
      </c>
      <c r="G1146" s="372">
        <f t="shared" si="35"/>
        <v>10.300174759521958</v>
      </c>
      <c r="H1146" s="372">
        <f t="shared" si="36"/>
        <v>1</v>
      </c>
    </row>
    <row r="1147" spans="1:8">
      <c r="A1147" s="372">
        <v>60</v>
      </c>
      <c r="B1147" s="373">
        <v>42926</v>
      </c>
      <c r="C1147" s="373">
        <v>43285</v>
      </c>
      <c r="D1147" s="372">
        <v>358</v>
      </c>
      <c r="E1147" s="372">
        <v>28</v>
      </c>
      <c r="F1147" s="372">
        <f>IFERROR(INDEX('NonART prices by med'!$D$2:$D$102,MATCH(D1147,'NonART prices by med'!$A$2:$A$102,0)),"")</f>
        <v>0.1839316921343207</v>
      </c>
      <c r="G1147" s="372">
        <f t="shared" si="35"/>
        <v>5.1500873797609792</v>
      </c>
      <c r="H1147" s="372">
        <f t="shared" si="36"/>
        <v>1</v>
      </c>
    </row>
    <row r="1148" spans="1:8">
      <c r="A1148" s="372">
        <v>60</v>
      </c>
      <c r="B1148" s="373">
        <v>42926</v>
      </c>
      <c r="C1148" s="373">
        <v>43313</v>
      </c>
      <c r="D1148" s="372">
        <v>1</v>
      </c>
      <c r="E1148" s="372">
        <v>1</v>
      </c>
      <c r="F1148" s="372" t="str">
        <f>IFERROR(INDEX('NonART prices by med'!$D$2:$D$102,MATCH(D1148,'NonART prices by med'!$A$2:$A$102,0)),"")</f>
        <v/>
      </c>
      <c r="G1148" s="372" t="str">
        <f t="shared" si="35"/>
        <v/>
      </c>
      <c r="H1148" s="372">
        <f t="shared" si="36"/>
        <v>0</v>
      </c>
    </row>
    <row r="1149" spans="1:8">
      <c r="A1149" s="372">
        <v>60</v>
      </c>
      <c r="B1149" s="373">
        <v>42926</v>
      </c>
      <c r="C1149" s="373">
        <v>43369</v>
      </c>
      <c r="D1149" s="372">
        <v>358</v>
      </c>
      <c r="E1149" s="372">
        <v>28</v>
      </c>
      <c r="F1149" s="372">
        <f>IFERROR(INDEX('NonART prices by med'!$D$2:$D$102,MATCH(D1149,'NonART prices by med'!$A$2:$A$102,0)),"")</f>
        <v>0.1839316921343207</v>
      </c>
      <c r="G1149" s="372">
        <f t="shared" si="35"/>
        <v>5.1500873797609792</v>
      </c>
      <c r="H1149" s="372">
        <f t="shared" si="36"/>
        <v>0</v>
      </c>
    </row>
    <row r="1150" spans="1:8">
      <c r="A1150" s="372">
        <v>60</v>
      </c>
      <c r="B1150" s="373">
        <v>42926</v>
      </c>
      <c r="C1150" s="373">
        <v>43397</v>
      </c>
      <c r="D1150" s="372">
        <v>1</v>
      </c>
      <c r="E1150" s="372">
        <v>20</v>
      </c>
      <c r="F1150" s="372" t="str">
        <f>IFERROR(INDEX('NonART prices by med'!$D$2:$D$102,MATCH(D1150,'NonART prices by med'!$A$2:$A$102,0)),"")</f>
        <v/>
      </c>
      <c r="G1150" s="372" t="str">
        <f t="shared" si="35"/>
        <v/>
      </c>
      <c r="H1150" s="372">
        <f t="shared" si="36"/>
        <v>0</v>
      </c>
    </row>
    <row r="1151" spans="1:8">
      <c r="A1151" s="372">
        <v>62</v>
      </c>
      <c r="B1151" s="373">
        <v>42936</v>
      </c>
      <c r="C1151" s="373">
        <v>43061</v>
      </c>
      <c r="D1151" s="372">
        <v>216</v>
      </c>
      <c r="E1151" s="372">
        <v>56</v>
      </c>
      <c r="F1151" s="372">
        <f>IFERROR(INDEX('NonART prices by med'!$D$2:$D$102,MATCH(D1151,'NonART prices by med'!$A$2:$A$102,0)),"")</f>
        <v>0.25232142857142859</v>
      </c>
      <c r="G1151" s="372">
        <f t="shared" si="35"/>
        <v>14.13</v>
      </c>
      <c r="H1151" s="372">
        <f t="shared" si="36"/>
        <v>1</v>
      </c>
    </row>
    <row r="1152" spans="1:8">
      <c r="A1152" s="372">
        <v>62</v>
      </c>
      <c r="B1152" s="373">
        <v>42936</v>
      </c>
      <c r="C1152" s="373">
        <v>43103</v>
      </c>
      <c r="D1152" s="372">
        <v>411</v>
      </c>
      <c r="E1152" s="372">
        <v>28</v>
      </c>
      <c r="F1152" s="372">
        <f>IFERROR(INDEX('NonART prices by med'!$D$2:$D$102,MATCH(D1152,'NonART prices by med'!$A$2:$A$102,0)),"")</f>
        <v>0.10354499389265867</v>
      </c>
      <c r="G1152" s="372">
        <f t="shared" si="35"/>
        <v>2.8992598289944427</v>
      </c>
      <c r="H1152" s="372">
        <f t="shared" si="36"/>
        <v>1</v>
      </c>
    </row>
    <row r="1153" spans="1:8">
      <c r="A1153" s="372">
        <v>63</v>
      </c>
      <c r="B1153" s="373">
        <v>42935</v>
      </c>
      <c r="C1153" s="373">
        <v>42986</v>
      </c>
      <c r="D1153" s="372">
        <v>215</v>
      </c>
      <c r="F1153" s="372">
        <f>IFERROR(INDEX('NonART prices by med'!$D$2:$D$102,MATCH(D1153,'NonART prices by med'!$A$2:$A$102,0)),"")</f>
        <v>0.27607142857142858</v>
      </c>
      <c r="G1153" s="372">
        <f t="shared" si="35"/>
        <v>0</v>
      </c>
      <c r="H1153" s="372">
        <f t="shared" si="36"/>
        <v>1</v>
      </c>
    </row>
    <row r="1154" spans="1:8">
      <c r="A1154" s="372">
        <v>63</v>
      </c>
      <c r="B1154" s="373">
        <v>42935</v>
      </c>
      <c r="C1154" s="373">
        <v>43014</v>
      </c>
      <c r="D1154" s="372">
        <v>35</v>
      </c>
      <c r="E1154" s="372">
        <v>28</v>
      </c>
      <c r="F1154" s="372">
        <f>IFERROR(INDEX('NonART prices by med'!$D$2:$D$102,MATCH(D1154,'NonART prices by med'!$A$2:$A$102,0)),"")</f>
        <v>0.60205838048342708</v>
      </c>
      <c r="G1154" s="372">
        <f t="shared" si="35"/>
        <v>16.857634653535957</v>
      </c>
      <c r="H1154" s="372">
        <f t="shared" si="36"/>
        <v>1</v>
      </c>
    </row>
    <row r="1155" spans="1:8">
      <c r="A1155" s="372">
        <v>63</v>
      </c>
      <c r="B1155" s="373">
        <v>42935</v>
      </c>
      <c r="C1155" s="373">
        <v>43041</v>
      </c>
      <c r="D1155" s="372">
        <v>35</v>
      </c>
      <c r="E1155" s="372">
        <v>56</v>
      </c>
      <c r="F1155" s="372">
        <f>IFERROR(INDEX('NonART prices by med'!$D$2:$D$102,MATCH(D1155,'NonART prices by med'!$A$2:$A$102,0)),"")</f>
        <v>0.60205838048342708</v>
      </c>
      <c r="G1155" s="372">
        <f t="shared" ref="G1155:G1218" si="37">IFERROR(E1155*F1155,"")</f>
        <v>33.715269307071914</v>
      </c>
      <c r="H1155" s="372">
        <f t="shared" si="36"/>
        <v>1</v>
      </c>
    </row>
    <row r="1156" spans="1:8">
      <c r="A1156" s="372">
        <v>65</v>
      </c>
      <c r="B1156" s="373">
        <v>42936</v>
      </c>
      <c r="C1156" s="373">
        <v>43061</v>
      </c>
      <c r="D1156" s="372">
        <v>225</v>
      </c>
      <c r="E1156" s="372">
        <v>56</v>
      </c>
      <c r="F1156" s="372">
        <f>IFERROR(INDEX('NonART prices by med'!$D$2:$D$102,MATCH(D1156,'NonART prices by med'!$A$2:$A$102,0)),"")</f>
        <v>0.19315423345580862</v>
      </c>
      <c r="G1156" s="372">
        <f t="shared" si="37"/>
        <v>10.816637073525282</v>
      </c>
      <c r="H1156" s="372">
        <f t="shared" ref="H1156:H1219" si="38">IF(C1156-B1156&lt;=365,1,0)</f>
        <v>1</v>
      </c>
    </row>
    <row r="1157" spans="1:8">
      <c r="A1157" s="372">
        <v>65</v>
      </c>
      <c r="B1157" s="373">
        <v>42936</v>
      </c>
      <c r="C1157" s="373">
        <v>43103</v>
      </c>
      <c r="D1157" s="372">
        <v>35</v>
      </c>
      <c r="E1157" s="372">
        <v>56</v>
      </c>
      <c r="F1157" s="372">
        <f>IFERROR(INDEX('NonART prices by med'!$D$2:$D$102,MATCH(D1157,'NonART prices by med'!$A$2:$A$102,0)),"")</f>
        <v>0.60205838048342708</v>
      </c>
      <c r="G1157" s="372">
        <f t="shared" si="37"/>
        <v>33.715269307071914</v>
      </c>
      <c r="H1157" s="372">
        <f t="shared" si="38"/>
        <v>1</v>
      </c>
    </row>
    <row r="1158" spans="1:8">
      <c r="A1158" s="372">
        <v>66</v>
      </c>
      <c r="B1158" s="373">
        <v>42935</v>
      </c>
      <c r="C1158" s="373">
        <v>42935</v>
      </c>
      <c r="D1158" s="372">
        <v>180</v>
      </c>
      <c r="E1158" s="372">
        <v>1</v>
      </c>
      <c r="F1158" s="372">
        <f>IFERROR(INDEX('NonART prices by med'!$D$2:$D$102,MATCH(D1158,'NonART prices by med'!$A$2:$A$102,0)),"")</f>
        <v>13.040999412536621</v>
      </c>
      <c r="G1158" s="372">
        <f t="shared" si="37"/>
        <v>13.040999412536621</v>
      </c>
      <c r="H1158" s="372">
        <f t="shared" si="38"/>
        <v>1</v>
      </c>
    </row>
    <row r="1159" spans="1:8">
      <c r="A1159" s="372">
        <v>67</v>
      </c>
      <c r="B1159" s="373">
        <v>42935</v>
      </c>
      <c r="C1159" s="373">
        <v>42950</v>
      </c>
      <c r="D1159" s="372">
        <v>411</v>
      </c>
      <c r="E1159" s="372">
        <v>28</v>
      </c>
      <c r="F1159" s="372">
        <f>IFERROR(INDEX('NonART prices by med'!$D$2:$D$102,MATCH(D1159,'NonART prices by med'!$A$2:$A$102,0)),"")</f>
        <v>0.10354499389265867</v>
      </c>
      <c r="G1159" s="372">
        <f t="shared" si="37"/>
        <v>2.8992598289944427</v>
      </c>
      <c r="H1159" s="372">
        <f t="shared" si="38"/>
        <v>1</v>
      </c>
    </row>
    <row r="1160" spans="1:8">
      <c r="A1160" s="372">
        <v>67</v>
      </c>
      <c r="B1160" s="373">
        <v>42935</v>
      </c>
      <c r="C1160" s="373">
        <v>42992</v>
      </c>
      <c r="D1160" s="372">
        <v>35</v>
      </c>
      <c r="E1160" s="372">
        <v>28</v>
      </c>
      <c r="F1160" s="372">
        <f>IFERROR(INDEX('NonART prices by med'!$D$2:$D$102,MATCH(D1160,'NonART prices by med'!$A$2:$A$102,0)),"")</f>
        <v>0.60205838048342708</v>
      </c>
      <c r="G1160" s="372">
        <f t="shared" si="37"/>
        <v>16.857634653535957</v>
      </c>
      <c r="H1160" s="372">
        <f t="shared" si="38"/>
        <v>1</v>
      </c>
    </row>
    <row r="1161" spans="1:8">
      <c r="A1161" s="372">
        <v>67</v>
      </c>
      <c r="B1161" s="373">
        <v>42935</v>
      </c>
      <c r="C1161" s="373">
        <v>43034</v>
      </c>
      <c r="D1161" s="372">
        <v>411</v>
      </c>
      <c r="E1161" s="372">
        <v>56</v>
      </c>
      <c r="F1161" s="372">
        <f>IFERROR(INDEX('NonART prices by med'!$D$2:$D$102,MATCH(D1161,'NonART prices by med'!$A$2:$A$102,0)),"")</f>
        <v>0.10354499389265867</v>
      </c>
      <c r="G1161" s="372">
        <f t="shared" si="37"/>
        <v>5.7985196579888854</v>
      </c>
      <c r="H1161" s="372">
        <f t="shared" si="38"/>
        <v>1</v>
      </c>
    </row>
    <row r="1162" spans="1:8">
      <c r="A1162" s="372">
        <v>70</v>
      </c>
      <c r="B1162" s="373">
        <v>42934</v>
      </c>
      <c r="C1162" s="373">
        <v>42934</v>
      </c>
      <c r="D1162" s="372">
        <v>402</v>
      </c>
      <c r="F1162" s="372">
        <f>IFERROR(INDEX('NonART prices by med'!$D$2:$D$102,MATCH(D1162,'NonART prices by med'!$A$2:$A$102,0)),"")</f>
        <v>84.57</v>
      </c>
      <c r="G1162" s="372">
        <f t="shared" si="37"/>
        <v>0</v>
      </c>
      <c r="H1162" s="372">
        <f t="shared" si="38"/>
        <v>1</v>
      </c>
    </row>
    <row r="1163" spans="1:8">
      <c r="A1163" s="372">
        <v>70</v>
      </c>
      <c r="B1163" s="373">
        <v>42934</v>
      </c>
      <c r="C1163" s="373">
        <v>42993</v>
      </c>
      <c r="D1163" s="372">
        <v>35</v>
      </c>
      <c r="E1163" s="372">
        <v>28</v>
      </c>
      <c r="F1163" s="372">
        <f>IFERROR(INDEX('NonART prices by med'!$D$2:$D$102,MATCH(D1163,'NonART prices by med'!$A$2:$A$102,0)),"")</f>
        <v>0.60205838048342708</v>
      </c>
      <c r="G1163" s="372">
        <f t="shared" si="37"/>
        <v>16.857634653535957</v>
      </c>
      <c r="H1163" s="372">
        <f t="shared" si="38"/>
        <v>1</v>
      </c>
    </row>
    <row r="1164" spans="1:8">
      <c r="A1164" s="372">
        <v>70</v>
      </c>
      <c r="B1164" s="373">
        <v>42934</v>
      </c>
      <c r="C1164" s="373">
        <v>43034</v>
      </c>
      <c r="D1164" s="372">
        <v>134</v>
      </c>
      <c r="E1164" s="372">
        <v>56</v>
      </c>
      <c r="F1164" s="372">
        <f>IFERROR(INDEX('NonART prices by med'!$D$2:$D$102,MATCH(D1164,'NonART prices by med'!$A$2:$A$102,0)),"")</f>
        <v>0.39033333366993345</v>
      </c>
      <c r="G1164" s="372">
        <f t="shared" si="37"/>
        <v>21.858666685516273</v>
      </c>
      <c r="H1164" s="372">
        <f t="shared" si="38"/>
        <v>1</v>
      </c>
    </row>
    <row r="1165" spans="1:8">
      <c r="A1165" s="372">
        <v>70</v>
      </c>
      <c r="B1165" s="373">
        <v>42934</v>
      </c>
      <c r="C1165" s="373">
        <v>43047</v>
      </c>
      <c r="D1165" s="372">
        <v>35</v>
      </c>
      <c r="E1165" s="372">
        <v>28</v>
      </c>
      <c r="F1165" s="372">
        <f>IFERROR(INDEX('NonART prices by med'!$D$2:$D$102,MATCH(D1165,'NonART prices by med'!$A$2:$A$102,0)),"")</f>
        <v>0.60205838048342708</v>
      </c>
      <c r="G1165" s="372">
        <f t="shared" si="37"/>
        <v>16.857634653535957</v>
      </c>
      <c r="H1165" s="372">
        <f t="shared" si="38"/>
        <v>1</v>
      </c>
    </row>
    <row r="1166" spans="1:8">
      <c r="A1166" s="372">
        <v>71</v>
      </c>
      <c r="B1166" s="373">
        <v>42934</v>
      </c>
      <c r="C1166" s="373">
        <v>43010</v>
      </c>
      <c r="D1166" s="372">
        <v>246</v>
      </c>
      <c r="E1166" s="372">
        <v>30</v>
      </c>
      <c r="F1166" s="372">
        <f>IFERROR(INDEX('NonART prices by med'!$D$2:$D$102,MATCH(D1166,'NonART prices by med'!$A$2:$A$102,0)),"")</f>
        <v>0.30239999964781011</v>
      </c>
      <c r="G1166" s="372">
        <f t="shared" si="37"/>
        <v>9.0719999894343033</v>
      </c>
      <c r="H1166" s="372">
        <f t="shared" si="38"/>
        <v>1</v>
      </c>
    </row>
    <row r="1167" spans="1:8">
      <c r="A1167" s="372">
        <v>72</v>
      </c>
      <c r="B1167" s="373">
        <v>42934</v>
      </c>
      <c r="C1167" s="373">
        <v>42972</v>
      </c>
      <c r="D1167" s="372">
        <v>385</v>
      </c>
      <c r="E1167" s="372">
        <v>20</v>
      </c>
      <c r="F1167" s="372">
        <f>IFERROR(INDEX('NonART prices by med'!$D$2:$D$102,MATCH(D1167,'NonART prices by med'!$A$2:$A$102,0)),"")</f>
        <v>0.28550000177416396</v>
      </c>
      <c r="G1167" s="372">
        <f t="shared" si="37"/>
        <v>5.7100000354832794</v>
      </c>
      <c r="H1167" s="372">
        <f t="shared" si="38"/>
        <v>1</v>
      </c>
    </row>
    <row r="1168" spans="1:8">
      <c r="A1168" s="372">
        <v>73</v>
      </c>
      <c r="B1168" s="373">
        <v>42936</v>
      </c>
      <c r="C1168" s="373">
        <v>43012</v>
      </c>
      <c r="D1168" s="372">
        <v>311</v>
      </c>
      <c r="E1168" s="372">
        <v>1</v>
      </c>
      <c r="F1168" s="372">
        <f>IFERROR(INDEX('NonART prices by med'!$D$2:$D$102,MATCH(D1168,'NonART prices by med'!$A$2:$A$102,0)),"")</f>
        <v>11.92</v>
      </c>
      <c r="G1168" s="372">
        <f t="shared" si="37"/>
        <v>11.92</v>
      </c>
      <c r="H1168" s="372">
        <f t="shared" si="38"/>
        <v>1</v>
      </c>
    </row>
    <row r="1169" spans="1:8">
      <c r="A1169" s="372">
        <v>74</v>
      </c>
      <c r="B1169" s="373">
        <v>42929</v>
      </c>
      <c r="C1169" s="373">
        <v>43041</v>
      </c>
      <c r="D1169" s="372">
        <v>34</v>
      </c>
      <c r="E1169" s="372">
        <v>56</v>
      </c>
      <c r="F1169" s="372">
        <f>IFERROR(INDEX('NonART prices by med'!$D$2:$D$102,MATCH(D1169,'NonART prices by med'!$A$2:$A$102,0)),"")</f>
        <v>0.38757142857142851</v>
      </c>
      <c r="G1169" s="372">
        <f t="shared" si="37"/>
        <v>21.703999999999997</v>
      </c>
      <c r="H1169" s="372">
        <f t="shared" si="38"/>
        <v>1</v>
      </c>
    </row>
    <row r="1170" spans="1:8">
      <c r="A1170" s="372">
        <v>75</v>
      </c>
      <c r="B1170" s="373">
        <v>42928</v>
      </c>
      <c r="C1170" s="373">
        <v>43027</v>
      </c>
      <c r="D1170" s="372">
        <v>313</v>
      </c>
      <c r="E1170" s="372">
        <v>1</v>
      </c>
      <c r="F1170" s="372">
        <f>IFERROR(INDEX('NonART prices by med'!$D$2:$D$102,MATCH(D1170,'NonART prices by med'!$A$2:$A$102,0)),"")</f>
        <v>13.15</v>
      </c>
      <c r="G1170" s="372">
        <f t="shared" si="37"/>
        <v>13.15</v>
      </c>
      <c r="H1170" s="372">
        <f t="shared" si="38"/>
        <v>1</v>
      </c>
    </row>
    <row r="1171" spans="1:8">
      <c r="A1171" s="372">
        <v>8</v>
      </c>
      <c r="B1171" s="373">
        <v>42971</v>
      </c>
      <c r="C1171" s="373">
        <v>42971</v>
      </c>
      <c r="D1171" s="372">
        <v>117</v>
      </c>
      <c r="F1171" s="372">
        <f>IFERROR(INDEX('NonART prices by med'!$D$2:$D$102,MATCH(D1171,'NonART prices by med'!$A$2:$A$102,0)),"")</f>
        <v>2.9786666870117187</v>
      </c>
      <c r="G1171" s="372">
        <f t="shared" si="37"/>
        <v>0</v>
      </c>
      <c r="H1171" s="372">
        <f t="shared" si="38"/>
        <v>1</v>
      </c>
    </row>
    <row r="1172" spans="1:8">
      <c r="A1172" s="372">
        <v>8</v>
      </c>
      <c r="B1172" s="373">
        <v>42971</v>
      </c>
      <c r="C1172" s="373">
        <v>43062</v>
      </c>
      <c r="D1172" s="372">
        <v>342</v>
      </c>
      <c r="E1172" s="372">
        <v>56</v>
      </c>
      <c r="F1172" s="372">
        <f>IFERROR(INDEX('NonART prices by med'!$D$2:$D$102,MATCH(D1172,'NonART prices by med'!$A$2:$A$102,0)),"")</f>
        <v>0.26590000152587889</v>
      </c>
      <c r="G1172" s="372">
        <f t="shared" si="37"/>
        <v>14.890400085449219</v>
      </c>
      <c r="H1172" s="372">
        <f t="shared" si="38"/>
        <v>1</v>
      </c>
    </row>
    <row r="1173" spans="1:8">
      <c r="A1173" s="372">
        <v>12</v>
      </c>
      <c r="B1173" s="373">
        <v>42977</v>
      </c>
      <c r="C1173" s="373">
        <v>43089</v>
      </c>
      <c r="D1173" s="372">
        <v>280</v>
      </c>
      <c r="E1173" s="372">
        <v>1</v>
      </c>
      <c r="F1173" s="372">
        <f>IFERROR(INDEX('NonART prices by med'!$D$2:$D$102,MATCH(D1173,'NonART prices by med'!$A$2:$A$102,0)),"")</f>
        <v>0.11576000030852043</v>
      </c>
      <c r="G1173" s="372">
        <f t="shared" si="37"/>
        <v>0.11576000030852043</v>
      </c>
      <c r="H1173" s="372">
        <f t="shared" si="38"/>
        <v>1</v>
      </c>
    </row>
    <row r="1174" spans="1:8">
      <c r="A1174" s="372">
        <v>13</v>
      </c>
      <c r="B1174" s="373">
        <v>42977</v>
      </c>
      <c r="C1174" s="373">
        <v>43055</v>
      </c>
      <c r="D1174" s="372">
        <v>35</v>
      </c>
      <c r="E1174" s="372">
        <v>28</v>
      </c>
      <c r="F1174" s="372">
        <f>IFERROR(INDEX('NonART prices by med'!$D$2:$D$102,MATCH(D1174,'NonART prices by med'!$A$2:$A$102,0)),"")</f>
        <v>0.60205838048342708</v>
      </c>
      <c r="G1174" s="372">
        <f t="shared" si="37"/>
        <v>16.857634653535957</v>
      </c>
      <c r="H1174" s="372">
        <f t="shared" si="38"/>
        <v>1</v>
      </c>
    </row>
    <row r="1175" spans="1:8">
      <c r="A1175" s="372">
        <v>13</v>
      </c>
      <c r="B1175" s="373">
        <v>42977</v>
      </c>
      <c r="C1175" s="373">
        <v>43082</v>
      </c>
      <c r="D1175" s="372">
        <v>280</v>
      </c>
      <c r="E1175" s="372">
        <v>1</v>
      </c>
      <c r="F1175" s="372">
        <f>IFERROR(INDEX('NonART prices by med'!$D$2:$D$102,MATCH(D1175,'NonART prices by med'!$A$2:$A$102,0)),"")</f>
        <v>0.11576000030852043</v>
      </c>
      <c r="G1175" s="372">
        <f t="shared" si="37"/>
        <v>0.11576000030852043</v>
      </c>
      <c r="H1175" s="372">
        <f t="shared" si="38"/>
        <v>1</v>
      </c>
    </row>
    <row r="1176" spans="1:8">
      <c r="A1176" s="372">
        <v>13</v>
      </c>
      <c r="B1176" s="373">
        <v>42977</v>
      </c>
      <c r="C1176" s="373">
        <v>43166</v>
      </c>
      <c r="D1176" s="372">
        <v>318</v>
      </c>
      <c r="E1176" s="372">
        <v>20</v>
      </c>
      <c r="F1176" s="372">
        <f>IFERROR(INDEX('NonART prices by med'!$D$2:$D$102,MATCH(D1176,'NonART prices by med'!$A$2:$A$102,0)),"")</f>
        <v>0.19286066077210379</v>
      </c>
      <c r="G1176" s="372">
        <f t="shared" si="37"/>
        <v>3.8572132154420755</v>
      </c>
      <c r="H1176" s="372">
        <f t="shared" si="38"/>
        <v>1</v>
      </c>
    </row>
    <row r="1177" spans="1:8">
      <c r="A1177" s="372">
        <v>17</v>
      </c>
      <c r="B1177" s="373">
        <v>42970</v>
      </c>
      <c r="C1177" s="373">
        <v>43040</v>
      </c>
      <c r="D1177" s="372">
        <v>134</v>
      </c>
      <c r="E1177" s="372">
        <v>28</v>
      </c>
      <c r="F1177" s="372">
        <f>IFERROR(INDEX('NonART prices by med'!$D$2:$D$102,MATCH(D1177,'NonART prices by med'!$A$2:$A$102,0)),"")</f>
        <v>0.39033333366993345</v>
      </c>
      <c r="G1177" s="372">
        <f t="shared" si="37"/>
        <v>10.929333342758136</v>
      </c>
      <c r="H1177" s="372">
        <f t="shared" si="38"/>
        <v>1</v>
      </c>
    </row>
    <row r="1178" spans="1:8">
      <c r="A1178" s="372">
        <v>17</v>
      </c>
      <c r="B1178" s="373">
        <v>42970</v>
      </c>
      <c r="C1178" s="373">
        <v>43089</v>
      </c>
      <c r="D1178" s="372">
        <v>35</v>
      </c>
      <c r="E1178" s="372">
        <v>56</v>
      </c>
      <c r="F1178" s="372">
        <f>IFERROR(INDEX('NonART prices by med'!$D$2:$D$102,MATCH(D1178,'NonART prices by med'!$A$2:$A$102,0)),"")</f>
        <v>0.60205838048342708</v>
      </c>
      <c r="G1178" s="372">
        <f t="shared" si="37"/>
        <v>33.715269307071914</v>
      </c>
      <c r="H1178" s="372">
        <f t="shared" si="38"/>
        <v>1</v>
      </c>
    </row>
    <row r="1179" spans="1:8">
      <c r="A1179" s="372">
        <v>18</v>
      </c>
      <c r="B1179" s="373">
        <v>43032</v>
      </c>
      <c r="C1179" s="373">
        <v>43032</v>
      </c>
      <c r="D1179" s="372">
        <v>35</v>
      </c>
      <c r="E1179" s="372">
        <v>56</v>
      </c>
      <c r="F1179" s="372">
        <f>IFERROR(INDEX('NonART prices by med'!$D$2:$D$102,MATCH(D1179,'NonART prices by med'!$A$2:$A$102,0)),"")</f>
        <v>0.60205838048342708</v>
      </c>
      <c r="G1179" s="372">
        <f t="shared" si="37"/>
        <v>33.715269307071914</v>
      </c>
      <c r="H1179" s="372">
        <f t="shared" si="38"/>
        <v>1</v>
      </c>
    </row>
    <row r="1180" spans="1:8">
      <c r="A1180" s="372">
        <v>18</v>
      </c>
      <c r="B1180" s="373">
        <v>43032</v>
      </c>
      <c r="C1180" s="373">
        <v>43089</v>
      </c>
      <c r="D1180" s="372">
        <v>342</v>
      </c>
      <c r="E1180" s="372">
        <v>56</v>
      </c>
      <c r="F1180" s="372">
        <f>IFERROR(INDEX('NonART prices by med'!$D$2:$D$102,MATCH(D1180,'NonART prices by med'!$A$2:$A$102,0)),"")</f>
        <v>0.26590000152587889</v>
      </c>
      <c r="G1180" s="372">
        <f t="shared" si="37"/>
        <v>14.890400085449219</v>
      </c>
      <c r="H1180" s="372">
        <f t="shared" si="38"/>
        <v>1</v>
      </c>
    </row>
    <row r="1181" spans="1:8">
      <c r="A1181" s="372">
        <v>18</v>
      </c>
      <c r="B1181" s="373">
        <v>43032</v>
      </c>
      <c r="C1181" s="373">
        <v>43131</v>
      </c>
      <c r="D1181" s="372">
        <v>106</v>
      </c>
      <c r="E1181" s="372">
        <v>1</v>
      </c>
      <c r="F1181" s="372">
        <f>IFERROR(INDEX('NonART prices by med'!$D$2:$D$102,MATCH(D1181,'NonART prices by med'!$A$2:$A$102,0)),"")</f>
        <v>3.4300000000000004E-2</v>
      </c>
      <c r="G1181" s="372">
        <f t="shared" si="37"/>
        <v>3.4300000000000004E-2</v>
      </c>
      <c r="H1181" s="372">
        <f t="shared" si="38"/>
        <v>1</v>
      </c>
    </row>
    <row r="1182" spans="1:8">
      <c r="A1182" s="372">
        <v>27</v>
      </c>
      <c r="B1182" s="373">
        <v>42961</v>
      </c>
      <c r="C1182" s="373">
        <v>42976</v>
      </c>
      <c r="D1182" s="372">
        <v>215</v>
      </c>
      <c r="E1182" s="372">
        <v>28</v>
      </c>
      <c r="F1182" s="372">
        <f>IFERROR(INDEX('NonART prices by med'!$D$2:$D$102,MATCH(D1182,'NonART prices by med'!$A$2:$A$102,0)),"")</f>
        <v>0.27607142857142858</v>
      </c>
      <c r="G1182" s="372">
        <f t="shared" si="37"/>
        <v>7.73</v>
      </c>
      <c r="H1182" s="372">
        <f t="shared" si="38"/>
        <v>1</v>
      </c>
    </row>
    <row r="1183" spans="1:8">
      <c r="A1183" s="372">
        <v>27</v>
      </c>
      <c r="B1183" s="373">
        <v>42961</v>
      </c>
      <c r="C1183" s="373">
        <v>43081</v>
      </c>
      <c r="D1183" s="372">
        <v>342</v>
      </c>
      <c r="E1183" s="372">
        <v>28</v>
      </c>
      <c r="F1183" s="372">
        <f>IFERROR(INDEX('NonART prices by med'!$D$2:$D$102,MATCH(D1183,'NonART prices by med'!$A$2:$A$102,0)),"")</f>
        <v>0.26590000152587889</v>
      </c>
      <c r="G1183" s="372">
        <f t="shared" si="37"/>
        <v>7.4452000427246094</v>
      </c>
      <c r="H1183" s="372">
        <f t="shared" si="38"/>
        <v>1</v>
      </c>
    </row>
    <row r="1184" spans="1:8">
      <c r="A1184" s="372">
        <v>27</v>
      </c>
      <c r="B1184" s="373">
        <v>42961</v>
      </c>
      <c r="C1184" s="373">
        <v>43131</v>
      </c>
      <c r="D1184" s="372">
        <v>342</v>
      </c>
      <c r="E1184" s="372">
        <v>28</v>
      </c>
      <c r="F1184" s="372">
        <f>IFERROR(INDEX('NonART prices by med'!$D$2:$D$102,MATCH(D1184,'NonART prices by med'!$A$2:$A$102,0)),"")</f>
        <v>0.26590000152587889</v>
      </c>
      <c r="G1184" s="372">
        <f t="shared" si="37"/>
        <v>7.4452000427246094</v>
      </c>
      <c r="H1184" s="372">
        <f t="shared" si="38"/>
        <v>1</v>
      </c>
    </row>
    <row r="1185" spans="1:8">
      <c r="A1185" s="372">
        <v>33</v>
      </c>
      <c r="B1185" s="373">
        <v>42957</v>
      </c>
      <c r="C1185" s="373">
        <v>42957</v>
      </c>
      <c r="D1185" s="372">
        <v>131</v>
      </c>
      <c r="F1185" s="372">
        <f>IFERROR(INDEX('NonART prices by med'!$D$2:$D$102,MATCH(D1185,'NonART prices by med'!$A$2:$A$102,0)),"")</f>
        <v>4.2199999999999994E-2</v>
      </c>
      <c r="G1185" s="372">
        <f t="shared" si="37"/>
        <v>0</v>
      </c>
      <c r="H1185" s="372">
        <f t="shared" si="38"/>
        <v>1</v>
      </c>
    </row>
    <row r="1186" spans="1:8">
      <c r="A1186" s="372">
        <v>33</v>
      </c>
      <c r="B1186" s="373">
        <v>42957</v>
      </c>
      <c r="C1186" s="373">
        <v>42972</v>
      </c>
      <c r="D1186" s="372">
        <v>318</v>
      </c>
      <c r="E1186" s="372">
        <v>20</v>
      </c>
      <c r="F1186" s="372">
        <f>IFERROR(INDEX('NonART prices by med'!$D$2:$D$102,MATCH(D1186,'NonART prices by med'!$A$2:$A$102,0)),"")</f>
        <v>0.19286066077210379</v>
      </c>
      <c r="G1186" s="372">
        <f t="shared" si="37"/>
        <v>3.8572132154420755</v>
      </c>
      <c r="H1186" s="372">
        <f t="shared" si="38"/>
        <v>1</v>
      </c>
    </row>
    <row r="1187" spans="1:8">
      <c r="A1187" s="372">
        <v>33</v>
      </c>
      <c r="B1187" s="373">
        <v>42957</v>
      </c>
      <c r="C1187" s="373">
        <v>43013</v>
      </c>
      <c r="D1187" s="372">
        <v>402</v>
      </c>
      <c r="E1187" s="372">
        <v>1</v>
      </c>
      <c r="F1187" s="372">
        <f>IFERROR(INDEX('NonART prices by med'!$D$2:$D$102,MATCH(D1187,'NonART prices by med'!$A$2:$A$102,0)),"")</f>
        <v>84.57</v>
      </c>
      <c r="G1187" s="372">
        <f t="shared" si="37"/>
        <v>84.57</v>
      </c>
      <c r="H1187" s="372">
        <f t="shared" si="38"/>
        <v>1</v>
      </c>
    </row>
    <row r="1188" spans="1:8">
      <c r="A1188" s="372">
        <v>43</v>
      </c>
      <c r="B1188" s="373">
        <v>42949</v>
      </c>
      <c r="C1188" s="373">
        <v>42949</v>
      </c>
      <c r="D1188" s="372">
        <v>408</v>
      </c>
      <c r="E1188" s="372">
        <v>28</v>
      </c>
      <c r="F1188" s="372">
        <f>IFERROR(INDEX('NonART prices by med'!$D$2:$D$102,MATCH(D1188,'NonART prices by med'!$A$2:$A$102,0)),"")</f>
        <v>5.5E-2</v>
      </c>
      <c r="G1188" s="372">
        <f t="shared" si="37"/>
        <v>1.54</v>
      </c>
      <c r="H1188" s="372">
        <f t="shared" si="38"/>
        <v>1</v>
      </c>
    </row>
    <row r="1189" spans="1:8">
      <c r="A1189" s="372">
        <v>44</v>
      </c>
      <c r="B1189" s="373">
        <v>42949</v>
      </c>
      <c r="C1189" s="373">
        <v>42985</v>
      </c>
      <c r="D1189" s="372">
        <v>134</v>
      </c>
      <c r="E1189" s="372">
        <v>60</v>
      </c>
      <c r="F1189" s="372">
        <f>IFERROR(INDEX('NonART prices by med'!$D$2:$D$102,MATCH(D1189,'NonART prices by med'!$A$2:$A$102,0)),"")</f>
        <v>0.39033333366993345</v>
      </c>
      <c r="G1189" s="372">
        <f t="shared" si="37"/>
        <v>23.420000020196007</v>
      </c>
      <c r="H1189" s="372">
        <f t="shared" si="38"/>
        <v>1</v>
      </c>
    </row>
    <row r="1190" spans="1:8">
      <c r="A1190" s="372">
        <v>45</v>
      </c>
      <c r="B1190" s="373">
        <v>42949</v>
      </c>
      <c r="C1190" s="373">
        <v>43159</v>
      </c>
      <c r="D1190" s="372">
        <v>35</v>
      </c>
      <c r="E1190" s="372">
        <v>28</v>
      </c>
      <c r="F1190" s="372">
        <f>IFERROR(INDEX('NonART prices by med'!$D$2:$D$102,MATCH(D1190,'NonART prices by med'!$A$2:$A$102,0)),"")</f>
        <v>0.60205838048342708</v>
      </c>
      <c r="G1190" s="372">
        <f t="shared" si="37"/>
        <v>16.857634653535957</v>
      </c>
      <c r="H1190" s="372">
        <f t="shared" si="38"/>
        <v>1</v>
      </c>
    </row>
    <row r="1191" spans="1:8">
      <c r="A1191" s="372">
        <v>45</v>
      </c>
      <c r="B1191" s="373">
        <v>42949</v>
      </c>
      <c r="C1191" s="373">
        <v>43215</v>
      </c>
      <c r="D1191" s="372">
        <v>184</v>
      </c>
      <c r="E1191" s="372">
        <v>112</v>
      </c>
      <c r="F1191" s="372">
        <f>IFERROR(INDEX('NonART prices by med'!$D$2:$D$102,MATCH(D1191,'NonART prices by med'!$A$2:$A$102,0)),"")</f>
        <v>0.21851785714285715</v>
      </c>
      <c r="G1191" s="372">
        <f t="shared" si="37"/>
        <v>24.474</v>
      </c>
      <c r="H1191" s="372">
        <f t="shared" si="38"/>
        <v>1</v>
      </c>
    </row>
    <row r="1192" spans="1:8">
      <c r="A1192" s="372">
        <v>45</v>
      </c>
      <c r="B1192" s="373">
        <v>42949</v>
      </c>
      <c r="C1192" s="373">
        <v>43271</v>
      </c>
      <c r="D1192" s="372">
        <v>35</v>
      </c>
      <c r="E1192" s="372">
        <v>56</v>
      </c>
      <c r="F1192" s="372">
        <f>IFERROR(INDEX('NonART prices by med'!$D$2:$D$102,MATCH(D1192,'NonART prices by med'!$A$2:$A$102,0)),"")</f>
        <v>0.60205838048342708</v>
      </c>
      <c r="G1192" s="372">
        <f t="shared" si="37"/>
        <v>33.715269307071914</v>
      </c>
      <c r="H1192" s="372">
        <f t="shared" si="38"/>
        <v>1</v>
      </c>
    </row>
    <row r="1193" spans="1:8">
      <c r="A1193" s="372">
        <v>45</v>
      </c>
      <c r="B1193" s="373">
        <v>42949</v>
      </c>
      <c r="C1193" s="373">
        <v>43334</v>
      </c>
      <c r="D1193" s="372">
        <v>342</v>
      </c>
      <c r="E1193" s="372">
        <v>28</v>
      </c>
      <c r="F1193" s="372">
        <f>IFERROR(INDEX('NonART prices by med'!$D$2:$D$102,MATCH(D1193,'NonART prices by med'!$A$2:$A$102,0)),"")</f>
        <v>0.26590000152587889</v>
      </c>
      <c r="G1193" s="372">
        <f t="shared" si="37"/>
        <v>7.4452000427246094</v>
      </c>
      <c r="H1193" s="372">
        <f t="shared" si="38"/>
        <v>0</v>
      </c>
    </row>
    <row r="1194" spans="1:8">
      <c r="A1194" s="372">
        <v>46</v>
      </c>
      <c r="B1194" s="373">
        <v>42949</v>
      </c>
      <c r="C1194" s="373">
        <v>43089</v>
      </c>
      <c r="D1194" s="372">
        <v>286</v>
      </c>
      <c r="E1194" s="372">
        <v>56</v>
      </c>
      <c r="F1194" s="372">
        <f>IFERROR(INDEX('NonART prices by med'!$D$2:$D$102,MATCH(D1194,'NonART prices by med'!$A$2:$A$102,0)),"")</f>
        <v>0.15535714285714283</v>
      </c>
      <c r="G1194" s="372">
        <f t="shared" si="37"/>
        <v>8.6999999999999993</v>
      </c>
      <c r="H1194" s="372">
        <f t="shared" si="38"/>
        <v>1</v>
      </c>
    </row>
    <row r="1195" spans="1:8">
      <c r="A1195" s="372">
        <v>46</v>
      </c>
      <c r="B1195" s="373">
        <v>42949</v>
      </c>
      <c r="C1195" s="373">
        <v>43228</v>
      </c>
      <c r="D1195" s="372">
        <v>289</v>
      </c>
      <c r="E1195" s="372">
        <v>28</v>
      </c>
      <c r="F1195" s="372">
        <f>IFERROR(INDEX('NonART prices by med'!$D$2:$D$102,MATCH(D1195,'NonART prices by med'!$A$2:$A$102,0)),"")</f>
        <v>0.26190476190476192</v>
      </c>
      <c r="G1195" s="372">
        <f t="shared" si="37"/>
        <v>7.3333333333333339</v>
      </c>
      <c r="H1195" s="372">
        <f t="shared" si="38"/>
        <v>1</v>
      </c>
    </row>
    <row r="1196" spans="1:8">
      <c r="A1196" s="372">
        <v>49</v>
      </c>
      <c r="B1196" s="373">
        <v>42948</v>
      </c>
      <c r="C1196" s="373">
        <v>43369</v>
      </c>
      <c r="D1196" s="372">
        <v>183</v>
      </c>
      <c r="E1196" s="372">
        <v>56</v>
      </c>
      <c r="F1196" s="372">
        <f>IFERROR(INDEX('NonART prices by med'!$D$2:$D$102,MATCH(D1196,'NonART prices by med'!$A$2:$A$102,0)),"")</f>
        <v>0.24214285714285716</v>
      </c>
      <c r="G1196" s="372">
        <f t="shared" si="37"/>
        <v>13.56</v>
      </c>
      <c r="H1196" s="372">
        <f t="shared" si="38"/>
        <v>0</v>
      </c>
    </row>
    <row r="1197" spans="1:8">
      <c r="A1197" s="372">
        <v>51</v>
      </c>
      <c r="B1197" s="373">
        <v>42944</v>
      </c>
      <c r="C1197" s="373">
        <v>42982</v>
      </c>
      <c r="D1197" s="372">
        <v>342</v>
      </c>
      <c r="E1197" s="372">
        <v>56</v>
      </c>
      <c r="F1197" s="372">
        <f>IFERROR(INDEX('NonART prices by med'!$D$2:$D$102,MATCH(D1197,'NonART prices by med'!$A$2:$A$102,0)),"")</f>
        <v>0.26590000152587889</v>
      </c>
      <c r="G1197" s="372">
        <f t="shared" si="37"/>
        <v>14.890400085449219</v>
      </c>
      <c r="H1197" s="372">
        <f t="shared" si="38"/>
        <v>1</v>
      </c>
    </row>
    <row r="1198" spans="1:8">
      <c r="A1198" s="372">
        <v>51</v>
      </c>
      <c r="B1198" s="373">
        <v>42944</v>
      </c>
      <c r="C1198" s="373">
        <v>43031</v>
      </c>
      <c r="D1198" s="372">
        <v>342</v>
      </c>
      <c r="E1198" s="372">
        <v>56</v>
      </c>
      <c r="F1198" s="372">
        <f>IFERROR(INDEX('NonART prices by med'!$D$2:$D$102,MATCH(D1198,'NonART prices by med'!$A$2:$A$102,0)),"")</f>
        <v>0.26590000152587889</v>
      </c>
      <c r="G1198" s="372">
        <f t="shared" si="37"/>
        <v>14.890400085449219</v>
      </c>
      <c r="H1198" s="372">
        <f t="shared" si="38"/>
        <v>1</v>
      </c>
    </row>
    <row r="1199" spans="1:8">
      <c r="A1199" s="372">
        <v>54</v>
      </c>
      <c r="B1199" s="373">
        <v>42941</v>
      </c>
      <c r="C1199" s="373">
        <v>42997</v>
      </c>
      <c r="D1199" s="372">
        <v>411</v>
      </c>
      <c r="E1199" s="372">
        <v>28</v>
      </c>
      <c r="F1199" s="372">
        <f>IFERROR(INDEX('NonART prices by med'!$D$2:$D$102,MATCH(D1199,'NonART prices by med'!$A$2:$A$102,0)),"")</f>
        <v>0.10354499389265867</v>
      </c>
      <c r="G1199" s="372">
        <f t="shared" si="37"/>
        <v>2.8992598289944427</v>
      </c>
      <c r="H1199" s="372">
        <f t="shared" si="38"/>
        <v>1</v>
      </c>
    </row>
    <row r="1200" spans="1:8">
      <c r="A1200" s="372">
        <v>54</v>
      </c>
      <c r="B1200" s="373">
        <v>42941</v>
      </c>
      <c r="C1200" s="373">
        <v>43025</v>
      </c>
      <c r="D1200" s="372">
        <v>7</v>
      </c>
      <c r="E1200" s="372">
        <v>28</v>
      </c>
      <c r="F1200" s="372">
        <f>IFERROR(INDEX('NonART prices by med'!$D$2:$D$102,MATCH(D1200,'NonART prices by med'!$A$2:$A$102,0)),"")</f>
        <v>0.16680357240796304</v>
      </c>
      <c r="G1200" s="372">
        <f t="shared" si="37"/>
        <v>4.6705000274229649</v>
      </c>
      <c r="H1200" s="372">
        <f t="shared" si="38"/>
        <v>1</v>
      </c>
    </row>
    <row r="1201" spans="1:8">
      <c r="A1201" s="372">
        <v>54</v>
      </c>
      <c r="B1201" s="373">
        <v>42941</v>
      </c>
      <c r="C1201" s="373">
        <v>43053</v>
      </c>
      <c r="D1201" s="372">
        <v>24</v>
      </c>
      <c r="E1201" s="372">
        <v>56</v>
      </c>
      <c r="F1201" s="372">
        <f>IFERROR(INDEX('NonART prices by med'!$D$2:$D$102,MATCH(D1201,'NonART prices by med'!$A$2:$A$102,0)),"")</f>
        <v>0.1467857142857143</v>
      </c>
      <c r="G1201" s="372">
        <f t="shared" si="37"/>
        <v>8.2200000000000006</v>
      </c>
      <c r="H1201" s="372">
        <f t="shared" si="38"/>
        <v>1</v>
      </c>
    </row>
    <row r="1202" spans="1:8">
      <c r="A1202" s="372">
        <v>55</v>
      </c>
      <c r="B1202" s="373">
        <v>42941</v>
      </c>
      <c r="C1202" s="373">
        <v>43026</v>
      </c>
      <c r="D1202" s="372">
        <v>411</v>
      </c>
      <c r="E1202" s="372">
        <v>28</v>
      </c>
      <c r="F1202" s="372">
        <f>IFERROR(INDEX('NonART prices by med'!$D$2:$D$102,MATCH(D1202,'NonART prices by med'!$A$2:$A$102,0)),"")</f>
        <v>0.10354499389265867</v>
      </c>
      <c r="G1202" s="372">
        <f t="shared" si="37"/>
        <v>2.8992598289944427</v>
      </c>
      <c r="H1202" s="372">
        <f t="shared" si="38"/>
        <v>1</v>
      </c>
    </row>
    <row r="1203" spans="1:8">
      <c r="A1203" s="372">
        <v>55</v>
      </c>
      <c r="B1203" s="373">
        <v>42941</v>
      </c>
      <c r="C1203" s="373">
        <v>43054</v>
      </c>
      <c r="D1203" s="372">
        <v>411</v>
      </c>
      <c r="E1203" s="372">
        <v>28</v>
      </c>
      <c r="F1203" s="372">
        <f>IFERROR(INDEX('NonART prices by med'!$D$2:$D$102,MATCH(D1203,'NonART prices by med'!$A$2:$A$102,0)),"")</f>
        <v>0.10354499389265867</v>
      </c>
      <c r="G1203" s="372">
        <f t="shared" si="37"/>
        <v>2.8992598289944427</v>
      </c>
      <c r="H1203" s="372">
        <f t="shared" si="38"/>
        <v>1</v>
      </c>
    </row>
    <row r="1204" spans="1:8">
      <c r="A1204" s="372">
        <v>56</v>
      </c>
      <c r="B1204" s="373">
        <v>42941</v>
      </c>
      <c r="C1204" s="373">
        <v>43017</v>
      </c>
      <c r="D1204" s="372">
        <v>35</v>
      </c>
      <c r="E1204" s="372">
        <v>56</v>
      </c>
      <c r="F1204" s="372">
        <f>IFERROR(INDEX('NonART prices by med'!$D$2:$D$102,MATCH(D1204,'NonART prices by med'!$A$2:$A$102,0)),"")</f>
        <v>0.60205838048342708</v>
      </c>
      <c r="G1204" s="372">
        <f t="shared" si="37"/>
        <v>33.715269307071914</v>
      </c>
      <c r="H1204" s="372">
        <f t="shared" si="38"/>
        <v>1</v>
      </c>
    </row>
    <row r="1205" spans="1:8">
      <c r="A1205" s="372">
        <v>56</v>
      </c>
      <c r="B1205" s="373">
        <v>42941</v>
      </c>
      <c r="C1205" s="373">
        <v>43059</v>
      </c>
      <c r="D1205" s="372">
        <v>134</v>
      </c>
      <c r="E1205" s="372">
        <v>60</v>
      </c>
      <c r="F1205" s="372">
        <f>IFERROR(INDEX('NonART prices by med'!$D$2:$D$102,MATCH(D1205,'NonART prices by med'!$A$2:$A$102,0)),"")</f>
        <v>0.39033333366993345</v>
      </c>
      <c r="G1205" s="372">
        <f t="shared" si="37"/>
        <v>23.420000020196007</v>
      </c>
      <c r="H1205" s="372">
        <f t="shared" si="38"/>
        <v>1</v>
      </c>
    </row>
    <row r="1206" spans="1:8">
      <c r="A1206" s="372">
        <v>60</v>
      </c>
      <c r="B1206" s="373">
        <v>42926</v>
      </c>
      <c r="C1206" s="373">
        <v>42969</v>
      </c>
      <c r="D1206" s="372">
        <v>342</v>
      </c>
      <c r="E1206" s="372">
        <v>56</v>
      </c>
      <c r="F1206" s="372">
        <f>IFERROR(INDEX('NonART prices by med'!$D$2:$D$102,MATCH(D1206,'NonART prices by med'!$A$2:$A$102,0)),"")</f>
        <v>0.26590000152587889</v>
      </c>
      <c r="G1206" s="372">
        <f t="shared" si="37"/>
        <v>14.890400085449219</v>
      </c>
      <c r="H1206" s="372">
        <f t="shared" si="38"/>
        <v>1</v>
      </c>
    </row>
    <row r="1207" spans="1:8">
      <c r="A1207" s="372">
        <v>60</v>
      </c>
      <c r="B1207" s="373">
        <v>42926</v>
      </c>
      <c r="C1207" s="373">
        <v>43087</v>
      </c>
      <c r="D1207" s="372">
        <v>109</v>
      </c>
      <c r="E1207" s="372">
        <v>14</v>
      </c>
      <c r="F1207" s="372">
        <f>IFERROR(INDEX('NonART prices by med'!$D$2:$D$102,MATCH(D1207,'NonART prices by med'!$A$2:$A$102,0)),"")</f>
        <v>0.29699636168187971</v>
      </c>
      <c r="G1207" s="372">
        <f t="shared" si="37"/>
        <v>4.1579490635463161</v>
      </c>
      <c r="H1207" s="372">
        <f t="shared" si="38"/>
        <v>1</v>
      </c>
    </row>
    <row r="1208" spans="1:8">
      <c r="A1208" s="372">
        <v>60</v>
      </c>
      <c r="B1208" s="373">
        <v>42926</v>
      </c>
      <c r="C1208" s="373">
        <v>43115</v>
      </c>
      <c r="D1208" s="372">
        <v>109</v>
      </c>
      <c r="E1208" s="372">
        <v>14</v>
      </c>
      <c r="F1208" s="372">
        <f>IFERROR(INDEX('NonART prices by med'!$D$2:$D$102,MATCH(D1208,'NonART prices by med'!$A$2:$A$102,0)),"")</f>
        <v>0.29699636168187971</v>
      </c>
      <c r="G1208" s="372">
        <f t="shared" si="37"/>
        <v>4.1579490635463161</v>
      </c>
      <c r="H1208" s="372">
        <f t="shared" si="38"/>
        <v>1</v>
      </c>
    </row>
    <row r="1209" spans="1:8">
      <c r="A1209" s="372">
        <v>60</v>
      </c>
      <c r="B1209" s="373">
        <v>42926</v>
      </c>
      <c r="C1209" s="373">
        <v>43144</v>
      </c>
      <c r="D1209" s="372">
        <v>13</v>
      </c>
      <c r="E1209" s="372">
        <v>28</v>
      </c>
      <c r="F1209" s="372">
        <f>IFERROR(INDEX('NonART prices by med'!$D$2:$D$102,MATCH(D1209,'NonART prices by med'!$A$2:$A$102,0)),"")</f>
        <v>0.15256434030246604</v>
      </c>
      <c r="G1209" s="372">
        <f t="shared" si="37"/>
        <v>4.2718015284690489</v>
      </c>
      <c r="H1209" s="372">
        <f t="shared" si="38"/>
        <v>1</v>
      </c>
    </row>
    <row r="1210" spans="1:8">
      <c r="A1210" s="372">
        <v>60</v>
      </c>
      <c r="B1210" s="373">
        <v>42926</v>
      </c>
      <c r="C1210" s="373">
        <v>43201</v>
      </c>
      <c r="D1210" s="372">
        <v>1</v>
      </c>
      <c r="E1210" s="372">
        <v>3</v>
      </c>
      <c r="F1210" s="372" t="str">
        <f>IFERROR(INDEX('NonART prices by med'!$D$2:$D$102,MATCH(D1210,'NonART prices by med'!$A$2:$A$102,0)),"")</f>
        <v/>
      </c>
      <c r="G1210" s="372" t="str">
        <f t="shared" si="37"/>
        <v/>
      </c>
      <c r="H1210" s="372">
        <f t="shared" si="38"/>
        <v>1</v>
      </c>
    </row>
    <row r="1211" spans="1:8">
      <c r="A1211" s="372">
        <v>60</v>
      </c>
      <c r="B1211" s="373">
        <v>42926</v>
      </c>
      <c r="C1211" s="373">
        <v>43285</v>
      </c>
      <c r="D1211" s="372">
        <v>313</v>
      </c>
      <c r="E1211" s="372">
        <v>10</v>
      </c>
      <c r="F1211" s="372">
        <f>IFERROR(INDEX('NonART prices by med'!$D$2:$D$102,MATCH(D1211,'NonART prices by med'!$A$2:$A$102,0)),"")</f>
        <v>13.15</v>
      </c>
      <c r="G1211" s="372">
        <f t="shared" si="37"/>
        <v>131.5</v>
      </c>
      <c r="H1211" s="372">
        <f t="shared" si="38"/>
        <v>1</v>
      </c>
    </row>
    <row r="1212" spans="1:8">
      <c r="A1212" s="372">
        <v>60</v>
      </c>
      <c r="B1212" s="373">
        <v>42926</v>
      </c>
      <c r="C1212" s="373">
        <v>43369</v>
      </c>
      <c r="D1212" s="372">
        <v>1</v>
      </c>
      <c r="E1212" s="372">
        <v>10</v>
      </c>
      <c r="F1212" s="372" t="str">
        <f>IFERROR(INDEX('NonART prices by med'!$D$2:$D$102,MATCH(D1212,'NonART prices by med'!$A$2:$A$102,0)),"")</f>
        <v/>
      </c>
      <c r="G1212" s="372" t="str">
        <f t="shared" si="37"/>
        <v/>
      </c>
      <c r="H1212" s="372">
        <f t="shared" si="38"/>
        <v>0</v>
      </c>
    </row>
    <row r="1213" spans="1:8">
      <c r="A1213" s="372">
        <v>62</v>
      </c>
      <c r="B1213" s="373">
        <v>42936</v>
      </c>
      <c r="C1213" s="373">
        <v>43061</v>
      </c>
      <c r="D1213" s="372">
        <v>132</v>
      </c>
      <c r="E1213" s="372">
        <v>120</v>
      </c>
      <c r="F1213" s="372">
        <f>IFERROR(INDEX('NonART prices by med'!$D$2:$D$102,MATCH(D1213,'NonART prices by med'!$A$2:$A$102,0)),"")</f>
        <v>7.0309523809523822E-2</v>
      </c>
      <c r="G1213" s="372">
        <f t="shared" si="37"/>
        <v>8.4371428571428595</v>
      </c>
      <c r="H1213" s="372">
        <f t="shared" si="38"/>
        <v>1</v>
      </c>
    </row>
    <row r="1214" spans="1:8">
      <c r="A1214" s="372">
        <v>63</v>
      </c>
      <c r="B1214" s="373">
        <v>42935</v>
      </c>
      <c r="C1214" s="373">
        <v>42986</v>
      </c>
      <c r="D1214" s="372">
        <v>134</v>
      </c>
      <c r="E1214" s="372">
        <v>60</v>
      </c>
      <c r="F1214" s="372">
        <f>IFERROR(INDEX('NonART prices by med'!$D$2:$D$102,MATCH(D1214,'NonART prices by med'!$A$2:$A$102,0)),"")</f>
        <v>0.39033333366993345</v>
      </c>
      <c r="G1214" s="372">
        <f t="shared" si="37"/>
        <v>23.420000020196007</v>
      </c>
      <c r="H1214" s="372">
        <f t="shared" si="38"/>
        <v>1</v>
      </c>
    </row>
    <row r="1215" spans="1:8">
      <c r="A1215" s="372">
        <v>63</v>
      </c>
      <c r="B1215" s="373">
        <v>42935</v>
      </c>
      <c r="C1215" s="373">
        <v>43014</v>
      </c>
      <c r="D1215" s="372">
        <v>342</v>
      </c>
      <c r="E1215" s="372">
        <v>28</v>
      </c>
      <c r="F1215" s="372">
        <f>IFERROR(INDEX('NonART prices by med'!$D$2:$D$102,MATCH(D1215,'NonART prices by med'!$A$2:$A$102,0)),"")</f>
        <v>0.26590000152587889</v>
      </c>
      <c r="G1215" s="372">
        <f t="shared" si="37"/>
        <v>7.4452000427246094</v>
      </c>
      <c r="H1215" s="372">
        <f t="shared" si="38"/>
        <v>1</v>
      </c>
    </row>
    <row r="1216" spans="1:8">
      <c r="A1216" s="372">
        <v>63</v>
      </c>
      <c r="B1216" s="373">
        <v>42935</v>
      </c>
      <c r="C1216" s="373">
        <v>43041</v>
      </c>
      <c r="D1216" s="372">
        <v>342</v>
      </c>
      <c r="E1216" s="372">
        <v>56</v>
      </c>
      <c r="F1216" s="372">
        <f>IFERROR(INDEX('NonART prices by med'!$D$2:$D$102,MATCH(D1216,'NonART prices by med'!$A$2:$A$102,0)),"")</f>
        <v>0.26590000152587889</v>
      </c>
      <c r="G1216" s="372">
        <f t="shared" si="37"/>
        <v>14.890400085449219</v>
      </c>
      <c r="H1216" s="372">
        <f t="shared" si="38"/>
        <v>1</v>
      </c>
    </row>
    <row r="1217" spans="1:8">
      <c r="A1217" s="372">
        <v>65</v>
      </c>
      <c r="B1217" s="373">
        <v>42936</v>
      </c>
      <c r="C1217" s="373">
        <v>43061</v>
      </c>
      <c r="D1217" s="372">
        <v>132</v>
      </c>
      <c r="E1217" s="372">
        <v>120</v>
      </c>
      <c r="F1217" s="372">
        <f>IFERROR(INDEX('NonART prices by med'!$D$2:$D$102,MATCH(D1217,'NonART prices by med'!$A$2:$A$102,0)),"")</f>
        <v>7.0309523809523822E-2</v>
      </c>
      <c r="G1217" s="372">
        <f t="shared" si="37"/>
        <v>8.4371428571428595</v>
      </c>
      <c r="H1217" s="372">
        <f t="shared" si="38"/>
        <v>1</v>
      </c>
    </row>
    <row r="1218" spans="1:8">
      <c r="A1218" s="372">
        <v>65</v>
      </c>
      <c r="B1218" s="373">
        <v>42936</v>
      </c>
      <c r="C1218" s="373">
        <v>43103</v>
      </c>
      <c r="D1218" s="372">
        <v>342</v>
      </c>
      <c r="E1218" s="372">
        <v>56</v>
      </c>
      <c r="F1218" s="372">
        <f>IFERROR(INDEX('NonART prices by med'!$D$2:$D$102,MATCH(D1218,'NonART prices by med'!$A$2:$A$102,0)),"")</f>
        <v>0.26590000152587889</v>
      </c>
      <c r="G1218" s="372">
        <f t="shared" si="37"/>
        <v>14.890400085449219</v>
      </c>
      <c r="H1218" s="372">
        <f t="shared" si="38"/>
        <v>1</v>
      </c>
    </row>
    <row r="1219" spans="1:8">
      <c r="A1219" s="372">
        <v>66</v>
      </c>
      <c r="B1219" s="373">
        <v>42935</v>
      </c>
      <c r="C1219" s="373">
        <v>42935</v>
      </c>
      <c r="D1219" s="372">
        <v>290</v>
      </c>
      <c r="E1219" s="372">
        <v>2</v>
      </c>
      <c r="F1219" s="372">
        <f>IFERROR(INDEX('NonART prices by med'!$D$2:$D$102,MATCH(D1219,'NonART prices by med'!$A$2:$A$102,0)),"")</f>
        <v>0.37279999999999996</v>
      </c>
      <c r="G1219" s="372">
        <f t="shared" ref="G1219:G1263" si="39">IFERROR(E1219*F1219,"")</f>
        <v>0.74559999999999993</v>
      </c>
      <c r="H1219" s="372">
        <f t="shared" si="38"/>
        <v>1</v>
      </c>
    </row>
    <row r="1220" spans="1:8">
      <c r="A1220" s="372">
        <v>67</v>
      </c>
      <c r="B1220" s="373">
        <v>42935</v>
      </c>
      <c r="C1220" s="373">
        <v>42950</v>
      </c>
      <c r="D1220" s="372">
        <v>35</v>
      </c>
      <c r="E1220" s="372">
        <v>28</v>
      </c>
      <c r="F1220" s="372">
        <f>IFERROR(INDEX('NonART prices by med'!$D$2:$D$102,MATCH(D1220,'NonART prices by med'!$A$2:$A$102,0)),"")</f>
        <v>0.60205838048342708</v>
      </c>
      <c r="G1220" s="372">
        <f t="shared" si="39"/>
        <v>16.857634653535957</v>
      </c>
      <c r="H1220" s="372">
        <f t="shared" ref="H1220:H1263" si="40">IF(C1220-B1220&lt;=365,1,0)</f>
        <v>1</v>
      </c>
    </row>
    <row r="1221" spans="1:8">
      <c r="A1221" s="372">
        <v>67</v>
      </c>
      <c r="B1221" s="373">
        <v>42935</v>
      </c>
      <c r="C1221" s="373">
        <v>42992</v>
      </c>
      <c r="D1221" s="372">
        <v>411</v>
      </c>
      <c r="E1221" s="372">
        <v>28</v>
      </c>
      <c r="F1221" s="372">
        <f>IFERROR(INDEX('NonART prices by med'!$D$2:$D$102,MATCH(D1221,'NonART prices by med'!$A$2:$A$102,0)),"")</f>
        <v>0.10354499389265867</v>
      </c>
      <c r="G1221" s="372">
        <f t="shared" si="39"/>
        <v>2.8992598289944427</v>
      </c>
      <c r="H1221" s="372">
        <f t="shared" si="40"/>
        <v>1</v>
      </c>
    </row>
    <row r="1222" spans="1:8">
      <c r="A1222" s="372">
        <v>70</v>
      </c>
      <c r="B1222" s="373">
        <v>42934</v>
      </c>
      <c r="C1222" s="373">
        <v>42934</v>
      </c>
      <c r="D1222" s="372">
        <v>117</v>
      </c>
      <c r="F1222" s="372">
        <f>IFERROR(INDEX('NonART prices by med'!$D$2:$D$102,MATCH(D1222,'NonART prices by med'!$A$2:$A$102,0)),"")</f>
        <v>2.9786666870117187</v>
      </c>
      <c r="G1222" s="372">
        <f t="shared" si="39"/>
        <v>0</v>
      </c>
      <c r="H1222" s="372">
        <f t="shared" si="40"/>
        <v>1</v>
      </c>
    </row>
    <row r="1223" spans="1:8">
      <c r="A1223" s="372">
        <v>70</v>
      </c>
      <c r="B1223" s="373">
        <v>42934</v>
      </c>
      <c r="C1223" s="373">
        <v>42993</v>
      </c>
      <c r="D1223" s="372">
        <v>411</v>
      </c>
      <c r="E1223" s="372">
        <v>28</v>
      </c>
      <c r="F1223" s="372">
        <f>IFERROR(INDEX('NonART prices by med'!$D$2:$D$102,MATCH(D1223,'NonART prices by med'!$A$2:$A$102,0)),"")</f>
        <v>0.10354499389265867</v>
      </c>
      <c r="G1223" s="372">
        <f t="shared" si="39"/>
        <v>2.8992598289944427</v>
      </c>
      <c r="H1223" s="372">
        <f t="shared" si="40"/>
        <v>1</v>
      </c>
    </row>
    <row r="1224" spans="1:8">
      <c r="A1224" s="372">
        <v>70</v>
      </c>
      <c r="B1224" s="373">
        <v>42934</v>
      </c>
      <c r="C1224" s="373">
        <v>43034</v>
      </c>
      <c r="D1224" s="372">
        <v>216</v>
      </c>
      <c r="E1224" s="372">
        <v>56</v>
      </c>
      <c r="F1224" s="372">
        <f>IFERROR(INDEX('NonART prices by med'!$D$2:$D$102,MATCH(D1224,'NonART prices by med'!$A$2:$A$102,0)),"")</f>
        <v>0.25232142857142859</v>
      </c>
      <c r="G1224" s="372">
        <f t="shared" si="39"/>
        <v>14.13</v>
      </c>
      <c r="H1224" s="372">
        <f t="shared" si="40"/>
        <v>1</v>
      </c>
    </row>
    <row r="1225" spans="1:8">
      <c r="A1225" s="372">
        <v>71</v>
      </c>
      <c r="B1225" s="373">
        <v>42934</v>
      </c>
      <c r="C1225" s="373">
        <v>43010</v>
      </c>
      <c r="D1225" s="372">
        <v>280</v>
      </c>
      <c r="E1225" s="372">
        <v>1</v>
      </c>
      <c r="F1225" s="372">
        <f>IFERROR(INDEX('NonART prices by med'!$D$2:$D$102,MATCH(D1225,'NonART prices by med'!$A$2:$A$102,0)),"")</f>
        <v>0.11576000030852043</v>
      </c>
      <c r="G1225" s="372">
        <f t="shared" si="39"/>
        <v>0.11576000030852043</v>
      </c>
      <c r="H1225" s="372">
        <f t="shared" si="40"/>
        <v>1</v>
      </c>
    </row>
    <row r="1226" spans="1:8">
      <c r="A1226" s="372">
        <v>74</v>
      </c>
      <c r="B1226" s="373">
        <v>42929</v>
      </c>
      <c r="C1226" s="373">
        <v>42929</v>
      </c>
      <c r="D1226" s="372">
        <v>290</v>
      </c>
      <c r="E1226" s="372">
        <v>5</v>
      </c>
      <c r="F1226" s="372">
        <f>IFERROR(INDEX('NonART prices by med'!$D$2:$D$102,MATCH(D1226,'NonART prices by med'!$A$2:$A$102,0)),"")</f>
        <v>0.37279999999999996</v>
      </c>
      <c r="G1226" s="372">
        <f t="shared" si="39"/>
        <v>1.8639999999999999</v>
      </c>
      <c r="H1226" s="372">
        <f t="shared" si="40"/>
        <v>1</v>
      </c>
    </row>
    <row r="1227" spans="1:8">
      <c r="A1227" s="372">
        <v>74</v>
      </c>
      <c r="B1227" s="373">
        <v>42929</v>
      </c>
      <c r="C1227" s="373">
        <v>43041</v>
      </c>
      <c r="D1227" s="372">
        <v>146</v>
      </c>
      <c r="E1227" s="372">
        <v>28</v>
      </c>
      <c r="F1227" s="372">
        <f>IFERROR(INDEX('NonART prices by med'!$D$2:$D$102,MATCH(D1227,'NonART prices by med'!$A$2:$A$102,0)),"")</f>
        <v>4.2040000000000006</v>
      </c>
      <c r="G1227" s="372">
        <f t="shared" si="39"/>
        <v>117.71200000000002</v>
      </c>
      <c r="H1227" s="372">
        <f t="shared" si="40"/>
        <v>1</v>
      </c>
    </row>
    <row r="1228" spans="1:8">
      <c r="A1228" s="372">
        <v>75</v>
      </c>
      <c r="B1228" s="373">
        <v>42928</v>
      </c>
      <c r="C1228" s="373">
        <v>43027</v>
      </c>
      <c r="D1228" s="372">
        <v>318</v>
      </c>
      <c r="E1228" s="372">
        <v>20</v>
      </c>
      <c r="F1228" s="372">
        <f>IFERROR(INDEX('NonART prices by med'!$D$2:$D$102,MATCH(D1228,'NonART prices by med'!$A$2:$A$102,0)),"")</f>
        <v>0.19286066077210379</v>
      </c>
      <c r="G1228" s="372">
        <f t="shared" si="39"/>
        <v>3.8572132154420755</v>
      </c>
      <c r="H1228" s="372">
        <f t="shared" si="40"/>
        <v>1</v>
      </c>
    </row>
    <row r="1229" spans="1:8">
      <c r="A1229" s="372">
        <v>8</v>
      </c>
      <c r="B1229" s="373">
        <v>42971</v>
      </c>
      <c r="C1229" s="373">
        <v>42971</v>
      </c>
      <c r="D1229" s="372">
        <v>286</v>
      </c>
      <c r="F1229" s="372">
        <f>IFERROR(INDEX('NonART prices by med'!$D$2:$D$102,MATCH(D1229,'NonART prices by med'!$A$2:$A$102,0)),"")</f>
        <v>0.15535714285714283</v>
      </c>
      <c r="G1229" s="372">
        <f t="shared" si="39"/>
        <v>0</v>
      </c>
      <c r="H1229" s="372">
        <f t="shared" si="40"/>
        <v>1</v>
      </c>
    </row>
    <row r="1230" spans="1:8">
      <c r="A1230" s="372">
        <v>13</v>
      </c>
      <c r="B1230" s="373">
        <v>42977</v>
      </c>
      <c r="C1230" s="373">
        <v>43055</v>
      </c>
      <c r="D1230" s="372">
        <v>342</v>
      </c>
      <c r="E1230" s="372">
        <v>28</v>
      </c>
      <c r="F1230" s="372">
        <f>IFERROR(INDEX('NonART prices by med'!$D$2:$D$102,MATCH(D1230,'NonART prices by med'!$A$2:$A$102,0)),"")</f>
        <v>0.26590000152587889</v>
      </c>
      <c r="G1230" s="372">
        <f t="shared" si="39"/>
        <v>7.4452000427246094</v>
      </c>
      <c r="H1230" s="372">
        <f t="shared" si="40"/>
        <v>1</v>
      </c>
    </row>
    <row r="1231" spans="1:8">
      <c r="A1231" s="372">
        <v>18</v>
      </c>
      <c r="B1231" s="373">
        <v>43032</v>
      </c>
      <c r="C1231" s="373">
        <v>43032</v>
      </c>
      <c r="D1231" s="372">
        <v>342</v>
      </c>
      <c r="E1231" s="372">
        <v>56</v>
      </c>
      <c r="F1231" s="372">
        <f>IFERROR(INDEX('NonART prices by med'!$D$2:$D$102,MATCH(D1231,'NonART prices by med'!$A$2:$A$102,0)),"")</f>
        <v>0.26590000152587889</v>
      </c>
      <c r="G1231" s="372">
        <f t="shared" si="39"/>
        <v>14.890400085449219</v>
      </c>
      <c r="H1231" s="372">
        <f t="shared" si="40"/>
        <v>1</v>
      </c>
    </row>
    <row r="1232" spans="1:8">
      <c r="A1232" s="372">
        <v>33</v>
      </c>
      <c r="B1232" s="373">
        <v>42957</v>
      </c>
      <c r="C1232" s="373">
        <v>42972</v>
      </c>
      <c r="D1232" s="372">
        <v>225</v>
      </c>
      <c r="E1232" s="372">
        <v>28</v>
      </c>
      <c r="F1232" s="372">
        <f>IFERROR(INDEX('NonART prices by med'!$D$2:$D$102,MATCH(D1232,'NonART prices by med'!$A$2:$A$102,0)),"")</f>
        <v>0.19315423345580862</v>
      </c>
      <c r="G1232" s="372">
        <f t="shared" si="39"/>
        <v>5.408318536762641</v>
      </c>
      <c r="H1232" s="372">
        <f t="shared" si="40"/>
        <v>1</v>
      </c>
    </row>
    <row r="1233" spans="1:8">
      <c r="A1233" s="372">
        <v>43</v>
      </c>
      <c r="B1233" s="373">
        <v>42949</v>
      </c>
      <c r="C1233" s="373">
        <v>42949</v>
      </c>
      <c r="D1233" s="372">
        <v>184</v>
      </c>
      <c r="E1233" s="372">
        <v>56</v>
      </c>
      <c r="F1233" s="372">
        <f>IFERROR(INDEX('NonART prices by med'!$D$2:$D$102,MATCH(D1233,'NonART prices by med'!$A$2:$A$102,0)),"")</f>
        <v>0.21851785714285715</v>
      </c>
      <c r="G1233" s="372">
        <f t="shared" si="39"/>
        <v>12.237</v>
      </c>
      <c r="H1233" s="372">
        <f t="shared" si="40"/>
        <v>1</v>
      </c>
    </row>
    <row r="1234" spans="1:8">
      <c r="A1234" s="372">
        <v>45</v>
      </c>
      <c r="B1234" s="373">
        <v>42949</v>
      </c>
      <c r="C1234" s="373">
        <v>43159</v>
      </c>
      <c r="D1234" s="372">
        <v>342</v>
      </c>
      <c r="E1234" s="372">
        <v>28</v>
      </c>
      <c r="F1234" s="372">
        <f>IFERROR(INDEX('NonART prices by med'!$D$2:$D$102,MATCH(D1234,'NonART prices by med'!$A$2:$A$102,0)),"")</f>
        <v>0.26590000152587889</v>
      </c>
      <c r="G1234" s="372">
        <f t="shared" si="39"/>
        <v>7.4452000427246094</v>
      </c>
      <c r="H1234" s="372">
        <f t="shared" si="40"/>
        <v>1</v>
      </c>
    </row>
    <row r="1235" spans="1:8">
      <c r="A1235" s="372">
        <v>45</v>
      </c>
      <c r="B1235" s="373">
        <v>42949</v>
      </c>
      <c r="C1235" s="373">
        <v>43271</v>
      </c>
      <c r="D1235" s="372">
        <v>342</v>
      </c>
      <c r="E1235" s="372">
        <v>56</v>
      </c>
      <c r="F1235" s="372">
        <f>IFERROR(INDEX('NonART prices by med'!$D$2:$D$102,MATCH(D1235,'NonART prices by med'!$A$2:$A$102,0)),"")</f>
        <v>0.26590000152587889</v>
      </c>
      <c r="G1235" s="372">
        <f t="shared" si="39"/>
        <v>14.890400085449219</v>
      </c>
      <c r="H1235" s="372">
        <f t="shared" si="40"/>
        <v>1</v>
      </c>
    </row>
    <row r="1236" spans="1:8">
      <c r="A1236" s="372">
        <v>45</v>
      </c>
      <c r="B1236" s="373">
        <v>42949</v>
      </c>
      <c r="C1236" s="373">
        <v>43334</v>
      </c>
      <c r="D1236" s="372">
        <v>35</v>
      </c>
      <c r="E1236" s="372">
        <v>28</v>
      </c>
      <c r="F1236" s="372">
        <f>IFERROR(INDEX('NonART prices by med'!$D$2:$D$102,MATCH(D1236,'NonART prices by med'!$A$2:$A$102,0)),"")</f>
        <v>0.60205838048342708</v>
      </c>
      <c r="G1236" s="372">
        <f t="shared" si="39"/>
        <v>16.857634653535957</v>
      </c>
      <c r="H1236" s="372">
        <f t="shared" si="40"/>
        <v>0</v>
      </c>
    </row>
    <row r="1237" spans="1:8">
      <c r="A1237" s="372">
        <v>46</v>
      </c>
      <c r="B1237" s="373">
        <v>42949</v>
      </c>
      <c r="C1237" s="373">
        <v>43089</v>
      </c>
      <c r="D1237" s="372">
        <v>316</v>
      </c>
      <c r="E1237" s="372">
        <v>5</v>
      </c>
      <c r="F1237" s="372">
        <f>IFERROR(INDEX('NonART prices by med'!$D$2:$D$102,MATCH(D1237,'NonART prices by med'!$A$2:$A$102,0)),"")</f>
        <v>5.0199999999999995E-2</v>
      </c>
      <c r="G1237" s="372">
        <f t="shared" si="39"/>
        <v>0.251</v>
      </c>
      <c r="H1237" s="372">
        <f t="shared" si="40"/>
        <v>1</v>
      </c>
    </row>
    <row r="1238" spans="1:8">
      <c r="A1238" s="372">
        <v>46</v>
      </c>
      <c r="B1238" s="373">
        <v>42949</v>
      </c>
      <c r="C1238" s="373">
        <v>43228</v>
      </c>
      <c r="D1238" s="372">
        <v>117</v>
      </c>
      <c r="E1238" s="372">
        <v>1</v>
      </c>
      <c r="F1238" s="372">
        <f>IFERROR(INDEX('NonART prices by med'!$D$2:$D$102,MATCH(D1238,'NonART prices by med'!$A$2:$A$102,0)),"")</f>
        <v>2.9786666870117187</v>
      </c>
      <c r="G1238" s="372">
        <f t="shared" si="39"/>
        <v>2.9786666870117187</v>
      </c>
      <c r="H1238" s="372">
        <f t="shared" si="40"/>
        <v>1</v>
      </c>
    </row>
    <row r="1239" spans="1:8">
      <c r="A1239" s="372">
        <v>46</v>
      </c>
      <c r="B1239" s="373">
        <v>42949</v>
      </c>
      <c r="C1239" s="373">
        <v>43313</v>
      </c>
      <c r="D1239" s="372">
        <v>318</v>
      </c>
      <c r="E1239" s="372">
        <v>20</v>
      </c>
      <c r="F1239" s="372">
        <f>IFERROR(INDEX('NonART prices by med'!$D$2:$D$102,MATCH(D1239,'NonART prices by med'!$A$2:$A$102,0)),"")</f>
        <v>0.19286066077210379</v>
      </c>
      <c r="G1239" s="372">
        <f t="shared" si="39"/>
        <v>3.8572132154420755</v>
      </c>
      <c r="H1239" s="372">
        <f t="shared" si="40"/>
        <v>1</v>
      </c>
    </row>
    <row r="1240" spans="1:8">
      <c r="A1240" s="372">
        <v>54</v>
      </c>
      <c r="B1240" s="373">
        <v>42941</v>
      </c>
      <c r="C1240" s="373">
        <v>43025</v>
      </c>
      <c r="D1240" s="372">
        <v>162</v>
      </c>
      <c r="E1240" s="372">
        <v>10</v>
      </c>
      <c r="F1240" s="372">
        <f>IFERROR(INDEX('NonART prices by med'!$D$2:$D$102,MATCH(D1240,'NonART prices by med'!$A$2:$A$102,0)),"")</f>
        <v>0.126</v>
      </c>
      <c r="G1240" s="372">
        <f t="shared" si="39"/>
        <v>1.26</v>
      </c>
      <c r="H1240" s="372">
        <f t="shared" si="40"/>
        <v>1</v>
      </c>
    </row>
    <row r="1241" spans="1:8">
      <c r="A1241" s="372">
        <v>56</v>
      </c>
      <c r="B1241" s="373">
        <v>42941</v>
      </c>
      <c r="C1241" s="373">
        <v>43017</v>
      </c>
      <c r="D1241" s="372">
        <v>342</v>
      </c>
      <c r="E1241" s="372">
        <v>28</v>
      </c>
      <c r="F1241" s="372">
        <f>IFERROR(INDEX('NonART prices by med'!$D$2:$D$102,MATCH(D1241,'NonART prices by med'!$A$2:$A$102,0)),"")</f>
        <v>0.26590000152587889</v>
      </c>
      <c r="G1241" s="372">
        <f t="shared" si="39"/>
        <v>7.4452000427246094</v>
      </c>
      <c r="H1241" s="372">
        <f t="shared" si="40"/>
        <v>1</v>
      </c>
    </row>
    <row r="1242" spans="1:8">
      <c r="A1242" s="372">
        <v>60</v>
      </c>
      <c r="B1242" s="373">
        <v>42926</v>
      </c>
      <c r="C1242" s="373">
        <v>42941</v>
      </c>
      <c r="D1242" s="372">
        <v>318</v>
      </c>
      <c r="E1242" s="372">
        <v>20</v>
      </c>
      <c r="F1242" s="372">
        <f>IFERROR(INDEX('NonART prices by med'!$D$2:$D$102,MATCH(D1242,'NonART prices by med'!$A$2:$A$102,0)),"")</f>
        <v>0.19286066077210379</v>
      </c>
      <c r="G1242" s="372">
        <f t="shared" si="39"/>
        <v>3.8572132154420755</v>
      </c>
      <c r="H1242" s="372">
        <f t="shared" si="40"/>
        <v>1</v>
      </c>
    </row>
    <row r="1243" spans="1:8">
      <c r="A1243" s="372">
        <v>60</v>
      </c>
      <c r="B1243" s="373">
        <v>42926</v>
      </c>
      <c r="C1243" s="373">
        <v>42969</v>
      </c>
      <c r="D1243" s="372">
        <v>1</v>
      </c>
      <c r="E1243" s="372">
        <v>28</v>
      </c>
      <c r="F1243" s="372" t="str">
        <f>IFERROR(INDEX('NonART prices by med'!$D$2:$D$102,MATCH(D1243,'NonART prices by med'!$A$2:$A$102,0)),"")</f>
        <v/>
      </c>
      <c r="G1243" s="372" t="str">
        <f t="shared" si="39"/>
        <v/>
      </c>
      <c r="H1243" s="372">
        <f t="shared" si="40"/>
        <v>1</v>
      </c>
    </row>
    <row r="1244" spans="1:8">
      <c r="A1244" s="372">
        <v>60</v>
      </c>
      <c r="B1244" s="373">
        <v>42926</v>
      </c>
      <c r="C1244" s="373">
        <v>43087</v>
      </c>
      <c r="D1244" s="372">
        <v>13</v>
      </c>
      <c r="E1244" s="372">
        <v>28</v>
      </c>
      <c r="F1244" s="372">
        <f>IFERROR(INDEX('NonART prices by med'!$D$2:$D$102,MATCH(D1244,'NonART prices by med'!$A$2:$A$102,0)),"")</f>
        <v>0.15256434030246604</v>
      </c>
      <c r="G1244" s="372">
        <f t="shared" si="39"/>
        <v>4.2718015284690489</v>
      </c>
      <c r="H1244" s="372">
        <f t="shared" si="40"/>
        <v>1</v>
      </c>
    </row>
    <row r="1245" spans="1:8">
      <c r="A1245" s="372">
        <v>60</v>
      </c>
      <c r="B1245" s="373">
        <v>42926</v>
      </c>
      <c r="C1245" s="373">
        <v>43144</v>
      </c>
      <c r="D1245" s="372">
        <v>258</v>
      </c>
      <c r="E1245" s="372">
        <v>1</v>
      </c>
      <c r="F1245" s="372">
        <f>IFERROR(INDEX('NonART prices by med'!$D$2:$D$102,MATCH(D1245,'NonART prices by med'!$A$2:$A$102,0)),"")</f>
        <v>0.20760000000000001</v>
      </c>
      <c r="G1245" s="372">
        <f t="shared" si="39"/>
        <v>0.20760000000000001</v>
      </c>
      <c r="H1245" s="372">
        <f t="shared" si="40"/>
        <v>1</v>
      </c>
    </row>
    <row r="1246" spans="1:8">
      <c r="A1246" s="372">
        <v>60</v>
      </c>
      <c r="B1246" s="373">
        <v>42926</v>
      </c>
      <c r="C1246" s="373">
        <v>43201</v>
      </c>
      <c r="D1246" s="372">
        <v>1</v>
      </c>
      <c r="E1246" s="372">
        <v>10</v>
      </c>
      <c r="F1246" s="372" t="str">
        <f>IFERROR(INDEX('NonART prices by med'!$D$2:$D$102,MATCH(D1246,'NonART prices by med'!$A$2:$A$102,0)),"")</f>
        <v/>
      </c>
      <c r="G1246" s="372" t="str">
        <f t="shared" si="39"/>
        <v/>
      </c>
      <c r="H1246" s="372">
        <f t="shared" si="40"/>
        <v>1</v>
      </c>
    </row>
    <row r="1247" spans="1:8">
      <c r="A1247" s="372">
        <v>60</v>
      </c>
      <c r="B1247" s="373">
        <v>42926</v>
      </c>
      <c r="C1247" s="373">
        <v>43285</v>
      </c>
      <c r="D1247" s="372">
        <v>120</v>
      </c>
      <c r="E1247" s="372">
        <v>3</v>
      </c>
      <c r="F1247" s="372">
        <f>IFERROR(INDEX('NonART prices by med'!$D$2:$D$102,MATCH(D1247,'NonART prices by med'!$A$2:$A$102,0)),"")</f>
        <v>3.4253333333333336</v>
      </c>
      <c r="G1247" s="372">
        <f t="shared" si="39"/>
        <v>10.276</v>
      </c>
      <c r="H1247" s="372">
        <f t="shared" si="40"/>
        <v>1</v>
      </c>
    </row>
    <row r="1248" spans="1:8">
      <c r="A1248" s="372">
        <v>63</v>
      </c>
      <c r="B1248" s="373">
        <v>42935</v>
      </c>
      <c r="C1248" s="373">
        <v>43014</v>
      </c>
      <c r="D1248" s="372">
        <v>225</v>
      </c>
      <c r="E1248" s="372">
        <v>28</v>
      </c>
      <c r="F1248" s="372">
        <f>IFERROR(INDEX('NonART prices by med'!$D$2:$D$102,MATCH(D1248,'NonART prices by med'!$A$2:$A$102,0)),"")</f>
        <v>0.19315423345580862</v>
      </c>
      <c r="G1248" s="372">
        <f t="shared" si="39"/>
        <v>5.408318536762641</v>
      </c>
      <c r="H1248" s="372">
        <f t="shared" si="40"/>
        <v>1</v>
      </c>
    </row>
    <row r="1249" spans="1:8">
      <c r="A1249" s="372">
        <v>67</v>
      </c>
      <c r="B1249" s="373">
        <v>42935</v>
      </c>
      <c r="C1249" s="373">
        <v>42950</v>
      </c>
      <c r="D1249" s="372">
        <v>402</v>
      </c>
      <c r="F1249" s="372">
        <f>IFERROR(INDEX('NonART prices by med'!$D$2:$D$102,MATCH(D1249,'NonART prices by med'!$A$2:$A$102,0)),"")</f>
        <v>84.57</v>
      </c>
      <c r="G1249" s="372">
        <f t="shared" si="39"/>
        <v>0</v>
      </c>
      <c r="H1249" s="372">
        <f t="shared" si="40"/>
        <v>1</v>
      </c>
    </row>
    <row r="1250" spans="1:8">
      <c r="A1250" s="372">
        <v>70</v>
      </c>
      <c r="B1250" s="373">
        <v>42934</v>
      </c>
      <c r="C1250" s="373">
        <v>42934</v>
      </c>
      <c r="D1250" s="372">
        <v>286</v>
      </c>
      <c r="E1250" s="372">
        <v>28</v>
      </c>
      <c r="F1250" s="372">
        <f>IFERROR(INDEX('NonART prices by med'!$D$2:$D$102,MATCH(D1250,'NonART prices by med'!$A$2:$A$102,0)),"")</f>
        <v>0.15535714285714283</v>
      </c>
      <c r="G1250" s="372">
        <f t="shared" si="39"/>
        <v>4.3499999999999996</v>
      </c>
      <c r="H1250" s="372">
        <f t="shared" si="40"/>
        <v>1</v>
      </c>
    </row>
    <row r="1251" spans="1:8">
      <c r="A1251" s="372">
        <v>74</v>
      </c>
      <c r="B1251" s="373">
        <v>42929</v>
      </c>
      <c r="C1251" s="373">
        <v>42929</v>
      </c>
      <c r="D1251" s="372">
        <v>181</v>
      </c>
      <c r="E1251" s="372">
        <v>1</v>
      </c>
      <c r="F1251" s="372">
        <f>IFERROR(INDEX('NonART prices by med'!$D$2:$D$102,MATCH(D1251,'NonART prices by med'!$A$2:$A$102,0)),"")</f>
        <v>6.6400000000000001E-2</v>
      </c>
      <c r="G1251" s="372">
        <f t="shared" si="39"/>
        <v>6.6400000000000001E-2</v>
      </c>
      <c r="H1251" s="372">
        <f t="shared" si="40"/>
        <v>1</v>
      </c>
    </row>
    <row r="1252" spans="1:8">
      <c r="A1252" s="372">
        <v>75</v>
      </c>
      <c r="B1252" s="373">
        <v>42928</v>
      </c>
      <c r="C1252" s="373">
        <v>43027</v>
      </c>
      <c r="D1252" s="372">
        <v>96</v>
      </c>
      <c r="E1252" s="372">
        <v>15</v>
      </c>
      <c r="F1252" s="372">
        <f>IFERROR(INDEX('NonART prices by med'!$D$2:$D$102,MATCH(D1252,'NonART prices by med'!$A$2:$A$102,0)),"")</f>
        <v>0.4224285670689174</v>
      </c>
      <c r="G1252" s="372">
        <f t="shared" si="39"/>
        <v>6.3364285060337613</v>
      </c>
      <c r="H1252" s="372">
        <f t="shared" si="40"/>
        <v>1</v>
      </c>
    </row>
    <row r="1253" spans="1:8">
      <c r="A1253" s="372">
        <v>33</v>
      </c>
      <c r="B1253" s="373">
        <v>42957</v>
      </c>
      <c r="C1253" s="373">
        <v>42972</v>
      </c>
      <c r="D1253" s="372">
        <v>215</v>
      </c>
      <c r="F1253" s="372">
        <f>IFERROR(INDEX('NonART prices by med'!$D$2:$D$102,MATCH(D1253,'NonART prices by med'!$A$2:$A$102,0)),"")</f>
        <v>0.27607142857142858</v>
      </c>
      <c r="G1253" s="372">
        <f t="shared" si="39"/>
        <v>0</v>
      </c>
      <c r="H1253" s="372">
        <f t="shared" si="40"/>
        <v>1</v>
      </c>
    </row>
    <row r="1254" spans="1:8">
      <c r="A1254" s="372">
        <v>45</v>
      </c>
      <c r="B1254" s="373">
        <v>42949</v>
      </c>
      <c r="C1254" s="373">
        <v>43334</v>
      </c>
      <c r="D1254" s="372">
        <v>358</v>
      </c>
      <c r="E1254" s="372">
        <v>28</v>
      </c>
      <c r="F1254" s="372">
        <f>IFERROR(INDEX('NonART prices by med'!$D$2:$D$102,MATCH(D1254,'NonART prices by med'!$A$2:$A$102,0)),"")</f>
        <v>0.1839316921343207</v>
      </c>
      <c r="G1254" s="372">
        <f t="shared" si="39"/>
        <v>5.1500873797609792</v>
      </c>
      <c r="H1254" s="372">
        <f t="shared" si="40"/>
        <v>0</v>
      </c>
    </row>
    <row r="1255" spans="1:8">
      <c r="A1255" s="372">
        <v>46</v>
      </c>
      <c r="B1255" s="373">
        <v>42949</v>
      </c>
      <c r="C1255" s="373">
        <v>43228</v>
      </c>
      <c r="D1255" s="372">
        <v>242</v>
      </c>
      <c r="E1255" s="372">
        <v>15</v>
      </c>
      <c r="F1255" s="372">
        <f>IFERROR(INDEX('NonART prices by med'!$D$2:$D$102,MATCH(D1255,'NonART prices by med'!$A$2:$A$102,0)),"")</f>
        <v>0.22770712586409192</v>
      </c>
      <c r="G1255" s="372">
        <f t="shared" si="39"/>
        <v>3.4156068879613786</v>
      </c>
      <c r="H1255" s="372">
        <f t="shared" si="40"/>
        <v>1</v>
      </c>
    </row>
    <row r="1256" spans="1:8">
      <c r="A1256" s="372">
        <v>46</v>
      </c>
      <c r="B1256" s="373">
        <v>42949</v>
      </c>
      <c r="C1256" s="373">
        <v>43313</v>
      </c>
      <c r="D1256" s="372">
        <v>280</v>
      </c>
      <c r="E1256" s="372">
        <v>20</v>
      </c>
      <c r="F1256" s="372">
        <f>IFERROR(INDEX('NonART prices by med'!$D$2:$D$102,MATCH(D1256,'NonART prices by med'!$A$2:$A$102,0)),"")</f>
        <v>0.11576000030852043</v>
      </c>
      <c r="G1256" s="372">
        <f t="shared" si="39"/>
        <v>2.3152000061704086</v>
      </c>
      <c r="H1256" s="372">
        <f t="shared" si="40"/>
        <v>1</v>
      </c>
    </row>
    <row r="1257" spans="1:8">
      <c r="A1257" s="372">
        <v>54</v>
      </c>
      <c r="B1257" s="373">
        <v>42941</v>
      </c>
      <c r="C1257" s="373">
        <v>43025</v>
      </c>
      <c r="D1257" s="372">
        <v>131</v>
      </c>
      <c r="E1257" s="372">
        <v>1</v>
      </c>
      <c r="F1257" s="372">
        <f>IFERROR(INDEX('NonART prices by med'!$D$2:$D$102,MATCH(D1257,'NonART prices by med'!$A$2:$A$102,0)),"")</f>
        <v>4.2199999999999994E-2</v>
      </c>
      <c r="G1257" s="372">
        <f t="shared" si="39"/>
        <v>4.2199999999999994E-2</v>
      </c>
      <c r="H1257" s="372">
        <f t="shared" si="40"/>
        <v>1</v>
      </c>
    </row>
    <row r="1258" spans="1:8">
      <c r="A1258" s="372">
        <v>60</v>
      </c>
      <c r="B1258" s="373">
        <v>42926</v>
      </c>
      <c r="C1258" s="373">
        <v>43285</v>
      </c>
      <c r="D1258" s="372">
        <v>318</v>
      </c>
      <c r="E1258" s="372">
        <v>20</v>
      </c>
      <c r="F1258" s="372">
        <f>IFERROR(INDEX('NonART prices by med'!$D$2:$D$102,MATCH(D1258,'NonART prices by med'!$A$2:$A$102,0)),"")</f>
        <v>0.19286066077210379</v>
      </c>
      <c r="G1258" s="372">
        <f t="shared" si="39"/>
        <v>3.8572132154420755</v>
      </c>
      <c r="H1258" s="372">
        <f t="shared" si="40"/>
        <v>1</v>
      </c>
    </row>
    <row r="1259" spans="1:8">
      <c r="A1259" s="372">
        <v>63</v>
      </c>
      <c r="B1259" s="373">
        <v>42935</v>
      </c>
      <c r="C1259" s="373">
        <v>43014</v>
      </c>
      <c r="D1259" s="372">
        <v>215</v>
      </c>
      <c r="E1259" s="372">
        <v>28</v>
      </c>
      <c r="F1259" s="372">
        <f>IFERROR(INDEX('NonART prices by med'!$D$2:$D$102,MATCH(D1259,'NonART prices by med'!$A$2:$A$102,0)),"")</f>
        <v>0.27607142857142858</v>
      </c>
      <c r="G1259" s="372">
        <f t="shared" si="39"/>
        <v>7.73</v>
      </c>
      <c r="H1259" s="372">
        <f t="shared" si="40"/>
        <v>1</v>
      </c>
    </row>
    <row r="1260" spans="1:8">
      <c r="A1260" s="372">
        <v>33</v>
      </c>
      <c r="B1260" s="373">
        <v>42957</v>
      </c>
      <c r="C1260" s="373">
        <v>42972</v>
      </c>
      <c r="D1260" s="372">
        <v>408</v>
      </c>
      <c r="E1260" s="372">
        <v>28</v>
      </c>
      <c r="F1260" s="372">
        <f>IFERROR(INDEX('NonART prices by med'!$D$2:$D$102,MATCH(D1260,'NonART prices by med'!$A$2:$A$102,0)),"")</f>
        <v>5.5E-2</v>
      </c>
      <c r="G1260" s="372">
        <f t="shared" si="39"/>
        <v>1.54</v>
      </c>
      <c r="H1260" s="372">
        <f t="shared" si="40"/>
        <v>1</v>
      </c>
    </row>
    <row r="1261" spans="1:8">
      <c r="A1261" s="372">
        <v>46</v>
      </c>
      <c r="B1261" s="373">
        <v>42949</v>
      </c>
      <c r="C1261" s="373">
        <v>43228</v>
      </c>
      <c r="D1261" s="372">
        <v>179</v>
      </c>
      <c r="E1261" s="372">
        <v>1</v>
      </c>
      <c r="F1261" s="372">
        <f>IFERROR(INDEX('NonART prices by med'!$D$2:$D$102,MATCH(D1261,'NonART prices by med'!$A$2:$A$102,0)),"")</f>
        <v>12.69</v>
      </c>
      <c r="G1261" s="372">
        <f t="shared" si="39"/>
        <v>12.69</v>
      </c>
      <c r="H1261" s="372">
        <f t="shared" si="40"/>
        <v>1</v>
      </c>
    </row>
    <row r="1262" spans="1:8">
      <c r="A1262" s="372">
        <v>60</v>
      </c>
      <c r="B1262" s="373">
        <v>42926</v>
      </c>
      <c r="C1262" s="373">
        <v>43285</v>
      </c>
      <c r="D1262" s="372">
        <v>162</v>
      </c>
      <c r="E1262" s="372">
        <v>10</v>
      </c>
      <c r="F1262" s="372">
        <f>IFERROR(INDEX('NonART prices by med'!$D$2:$D$102,MATCH(D1262,'NonART prices by med'!$A$2:$A$102,0)),"")</f>
        <v>0.126</v>
      </c>
      <c r="G1262" s="372">
        <f t="shared" si="39"/>
        <v>1.26</v>
      </c>
      <c r="H1262" s="372">
        <f t="shared" si="40"/>
        <v>1</v>
      </c>
    </row>
    <row r="1263" spans="1:8">
      <c r="A1263" s="372">
        <v>33</v>
      </c>
      <c r="B1263" s="373">
        <v>42957</v>
      </c>
      <c r="C1263" s="373">
        <v>42972</v>
      </c>
      <c r="D1263" s="372">
        <v>184</v>
      </c>
      <c r="E1263" s="372">
        <v>56</v>
      </c>
      <c r="F1263" s="372">
        <f>IFERROR(INDEX('NonART prices by med'!$D$2:$D$102,MATCH(D1263,'NonART prices by med'!$A$2:$A$102,0)),"")</f>
        <v>0.21851785714285715</v>
      </c>
      <c r="G1263" s="372">
        <f t="shared" si="39"/>
        <v>12.237</v>
      </c>
      <c r="H1263" s="372">
        <f t="shared" si="40"/>
        <v>1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01823-4BAD-4F46-B279-2CE70DC83C04}">
  <dimension ref="A1:E102"/>
  <sheetViews>
    <sheetView topLeftCell="A43" zoomScale="85" zoomScaleNormal="85" workbookViewId="0">
      <selection activeCell="D95" sqref="D95"/>
    </sheetView>
  </sheetViews>
  <sheetFormatPr baseColWidth="10" defaultColWidth="11.5" defaultRowHeight="15"/>
  <cols>
    <col min="1" max="1" width="8.1640625" style="372" customWidth="1"/>
    <col min="2" max="2" width="68.1640625" style="372" customWidth="1"/>
    <col min="3" max="3" width="21.5" style="380" customWidth="1"/>
    <col min="4" max="4" width="21.1640625" style="381" customWidth="1"/>
    <col min="5" max="5" width="17.33203125" style="372" customWidth="1"/>
    <col min="6" max="16384" width="11.5" style="372"/>
  </cols>
  <sheetData>
    <row r="1" spans="1:5">
      <c r="A1" s="370" t="s">
        <v>1589</v>
      </c>
      <c r="B1" s="370" t="s">
        <v>1600</v>
      </c>
      <c r="C1" s="378" t="s">
        <v>1601</v>
      </c>
      <c r="D1" s="379" t="s">
        <v>1602</v>
      </c>
      <c r="E1" s="370" t="s">
        <v>139</v>
      </c>
    </row>
    <row r="2" spans="1:5">
      <c r="A2" s="372">
        <v>2</v>
      </c>
      <c r="B2" s="372" t="s">
        <v>1603</v>
      </c>
      <c r="C2" s="380">
        <v>3.8289285387311662</v>
      </c>
      <c r="D2" s="381">
        <f>'May 2023 MPC'!AQ1051</f>
        <v>3.260735727216034</v>
      </c>
    </row>
    <row r="3" spans="1:5">
      <c r="A3" s="372">
        <v>6</v>
      </c>
      <c r="B3" s="372" t="s">
        <v>1604</v>
      </c>
      <c r="C3" s="380">
        <v>5.2192230224609375</v>
      </c>
      <c r="D3" s="381">
        <f>'May 2023 MPC'!AQ623</f>
        <v>4.4262500042327977</v>
      </c>
    </row>
    <row r="4" spans="1:5">
      <c r="A4" s="372">
        <v>7</v>
      </c>
      <c r="B4" s="372" t="s">
        <v>1605</v>
      </c>
      <c r="C4" s="380">
        <v>0.16653464521680558</v>
      </c>
      <c r="D4" s="381">
        <f>'May 2023 MPC'!AQ51</f>
        <v>0.16680357240796304</v>
      </c>
    </row>
    <row r="5" spans="1:5">
      <c r="A5" s="372">
        <v>8</v>
      </c>
      <c r="B5" s="372" t="s">
        <v>1606</v>
      </c>
      <c r="C5" s="380">
        <v>0.12334414890834264</v>
      </c>
      <c r="D5" s="381">
        <f>'May 2023 MPC'!AQ54</f>
        <v>0.12772849588143914</v>
      </c>
    </row>
    <row r="6" spans="1:5">
      <c r="A6" s="372">
        <v>9</v>
      </c>
      <c r="B6" s="372" t="s">
        <v>1607</v>
      </c>
      <c r="C6" s="380">
        <v>4.3669643402099609</v>
      </c>
      <c r="D6" s="381">
        <f>'May 2023 MPC'!AQ99</f>
        <v>5.9945000000000004</v>
      </c>
    </row>
    <row r="7" spans="1:5">
      <c r="A7" s="372">
        <v>12</v>
      </c>
      <c r="B7" s="372" t="s">
        <v>1608</v>
      </c>
      <c r="C7" s="380">
        <v>1.5647433144705636</v>
      </c>
      <c r="D7" s="381">
        <f>'May 2023 MPC'!AQ368</f>
        <v>1.5345714008058329</v>
      </c>
    </row>
    <row r="8" spans="1:5">
      <c r="A8" s="372">
        <v>13</v>
      </c>
      <c r="B8" s="372" t="s">
        <v>1609</v>
      </c>
      <c r="C8" s="380">
        <v>0.16229844093322754</v>
      </c>
      <c r="D8" s="381">
        <f>'May 2023 MPC'!AQ373</f>
        <v>0.15256434030246604</v>
      </c>
    </row>
    <row r="9" spans="1:5">
      <c r="A9" s="372">
        <v>24</v>
      </c>
      <c r="B9" s="372" t="s">
        <v>1610</v>
      </c>
      <c r="C9" s="380">
        <v>0.13785713059561594</v>
      </c>
      <c r="D9" s="381">
        <f>'May 2023 MPC'!AQ526</f>
        <v>0.1467857142857143</v>
      </c>
    </row>
    <row r="10" spans="1:5">
      <c r="A10" s="372">
        <v>25</v>
      </c>
      <c r="B10" s="372" t="s">
        <v>1611</v>
      </c>
      <c r="C10" s="380">
        <v>0.13676637411117554</v>
      </c>
      <c r="D10" s="381">
        <f>'May 2023 MPC'!AQ527</f>
        <v>0.14207142845452692</v>
      </c>
    </row>
    <row r="11" spans="1:5">
      <c r="A11" s="372">
        <v>34</v>
      </c>
      <c r="B11" s="372" t="s">
        <v>1612</v>
      </c>
      <c r="C11" s="380">
        <v>0.4452857289995466</v>
      </c>
      <c r="D11" s="381">
        <f>'May 2023 MPC'!AQ603</f>
        <v>0.38757142857142851</v>
      </c>
    </row>
    <row r="12" spans="1:5">
      <c r="A12" s="372">
        <v>35</v>
      </c>
      <c r="B12" s="372" t="s">
        <v>1613</v>
      </c>
      <c r="C12" s="380">
        <v>0.62928574425833561</v>
      </c>
      <c r="D12" s="381">
        <f>'May 2023 MPC'!AQ605</f>
        <v>0.60205838048342708</v>
      </c>
    </row>
    <row r="13" spans="1:5">
      <c r="A13" s="372">
        <v>37</v>
      </c>
      <c r="B13" s="372" t="s">
        <v>1614</v>
      </c>
      <c r="C13" s="380">
        <v>0.58182907104492188</v>
      </c>
      <c r="D13" s="381">
        <f>'May 2023 MPC'!AQ629</f>
        <v>0.59705355822501849</v>
      </c>
    </row>
    <row r="14" spans="1:5">
      <c r="A14" s="372">
        <v>40</v>
      </c>
      <c r="B14" s="372" t="s">
        <v>1615</v>
      </c>
      <c r="C14" s="380">
        <v>2.0930356979370117</v>
      </c>
      <c r="D14" s="381">
        <f>'May 2023 MPC'!AQ663</f>
        <v>2.3790357142857141</v>
      </c>
    </row>
    <row r="15" spans="1:5">
      <c r="A15" s="372">
        <v>46</v>
      </c>
      <c r="B15" s="372" t="s">
        <v>1616</v>
      </c>
      <c r="C15" s="380">
        <v>0.20744282858712332</v>
      </c>
      <c r="D15" s="381">
        <f>'May 2023 MPC'!AQ704</f>
        <v>0.24251214563675313</v>
      </c>
    </row>
    <row r="16" spans="1:5">
      <c r="A16" s="372">
        <v>49</v>
      </c>
      <c r="B16" s="372" t="s">
        <v>1617</v>
      </c>
      <c r="C16" s="380">
        <v>0.59160716193062923</v>
      </c>
      <c r="D16" s="381">
        <f>'May 2023 MPC'!AQ789</f>
        <v>0.72142857142857142</v>
      </c>
    </row>
    <row r="17" spans="1:5">
      <c r="A17" s="372">
        <v>52</v>
      </c>
      <c r="B17" s="372" t="s">
        <v>1618</v>
      </c>
      <c r="C17" s="380">
        <v>0.58678572518484928</v>
      </c>
      <c r="D17" s="381">
        <f>'May 2023 MPC'!AQ918</f>
        <v>0.61873312838750838</v>
      </c>
    </row>
    <row r="18" spans="1:5">
      <c r="A18" s="372">
        <v>55</v>
      </c>
      <c r="B18" s="372" t="s">
        <v>1619</v>
      </c>
      <c r="C18" s="380">
        <v>1.12017856325422</v>
      </c>
      <c r="D18" s="381">
        <f>'May 2023 MPC'!AQ945</f>
        <v>2.0690178571428572</v>
      </c>
    </row>
    <row r="19" spans="1:5">
      <c r="A19" s="372">
        <v>56</v>
      </c>
      <c r="B19" s="372" t="s">
        <v>1620</v>
      </c>
      <c r="C19" s="380">
        <v>1.2403571265084403</v>
      </c>
      <c r="D19" s="381">
        <f>'May 2023 MPC'!AQ947</f>
        <v>1.8939285714285714</v>
      </c>
    </row>
    <row r="20" spans="1:5">
      <c r="A20" s="372">
        <v>57</v>
      </c>
      <c r="B20" s="372" t="s">
        <v>1621</v>
      </c>
      <c r="C20" s="380">
        <v>1.1750000544956751</v>
      </c>
      <c r="D20" s="381">
        <f>'May 2023 MPC'!AQ948</f>
        <v>2.0742857142857143</v>
      </c>
    </row>
    <row r="21" spans="1:5">
      <c r="A21" s="372">
        <v>58</v>
      </c>
      <c r="B21" s="372" t="s">
        <v>1622</v>
      </c>
      <c r="C21" s="380">
        <v>1.1545238494873047</v>
      </c>
      <c r="D21" s="381">
        <f>'May 2023 MPC'!AQ950</f>
        <v>2.0527380952380954</v>
      </c>
    </row>
    <row r="22" spans="1:5">
      <c r="A22" s="372">
        <v>59</v>
      </c>
      <c r="B22" s="372" t="s">
        <v>1623</v>
      </c>
      <c r="C22" s="380">
        <v>1.2705357415335519</v>
      </c>
      <c r="D22" s="381">
        <f>'May 2023 MPC'!AQ940</f>
        <v>1.6595</v>
      </c>
    </row>
    <row r="23" spans="1:5">
      <c r="A23" s="372">
        <v>71</v>
      </c>
      <c r="B23" s="372" t="s">
        <v>1603</v>
      </c>
      <c r="C23" s="380">
        <v>3.8289285387311662</v>
      </c>
      <c r="D23" s="381">
        <f>'May 2023 MPC'!AQ1051</f>
        <v>3.260735727216034</v>
      </c>
    </row>
    <row r="24" spans="1:5">
      <c r="A24" s="372">
        <v>72</v>
      </c>
      <c r="B24" s="372" t="s">
        <v>1624</v>
      </c>
      <c r="C24" s="380">
        <v>2.2453571047101701</v>
      </c>
      <c r="D24" s="381">
        <f>'May 2023 MPC'!AQ1056</f>
        <v>2.1998857230972644</v>
      </c>
    </row>
    <row r="25" spans="1:5">
      <c r="A25" s="372">
        <v>76</v>
      </c>
      <c r="B25" s="372" t="s">
        <v>1625</v>
      </c>
      <c r="C25" s="380">
        <v>1.25</v>
      </c>
      <c r="D25" s="381">
        <f>'May 2023 MPC'!AQ1176</f>
        <v>1.5110714285714286</v>
      </c>
    </row>
    <row r="26" spans="1:5">
      <c r="A26" s="372">
        <v>80</v>
      </c>
      <c r="B26" s="372" t="s">
        <v>1626</v>
      </c>
      <c r="C26" s="380">
        <v>0.432400016784668</v>
      </c>
      <c r="D26" s="381">
        <f>'May 2023 MPC'!AQ13</f>
        <v>0.54559999999999997</v>
      </c>
    </row>
    <row r="27" spans="1:5">
      <c r="A27" s="372">
        <v>82</v>
      </c>
      <c r="B27" s="372" t="s">
        <v>1627</v>
      </c>
      <c r="C27" s="380">
        <v>0.7200000127156575</v>
      </c>
      <c r="D27" s="381">
        <f>'May 2023 MPC'!AQ15</f>
        <v>0.77571428571428569</v>
      </c>
    </row>
    <row r="28" spans="1:5">
      <c r="A28" s="372">
        <v>96</v>
      </c>
      <c r="B28" s="372" t="s">
        <v>1628</v>
      </c>
      <c r="C28" s="380">
        <v>0.4224285670689174</v>
      </c>
      <c r="D28" s="381">
        <f>C28</f>
        <v>0.4224285670689174</v>
      </c>
      <c r="E28" s="372" t="s">
        <v>1629</v>
      </c>
    </row>
    <row r="29" spans="1:5">
      <c r="A29" s="372">
        <v>97</v>
      </c>
      <c r="B29" s="372" t="s">
        <v>1630</v>
      </c>
      <c r="C29" s="380">
        <v>6.6907000541687009E-2</v>
      </c>
      <c r="D29" s="381">
        <f>'May 2023 MPC'!AQ68</f>
        <v>7.6689787557534222E-2</v>
      </c>
    </row>
    <row r="30" spans="1:5">
      <c r="A30" s="372">
        <v>98</v>
      </c>
      <c r="B30" s="372" t="s">
        <v>1631</v>
      </c>
      <c r="C30" s="380">
        <v>0.31014000574747719</v>
      </c>
      <c r="D30" s="381">
        <f>'May 2023 MPC'!AQ74</f>
        <v>0.35317052202446847</v>
      </c>
    </row>
    <row r="31" spans="1:5">
      <c r="A31" s="372">
        <v>100</v>
      </c>
      <c r="B31" s="372" t="s">
        <v>1632</v>
      </c>
      <c r="C31" s="380">
        <v>0.49788001378377278</v>
      </c>
      <c r="D31" s="381">
        <f>'May 2023 MPC'!AQ78</f>
        <v>0.55516046284546272</v>
      </c>
    </row>
    <row r="32" spans="1:5">
      <c r="A32" s="372">
        <v>102</v>
      </c>
      <c r="B32" s="372" t="s">
        <v>1633</v>
      </c>
      <c r="C32" s="380">
        <v>1.4208000183105469</v>
      </c>
      <c r="D32" s="381">
        <f>'May 2023 MPC'!AQ60</f>
        <v>1.5744</v>
      </c>
    </row>
    <row r="33" spans="1:5">
      <c r="A33" s="372">
        <v>106</v>
      </c>
      <c r="B33" s="372" t="s">
        <v>1634</v>
      </c>
      <c r="C33" s="380">
        <v>2.2599999904632569E-2</v>
      </c>
      <c r="D33" s="381">
        <f>'May 2023 MPC'!AQ87</f>
        <v>3.4300000000000004E-2</v>
      </c>
    </row>
    <row r="34" spans="1:5">
      <c r="A34" s="372">
        <v>109</v>
      </c>
      <c r="B34" s="372" t="s">
        <v>1635</v>
      </c>
      <c r="C34" s="380">
        <v>0.24328570706503733</v>
      </c>
      <c r="D34" s="381">
        <f>'May 2023 MPC'!AQ94</f>
        <v>0.29699636168187971</v>
      </c>
    </row>
    <row r="35" spans="1:5">
      <c r="A35" s="372">
        <v>113</v>
      </c>
      <c r="B35" s="372" t="s">
        <v>1636</v>
      </c>
      <c r="C35" s="380">
        <v>4.0549445152282715</v>
      </c>
      <c r="D35" s="381">
        <f>'May 2023 MPC'!AQ113</f>
        <v>4.3160000000000007</v>
      </c>
    </row>
    <row r="36" spans="1:5">
      <c r="A36" s="372">
        <v>116</v>
      </c>
      <c r="B36" s="372" t="s">
        <v>1637</v>
      </c>
      <c r="C36" s="380">
        <v>2.9786666870117187</v>
      </c>
      <c r="D36" s="381">
        <f>C36</f>
        <v>2.9786666870117187</v>
      </c>
      <c r="E36" s="372" t="s">
        <v>1629</v>
      </c>
    </row>
    <row r="37" spans="1:5">
      <c r="A37" s="372">
        <v>117</v>
      </c>
      <c r="B37" s="372" t="s">
        <v>1637</v>
      </c>
      <c r="C37" s="380">
        <v>2.9786666870117187</v>
      </c>
      <c r="D37" s="381">
        <f>C37</f>
        <v>2.9786666870117187</v>
      </c>
      <c r="E37" s="372" t="s">
        <v>1629</v>
      </c>
    </row>
    <row r="38" spans="1:5">
      <c r="A38" s="372">
        <v>118</v>
      </c>
      <c r="B38" s="372" t="s">
        <v>1638</v>
      </c>
      <c r="C38" s="380">
        <v>3.0300000508626304</v>
      </c>
      <c r="D38" s="381">
        <f>C38</f>
        <v>3.0300000508626304</v>
      </c>
      <c r="E38" s="372" t="s">
        <v>1629</v>
      </c>
    </row>
    <row r="39" spans="1:5">
      <c r="A39" s="372">
        <v>119</v>
      </c>
      <c r="B39" s="372" t="s">
        <v>1639</v>
      </c>
      <c r="C39" s="380">
        <v>3.9539999961853027</v>
      </c>
      <c r="D39" s="381">
        <f>'May 2023 MPC'!AQ118</f>
        <v>4.8429999999999991</v>
      </c>
    </row>
    <row r="40" spans="1:5">
      <c r="A40" s="372">
        <v>120</v>
      </c>
      <c r="B40" s="372" t="s">
        <v>1640</v>
      </c>
      <c r="C40" s="380">
        <v>2.9996331532796225</v>
      </c>
      <c r="D40" s="381">
        <f>'May 2023 MPC'!AQ120</f>
        <v>3.4253333333333336</v>
      </c>
    </row>
    <row r="41" spans="1:5">
      <c r="A41" s="372">
        <v>121</v>
      </c>
      <c r="B41" s="372" t="s">
        <v>1641</v>
      </c>
      <c r="C41" s="380">
        <v>60.970001220703125</v>
      </c>
      <c r="D41" s="381">
        <f>'May 2023 MPC'!AQ131</f>
        <v>78.239999999999995</v>
      </c>
    </row>
    <row r="42" spans="1:5">
      <c r="A42" s="372">
        <v>131</v>
      </c>
      <c r="B42" s="372" t="s">
        <v>1642</v>
      </c>
      <c r="C42" s="380">
        <v>3.1900000572204587E-2</v>
      </c>
      <c r="D42" s="381">
        <f>'May 2023 MPC'!AQ171</f>
        <v>4.2199999999999994E-2</v>
      </c>
    </row>
    <row r="43" spans="1:5">
      <c r="A43" s="372">
        <v>132</v>
      </c>
      <c r="B43" s="372" t="s">
        <v>1643</v>
      </c>
      <c r="C43" s="380">
        <v>4.4107142857142859E-2</v>
      </c>
      <c r="D43" s="381">
        <f>'May 2023 MPC'!AQ182</f>
        <v>7.0309523809523822E-2</v>
      </c>
    </row>
    <row r="44" spans="1:5">
      <c r="A44" s="372">
        <v>133</v>
      </c>
      <c r="B44" s="372" t="s">
        <v>1644</v>
      </c>
      <c r="C44" s="380">
        <v>0.54800000000000004</v>
      </c>
      <c r="D44" s="381">
        <f>'May 2023 MPC'!AQ173</f>
        <v>0.68440000098466458</v>
      </c>
    </row>
    <row r="45" spans="1:5">
      <c r="A45" s="372">
        <v>134</v>
      </c>
      <c r="B45" s="372" t="s">
        <v>1645</v>
      </c>
      <c r="C45" s="380">
        <v>0.35099999999999998</v>
      </c>
      <c r="D45" s="381">
        <f>'May 2023 MPC'!AQ175</f>
        <v>0.39033333366993345</v>
      </c>
    </row>
    <row r="46" spans="1:5">
      <c r="A46" s="372">
        <v>135</v>
      </c>
      <c r="B46" s="372" t="s">
        <v>1646</v>
      </c>
      <c r="C46" s="380">
        <v>7.809999942779541</v>
      </c>
      <c r="D46" s="381">
        <f>'May 2023 MPC'!AQ181</f>
        <v>12.65</v>
      </c>
    </row>
    <row r="47" spans="1:5">
      <c r="A47" s="372">
        <v>145</v>
      </c>
      <c r="B47" s="372" t="s">
        <v>1647</v>
      </c>
      <c r="C47" s="380">
        <v>6.0436000823974609</v>
      </c>
      <c r="D47" s="381">
        <f>'May 2023 MPC'!AQ215</f>
        <v>6.7068644322852524</v>
      </c>
    </row>
    <row r="48" spans="1:5">
      <c r="A48" s="372">
        <v>146</v>
      </c>
      <c r="B48" s="372" t="s">
        <v>1648</v>
      </c>
      <c r="C48" s="380">
        <v>3.8900001049041748</v>
      </c>
      <c r="D48" s="381">
        <f>'May 2023 MPC'!AQ218</f>
        <v>4.2040000000000006</v>
      </c>
    </row>
    <row r="49" spans="1:5">
      <c r="A49" s="372">
        <v>149</v>
      </c>
      <c r="B49" s="372" t="s">
        <v>1649</v>
      </c>
      <c r="C49" s="380">
        <v>0.10984286240168981</v>
      </c>
      <c r="D49" s="381">
        <f>'May 2023 MPC'!AQ222</f>
        <v>0.14128571459723807</v>
      </c>
    </row>
    <row r="50" spans="1:5">
      <c r="A50" s="372">
        <v>151</v>
      </c>
      <c r="B50" s="372" t="s">
        <v>1650</v>
      </c>
      <c r="C50" s="380">
        <v>9.369999885559082</v>
      </c>
      <c r="D50" s="381">
        <f>'May 2023 MPC'!AQ228</f>
        <v>9.74</v>
      </c>
    </row>
    <row r="51" spans="1:5">
      <c r="A51" s="372">
        <v>155</v>
      </c>
      <c r="B51" s="372" t="s">
        <v>1651</v>
      </c>
      <c r="C51" s="380">
        <v>3.2550001144409181E-2</v>
      </c>
      <c r="D51" s="381">
        <f>'May 2023 MPC'!AQ232</f>
        <v>3.2250000000000001E-2</v>
      </c>
    </row>
    <row r="52" spans="1:5">
      <c r="A52" s="372">
        <v>156</v>
      </c>
      <c r="B52" s="372" t="s">
        <v>1652</v>
      </c>
      <c r="C52" s="380">
        <v>0.3252000045776367</v>
      </c>
      <c r="D52" s="381">
        <f>C52</f>
        <v>0.3252000045776367</v>
      </c>
      <c r="E52" s="372" t="s">
        <v>1629</v>
      </c>
    </row>
    <row r="53" spans="1:5">
      <c r="A53" s="372">
        <v>161</v>
      </c>
      <c r="B53" s="372" t="s">
        <v>1653</v>
      </c>
      <c r="C53" s="380">
        <v>7.9400000572204588E-2</v>
      </c>
      <c r="D53" s="381">
        <f>'May 2023 MPC'!AQ234</f>
        <v>7.1200000371702349E-2</v>
      </c>
    </row>
    <row r="54" spans="1:5">
      <c r="A54" s="372">
        <v>162</v>
      </c>
      <c r="B54" s="372" t="s">
        <v>1654</v>
      </c>
      <c r="C54" s="380">
        <v>0.11699999570846557</v>
      </c>
      <c r="D54" s="381">
        <f>'May 2023 MPC'!AQ236</f>
        <v>0.126</v>
      </c>
    </row>
    <row r="55" spans="1:5">
      <c r="A55" s="372">
        <v>163</v>
      </c>
      <c r="B55" s="372" t="s">
        <v>1655</v>
      </c>
      <c r="C55" s="380">
        <v>6.2999999523162847E-2</v>
      </c>
      <c r="D55" s="381">
        <f>'May 2023 MPC'!AQ237</f>
        <v>6.7666666666666667E-2</v>
      </c>
    </row>
    <row r="56" spans="1:5">
      <c r="A56" s="372">
        <v>172</v>
      </c>
      <c r="B56" s="372" t="s">
        <v>1656</v>
      </c>
      <c r="C56" s="380">
        <v>0.49299993515014651</v>
      </c>
      <c r="D56" s="381">
        <f>'May 2023 MPC'!AQ249</f>
        <v>0.75050000000000017</v>
      </c>
    </row>
    <row r="57" spans="1:5">
      <c r="A57" s="372">
        <v>178</v>
      </c>
      <c r="B57" s="372" t="s">
        <v>1657</v>
      </c>
      <c r="C57" s="380">
        <v>0.19490000009536743</v>
      </c>
      <c r="D57" s="381">
        <f>'May 2023 MPC'!AQ275</f>
        <v>0.22140000000000001</v>
      </c>
    </row>
    <row r="58" spans="1:5">
      <c r="A58" s="372">
        <v>179</v>
      </c>
      <c r="B58" s="372" t="s">
        <v>1658</v>
      </c>
      <c r="C58" s="380">
        <v>11.970000267028809</v>
      </c>
      <c r="D58" s="381">
        <f>'May 2023 MPC'!AQ279</f>
        <v>12.69</v>
      </c>
    </row>
    <row r="59" spans="1:5">
      <c r="A59" s="372">
        <v>180</v>
      </c>
      <c r="B59" s="372" t="s">
        <v>1659</v>
      </c>
      <c r="C59" s="380">
        <v>13.040999412536621</v>
      </c>
      <c r="D59" s="381">
        <f>C59</f>
        <v>13.040999412536621</v>
      </c>
      <c r="E59" s="372" t="s">
        <v>1629</v>
      </c>
    </row>
    <row r="60" spans="1:5">
      <c r="A60" s="372">
        <v>181</v>
      </c>
      <c r="B60" s="372" t="s">
        <v>1660</v>
      </c>
      <c r="C60" s="380">
        <v>5.9920001029968264E-2</v>
      </c>
      <c r="D60" s="381">
        <f>'May 2023 MPC'!AQ1035</f>
        <v>6.6400000000000001E-2</v>
      </c>
    </row>
    <row r="61" spans="1:5">
      <c r="A61" s="372">
        <v>183</v>
      </c>
      <c r="B61" s="372" t="s">
        <v>1661</v>
      </c>
      <c r="C61" s="380">
        <v>0.20685715334756033</v>
      </c>
      <c r="D61" s="381">
        <f>'May 2023 MPC'!AQ1038</f>
        <v>0.24214285714285716</v>
      </c>
    </row>
    <row r="62" spans="1:5">
      <c r="A62" s="372">
        <v>184</v>
      </c>
      <c r="B62" s="372" t="s">
        <v>1662</v>
      </c>
      <c r="C62" s="380">
        <v>0.2020892756325858</v>
      </c>
      <c r="D62" s="381">
        <f>'May 2023 MPC'!AQ1040</f>
        <v>0.21851785714285715</v>
      </c>
    </row>
    <row r="63" spans="1:5">
      <c r="A63" s="372">
        <v>203</v>
      </c>
      <c r="B63" s="372" t="s">
        <v>1663</v>
      </c>
      <c r="C63" s="380">
        <v>4.2720001220703123E-2</v>
      </c>
      <c r="D63" s="381">
        <f>'May 2023 MPC'!AQ372</f>
        <v>8.6300000000000002E-2</v>
      </c>
    </row>
    <row r="64" spans="1:5">
      <c r="A64" s="372">
        <v>214</v>
      </c>
      <c r="B64" s="372" t="s">
        <v>1664</v>
      </c>
      <c r="C64" s="380">
        <v>0.14270000457763671</v>
      </c>
      <c r="D64" s="381">
        <f>'May 2023 MPC'!AQ426</f>
        <v>0.24476190476190474</v>
      </c>
    </row>
    <row r="65" spans="1:5">
      <c r="A65" s="372">
        <v>215</v>
      </c>
      <c r="B65" s="372" t="s">
        <v>1665</v>
      </c>
      <c r="C65" s="380">
        <v>0.14821428912026541</v>
      </c>
      <c r="D65" s="381">
        <f>'May 2023 MPC'!AQ424</f>
        <v>0.27607142857142858</v>
      </c>
    </row>
    <row r="66" spans="1:5">
      <c r="A66" s="372">
        <v>216</v>
      </c>
      <c r="B66" s="372" t="s">
        <v>1666</v>
      </c>
      <c r="C66" s="380">
        <v>0.13428571394511632</v>
      </c>
      <c r="D66" s="381">
        <f>'May 2023 MPC'!AQ425</f>
        <v>0.25232142857142859</v>
      </c>
    </row>
    <row r="67" spans="1:5">
      <c r="A67" s="372">
        <v>217</v>
      </c>
      <c r="B67" s="372" t="s">
        <v>1667</v>
      </c>
      <c r="C67" s="380">
        <v>0.1296428612300328</v>
      </c>
      <c r="D67" s="381">
        <f>'May 2023 MPC'!AQ426</f>
        <v>0.24476190476190474</v>
      </c>
    </row>
    <row r="68" spans="1:5">
      <c r="A68" s="372">
        <v>219</v>
      </c>
      <c r="B68" s="372" t="s">
        <v>1668</v>
      </c>
      <c r="C68" s="380">
        <v>0.46954998970031736</v>
      </c>
      <c r="D68" s="381">
        <f>'May 2023 MPC'!AQ429</f>
        <v>0.55532131597376833</v>
      </c>
    </row>
    <row r="69" spans="1:5">
      <c r="A69" s="372">
        <v>225</v>
      </c>
      <c r="B69" s="372" t="s">
        <v>1669</v>
      </c>
      <c r="C69" s="380">
        <v>0.17461429323468888</v>
      </c>
      <c r="D69" s="381">
        <f>'May 2023 MPC'!AQ449</f>
        <v>0.19315423345580862</v>
      </c>
    </row>
    <row r="70" spans="1:5">
      <c r="A70" s="372">
        <v>229</v>
      </c>
      <c r="B70" s="372" t="s">
        <v>1670</v>
      </c>
      <c r="C70" s="380">
        <v>0.21035713808877127</v>
      </c>
      <c r="D70" s="381">
        <f>'May 2023 MPC'!AQ459</f>
        <v>0.1577857140947122</v>
      </c>
    </row>
    <row r="71" spans="1:5">
      <c r="A71" s="372">
        <v>230</v>
      </c>
      <c r="B71" s="372" t="s">
        <v>1671</v>
      </c>
      <c r="C71" s="380">
        <v>0.14571428298950195</v>
      </c>
      <c r="D71" s="381">
        <f>'May 2023 MPC'!AQ461</f>
        <v>0.14064285714285715</v>
      </c>
    </row>
    <row r="72" spans="1:5">
      <c r="A72" s="372">
        <v>236</v>
      </c>
      <c r="B72" s="372" t="s">
        <v>1672</v>
      </c>
      <c r="C72" s="380">
        <v>0.32349998950958253</v>
      </c>
      <c r="D72" s="381">
        <f>'May 2023 MPC'!AQ530</f>
        <v>0.45850000000000002</v>
      </c>
    </row>
    <row r="73" spans="1:5">
      <c r="A73" s="372">
        <v>242</v>
      </c>
      <c r="B73" s="372" t="s">
        <v>1673</v>
      </c>
      <c r="C73" s="380">
        <v>0.23051333427429199</v>
      </c>
      <c r="D73" s="381">
        <f>'May 2023 MPC'!AQ544</f>
        <v>0.22770712586409192</v>
      </c>
    </row>
    <row r="74" spans="1:5">
      <c r="A74" s="372">
        <v>245</v>
      </c>
      <c r="B74" s="372" t="s">
        <v>1674</v>
      </c>
      <c r="C74" s="380">
        <v>0.37736670176188153</v>
      </c>
      <c r="D74" s="381">
        <f>'May 2023 MPC'!AQ550</f>
        <v>0.30239999964781011</v>
      </c>
    </row>
    <row r="75" spans="1:5">
      <c r="A75" s="372">
        <v>246</v>
      </c>
      <c r="B75" s="372" t="s">
        <v>1674</v>
      </c>
      <c r="C75" s="380">
        <v>0.37736670176188153</v>
      </c>
      <c r="D75" s="381">
        <f>'May 2023 MPC'!AQ550</f>
        <v>0.30239999964781011</v>
      </c>
    </row>
    <row r="76" spans="1:5">
      <c r="A76" s="372">
        <v>258</v>
      </c>
      <c r="B76" s="372" t="s">
        <v>1675</v>
      </c>
      <c r="C76" s="380">
        <v>0.19586666107177733</v>
      </c>
      <c r="D76" s="381">
        <f>'May 2023 MPC'!AQ619</f>
        <v>0.20760000000000001</v>
      </c>
    </row>
    <row r="77" spans="1:5">
      <c r="A77" s="372">
        <v>263</v>
      </c>
      <c r="B77" s="372" t="s">
        <v>1676</v>
      </c>
      <c r="C77" s="380">
        <v>0.47387143543788363</v>
      </c>
      <c r="D77" s="381">
        <f>C77</f>
        <v>0.47387143543788363</v>
      </c>
      <c r="E77" s="372" t="s">
        <v>1629</v>
      </c>
    </row>
    <row r="78" spans="1:5">
      <c r="A78" s="372">
        <v>273</v>
      </c>
      <c r="B78" s="372" t="s">
        <v>1677</v>
      </c>
      <c r="C78" s="380">
        <v>0.23091665903727213</v>
      </c>
      <c r="D78" s="381">
        <f>'May 2023 MPC'!AQ660</f>
        <v>0.24683334111326952</v>
      </c>
    </row>
    <row r="79" spans="1:5">
      <c r="A79" s="372">
        <v>279</v>
      </c>
      <c r="B79" s="372" t="s">
        <v>1678</v>
      </c>
      <c r="C79" s="380">
        <v>1.3626667022705079</v>
      </c>
      <c r="D79" s="381">
        <f>'May 2023 MPC'!AQ686</f>
        <v>1.7373333333333332</v>
      </c>
    </row>
    <row r="80" spans="1:5">
      <c r="A80" s="372">
        <v>280</v>
      </c>
      <c r="B80" s="372" t="s">
        <v>1679</v>
      </c>
      <c r="C80" s="380">
        <v>7.9599995613098148E-2</v>
      </c>
      <c r="D80" s="381">
        <f>'May 2023 MPC'!AQ716</f>
        <v>0.11576000030852043</v>
      </c>
    </row>
    <row r="81" spans="1:5">
      <c r="A81" s="372">
        <v>283</v>
      </c>
      <c r="B81" s="372" t="s">
        <v>1680</v>
      </c>
      <c r="C81" s="380">
        <v>0.1769200086593628</v>
      </c>
      <c r="D81" s="381">
        <f>'May 2023 MPC'!AQ731</f>
        <v>0.17899999898380203</v>
      </c>
    </row>
    <row r="82" spans="1:5">
      <c r="A82" s="372">
        <v>284</v>
      </c>
      <c r="B82" s="372" t="s">
        <v>1681</v>
      </c>
      <c r="C82" s="380">
        <v>2.2000000476837158</v>
      </c>
      <c r="D82" s="381">
        <f>C82</f>
        <v>2.2000000476837158</v>
      </c>
      <c r="E82" s="372" t="s">
        <v>1629</v>
      </c>
    </row>
    <row r="83" spans="1:5">
      <c r="A83" s="372">
        <v>285</v>
      </c>
      <c r="B83" s="372" t="s">
        <v>1682</v>
      </c>
      <c r="C83" s="380">
        <v>0.14238095283508301</v>
      </c>
      <c r="D83" s="381">
        <f>'May 2023 MPC'!AQ736</f>
        <v>0.1769047619047619</v>
      </c>
    </row>
    <row r="84" spans="1:5">
      <c r="A84" s="372">
        <v>286</v>
      </c>
      <c r="B84" s="372" t="s">
        <v>1683</v>
      </c>
      <c r="C84" s="380">
        <v>0.12642857006617955</v>
      </c>
      <c r="D84" s="381">
        <f>'May 2023 MPC'!AQ739</f>
        <v>0.15535714285714283</v>
      </c>
    </row>
    <row r="85" spans="1:5">
      <c r="A85" s="372">
        <v>287</v>
      </c>
      <c r="B85" s="372" t="s">
        <v>1684</v>
      </c>
      <c r="C85" s="380">
        <v>0.21840000152587891</v>
      </c>
      <c r="D85" s="381">
        <f>'May 2023 MPC'!AQ735</f>
        <v>0.25509999999999999</v>
      </c>
    </row>
    <row r="86" spans="1:5">
      <c r="A86" s="372">
        <v>288</v>
      </c>
      <c r="B86" s="372" t="s">
        <v>1685</v>
      </c>
      <c r="C86" s="380">
        <v>0.22107141358511789</v>
      </c>
      <c r="D86" s="381">
        <f>'May 2023 MPC'!AQ741</f>
        <v>0.27771428571428569</v>
      </c>
    </row>
    <row r="87" spans="1:5">
      <c r="A87" s="372">
        <v>289</v>
      </c>
      <c r="B87" s="372" t="s">
        <v>1686</v>
      </c>
      <c r="C87" s="380">
        <v>0.19714285078502836</v>
      </c>
      <c r="D87" s="381">
        <f>'May 2023 MPC'!AQ743</f>
        <v>0.26190476190476192</v>
      </c>
    </row>
    <row r="88" spans="1:5">
      <c r="A88" s="372">
        <v>290</v>
      </c>
      <c r="B88" s="372" t="s">
        <v>1687</v>
      </c>
      <c r="C88" s="380">
        <v>0.30520000457763674</v>
      </c>
      <c r="D88" s="381">
        <f>'May 2023 MPC'!AQ744</f>
        <v>0.37279999999999996</v>
      </c>
    </row>
    <row r="89" spans="1:5">
      <c r="A89" s="372">
        <v>311</v>
      </c>
      <c r="B89" s="372" t="s">
        <v>1688</v>
      </c>
      <c r="C89" s="380">
        <v>9.1099996566772461</v>
      </c>
      <c r="D89" s="381">
        <f>'May 2023 MPC'!AQ828</f>
        <v>11.92</v>
      </c>
    </row>
    <row r="90" spans="1:5">
      <c r="A90" s="372">
        <v>313</v>
      </c>
      <c r="B90" s="372" t="s">
        <v>1689</v>
      </c>
      <c r="C90" s="380">
        <v>10.060000419616699</v>
      </c>
      <c r="D90" s="381">
        <f>'May 2023 MPC'!AQ829</f>
        <v>13.15</v>
      </c>
    </row>
    <row r="91" spans="1:5">
      <c r="A91" s="372">
        <v>316</v>
      </c>
      <c r="B91" s="372" t="s">
        <v>1690</v>
      </c>
      <c r="C91" s="380">
        <v>3.3499999046325682E-2</v>
      </c>
      <c r="D91" s="381">
        <f>'May 2023 MPC'!AQ843</f>
        <v>5.0199999999999995E-2</v>
      </c>
    </row>
    <row r="92" spans="1:5">
      <c r="A92" s="372">
        <v>318</v>
      </c>
      <c r="B92" s="372" t="s">
        <v>1691</v>
      </c>
      <c r="C92" s="380">
        <v>0.14316500425338746</v>
      </c>
      <c r="D92" s="381">
        <f>'May 2023 MPC'!AQ850</f>
        <v>0.19286066077210379</v>
      </c>
    </row>
    <row r="93" spans="1:5">
      <c r="A93" s="372">
        <v>333</v>
      </c>
      <c r="B93" s="372" t="s">
        <v>1692</v>
      </c>
      <c r="C93" s="380">
        <v>0.232760009765625</v>
      </c>
      <c r="D93" s="381">
        <f>'May 2023 MPC'!AQ887</f>
        <v>0.32799999999999996</v>
      </c>
    </row>
    <row r="94" spans="1:5">
      <c r="A94" s="372">
        <v>342</v>
      </c>
      <c r="B94" s="372" t="s">
        <v>1693</v>
      </c>
      <c r="C94" s="380">
        <v>0.26590000152587889</v>
      </c>
      <c r="D94" s="381">
        <f>C94</f>
        <v>0.26590000152587889</v>
      </c>
      <c r="E94" s="372" t="s">
        <v>1629</v>
      </c>
    </row>
    <row r="95" spans="1:5">
      <c r="A95" s="372">
        <v>358</v>
      </c>
      <c r="B95" s="372" t="s">
        <v>1694</v>
      </c>
      <c r="C95" s="380">
        <v>0.22821429797581264</v>
      </c>
      <c r="D95" s="381">
        <f>'May 2023 MPC'!AQ987</f>
        <v>0.1839316921343207</v>
      </c>
    </row>
    <row r="96" spans="1:5">
      <c r="A96" s="372">
        <v>378</v>
      </c>
      <c r="B96" s="372" t="s">
        <v>1695</v>
      </c>
      <c r="C96" s="380">
        <v>196.82000732421875</v>
      </c>
      <c r="D96" s="381">
        <f>C96</f>
        <v>196.82000732421875</v>
      </c>
      <c r="E96" s="372" t="s">
        <v>1629</v>
      </c>
    </row>
    <row r="97" spans="1:5">
      <c r="A97" s="372">
        <v>385</v>
      </c>
      <c r="B97" s="372" t="s">
        <v>1696</v>
      </c>
      <c r="C97" s="380">
        <v>0.55565004348754887</v>
      </c>
      <c r="D97" s="381">
        <f>'May 2023 MPC'!AQ1096</f>
        <v>0.28550000177416396</v>
      </c>
    </row>
    <row r="98" spans="1:5">
      <c r="A98" s="372">
        <v>396</v>
      </c>
      <c r="B98" s="372" t="s">
        <v>1697</v>
      </c>
      <c r="C98" s="380">
        <v>39.930000305175781</v>
      </c>
      <c r="D98" s="381">
        <f>'May 2023 MPC'!AQ1112</f>
        <v>59.67</v>
      </c>
    </row>
    <row r="99" spans="1:5">
      <c r="A99" s="372">
        <v>402</v>
      </c>
      <c r="B99" s="372" t="s">
        <v>1698</v>
      </c>
      <c r="C99" s="380">
        <v>97.919998168945312</v>
      </c>
      <c r="D99" s="381">
        <f>'May 2023 MPC'!AQ1119</f>
        <v>84.57</v>
      </c>
    </row>
    <row r="100" spans="1:5">
      <c r="A100" s="372">
        <v>408</v>
      </c>
      <c r="B100" s="372" t="s">
        <v>1699</v>
      </c>
      <c r="C100" s="380">
        <v>5.5E-2</v>
      </c>
      <c r="D100" s="381">
        <f>C100</f>
        <v>5.5E-2</v>
      </c>
      <c r="E100" s="372" t="s">
        <v>1629</v>
      </c>
    </row>
    <row r="101" spans="1:5">
      <c r="A101" s="372">
        <v>411</v>
      </c>
      <c r="B101" s="372" t="s">
        <v>1700</v>
      </c>
      <c r="C101" s="380">
        <v>7.4964284896850586E-2</v>
      </c>
      <c r="D101" s="381">
        <f>'May 2023 MPC'!AQ1153</f>
        <v>0.10354499389265867</v>
      </c>
    </row>
    <row r="102" spans="1:5">
      <c r="A102" s="372">
        <v>413</v>
      </c>
      <c r="B102" s="372" t="s">
        <v>1701</v>
      </c>
      <c r="C102" s="380">
        <v>1.7999999523162842E-2</v>
      </c>
      <c r="D102" s="381">
        <f>'May 2023 MPC'!AQ1165</f>
        <v>4.2699999999999995E-2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37CC8-604D-4B80-8977-A40754D691FE}">
  <dimension ref="A1:AQ1183"/>
  <sheetViews>
    <sheetView topLeftCell="D1" zoomScale="130" zoomScaleNormal="130" workbookViewId="0">
      <pane ySplit="1" topLeftCell="A51" activePane="bottomLeft" state="frozen"/>
      <selection activeCell="D1" sqref="D1"/>
      <selection pane="bottomLeft" activeCell="F58" sqref="F58"/>
    </sheetView>
  </sheetViews>
  <sheetFormatPr baseColWidth="10" defaultColWidth="8.83203125" defaultRowHeight="15"/>
  <cols>
    <col min="1" max="3" width="0" style="372" hidden="1" customWidth="1"/>
    <col min="4" max="4" width="66.5" style="372" customWidth="1"/>
    <col min="5" max="6" width="8.83203125" style="372"/>
    <col min="7" max="7" width="8.83203125" style="372" customWidth="1"/>
    <col min="8" max="8" width="8.83203125" style="372" hidden="1" customWidth="1"/>
    <col min="9" max="9" width="9.33203125" style="372" hidden="1" customWidth="1"/>
    <col min="10" max="10" width="8.83203125" style="372"/>
    <col min="11" max="13" width="0" style="372" hidden="1" customWidth="1"/>
    <col min="14" max="14" width="8.83203125" style="372"/>
    <col min="15" max="20" width="8.83203125" style="372" hidden="1" customWidth="1"/>
    <col min="21" max="21" width="8.83203125" style="372" customWidth="1"/>
    <col min="22" max="30" width="8.83203125" style="372" hidden="1" customWidth="1"/>
    <col min="31" max="33" width="13.83203125" style="372" hidden="1" customWidth="1"/>
    <col min="34" max="36" width="8.83203125" style="372" hidden="1" customWidth="1"/>
    <col min="37" max="37" width="13.83203125" style="372" hidden="1" customWidth="1"/>
    <col min="38" max="38" width="8.83203125" style="372" customWidth="1"/>
    <col min="39" max="41" width="8.83203125" style="372" hidden="1" customWidth="1"/>
    <col min="42" max="42" width="13.1640625" style="372" customWidth="1"/>
    <col min="43" max="43" width="12.1640625" style="372" bestFit="1" customWidth="1"/>
    <col min="44" max="16384" width="8.83203125" style="372"/>
  </cols>
  <sheetData>
    <row r="1" spans="1:43" ht="16" thickBot="1">
      <c r="A1" s="382" t="s">
        <v>486</v>
      </c>
      <c r="B1" s="382" t="s">
        <v>487</v>
      </c>
      <c r="C1" s="382" t="s">
        <v>488</v>
      </c>
      <c r="D1" s="382" t="s">
        <v>489</v>
      </c>
      <c r="E1" s="382" t="s">
        <v>490</v>
      </c>
      <c r="F1" s="382" t="s">
        <v>491</v>
      </c>
      <c r="G1" s="382" t="s">
        <v>492</v>
      </c>
      <c r="H1" s="382" t="s">
        <v>493</v>
      </c>
      <c r="I1" s="382" t="s">
        <v>494</v>
      </c>
      <c r="J1" s="382" t="s">
        <v>495</v>
      </c>
      <c r="K1" s="382" t="s">
        <v>496</v>
      </c>
      <c r="L1" s="382" t="s">
        <v>497</v>
      </c>
      <c r="M1" s="382" t="s">
        <v>498</v>
      </c>
      <c r="N1" s="383" t="s">
        <v>499</v>
      </c>
      <c r="O1" s="383" t="s">
        <v>500</v>
      </c>
      <c r="P1" s="382" t="s">
        <v>501</v>
      </c>
      <c r="Q1" s="382" t="s">
        <v>502</v>
      </c>
      <c r="R1" s="382" t="s">
        <v>503</v>
      </c>
      <c r="S1" s="382" t="s">
        <v>504</v>
      </c>
      <c r="T1" s="382" t="s">
        <v>505</v>
      </c>
      <c r="U1" s="383" t="s">
        <v>506</v>
      </c>
      <c r="V1" s="382" t="s">
        <v>507</v>
      </c>
      <c r="W1" s="382" t="s">
        <v>508</v>
      </c>
      <c r="X1" s="382" t="s">
        <v>509</v>
      </c>
      <c r="Y1" s="382" t="s">
        <v>510</v>
      </c>
      <c r="Z1" s="382" t="s">
        <v>511</v>
      </c>
      <c r="AA1" s="383" t="s">
        <v>512</v>
      </c>
      <c r="AB1" s="383" t="s">
        <v>513</v>
      </c>
      <c r="AC1" s="382" t="s">
        <v>514</v>
      </c>
      <c r="AD1" s="384" t="s">
        <v>515</v>
      </c>
      <c r="AE1" s="385" t="s">
        <v>516</v>
      </c>
      <c r="AF1" s="385" t="s">
        <v>517</v>
      </c>
      <c r="AG1" s="385" t="s">
        <v>518</v>
      </c>
      <c r="AH1" s="385" t="s">
        <v>519</v>
      </c>
      <c r="AI1" s="385" t="s">
        <v>520</v>
      </c>
      <c r="AJ1" s="385" t="s">
        <v>521</v>
      </c>
      <c r="AK1" s="385" t="s">
        <v>522</v>
      </c>
      <c r="AL1" s="384" t="s">
        <v>523</v>
      </c>
      <c r="AM1" s="385" t="s">
        <v>524</v>
      </c>
      <c r="AN1" s="385" t="s">
        <v>525</v>
      </c>
      <c r="AO1" s="385" t="s">
        <v>526</v>
      </c>
      <c r="AP1" s="386" t="s">
        <v>1702</v>
      </c>
      <c r="AQ1" s="386" t="s">
        <v>528</v>
      </c>
    </row>
    <row r="2" spans="1:43" ht="16" thickBot="1">
      <c r="A2" s="387" t="s">
        <v>1703</v>
      </c>
      <c r="B2" s="387" t="s">
        <v>1704</v>
      </c>
      <c r="C2" s="387" t="s">
        <v>1705</v>
      </c>
      <c r="D2" s="387" t="s">
        <v>1706</v>
      </c>
      <c r="E2" s="387">
        <v>30</v>
      </c>
      <c r="F2" s="387" t="s">
        <v>1707</v>
      </c>
      <c r="G2" s="387">
        <v>30</v>
      </c>
      <c r="H2" s="387" t="s">
        <v>770</v>
      </c>
      <c r="I2" s="387" t="s">
        <v>1708</v>
      </c>
      <c r="J2" s="387" t="s">
        <v>1709</v>
      </c>
      <c r="K2" s="387" t="s">
        <v>1710</v>
      </c>
      <c r="L2" s="387" t="s">
        <v>1711</v>
      </c>
      <c r="M2" s="387" t="s">
        <v>1712</v>
      </c>
      <c r="N2" s="388">
        <v>1126.46</v>
      </c>
      <c r="O2" s="388">
        <v>14</v>
      </c>
      <c r="P2" s="387" t="s">
        <v>611</v>
      </c>
      <c r="Q2" s="387" t="s">
        <v>612</v>
      </c>
      <c r="R2" s="387" t="s">
        <v>1713</v>
      </c>
      <c r="S2" s="387" t="s">
        <v>614</v>
      </c>
      <c r="T2" s="387" t="s">
        <v>160</v>
      </c>
      <c r="U2" s="388">
        <v>70980</v>
      </c>
      <c r="V2" s="387">
        <v>6009601190664</v>
      </c>
      <c r="W2" s="387">
        <v>6009601190671</v>
      </c>
      <c r="X2" s="387" t="s">
        <v>543</v>
      </c>
      <c r="Y2" s="387" t="s">
        <v>543</v>
      </c>
      <c r="Z2" s="387" t="s">
        <v>543</v>
      </c>
      <c r="AA2" s="388" t="s">
        <v>543</v>
      </c>
      <c r="AB2" s="388" t="s">
        <v>543</v>
      </c>
      <c r="AC2" s="387">
        <v>711116002</v>
      </c>
      <c r="AD2" s="389">
        <v>10</v>
      </c>
      <c r="AE2" s="390">
        <v>44470</v>
      </c>
      <c r="AF2" s="390">
        <v>45199</v>
      </c>
      <c r="AG2" s="391" t="s">
        <v>545</v>
      </c>
      <c r="AH2" s="391" t="s">
        <v>1714</v>
      </c>
      <c r="AI2" s="391" t="s">
        <v>1715</v>
      </c>
      <c r="AJ2" s="391">
        <v>0</v>
      </c>
      <c r="AK2" s="390">
        <v>44470</v>
      </c>
      <c r="AL2" s="389">
        <v>100</v>
      </c>
      <c r="AM2" s="391" t="s">
        <v>548</v>
      </c>
      <c r="AN2" s="391" t="s">
        <v>549</v>
      </c>
      <c r="AO2" s="391" t="s">
        <v>1716</v>
      </c>
    </row>
    <row r="3" spans="1:43" ht="16" thickBot="1">
      <c r="A3" s="387" t="s">
        <v>529</v>
      </c>
      <c r="B3" s="387" t="s">
        <v>1018</v>
      </c>
      <c r="C3" s="387" t="s">
        <v>1019</v>
      </c>
      <c r="D3" s="387" t="s">
        <v>530</v>
      </c>
      <c r="E3" s="387">
        <v>240</v>
      </c>
      <c r="F3" s="387" t="s">
        <v>531</v>
      </c>
      <c r="G3" s="387">
        <v>240</v>
      </c>
      <c r="H3" s="387" t="s">
        <v>531</v>
      </c>
      <c r="I3" s="387" t="s">
        <v>532</v>
      </c>
      <c r="J3" s="387" t="s">
        <v>533</v>
      </c>
      <c r="K3" s="387" t="s">
        <v>534</v>
      </c>
      <c r="L3" s="387" t="s">
        <v>535</v>
      </c>
      <c r="M3" s="387" t="s">
        <v>536</v>
      </c>
      <c r="N3" s="388">
        <v>71.22</v>
      </c>
      <c r="O3" s="388">
        <v>14</v>
      </c>
      <c r="P3" s="387" t="s">
        <v>538</v>
      </c>
      <c r="Q3" s="387" t="s">
        <v>539</v>
      </c>
      <c r="R3" s="387" t="s">
        <v>540</v>
      </c>
      <c r="S3" s="387" t="s">
        <v>541</v>
      </c>
      <c r="T3" s="387" t="s">
        <v>542</v>
      </c>
      <c r="U3" s="388">
        <v>1570955</v>
      </c>
      <c r="V3" s="387" t="s">
        <v>543</v>
      </c>
      <c r="W3" s="387" t="s">
        <v>543</v>
      </c>
      <c r="X3" s="387" t="s">
        <v>543</v>
      </c>
      <c r="Y3" s="387" t="s">
        <v>543</v>
      </c>
      <c r="Z3" s="387" t="s">
        <v>543</v>
      </c>
      <c r="AA3" s="388" t="s">
        <v>543</v>
      </c>
      <c r="AB3" s="388" t="s">
        <v>543</v>
      </c>
      <c r="AC3" s="387">
        <v>713758001</v>
      </c>
      <c r="AD3" s="389">
        <v>18</v>
      </c>
      <c r="AE3" s="390">
        <v>44743</v>
      </c>
      <c r="AF3" s="390">
        <v>45838</v>
      </c>
      <c r="AG3" s="390">
        <v>45838</v>
      </c>
      <c r="AH3" s="391" t="s">
        <v>546</v>
      </c>
      <c r="AI3" s="391" t="s">
        <v>547</v>
      </c>
      <c r="AJ3" s="391">
        <v>21</v>
      </c>
      <c r="AK3" s="390">
        <v>45047</v>
      </c>
      <c r="AL3" s="389">
        <v>70</v>
      </c>
      <c r="AM3" s="391" t="s">
        <v>548</v>
      </c>
      <c r="AN3" s="391" t="s">
        <v>549</v>
      </c>
      <c r="AO3" s="391" t="s">
        <v>550</v>
      </c>
    </row>
    <row r="4" spans="1:43" ht="16" thickBot="1">
      <c r="A4" s="387" t="s">
        <v>529</v>
      </c>
      <c r="B4" s="387" t="s">
        <v>1018</v>
      </c>
      <c r="C4" s="387" t="s">
        <v>1019</v>
      </c>
      <c r="D4" s="387" t="s">
        <v>530</v>
      </c>
      <c r="E4" s="387">
        <v>240</v>
      </c>
      <c r="F4" s="387" t="s">
        <v>531</v>
      </c>
      <c r="G4" s="387">
        <v>240</v>
      </c>
      <c r="H4" s="387" t="s">
        <v>531</v>
      </c>
      <c r="I4" s="387" t="s">
        <v>532</v>
      </c>
      <c r="J4" s="387" t="s">
        <v>533</v>
      </c>
      <c r="K4" s="387" t="s">
        <v>551</v>
      </c>
      <c r="L4" s="387" t="s">
        <v>552</v>
      </c>
      <c r="M4" s="387" t="s">
        <v>553</v>
      </c>
      <c r="N4" s="388">
        <v>70.88</v>
      </c>
      <c r="O4" s="388">
        <v>14</v>
      </c>
      <c r="P4" s="387" t="s">
        <v>538</v>
      </c>
      <c r="Q4" s="387" t="s">
        <v>539</v>
      </c>
      <c r="R4" s="387" t="s">
        <v>540</v>
      </c>
      <c r="S4" s="387" t="s">
        <v>541</v>
      </c>
      <c r="T4" s="387" t="s">
        <v>542</v>
      </c>
      <c r="U4" s="388">
        <v>673266</v>
      </c>
      <c r="V4" s="387">
        <v>8903726249512</v>
      </c>
      <c r="W4" s="387">
        <v>8903726249512</v>
      </c>
      <c r="X4" s="387" t="s">
        <v>543</v>
      </c>
      <c r="Y4" s="387">
        <v>58903726249517</v>
      </c>
      <c r="Z4" s="387" t="s">
        <v>543</v>
      </c>
      <c r="AA4" s="388" t="s">
        <v>543</v>
      </c>
      <c r="AB4" s="388" t="s">
        <v>543</v>
      </c>
      <c r="AC4" s="387" t="s">
        <v>543</v>
      </c>
      <c r="AD4" s="389">
        <v>12</v>
      </c>
      <c r="AE4" s="390">
        <v>44743</v>
      </c>
      <c r="AF4" s="390">
        <v>45838</v>
      </c>
      <c r="AG4" s="390">
        <v>45838</v>
      </c>
      <c r="AH4" s="391" t="s">
        <v>546</v>
      </c>
      <c r="AI4" s="391" t="s">
        <v>555</v>
      </c>
      <c r="AJ4" s="391">
        <v>19</v>
      </c>
      <c r="AK4" s="390">
        <v>45047</v>
      </c>
      <c r="AL4" s="389">
        <v>30</v>
      </c>
      <c r="AM4" s="391" t="s">
        <v>548</v>
      </c>
      <c r="AN4" s="391" t="s">
        <v>549</v>
      </c>
      <c r="AO4" s="391" t="s">
        <v>550</v>
      </c>
    </row>
    <row r="5" spans="1:43" ht="16" thickBot="1">
      <c r="A5" s="387" t="s">
        <v>529</v>
      </c>
      <c r="B5" s="387" t="s">
        <v>1027</v>
      </c>
      <c r="C5" s="387" t="s">
        <v>1028</v>
      </c>
      <c r="D5" s="387" t="s">
        <v>558</v>
      </c>
      <c r="E5" s="387">
        <v>56</v>
      </c>
      <c r="F5" s="387" t="s">
        <v>559</v>
      </c>
      <c r="G5" s="387">
        <v>56</v>
      </c>
      <c r="H5" s="387" t="s">
        <v>559</v>
      </c>
      <c r="I5" s="387" t="s">
        <v>560</v>
      </c>
      <c r="J5" s="387" t="s">
        <v>533</v>
      </c>
      <c r="K5" s="387" t="s">
        <v>561</v>
      </c>
      <c r="L5" s="387" t="s">
        <v>562</v>
      </c>
      <c r="M5" s="387" t="s">
        <v>563</v>
      </c>
      <c r="N5" s="388">
        <v>108.11</v>
      </c>
      <c r="O5" s="388">
        <v>14</v>
      </c>
      <c r="P5" s="387" t="s">
        <v>538</v>
      </c>
      <c r="Q5" s="387" t="s">
        <v>539</v>
      </c>
      <c r="R5" s="387" t="s">
        <v>540</v>
      </c>
      <c r="S5" s="387" t="s">
        <v>541</v>
      </c>
      <c r="T5" s="387" t="s">
        <v>542</v>
      </c>
      <c r="U5" s="388">
        <v>1328675</v>
      </c>
      <c r="V5" s="387">
        <v>6009628333396</v>
      </c>
      <c r="W5" s="387">
        <v>6009628333396</v>
      </c>
      <c r="X5" s="387" t="s">
        <v>543</v>
      </c>
      <c r="Y5" s="387">
        <v>16009628333393</v>
      </c>
      <c r="Z5" s="387" t="s">
        <v>543</v>
      </c>
      <c r="AA5" s="388" t="s">
        <v>543</v>
      </c>
      <c r="AB5" s="388" t="s">
        <v>543</v>
      </c>
      <c r="AC5" s="387" t="s">
        <v>543</v>
      </c>
      <c r="AD5" s="389">
        <v>144</v>
      </c>
      <c r="AE5" s="390">
        <v>44743</v>
      </c>
      <c r="AF5" s="390">
        <v>45838</v>
      </c>
      <c r="AG5" s="390">
        <v>45838</v>
      </c>
      <c r="AH5" s="391" t="s">
        <v>564</v>
      </c>
      <c r="AI5" s="391" t="s">
        <v>565</v>
      </c>
      <c r="AJ5" s="391">
        <v>23</v>
      </c>
      <c r="AK5" s="390">
        <v>45047</v>
      </c>
      <c r="AL5" s="389">
        <v>100</v>
      </c>
      <c r="AM5" s="391" t="s">
        <v>548</v>
      </c>
      <c r="AN5" s="391" t="s">
        <v>549</v>
      </c>
      <c r="AO5" s="391" t="s">
        <v>566</v>
      </c>
    </row>
    <row r="6" spans="1:43" ht="16" thickBot="1">
      <c r="A6" s="387" t="s">
        <v>529</v>
      </c>
      <c r="B6" s="387" t="s">
        <v>680</v>
      </c>
      <c r="C6" s="387" t="s">
        <v>1025</v>
      </c>
      <c r="D6" s="387" t="s">
        <v>567</v>
      </c>
      <c r="E6" s="387">
        <v>56</v>
      </c>
      <c r="F6" s="387" t="s">
        <v>559</v>
      </c>
      <c r="G6" s="387">
        <v>56</v>
      </c>
      <c r="H6" s="387" t="s">
        <v>559</v>
      </c>
      <c r="I6" s="387" t="s">
        <v>568</v>
      </c>
      <c r="J6" s="387" t="s">
        <v>533</v>
      </c>
      <c r="K6" s="387" t="s">
        <v>569</v>
      </c>
      <c r="L6" s="387" t="s">
        <v>562</v>
      </c>
      <c r="M6" s="387" t="s">
        <v>563</v>
      </c>
      <c r="N6" s="388">
        <v>41.01</v>
      </c>
      <c r="O6" s="388">
        <v>14</v>
      </c>
      <c r="P6" s="387" t="s">
        <v>538</v>
      </c>
      <c r="Q6" s="387" t="s">
        <v>539</v>
      </c>
      <c r="R6" s="387" t="s">
        <v>540</v>
      </c>
      <c r="S6" s="387" t="s">
        <v>541</v>
      </c>
      <c r="T6" s="387" t="s">
        <v>542</v>
      </c>
      <c r="U6" s="388">
        <v>822558</v>
      </c>
      <c r="V6" s="387">
        <v>6009628332788</v>
      </c>
      <c r="W6" s="387" t="s">
        <v>543</v>
      </c>
      <c r="X6" s="387" t="s">
        <v>543</v>
      </c>
      <c r="Y6" s="387">
        <v>16009628332785</v>
      </c>
      <c r="Z6" s="387" t="s">
        <v>543</v>
      </c>
      <c r="AA6" s="388" t="s">
        <v>543</v>
      </c>
      <c r="AB6" s="388" t="s">
        <v>543</v>
      </c>
      <c r="AC6" s="387">
        <v>718160001</v>
      </c>
      <c r="AD6" s="389">
        <v>72</v>
      </c>
      <c r="AE6" s="390">
        <v>44743</v>
      </c>
      <c r="AF6" s="390">
        <v>45838</v>
      </c>
      <c r="AG6" s="390">
        <v>45838</v>
      </c>
      <c r="AH6" s="391" t="s">
        <v>570</v>
      </c>
      <c r="AI6" s="391" t="s">
        <v>565</v>
      </c>
      <c r="AJ6" s="391">
        <v>23</v>
      </c>
      <c r="AK6" s="390">
        <v>45047</v>
      </c>
      <c r="AL6" s="389">
        <v>100</v>
      </c>
      <c r="AM6" s="391" t="s">
        <v>548</v>
      </c>
      <c r="AN6" s="391" t="s">
        <v>549</v>
      </c>
      <c r="AO6" s="391" t="s">
        <v>571</v>
      </c>
    </row>
    <row r="7" spans="1:43" ht="16" thickBot="1">
      <c r="A7" s="387" t="s">
        <v>1717</v>
      </c>
      <c r="B7" s="387" t="s">
        <v>1027</v>
      </c>
      <c r="C7" s="387" t="s">
        <v>1718</v>
      </c>
      <c r="D7" s="387" t="s">
        <v>1719</v>
      </c>
      <c r="E7" s="387">
        <v>100</v>
      </c>
      <c r="F7" s="387" t="s">
        <v>559</v>
      </c>
      <c r="G7" s="387">
        <v>100</v>
      </c>
      <c r="H7" s="387" t="s">
        <v>559</v>
      </c>
      <c r="I7" s="387" t="s">
        <v>560</v>
      </c>
      <c r="J7" s="387" t="s">
        <v>1720</v>
      </c>
      <c r="K7" s="387" t="s">
        <v>1721</v>
      </c>
      <c r="L7" s="387" t="s">
        <v>654</v>
      </c>
      <c r="M7" s="387" t="s">
        <v>655</v>
      </c>
      <c r="N7" s="388">
        <v>64.489999999999995</v>
      </c>
      <c r="O7" s="388">
        <v>14</v>
      </c>
      <c r="P7" s="387" t="s">
        <v>538</v>
      </c>
      <c r="Q7" s="387" t="s">
        <v>539</v>
      </c>
      <c r="R7" s="387" t="s">
        <v>1722</v>
      </c>
      <c r="S7" s="387" t="s">
        <v>171</v>
      </c>
      <c r="T7" s="387" t="s">
        <v>542</v>
      </c>
      <c r="U7" s="388">
        <v>154756</v>
      </c>
      <c r="V7" s="387">
        <v>6004405009075</v>
      </c>
      <c r="W7" s="387">
        <v>6004405009075</v>
      </c>
      <c r="X7" s="387" t="s">
        <v>543</v>
      </c>
      <c r="Y7" s="387">
        <v>16004405009072</v>
      </c>
      <c r="Z7" s="387" t="s">
        <v>543</v>
      </c>
      <c r="AA7" s="388" t="s">
        <v>543</v>
      </c>
      <c r="AB7" s="388" t="s">
        <v>543</v>
      </c>
      <c r="AC7" s="387">
        <v>789771004</v>
      </c>
      <c r="AD7" s="389">
        <v>50</v>
      </c>
      <c r="AE7" s="390">
        <v>45047</v>
      </c>
      <c r="AF7" s="390">
        <v>46142</v>
      </c>
      <c r="AG7" s="391" t="s">
        <v>545</v>
      </c>
      <c r="AH7" s="391" t="s">
        <v>1723</v>
      </c>
      <c r="AI7" s="391" t="s">
        <v>658</v>
      </c>
      <c r="AJ7" s="391">
        <v>0</v>
      </c>
      <c r="AK7" s="390">
        <v>45047</v>
      </c>
      <c r="AL7" s="389">
        <v>100</v>
      </c>
      <c r="AM7" s="391" t="s">
        <v>548</v>
      </c>
      <c r="AN7" s="391" t="s">
        <v>549</v>
      </c>
      <c r="AO7" s="391" t="s">
        <v>1724</v>
      </c>
    </row>
    <row r="8" spans="1:43" ht="16" thickBot="1">
      <c r="A8" s="387" t="s">
        <v>1717</v>
      </c>
      <c r="B8" s="387" t="s">
        <v>593</v>
      </c>
      <c r="C8" s="387" t="s">
        <v>1725</v>
      </c>
      <c r="D8" s="387" t="s">
        <v>1726</v>
      </c>
      <c r="E8" s="387">
        <v>30</v>
      </c>
      <c r="F8" s="387" t="s">
        <v>559</v>
      </c>
      <c r="G8" s="387">
        <v>30</v>
      </c>
      <c r="H8" s="387" t="s">
        <v>559</v>
      </c>
      <c r="I8" s="387" t="s">
        <v>560</v>
      </c>
      <c r="J8" s="387" t="s">
        <v>1720</v>
      </c>
      <c r="K8" s="387" t="s">
        <v>1727</v>
      </c>
      <c r="L8" s="387" t="s">
        <v>654</v>
      </c>
      <c r="M8" s="387" t="s">
        <v>655</v>
      </c>
      <c r="N8" s="388">
        <v>24.99</v>
      </c>
      <c r="O8" s="388">
        <v>14</v>
      </c>
      <c r="P8" s="387" t="s">
        <v>538</v>
      </c>
      <c r="Q8" s="387" t="s">
        <v>539</v>
      </c>
      <c r="R8" s="387" t="s">
        <v>1722</v>
      </c>
      <c r="S8" s="387" t="s">
        <v>171</v>
      </c>
      <c r="T8" s="387" t="s">
        <v>542</v>
      </c>
      <c r="U8" s="388">
        <v>263645</v>
      </c>
      <c r="V8" s="387">
        <v>6004405008986</v>
      </c>
      <c r="W8" s="387">
        <v>6004405008986</v>
      </c>
      <c r="X8" s="387" t="s">
        <v>543</v>
      </c>
      <c r="Y8" s="387">
        <v>16004405008983</v>
      </c>
      <c r="Z8" s="387" t="s">
        <v>543</v>
      </c>
      <c r="AA8" s="388" t="s">
        <v>543</v>
      </c>
      <c r="AB8" s="388" t="s">
        <v>543</v>
      </c>
      <c r="AC8" s="387" t="s">
        <v>543</v>
      </c>
      <c r="AD8" s="389">
        <v>72</v>
      </c>
      <c r="AE8" s="390">
        <v>45047</v>
      </c>
      <c r="AF8" s="390">
        <v>46142</v>
      </c>
      <c r="AG8" s="391" t="s">
        <v>545</v>
      </c>
      <c r="AH8" s="391" t="s">
        <v>1728</v>
      </c>
      <c r="AI8" s="391" t="s">
        <v>658</v>
      </c>
      <c r="AJ8" s="391">
        <v>0</v>
      </c>
      <c r="AK8" s="390">
        <v>45047</v>
      </c>
      <c r="AL8" s="389">
        <v>100</v>
      </c>
      <c r="AM8" s="391" t="s">
        <v>548</v>
      </c>
      <c r="AN8" s="391" t="s">
        <v>549</v>
      </c>
      <c r="AO8" s="391" t="s">
        <v>1724</v>
      </c>
    </row>
    <row r="9" spans="1:43" ht="16" thickBot="1">
      <c r="A9" s="387" t="s">
        <v>1729</v>
      </c>
      <c r="B9" s="387" t="s">
        <v>615</v>
      </c>
      <c r="C9" s="387" t="s">
        <v>1730</v>
      </c>
      <c r="D9" s="387" t="s">
        <v>1731</v>
      </c>
      <c r="E9" s="387">
        <v>500</v>
      </c>
      <c r="F9" s="387" t="s">
        <v>531</v>
      </c>
      <c r="G9" s="387">
        <v>500</v>
      </c>
      <c r="H9" s="387" t="s">
        <v>531</v>
      </c>
      <c r="I9" s="387" t="s">
        <v>1732</v>
      </c>
      <c r="J9" s="387" t="s">
        <v>1733</v>
      </c>
      <c r="K9" s="387" t="s">
        <v>1734</v>
      </c>
      <c r="L9" s="387" t="s">
        <v>1735</v>
      </c>
      <c r="M9" s="387" t="s">
        <v>1736</v>
      </c>
      <c r="N9" s="388">
        <v>22</v>
      </c>
      <c r="O9" s="388">
        <v>14</v>
      </c>
      <c r="P9" s="387" t="s">
        <v>379</v>
      </c>
      <c r="Q9" s="387" t="s">
        <v>160</v>
      </c>
      <c r="R9" s="387" t="s">
        <v>1737</v>
      </c>
      <c r="S9" s="387" t="s">
        <v>160</v>
      </c>
      <c r="T9" s="387" t="s">
        <v>160</v>
      </c>
      <c r="U9" s="388">
        <v>3885</v>
      </c>
      <c r="V9" s="387">
        <v>6009801887937</v>
      </c>
      <c r="W9" s="387" t="s">
        <v>543</v>
      </c>
      <c r="X9" s="387" t="s">
        <v>543</v>
      </c>
      <c r="Y9" s="387" t="s">
        <v>543</v>
      </c>
      <c r="Z9" s="387" t="s">
        <v>543</v>
      </c>
      <c r="AA9" s="388" t="s">
        <v>543</v>
      </c>
      <c r="AB9" s="388" t="s">
        <v>543</v>
      </c>
      <c r="AC9" s="387" t="s">
        <v>543</v>
      </c>
      <c r="AD9" s="389">
        <v>20</v>
      </c>
      <c r="AE9" s="390">
        <v>44105</v>
      </c>
      <c r="AF9" s="390">
        <v>45199</v>
      </c>
      <c r="AG9" s="390">
        <v>45199</v>
      </c>
      <c r="AH9" s="391" t="s">
        <v>1738</v>
      </c>
      <c r="AI9" s="391" t="s">
        <v>1739</v>
      </c>
      <c r="AJ9" s="391">
        <v>0</v>
      </c>
      <c r="AK9" s="390">
        <v>44105</v>
      </c>
      <c r="AL9" s="389">
        <v>100</v>
      </c>
      <c r="AM9" s="391" t="s">
        <v>548</v>
      </c>
      <c r="AN9" s="391" t="s">
        <v>545</v>
      </c>
      <c r="AO9" s="391" t="s">
        <v>1740</v>
      </c>
    </row>
    <row r="10" spans="1:43" ht="16" thickBot="1">
      <c r="A10" s="387" t="s">
        <v>1729</v>
      </c>
      <c r="B10" s="387" t="s">
        <v>1018</v>
      </c>
      <c r="C10" s="387" t="s">
        <v>1741</v>
      </c>
      <c r="D10" s="387" t="s">
        <v>1742</v>
      </c>
      <c r="E10" s="387">
        <v>500</v>
      </c>
      <c r="F10" s="387" t="s">
        <v>531</v>
      </c>
      <c r="G10" s="387">
        <v>500</v>
      </c>
      <c r="H10" s="387" t="s">
        <v>531</v>
      </c>
      <c r="I10" s="387" t="s">
        <v>1732</v>
      </c>
      <c r="J10" s="387" t="s">
        <v>1743</v>
      </c>
      <c r="K10" s="387" t="s">
        <v>1744</v>
      </c>
      <c r="L10" s="387" t="s">
        <v>1735</v>
      </c>
      <c r="M10" s="387" t="s">
        <v>1736</v>
      </c>
      <c r="N10" s="388">
        <v>25</v>
      </c>
      <c r="O10" s="388">
        <v>14</v>
      </c>
      <c r="P10" s="387" t="s">
        <v>379</v>
      </c>
      <c r="Q10" s="387" t="s">
        <v>160</v>
      </c>
      <c r="R10" s="387" t="s">
        <v>1745</v>
      </c>
      <c r="S10" s="387" t="s">
        <v>160</v>
      </c>
      <c r="T10" s="387" t="s">
        <v>160</v>
      </c>
      <c r="U10" s="388">
        <v>27284</v>
      </c>
      <c r="V10" s="387">
        <v>6009801887036</v>
      </c>
      <c r="W10" s="387">
        <v>6009801887036</v>
      </c>
      <c r="X10" s="387">
        <v>6009801887036</v>
      </c>
      <c r="Y10" s="387" t="s">
        <v>543</v>
      </c>
      <c r="Z10" s="387" t="s">
        <v>543</v>
      </c>
      <c r="AA10" s="388" t="s">
        <v>543</v>
      </c>
      <c r="AB10" s="388" t="s">
        <v>543</v>
      </c>
      <c r="AC10" s="387">
        <v>403178001</v>
      </c>
      <c r="AD10" s="389">
        <v>20</v>
      </c>
      <c r="AE10" s="390">
        <v>44105</v>
      </c>
      <c r="AF10" s="390">
        <v>45199</v>
      </c>
      <c r="AG10" s="390">
        <v>45199</v>
      </c>
      <c r="AH10" s="391" t="s">
        <v>1746</v>
      </c>
      <c r="AI10" s="391" t="s">
        <v>1739</v>
      </c>
      <c r="AJ10" s="391">
        <v>0</v>
      </c>
      <c r="AK10" s="390">
        <v>44105</v>
      </c>
      <c r="AL10" s="389">
        <v>100</v>
      </c>
      <c r="AM10" s="391" t="s">
        <v>548</v>
      </c>
      <c r="AN10" s="391" t="s">
        <v>545</v>
      </c>
      <c r="AO10" s="391" t="s">
        <v>1747</v>
      </c>
    </row>
    <row r="11" spans="1:43" ht="16" thickBot="1">
      <c r="A11" s="387" t="s">
        <v>1748</v>
      </c>
      <c r="B11" s="387" t="s">
        <v>615</v>
      </c>
      <c r="C11" s="387" t="s">
        <v>1749</v>
      </c>
      <c r="D11" s="387" t="s">
        <v>1750</v>
      </c>
      <c r="E11" s="387">
        <v>10</v>
      </c>
      <c r="F11" s="387" t="s">
        <v>531</v>
      </c>
      <c r="G11" s="387">
        <v>10</v>
      </c>
      <c r="H11" s="387" t="s">
        <v>531</v>
      </c>
      <c r="I11" s="387" t="s">
        <v>1751</v>
      </c>
      <c r="J11" s="387" t="s">
        <v>1752</v>
      </c>
      <c r="K11" s="387" t="s">
        <v>1753</v>
      </c>
      <c r="L11" s="387" t="s">
        <v>1711</v>
      </c>
      <c r="M11" s="387" t="s">
        <v>1712</v>
      </c>
      <c r="N11" s="388">
        <v>196</v>
      </c>
      <c r="O11" s="388">
        <v>14</v>
      </c>
      <c r="P11" s="387" t="s">
        <v>538</v>
      </c>
      <c r="Q11" s="387" t="s">
        <v>539</v>
      </c>
      <c r="R11" s="387" t="s">
        <v>1754</v>
      </c>
      <c r="S11" s="387" t="s">
        <v>541</v>
      </c>
      <c r="T11" s="387" t="s">
        <v>757</v>
      </c>
      <c r="U11" s="388">
        <v>213295</v>
      </c>
      <c r="V11" s="387">
        <v>6009601190473</v>
      </c>
      <c r="W11" s="387" t="s">
        <v>543</v>
      </c>
      <c r="X11" s="387" t="s">
        <v>543</v>
      </c>
      <c r="Y11" s="387" t="s">
        <v>543</v>
      </c>
      <c r="Z11" s="387" t="s">
        <v>543</v>
      </c>
      <c r="AA11" s="388" t="s">
        <v>543</v>
      </c>
      <c r="AB11" s="388" t="s">
        <v>543</v>
      </c>
      <c r="AC11" s="387">
        <v>718898001</v>
      </c>
      <c r="AD11" s="389" t="s">
        <v>1755</v>
      </c>
      <c r="AE11" s="390">
        <v>44317</v>
      </c>
      <c r="AF11" s="390">
        <v>45412</v>
      </c>
      <c r="AG11" s="391" t="s">
        <v>545</v>
      </c>
      <c r="AH11" s="391" t="s">
        <v>1756</v>
      </c>
      <c r="AI11" s="391" t="s">
        <v>1715</v>
      </c>
      <c r="AJ11" s="391">
        <v>0</v>
      </c>
      <c r="AK11" s="390">
        <v>44317</v>
      </c>
      <c r="AL11" s="389">
        <v>100</v>
      </c>
      <c r="AM11" s="391" t="s">
        <v>548</v>
      </c>
      <c r="AN11" s="391" t="s">
        <v>549</v>
      </c>
      <c r="AO11" s="391" t="s">
        <v>1757</v>
      </c>
    </row>
    <row r="12" spans="1:43" ht="16" thickBot="1">
      <c r="A12" s="387" t="s">
        <v>1717</v>
      </c>
      <c r="B12" s="387" t="s">
        <v>680</v>
      </c>
      <c r="C12" s="387" t="s">
        <v>1758</v>
      </c>
      <c r="D12" s="387" t="s">
        <v>1759</v>
      </c>
      <c r="E12" s="387">
        <v>25</v>
      </c>
      <c r="F12" s="387" t="s">
        <v>559</v>
      </c>
      <c r="G12" s="387">
        <v>25</v>
      </c>
      <c r="H12" s="387" t="s">
        <v>559</v>
      </c>
      <c r="I12" s="387" t="s">
        <v>568</v>
      </c>
      <c r="J12" s="387" t="s">
        <v>1752</v>
      </c>
      <c r="K12" s="387" t="s">
        <v>1760</v>
      </c>
      <c r="L12" s="387" t="s">
        <v>1761</v>
      </c>
      <c r="M12" s="387" t="s">
        <v>1762</v>
      </c>
      <c r="N12" s="388">
        <v>46.28</v>
      </c>
      <c r="O12" s="388">
        <v>14</v>
      </c>
      <c r="P12" s="387" t="s">
        <v>538</v>
      </c>
      <c r="Q12" s="387" t="s">
        <v>539</v>
      </c>
      <c r="R12" s="387" t="s">
        <v>1754</v>
      </c>
      <c r="S12" s="387" t="s">
        <v>541</v>
      </c>
      <c r="T12" s="387" t="s">
        <v>757</v>
      </c>
      <c r="U12" s="388">
        <v>97895</v>
      </c>
      <c r="V12" s="387" t="s">
        <v>543</v>
      </c>
      <c r="W12" s="387" t="s">
        <v>543</v>
      </c>
      <c r="X12" s="387" t="s">
        <v>543</v>
      </c>
      <c r="Y12" s="387" t="s">
        <v>543</v>
      </c>
      <c r="Z12" s="387" t="s">
        <v>543</v>
      </c>
      <c r="AA12" s="388" t="s">
        <v>543</v>
      </c>
      <c r="AB12" s="388" t="s">
        <v>543</v>
      </c>
      <c r="AC12" s="387">
        <v>824291018</v>
      </c>
      <c r="AD12" s="389">
        <v>50</v>
      </c>
      <c r="AE12" s="390">
        <v>45047</v>
      </c>
      <c r="AF12" s="390">
        <v>46142</v>
      </c>
      <c r="AG12" s="391" t="s">
        <v>545</v>
      </c>
      <c r="AH12" s="391" t="s">
        <v>1763</v>
      </c>
      <c r="AI12" s="391" t="s">
        <v>1764</v>
      </c>
      <c r="AJ12" s="391">
        <v>0</v>
      </c>
      <c r="AK12" s="390">
        <v>45047</v>
      </c>
      <c r="AL12" s="389">
        <v>100</v>
      </c>
      <c r="AM12" s="391" t="s">
        <v>548</v>
      </c>
      <c r="AN12" s="391" t="s">
        <v>549</v>
      </c>
      <c r="AO12" s="391" t="s">
        <v>1765</v>
      </c>
    </row>
    <row r="13" spans="1:43" ht="16" thickBot="1">
      <c r="A13" s="387" t="s">
        <v>1766</v>
      </c>
      <c r="B13" s="387" t="s">
        <v>615</v>
      </c>
      <c r="C13" s="387" t="s">
        <v>1767</v>
      </c>
      <c r="D13" s="387" t="s">
        <v>1768</v>
      </c>
      <c r="E13" s="387">
        <v>25</v>
      </c>
      <c r="F13" s="387" t="s">
        <v>559</v>
      </c>
      <c r="G13" s="387">
        <v>25</v>
      </c>
      <c r="H13" s="387" t="s">
        <v>559</v>
      </c>
      <c r="I13" s="387" t="s">
        <v>568</v>
      </c>
      <c r="J13" s="387" t="s">
        <v>1769</v>
      </c>
      <c r="K13" s="387" t="s">
        <v>1770</v>
      </c>
      <c r="L13" s="387" t="s">
        <v>1771</v>
      </c>
      <c r="M13" s="387" t="s">
        <v>1772</v>
      </c>
      <c r="N13" s="388">
        <v>13.64</v>
      </c>
      <c r="O13" s="388">
        <v>14</v>
      </c>
      <c r="P13" s="387" t="s">
        <v>538</v>
      </c>
      <c r="Q13" s="387" t="s">
        <v>539</v>
      </c>
      <c r="R13" s="387" t="s">
        <v>1773</v>
      </c>
      <c r="S13" s="387" t="s">
        <v>171</v>
      </c>
      <c r="T13" s="387" t="s">
        <v>542</v>
      </c>
      <c r="U13" s="388">
        <v>349540</v>
      </c>
      <c r="V13" s="387">
        <v>600828800059</v>
      </c>
      <c r="W13" s="387" t="s">
        <v>543</v>
      </c>
      <c r="X13" s="387" t="s">
        <v>543</v>
      </c>
      <c r="Y13" s="387" t="s">
        <v>1774</v>
      </c>
      <c r="Z13" s="387" t="s">
        <v>543</v>
      </c>
      <c r="AA13" s="388" t="s">
        <v>543</v>
      </c>
      <c r="AB13" s="388" t="s">
        <v>543</v>
      </c>
      <c r="AC13" s="387">
        <v>838225004</v>
      </c>
      <c r="AD13" s="389">
        <v>96</v>
      </c>
      <c r="AE13" s="390">
        <v>44470</v>
      </c>
      <c r="AF13" s="390">
        <v>45199</v>
      </c>
      <c r="AG13" s="390">
        <v>45199</v>
      </c>
      <c r="AH13" s="391" t="s">
        <v>1775</v>
      </c>
      <c r="AI13" s="391" t="s">
        <v>1776</v>
      </c>
      <c r="AJ13" s="391">
        <v>23</v>
      </c>
      <c r="AK13" s="390">
        <v>45047</v>
      </c>
      <c r="AL13" s="389">
        <v>100</v>
      </c>
      <c r="AM13" s="391" t="s">
        <v>548</v>
      </c>
      <c r="AN13" s="391" t="s">
        <v>549</v>
      </c>
      <c r="AO13" s="391" t="s">
        <v>1777</v>
      </c>
      <c r="AP13" s="372">
        <f>N13/E13</f>
        <v>0.54559999999999997</v>
      </c>
      <c r="AQ13" s="372">
        <f>AP13</f>
        <v>0.54559999999999997</v>
      </c>
    </row>
    <row r="14" spans="1:43" ht="16" thickBot="1">
      <c r="A14" s="387" t="s">
        <v>1766</v>
      </c>
      <c r="B14" s="387" t="s">
        <v>1018</v>
      </c>
      <c r="C14" s="387" t="s">
        <v>1778</v>
      </c>
      <c r="D14" s="387" t="s">
        <v>1779</v>
      </c>
      <c r="E14" s="387">
        <v>1</v>
      </c>
      <c r="F14" s="387" t="s">
        <v>1780</v>
      </c>
      <c r="G14" s="387">
        <v>1</v>
      </c>
      <c r="H14" s="387" t="s">
        <v>1780</v>
      </c>
      <c r="I14" s="387" t="s">
        <v>1751</v>
      </c>
      <c r="J14" s="387" t="s">
        <v>1769</v>
      </c>
      <c r="K14" s="387" t="s">
        <v>1781</v>
      </c>
      <c r="L14" s="387" t="s">
        <v>562</v>
      </c>
      <c r="M14" s="387" t="s">
        <v>563</v>
      </c>
      <c r="N14" s="388">
        <v>149.63999999999999</v>
      </c>
      <c r="O14" s="388">
        <v>14</v>
      </c>
      <c r="P14" s="387" t="s">
        <v>538</v>
      </c>
      <c r="Q14" s="387" t="s">
        <v>539</v>
      </c>
      <c r="R14" s="387" t="s">
        <v>1773</v>
      </c>
      <c r="S14" s="387" t="s">
        <v>171</v>
      </c>
      <c r="T14" s="387" t="s">
        <v>757</v>
      </c>
      <c r="U14" s="388">
        <v>223600</v>
      </c>
      <c r="V14" s="387">
        <v>6007473000265</v>
      </c>
      <c r="W14" s="387">
        <v>6007473000265</v>
      </c>
      <c r="X14" s="387" t="s">
        <v>543</v>
      </c>
      <c r="Y14" s="387" t="s">
        <v>543</v>
      </c>
      <c r="Z14" s="387" t="s">
        <v>543</v>
      </c>
      <c r="AA14" s="388" t="s">
        <v>543</v>
      </c>
      <c r="AB14" s="388" t="s">
        <v>543</v>
      </c>
      <c r="AC14" s="387">
        <v>703891001</v>
      </c>
      <c r="AD14" s="389">
        <v>50</v>
      </c>
      <c r="AE14" s="390">
        <v>44470</v>
      </c>
      <c r="AF14" s="390">
        <v>45199</v>
      </c>
      <c r="AG14" s="391" t="s">
        <v>545</v>
      </c>
      <c r="AH14" s="391" t="s">
        <v>1782</v>
      </c>
      <c r="AI14" s="391" t="s">
        <v>565</v>
      </c>
      <c r="AJ14" s="391">
        <v>0</v>
      </c>
      <c r="AK14" s="390">
        <v>44470</v>
      </c>
      <c r="AL14" s="389">
        <v>100</v>
      </c>
      <c r="AM14" s="391" t="s">
        <v>548</v>
      </c>
      <c r="AN14" s="391" t="s">
        <v>549</v>
      </c>
      <c r="AO14" s="391" t="s">
        <v>1783</v>
      </c>
    </row>
    <row r="15" spans="1:43" ht="16" thickBot="1">
      <c r="A15" s="387" t="s">
        <v>1766</v>
      </c>
      <c r="B15" s="387" t="s">
        <v>1027</v>
      </c>
      <c r="C15" s="387" t="s">
        <v>1784</v>
      </c>
      <c r="D15" s="387" t="s">
        <v>1785</v>
      </c>
      <c r="E15" s="387">
        <v>70</v>
      </c>
      <c r="F15" s="387" t="s">
        <v>559</v>
      </c>
      <c r="G15" s="387">
        <v>70</v>
      </c>
      <c r="H15" s="387" t="s">
        <v>559</v>
      </c>
      <c r="I15" s="387" t="s">
        <v>568</v>
      </c>
      <c r="J15" s="387" t="s">
        <v>1769</v>
      </c>
      <c r="K15" s="387" t="s">
        <v>1786</v>
      </c>
      <c r="L15" s="387" t="s">
        <v>1771</v>
      </c>
      <c r="M15" s="387" t="s">
        <v>1772</v>
      </c>
      <c r="N15" s="388">
        <v>54.3</v>
      </c>
      <c r="O15" s="388">
        <v>14</v>
      </c>
      <c r="P15" s="387" t="s">
        <v>538</v>
      </c>
      <c r="Q15" s="387" t="s">
        <v>539</v>
      </c>
      <c r="R15" s="387" t="s">
        <v>1773</v>
      </c>
      <c r="S15" s="387" t="s">
        <v>171</v>
      </c>
      <c r="T15" s="387" t="s">
        <v>542</v>
      </c>
      <c r="U15" s="388">
        <v>313890</v>
      </c>
      <c r="V15" s="387">
        <v>6003001019082</v>
      </c>
      <c r="W15" s="387" t="s">
        <v>543</v>
      </c>
      <c r="X15" s="387" t="s">
        <v>543</v>
      </c>
      <c r="Y15" s="387" t="s">
        <v>543</v>
      </c>
      <c r="Z15" s="387" t="s">
        <v>543</v>
      </c>
      <c r="AA15" s="388" t="s">
        <v>543</v>
      </c>
      <c r="AB15" s="388" t="s">
        <v>543</v>
      </c>
      <c r="AC15" s="387" t="s">
        <v>543</v>
      </c>
      <c r="AD15" s="389">
        <v>80</v>
      </c>
      <c r="AE15" s="390">
        <v>44470</v>
      </c>
      <c r="AF15" s="390">
        <v>45199</v>
      </c>
      <c r="AG15" s="390">
        <v>45199</v>
      </c>
      <c r="AH15" s="391" t="s">
        <v>1787</v>
      </c>
      <c r="AI15" s="391" t="s">
        <v>1776</v>
      </c>
      <c r="AJ15" s="391">
        <v>23</v>
      </c>
      <c r="AK15" s="390">
        <v>45047</v>
      </c>
      <c r="AL15" s="389">
        <v>100</v>
      </c>
      <c r="AM15" s="391" t="s">
        <v>548</v>
      </c>
      <c r="AN15" s="391" t="s">
        <v>549</v>
      </c>
      <c r="AO15" s="391" t="s">
        <v>1788</v>
      </c>
      <c r="AP15" s="372">
        <f>N15/E15</f>
        <v>0.77571428571428569</v>
      </c>
      <c r="AQ15" s="372">
        <f>AP15</f>
        <v>0.77571428571428569</v>
      </c>
    </row>
    <row r="16" spans="1:43" ht="16" thickBot="1">
      <c r="A16" s="387" t="s">
        <v>1717</v>
      </c>
      <c r="B16" s="387" t="s">
        <v>686</v>
      </c>
      <c r="C16" s="387" t="s">
        <v>1789</v>
      </c>
      <c r="D16" s="387" t="s">
        <v>1790</v>
      </c>
      <c r="E16" s="387">
        <v>30</v>
      </c>
      <c r="F16" s="387" t="s">
        <v>584</v>
      </c>
      <c r="G16" s="387">
        <v>30</v>
      </c>
      <c r="H16" s="387" t="s">
        <v>584</v>
      </c>
      <c r="I16" s="387" t="s">
        <v>585</v>
      </c>
      <c r="J16" s="387" t="s">
        <v>1791</v>
      </c>
      <c r="K16" s="387" t="s">
        <v>1792</v>
      </c>
      <c r="L16" s="387" t="s">
        <v>1793</v>
      </c>
      <c r="M16" s="387" t="s">
        <v>1794</v>
      </c>
      <c r="N16" s="388">
        <v>728.41</v>
      </c>
      <c r="O16" s="388">
        <v>14</v>
      </c>
      <c r="P16" s="387" t="s">
        <v>611</v>
      </c>
      <c r="Q16" s="387" t="s">
        <v>612</v>
      </c>
      <c r="R16" s="387" t="s">
        <v>1795</v>
      </c>
      <c r="S16" s="387" t="s">
        <v>614</v>
      </c>
      <c r="T16" s="387" t="s">
        <v>160</v>
      </c>
      <c r="U16" s="388">
        <v>7398</v>
      </c>
      <c r="V16" s="387">
        <v>6006147002307</v>
      </c>
      <c r="W16" s="387">
        <v>6006147002307</v>
      </c>
      <c r="X16" s="387" t="s">
        <v>543</v>
      </c>
      <c r="Y16" s="387" t="s">
        <v>543</v>
      </c>
      <c r="Z16" s="387" t="s">
        <v>543</v>
      </c>
      <c r="AA16" s="388" t="s">
        <v>543</v>
      </c>
      <c r="AB16" s="388" t="s">
        <v>543</v>
      </c>
      <c r="AC16" s="387">
        <v>817732004</v>
      </c>
      <c r="AD16" s="389">
        <v>2</v>
      </c>
      <c r="AE16" s="390">
        <v>45047</v>
      </c>
      <c r="AF16" s="390">
        <v>46142</v>
      </c>
      <c r="AG16" s="391" t="s">
        <v>545</v>
      </c>
      <c r="AH16" s="391" t="s">
        <v>1796</v>
      </c>
      <c r="AI16" s="391" t="s">
        <v>1797</v>
      </c>
      <c r="AJ16" s="391">
        <v>0</v>
      </c>
      <c r="AK16" s="390">
        <v>45047</v>
      </c>
      <c r="AL16" s="389">
        <v>100</v>
      </c>
      <c r="AM16" s="391" t="s">
        <v>548</v>
      </c>
      <c r="AN16" s="391" t="s">
        <v>549</v>
      </c>
      <c r="AO16" s="391" t="s">
        <v>1798</v>
      </c>
    </row>
    <row r="17" spans="1:41" ht="16" thickBot="1">
      <c r="A17" s="387" t="s">
        <v>1717</v>
      </c>
      <c r="B17" s="387" t="s">
        <v>581</v>
      </c>
      <c r="C17" s="387" t="s">
        <v>1799</v>
      </c>
      <c r="D17" s="387" t="s">
        <v>1800</v>
      </c>
      <c r="E17" s="387">
        <v>30</v>
      </c>
      <c r="F17" s="387" t="s">
        <v>584</v>
      </c>
      <c r="G17" s="387">
        <v>30</v>
      </c>
      <c r="H17" s="387" t="s">
        <v>584</v>
      </c>
      <c r="I17" s="387" t="s">
        <v>585</v>
      </c>
      <c r="J17" s="387" t="s">
        <v>1791</v>
      </c>
      <c r="K17" s="387" t="s">
        <v>1801</v>
      </c>
      <c r="L17" s="387" t="s">
        <v>1793</v>
      </c>
      <c r="M17" s="387" t="s">
        <v>1794</v>
      </c>
      <c r="N17" s="388">
        <v>1696.39</v>
      </c>
      <c r="O17" s="388">
        <v>14</v>
      </c>
      <c r="P17" s="387" t="s">
        <v>611</v>
      </c>
      <c r="Q17" s="387" t="s">
        <v>612</v>
      </c>
      <c r="R17" s="387" t="s">
        <v>1795</v>
      </c>
      <c r="S17" s="387" t="s">
        <v>614</v>
      </c>
      <c r="T17" s="387" t="s">
        <v>160</v>
      </c>
      <c r="U17" s="388">
        <v>13613</v>
      </c>
      <c r="V17" s="387">
        <v>6009679832589</v>
      </c>
      <c r="W17" s="387">
        <v>6009679832589</v>
      </c>
      <c r="X17" s="387" t="s">
        <v>543</v>
      </c>
      <c r="Y17" s="387" t="s">
        <v>543</v>
      </c>
      <c r="Z17" s="387" t="s">
        <v>543</v>
      </c>
      <c r="AA17" s="388" t="s">
        <v>543</v>
      </c>
      <c r="AB17" s="388" t="s">
        <v>543</v>
      </c>
      <c r="AC17" s="387" t="s">
        <v>543</v>
      </c>
      <c r="AD17" s="389">
        <v>1</v>
      </c>
      <c r="AE17" s="390">
        <v>45047</v>
      </c>
      <c r="AF17" s="390">
        <v>46142</v>
      </c>
      <c r="AG17" s="391" t="s">
        <v>545</v>
      </c>
      <c r="AH17" s="391" t="s">
        <v>1802</v>
      </c>
      <c r="AI17" s="391" t="s">
        <v>1797</v>
      </c>
      <c r="AJ17" s="391">
        <v>0</v>
      </c>
      <c r="AK17" s="390">
        <v>45047</v>
      </c>
      <c r="AL17" s="389">
        <v>100</v>
      </c>
      <c r="AM17" s="391" t="s">
        <v>548</v>
      </c>
      <c r="AN17" s="391" t="s">
        <v>549</v>
      </c>
      <c r="AO17" s="391" t="s">
        <v>1803</v>
      </c>
    </row>
    <row r="18" spans="1:41" ht="16" thickBot="1">
      <c r="A18" s="387" t="s">
        <v>1729</v>
      </c>
      <c r="B18" s="387" t="s">
        <v>1027</v>
      </c>
      <c r="C18" s="387" t="s">
        <v>1804</v>
      </c>
      <c r="D18" s="387" t="s">
        <v>1805</v>
      </c>
      <c r="E18" s="387">
        <v>100</v>
      </c>
      <c r="F18" s="387" t="s">
        <v>531</v>
      </c>
      <c r="G18" s="387">
        <v>100</v>
      </c>
      <c r="H18" s="387" t="s">
        <v>531</v>
      </c>
      <c r="I18" s="387" t="s">
        <v>1806</v>
      </c>
      <c r="J18" s="387" t="s">
        <v>1807</v>
      </c>
      <c r="K18" s="387" t="s">
        <v>1808</v>
      </c>
      <c r="L18" s="387" t="s">
        <v>1809</v>
      </c>
      <c r="M18" s="387" t="s">
        <v>1810</v>
      </c>
      <c r="N18" s="388">
        <v>16.13</v>
      </c>
      <c r="O18" s="388">
        <v>14</v>
      </c>
      <c r="P18" s="387" t="s">
        <v>379</v>
      </c>
      <c r="Q18" s="387" t="s">
        <v>160</v>
      </c>
      <c r="R18" s="387" t="s">
        <v>1811</v>
      </c>
      <c r="S18" s="387" t="s">
        <v>614</v>
      </c>
      <c r="T18" s="387" t="s">
        <v>160</v>
      </c>
      <c r="U18" s="388">
        <v>70205</v>
      </c>
      <c r="V18" s="387">
        <v>6006845002333</v>
      </c>
      <c r="W18" s="387">
        <v>6006845002333</v>
      </c>
      <c r="X18" s="387" t="s">
        <v>543</v>
      </c>
      <c r="Y18" s="387">
        <v>16006845002323</v>
      </c>
      <c r="Z18" s="387" t="s">
        <v>543</v>
      </c>
      <c r="AA18" s="388" t="s">
        <v>543</v>
      </c>
      <c r="AB18" s="388" t="s">
        <v>543</v>
      </c>
      <c r="AC18" s="387" t="s">
        <v>543</v>
      </c>
      <c r="AD18" s="389">
        <v>100</v>
      </c>
      <c r="AE18" s="390">
        <v>44105</v>
      </c>
      <c r="AF18" s="390">
        <v>45199</v>
      </c>
      <c r="AG18" s="390">
        <v>45199</v>
      </c>
      <c r="AH18" s="391" t="s">
        <v>1812</v>
      </c>
      <c r="AI18" s="391" t="s">
        <v>1813</v>
      </c>
      <c r="AJ18" s="391">
        <v>0</v>
      </c>
      <c r="AK18" s="390">
        <v>44105</v>
      </c>
      <c r="AL18" s="389">
        <v>100</v>
      </c>
      <c r="AM18" s="391" t="s">
        <v>548</v>
      </c>
      <c r="AN18" s="391" t="s">
        <v>545</v>
      </c>
      <c r="AO18" s="391" t="s">
        <v>1814</v>
      </c>
    </row>
    <row r="19" spans="1:41" ht="16" thickBot="1">
      <c r="A19" s="387" t="s">
        <v>1748</v>
      </c>
      <c r="B19" s="387" t="s">
        <v>1018</v>
      </c>
      <c r="C19" s="387" t="s">
        <v>1815</v>
      </c>
      <c r="D19" s="387" t="s">
        <v>1816</v>
      </c>
      <c r="E19" s="387">
        <v>2</v>
      </c>
      <c r="F19" s="387" t="s">
        <v>531</v>
      </c>
      <c r="G19" s="387">
        <v>2</v>
      </c>
      <c r="H19" s="387" t="s">
        <v>531</v>
      </c>
      <c r="I19" s="387" t="s">
        <v>1751</v>
      </c>
      <c r="J19" s="387" t="s">
        <v>1817</v>
      </c>
      <c r="K19" s="387" t="s">
        <v>1818</v>
      </c>
      <c r="L19" s="387" t="s">
        <v>1819</v>
      </c>
      <c r="M19" s="387" t="s">
        <v>1820</v>
      </c>
      <c r="N19" s="388">
        <v>156.21</v>
      </c>
      <c r="O19" s="388">
        <v>14</v>
      </c>
      <c r="P19" s="387" t="s">
        <v>538</v>
      </c>
      <c r="Q19" s="387" t="s">
        <v>539</v>
      </c>
      <c r="R19" s="387" t="s">
        <v>1821</v>
      </c>
      <c r="S19" s="387" t="s">
        <v>541</v>
      </c>
      <c r="T19" s="387" t="s">
        <v>757</v>
      </c>
      <c r="U19" s="388">
        <v>74740</v>
      </c>
      <c r="V19" s="387">
        <v>6009637910281</v>
      </c>
      <c r="W19" s="387" t="s">
        <v>543</v>
      </c>
      <c r="X19" s="387" t="s">
        <v>543</v>
      </c>
      <c r="Y19" s="387">
        <v>2414002141012</v>
      </c>
      <c r="Z19" s="387" t="s">
        <v>543</v>
      </c>
      <c r="AA19" s="388" t="s">
        <v>543</v>
      </c>
      <c r="AB19" s="388" t="s">
        <v>543</v>
      </c>
      <c r="AC19" s="387">
        <v>818259019</v>
      </c>
      <c r="AD19" s="389">
        <v>6</v>
      </c>
      <c r="AE19" s="390">
        <v>44317</v>
      </c>
      <c r="AF19" s="390">
        <v>45412</v>
      </c>
      <c r="AG19" s="391" t="s">
        <v>545</v>
      </c>
      <c r="AH19" s="391" t="s">
        <v>1822</v>
      </c>
      <c r="AI19" s="391" t="s">
        <v>1823</v>
      </c>
      <c r="AJ19" s="391">
        <v>0</v>
      </c>
      <c r="AK19" s="390">
        <v>44317</v>
      </c>
      <c r="AL19" s="389">
        <v>100</v>
      </c>
      <c r="AM19" s="391" t="s">
        <v>548</v>
      </c>
      <c r="AN19" s="391" t="s">
        <v>549</v>
      </c>
      <c r="AO19" s="391" t="s">
        <v>1824</v>
      </c>
    </row>
    <row r="20" spans="1:41" ht="16" thickBot="1">
      <c r="A20" s="387" t="s">
        <v>1766</v>
      </c>
      <c r="B20" s="387" t="s">
        <v>686</v>
      </c>
      <c r="C20" s="387" t="s">
        <v>1825</v>
      </c>
      <c r="D20" s="387" t="s">
        <v>1826</v>
      </c>
      <c r="E20" s="387">
        <v>1</v>
      </c>
      <c r="F20" s="387" t="s">
        <v>559</v>
      </c>
      <c r="G20" s="387">
        <v>1</v>
      </c>
      <c r="H20" s="387" t="s">
        <v>559</v>
      </c>
      <c r="I20" s="387" t="s">
        <v>560</v>
      </c>
      <c r="J20" s="387" t="s">
        <v>1827</v>
      </c>
      <c r="K20" s="387" t="s">
        <v>1828</v>
      </c>
      <c r="L20" s="387" t="s">
        <v>1829</v>
      </c>
      <c r="M20" s="387" t="s">
        <v>1830</v>
      </c>
      <c r="N20" s="388">
        <v>6.44</v>
      </c>
      <c r="O20" s="388">
        <v>14</v>
      </c>
      <c r="P20" s="387" t="s">
        <v>538</v>
      </c>
      <c r="Q20" s="387" t="s">
        <v>539</v>
      </c>
      <c r="R20" s="387" t="s">
        <v>1831</v>
      </c>
      <c r="S20" s="387" t="s">
        <v>171</v>
      </c>
      <c r="T20" s="387" t="s">
        <v>542</v>
      </c>
      <c r="U20" s="388">
        <v>1695910</v>
      </c>
      <c r="V20" s="387">
        <v>6009701451856</v>
      </c>
      <c r="W20" s="387">
        <v>6009601451863</v>
      </c>
      <c r="X20" s="387" t="s">
        <v>543</v>
      </c>
      <c r="Y20" s="387">
        <v>26009701451942</v>
      </c>
      <c r="Z20" s="387" t="s">
        <v>543</v>
      </c>
      <c r="AA20" s="388" t="s">
        <v>543</v>
      </c>
      <c r="AB20" s="388" t="s">
        <v>543</v>
      </c>
      <c r="AC20" s="387">
        <v>707436001</v>
      </c>
      <c r="AD20" s="389">
        <v>200</v>
      </c>
      <c r="AE20" s="390">
        <v>44470</v>
      </c>
      <c r="AF20" s="390">
        <v>45199</v>
      </c>
      <c r="AG20" s="390">
        <v>45199</v>
      </c>
      <c r="AH20" s="391" t="s">
        <v>1832</v>
      </c>
      <c r="AI20" s="391" t="s">
        <v>1833</v>
      </c>
      <c r="AJ20" s="391">
        <v>16</v>
      </c>
      <c r="AK20" s="390">
        <v>45047</v>
      </c>
      <c r="AL20" s="389">
        <v>100</v>
      </c>
      <c r="AM20" s="391" t="s">
        <v>548</v>
      </c>
      <c r="AN20" s="391" t="s">
        <v>549</v>
      </c>
      <c r="AO20" s="391" t="s">
        <v>1834</v>
      </c>
    </row>
    <row r="21" spans="1:41" ht="16" thickBot="1">
      <c r="A21" s="387" t="s">
        <v>1835</v>
      </c>
      <c r="B21" s="387" t="s">
        <v>1018</v>
      </c>
      <c r="C21" s="387" t="s">
        <v>1836</v>
      </c>
      <c r="D21" s="387" t="s">
        <v>1837</v>
      </c>
      <c r="E21" s="387">
        <v>100</v>
      </c>
      <c r="F21" s="387" t="s">
        <v>531</v>
      </c>
      <c r="G21" s="387">
        <v>100</v>
      </c>
      <c r="H21" s="387" t="s">
        <v>531</v>
      </c>
      <c r="I21" s="387" t="s">
        <v>1838</v>
      </c>
      <c r="J21" s="387" t="s">
        <v>1839</v>
      </c>
      <c r="K21" s="387" t="s">
        <v>1840</v>
      </c>
      <c r="L21" s="387" t="s">
        <v>1841</v>
      </c>
      <c r="M21" s="387" t="s">
        <v>1842</v>
      </c>
      <c r="N21" s="388">
        <v>822.43</v>
      </c>
      <c r="O21" s="388">
        <v>14</v>
      </c>
      <c r="P21" s="387" t="s">
        <v>538</v>
      </c>
      <c r="Q21" s="387" t="s">
        <v>539</v>
      </c>
      <c r="R21" s="387" t="s">
        <v>1843</v>
      </c>
      <c r="S21" s="387" t="s">
        <v>541</v>
      </c>
      <c r="T21" s="387" t="s">
        <v>757</v>
      </c>
      <c r="U21" s="388">
        <v>53486</v>
      </c>
      <c r="V21" s="387">
        <v>6006178000013</v>
      </c>
      <c r="W21" s="387" t="s">
        <v>543</v>
      </c>
      <c r="X21" s="387" t="s">
        <v>543</v>
      </c>
      <c r="Y21" s="387" t="s">
        <v>543</v>
      </c>
      <c r="Z21" s="387" t="s">
        <v>543</v>
      </c>
      <c r="AA21" s="388" t="s">
        <v>543</v>
      </c>
      <c r="AB21" s="388" t="s">
        <v>543</v>
      </c>
      <c r="AC21" s="387">
        <v>802859003</v>
      </c>
      <c r="AD21" s="389">
        <v>30</v>
      </c>
      <c r="AE21" s="390">
        <v>44974</v>
      </c>
      <c r="AF21" s="390">
        <v>45657</v>
      </c>
      <c r="AG21" s="391" t="s">
        <v>545</v>
      </c>
      <c r="AH21" s="391" t="s">
        <v>1844</v>
      </c>
      <c r="AI21" s="391" t="s">
        <v>1845</v>
      </c>
      <c r="AJ21" s="391">
        <v>0</v>
      </c>
      <c r="AK21" s="390">
        <v>44974</v>
      </c>
      <c r="AL21" s="389">
        <v>100</v>
      </c>
      <c r="AM21" s="391" t="s">
        <v>548</v>
      </c>
      <c r="AN21" s="391" t="s">
        <v>549</v>
      </c>
      <c r="AO21" s="391" t="s">
        <v>1846</v>
      </c>
    </row>
    <row r="22" spans="1:41" ht="16" thickBot="1">
      <c r="A22" s="387" t="s">
        <v>1835</v>
      </c>
      <c r="B22" s="387" t="s">
        <v>615</v>
      </c>
      <c r="C22" s="387" t="s">
        <v>1847</v>
      </c>
      <c r="D22" s="387" t="s">
        <v>1848</v>
      </c>
      <c r="E22" s="387">
        <v>50</v>
      </c>
      <c r="F22" s="387" t="s">
        <v>531</v>
      </c>
      <c r="G22" s="387">
        <v>50</v>
      </c>
      <c r="H22" s="387" t="s">
        <v>531</v>
      </c>
      <c r="I22" s="387" t="s">
        <v>1838</v>
      </c>
      <c r="J22" s="387" t="s">
        <v>1839</v>
      </c>
      <c r="K22" s="387" t="s">
        <v>1849</v>
      </c>
      <c r="L22" s="387" t="s">
        <v>1841</v>
      </c>
      <c r="M22" s="387" t="s">
        <v>1842</v>
      </c>
      <c r="N22" s="388">
        <v>411.21</v>
      </c>
      <c r="O22" s="388">
        <v>14</v>
      </c>
      <c r="P22" s="387" t="s">
        <v>538</v>
      </c>
      <c r="Q22" s="387" t="s">
        <v>539</v>
      </c>
      <c r="R22" s="387" t="s">
        <v>1843</v>
      </c>
      <c r="S22" s="387" t="s">
        <v>541</v>
      </c>
      <c r="T22" s="387" t="s">
        <v>757</v>
      </c>
      <c r="U22" s="388">
        <v>39860</v>
      </c>
      <c r="V22" s="387">
        <v>6006178000020</v>
      </c>
      <c r="W22" s="387" t="s">
        <v>543</v>
      </c>
      <c r="X22" s="387" t="s">
        <v>543</v>
      </c>
      <c r="Y22" s="387" t="s">
        <v>543</v>
      </c>
      <c r="Z22" s="387" t="s">
        <v>543</v>
      </c>
      <c r="AA22" s="388" t="s">
        <v>543</v>
      </c>
      <c r="AB22" s="388" t="s">
        <v>543</v>
      </c>
      <c r="AC22" s="387">
        <v>802867006</v>
      </c>
      <c r="AD22" s="389">
        <v>35</v>
      </c>
      <c r="AE22" s="390">
        <v>44974</v>
      </c>
      <c r="AF22" s="390">
        <v>45657</v>
      </c>
      <c r="AG22" s="390">
        <v>45657</v>
      </c>
      <c r="AH22" s="391" t="s">
        <v>1850</v>
      </c>
      <c r="AI22" s="391" t="s">
        <v>1845</v>
      </c>
      <c r="AJ22" s="391">
        <v>0</v>
      </c>
      <c r="AK22" s="390">
        <v>44974</v>
      </c>
      <c r="AL22" s="389">
        <v>100</v>
      </c>
      <c r="AM22" s="391" t="s">
        <v>548</v>
      </c>
      <c r="AN22" s="391" t="s">
        <v>549</v>
      </c>
      <c r="AO22" s="391" t="s">
        <v>1846</v>
      </c>
    </row>
    <row r="23" spans="1:41" ht="16" thickBot="1">
      <c r="A23" s="387" t="s">
        <v>1729</v>
      </c>
      <c r="B23" s="387" t="s">
        <v>593</v>
      </c>
      <c r="C23" s="387" t="s">
        <v>1851</v>
      </c>
      <c r="D23" s="387" t="s">
        <v>1852</v>
      </c>
      <c r="E23" s="387">
        <v>500</v>
      </c>
      <c r="F23" s="387" t="s">
        <v>531</v>
      </c>
      <c r="G23" s="387">
        <v>500</v>
      </c>
      <c r="H23" s="387" t="s">
        <v>531</v>
      </c>
      <c r="I23" s="387" t="s">
        <v>532</v>
      </c>
      <c r="J23" s="387" t="s">
        <v>1853</v>
      </c>
      <c r="K23" s="387" t="s">
        <v>1854</v>
      </c>
      <c r="L23" s="387" t="s">
        <v>1855</v>
      </c>
      <c r="M23" s="387" t="s">
        <v>1856</v>
      </c>
      <c r="N23" s="388">
        <v>18.59</v>
      </c>
      <c r="O23" s="388">
        <v>14</v>
      </c>
      <c r="P23" s="387" t="s">
        <v>611</v>
      </c>
      <c r="Q23" s="387" t="s">
        <v>160</v>
      </c>
      <c r="R23" s="387" t="s">
        <v>1857</v>
      </c>
      <c r="S23" s="387" t="s">
        <v>160</v>
      </c>
      <c r="T23" s="387" t="s">
        <v>160</v>
      </c>
      <c r="U23" s="388">
        <v>723500</v>
      </c>
      <c r="V23" s="387">
        <v>6001668011425</v>
      </c>
      <c r="W23" s="387" t="s">
        <v>543</v>
      </c>
      <c r="X23" s="387" t="s">
        <v>543</v>
      </c>
      <c r="Y23" s="387">
        <v>160016668011439</v>
      </c>
      <c r="Z23" s="387" t="s">
        <v>543</v>
      </c>
      <c r="AA23" s="388" t="s">
        <v>543</v>
      </c>
      <c r="AB23" s="388" t="s">
        <v>543</v>
      </c>
      <c r="AC23" s="387" t="s">
        <v>543</v>
      </c>
      <c r="AD23" s="389">
        <v>20</v>
      </c>
      <c r="AE23" s="390">
        <v>44105</v>
      </c>
      <c r="AF23" s="390">
        <v>45199</v>
      </c>
      <c r="AG23" s="390">
        <v>45199</v>
      </c>
      <c r="AH23" s="391" t="s">
        <v>1858</v>
      </c>
      <c r="AI23" s="391" t="s">
        <v>1859</v>
      </c>
      <c r="AJ23" s="391">
        <v>10</v>
      </c>
      <c r="AK23" s="390">
        <v>44531</v>
      </c>
      <c r="AL23" s="389">
        <v>100</v>
      </c>
      <c r="AM23" s="391" t="s">
        <v>548</v>
      </c>
      <c r="AN23" s="391" t="s">
        <v>545</v>
      </c>
      <c r="AO23" s="391" t="s">
        <v>1860</v>
      </c>
    </row>
    <row r="24" spans="1:41" ht="16" thickBot="1">
      <c r="A24" s="387" t="s">
        <v>1748</v>
      </c>
      <c r="B24" s="387" t="s">
        <v>686</v>
      </c>
      <c r="C24" s="387" t="s">
        <v>1861</v>
      </c>
      <c r="D24" s="387" t="s">
        <v>1862</v>
      </c>
      <c r="E24" s="387">
        <v>2</v>
      </c>
      <c r="F24" s="387" t="s">
        <v>531</v>
      </c>
      <c r="G24" s="387">
        <v>2</v>
      </c>
      <c r="H24" s="387" t="s">
        <v>531</v>
      </c>
      <c r="I24" s="387" t="s">
        <v>1751</v>
      </c>
      <c r="J24" s="387" t="s">
        <v>1863</v>
      </c>
      <c r="K24" s="387" t="s">
        <v>1864</v>
      </c>
      <c r="L24" s="387" t="s">
        <v>1865</v>
      </c>
      <c r="M24" s="387" t="s">
        <v>1866</v>
      </c>
      <c r="N24" s="388">
        <v>49.83</v>
      </c>
      <c r="O24" s="388">
        <v>14</v>
      </c>
      <c r="P24" s="387" t="s">
        <v>538</v>
      </c>
      <c r="Q24" s="387" t="s">
        <v>539</v>
      </c>
      <c r="R24" s="387" t="s">
        <v>1867</v>
      </c>
      <c r="S24" s="387" t="s">
        <v>541</v>
      </c>
      <c r="T24" s="387" t="s">
        <v>757</v>
      </c>
      <c r="U24" s="388">
        <v>119310</v>
      </c>
      <c r="V24" s="387">
        <v>6003191110392</v>
      </c>
      <c r="W24" s="387">
        <v>6003191110392</v>
      </c>
      <c r="X24" s="387" t="s">
        <v>543</v>
      </c>
      <c r="Y24" s="387" t="s">
        <v>543</v>
      </c>
      <c r="Z24" s="387" t="s">
        <v>543</v>
      </c>
      <c r="AA24" s="388" t="s">
        <v>543</v>
      </c>
      <c r="AB24" s="388" t="s">
        <v>543</v>
      </c>
      <c r="AC24" s="387">
        <v>759139008</v>
      </c>
      <c r="AD24" s="389" t="s">
        <v>1868</v>
      </c>
      <c r="AE24" s="390">
        <v>44317</v>
      </c>
      <c r="AF24" s="390">
        <v>45412</v>
      </c>
      <c r="AG24" s="391" t="s">
        <v>545</v>
      </c>
      <c r="AH24" s="391" t="s">
        <v>1869</v>
      </c>
      <c r="AI24" s="391" t="s">
        <v>1870</v>
      </c>
      <c r="AJ24" s="391">
        <v>0</v>
      </c>
      <c r="AK24" s="390">
        <v>44317</v>
      </c>
      <c r="AL24" s="389">
        <v>100</v>
      </c>
      <c r="AM24" s="391" t="s">
        <v>548</v>
      </c>
      <c r="AN24" s="391" t="s">
        <v>549</v>
      </c>
      <c r="AO24" s="391" t="s">
        <v>1871</v>
      </c>
    </row>
    <row r="25" spans="1:41" ht="16" thickBot="1">
      <c r="A25" s="387" t="s">
        <v>1717</v>
      </c>
      <c r="B25" s="387" t="s">
        <v>965</v>
      </c>
      <c r="C25" s="387" t="s">
        <v>1872</v>
      </c>
      <c r="D25" s="387" t="s">
        <v>1873</v>
      </c>
      <c r="E25" s="387">
        <v>100</v>
      </c>
      <c r="F25" s="387" t="s">
        <v>559</v>
      </c>
      <c r="G25" s="387">
        <v>100</v>
      </c>
      <c r="H25" s="387" t="s">
        <v>559</v>
      </c>
      <c r="I25" s="387" t="s">
        <v>560</v>
      </c>
      <c r="J25" s="387" t="s">
        <v>1874</v>
      </c>
      <c r="K25" s="387" t="s">
        <v>1875</v>
      </c>
      <c r="L25" s="387" t="s">
        <v>1876</v>
      </c>
      <c r="M25" s="387" t="s">
        <v>1877</v>
      </c>
      <c r="N25" s="388">
        <v>28.09</v>
      </c>
      <c r="O25" s="388">
        <v>14</v>
      </c>
      <c r="P25" s="387" t="s">
        <v>538</v>
      </c>
      <c r="Q25" s="387" t="s">
        <v>539</v>
      </c>
      <c r="R25" s="387" t="s">
        <v>1878</v>
      </c>
      <c r="S25" s="387" t="s">
        <v>171</v>
      </c>
      <c r="T25" s="387" t="s">
        <v>542</v>
      </c>
      <c r="U25" s="388">
        <v>112226</v>
      </c>
      <c r="V25" s="387">
        <v>6009701930948</v>
      </c>
      <c r="W25" s="387" t="s">
        <v>543</v>
      </c>
      <c r="X25" s="387" t="s">
        <v>543</v>
      </c>
      <c r="Y25" s="387" t="s">
        <v>543</v>
      </c>
      <c r="Z25" s="387" t="s">
        <v>543</v>
      </c>
      <c r="AA25" s="388" t="s">
        <v>543</v>
      </c>
      <c r="AB25" s="388" t="s">
        <v>543</v>
      </c>
      <c r="AC25" s="387">
        <v>3003454001</v>
      </c>
      <c r="AD25" s="389">
        <v>50</v>
      </c>
      <c r="AE25" s="390">
        <v>45047</v>
      </c>
      <c r="AF25" s="390">
        <v>46142</v>
      </c>
      <c r="AG25" s="391" t="s">
        <v>545</v>
      </c>
      <c r="AH25" s="391" t="s">
        <v>1879</v>
      </c>
      <c r="AI25" s="391" t="s">
        <v>1880</v>
      </c>
      <c r="AJ25" s="391">
        <v>0</v>
      </c>
      <c r="AK25" s="390">
        <v>45047</v>
      </c>
      <c r="AL25" s="389">
        <v>100</v>
      </c>
      <c r="AM25" s="391" t="s">
        <v>548</v>
      </c>
      <c r="AN25" s="391" t="s">
        <v>549</v>
      </c>
      <c r="AO25" s="391" t="s">
        <v>1881</v>
      </c>
    </row>
    <row r="26" spans="1:41" ht="16" thickBot="1">
      <c r="A26" s="387" t="s">
        <v>1717</v>
      </c>
      <c r="B26" s="387" t="s">
        <v>537</v>
      </c>
      <c r="C26" s="387" t="s">
        <v>1882</v>
      </c>
      <c r="D26" s="387" t="s">
        <v>1883</v>
      </c>
      <c r="E26" s="387">
        <v>28</v>
      </c>
      <c r="F26" s="387" t="s">
        <v>559</v>
      </c>
      <c r="G26" s="387">
        <v>28</v>
      </c>
      <c r="H26" s="387" t="s">
        <v>559</v>
      </c>
      <c r="I26" s="387" t="s">
        <v>560</v>
      </c>
      <c r="J26" s="387" t="s">
        <v>1874</v>
      </c>
      <c r="K26" s="387" t="s">
        <v>1875</v>
      </c>
      <c r="L26" s="387" t="s">
        <v>1876</v>
      </c>
      <c r="M26" s="387" t="s">
        <v>1877</v>
      </c>
      <c r="N26" s="388">
        <v>8.94</v>
      </c>
      <c r="O26" s="388">
        <v>14</v>
      </c>
      <c r="P26" s="387" t="s">
        <v>538</v>
      </c>
      <c r="Q26" s="387" t="s">
        <v>539</v>
      </c>
      <c r="R26" s="387" t="s">
        <v>1878</v>
      </c>
      <c r="S26" s="387" t="s">
        <v>171</v>
      </c>
      <c r="T26" s="387" t="s">
        <v>542</v>
      </c>
      <c r="U26" s="388">
        <v>419010</v>
      </c>
      <c r="V26" s="387">
        <v>6009540000222</v>
      </c>
      <c r="W26" s="387" t="s">
        <v>543</v>
      </c>
      <c r="X26" s="387" t="s">
        <v>543</v>
      </c>
      <c r="Y26" s="387" t="s">
        <v>543</v>
      </c>
      <c r="Z26" s="387" t="s">
        <v>543</v>
      </c>
      <c r="AA26" s="388" t="s">
        <v>543</v>
      </c>
      <c r="AB26" s="388" t="s">
        <v>543</v>
      </c>
      <c r="AC26" s="387" t="s">
        <v>543</v>
      </c>
      <c r="AD26" s="389">
        <v>100</v>
      </c>
      <c r="AE26" s="390">
        <v>45047</v>
      </c>
      <c r="AF26" s="390">
        <v>46142</v>
      </c>
      <c r="AG26" s="391" t="s">
        <v>545</v>
      </c>
      <c r="AH26" s="391" t="s">
        <v>1884</v>
      </c>
      <c r="AI26" s="391" t="s">
        <v>1880</v>
      </c>
      <c r="AJ26" s="391">
        <v>0</v>
      </c>
      <c r="AK26" s="390">
        <v>45047</v>
      </c>
      <c r="AL26" s="389">
        <v>60</v>
      </c>
      <c r="AM26" s="391" t="s">
        <v>548</v>
      </c>
      <c r="AN26" s="391" t="s">
        <v>549</v>
      </c>
      <c r="AO26" s="391" t="s">
        <v>1881</v>
      </c>
    </row>
    <row r="27" spans="1:41" ht="16" thickBot="1">
      <c r="A27" s="387" t="s">
        <v>1717</v>
      </c>
      <c r="B27" s="387" t="s">
        <v>537</v>
      </c>
      <c r="C27" s="387" t="s">
        <v>1882</v>
      </c>
      <c r="D27" s="387" t="s">
        <v>1883</v>
      </c>
      <c r="E27" s="387">
        <v>28</v>
      </c>
      <c r="F27" s="387" t="s">
        <v>559</v>
      </c>
      <c r="G27" s="387">
        <v>28</v>
      </c>
      <c r="H27" s="387" t="s">
        <v>559</v>
      </c>
      <c r="I27" s="387" t="s">
        <v>560</v>
      </c>
      <c r="J27" s="387" t="s">
        <v>1874</v>
      </c>
      <c r="K27" s="387" t="s">
        <v>1885</v>
      </c>
      <c r="L27" s="387" t="s">
        <v>1886</v>
      </c>
      <c r="M27" s="387" t="s">
        <v>1887</v>
      </c>
      <c r="N27" s="388">
        <v>9.4</v>
      </c>
      <c r="O27" s="388">
        <v>14</v>
      </c>
      <c r="P27" s="387" t="s">
        <v>538</v>
      </c>
      <c r="Q27" s="387" t="s">
        <v>539</v>
      </c>
      <c r="R27" s="387" t="s">
        <v>1878</v>
      </c>
      <c r="S27" s="387" t="s">
        <v>171</v>
      </c>
      <c r="T27" s="387" t="s">
        <v>542</v>
      </c>
      <c r="U27" s="388">
        <v>279340</v>
      </c>
      <c r="V27" s="387">
        <v>6009691113536</v>
      </c>
      <c r="W27" s="387" t="s">
        <v>543</v>
      </c>
      <c r="X27" s="387" t="s">
        <v>543</v>
      </c>
      <c r="Y27" s="387">
        <v>16009691113533</v>
      </c>
      <c r="Z27" s="387" t="s">
        <v>543</v>
      </c>
      <c r="AA27" s="388" t="s">
        <v>543</v>
      </c>
      <c r="AB27" s="388" t="s">
        <v>543</v>
      </c>
      <c r="AC27" s="387" t="s">
        <v>1888</v>
      </c>
      <c r="AD27" s="389">
        <v>10</v>
      </c>
      <c r="AE27" s="390">
        <v>45047</v>
      </c>
      <c r="AF27" s="390">
        <v>46142</v>
      </c>
      <c r="AG27" s="391" t="s">
        <v>545</v>
      </c>
      <c r="AH27" s="391" t="s">
        <v>1884</v>
      </c>
      <c r="AI27" s="391" t="s">
        <v>1889</v>
      </c>
      <c r="AJ27" s="391">
        <v>0</v>
      </c>
      <c r="AK27" s="390">
        <v>45047</v>
      </c>
      <c r="AL27" s="389">
        <v>40</v>
      </c>
      <c r="AM27" s="391" t="s">
        <v>548</v>
      </c>
      <c r="AN27" s="391" t="s">
        <v>549</v>
      </c>
      <c r="AO27" s="391" t="s">
        <v>1881</v>
      </c>
    </row>
    <row r="28" spans="1:41" ht="16" thickBot="1">
      <c r="A28" s="387" t="s">
        <v>1717</v>
      </c>
      <c r="B28" s="387" t="s">
        <v>1890</v>
      </c>
      <c r="C28" s="387" t="s">
        <v>1891</v>
      </c>
      <c r="D28" s="387" t="s">
        <v>1892</v>
      </c>
      <c r="E28" s="387">
        <v>60</v>
      </c>
      <c r="F28" s="387" t="s">
        <v>559</v>
      </c>
      <c r="G28" s="387">
        <v>56</v>
      </c>
      <c r="H28" s="387" t="s">
        <v>559</v>
      </c>
      <c r="I28" s="387" t="s">
        <v>560</v>
      </c>
      <c r="J28" s="387" t="s">
        <v>1874</v>
      </c>
      <c r="K28" s="387" t="s">
        <v>1875</v>
      </c>
      <c r="L28" s="387" t="s">
        <v>1876</v>
      </c>
      <c r="M28" s="387" t="s">
        <v>1877</v>
      </c>
      <c r="N28" s="388">
        <v>15.9</v>
      </c>
      <c r="O28" s="388">
        <v>14</v>
      </c>
      <c r="P28" s="387" t="s">
        <v>538</v>
      </c>
      <c r="Q28" s="387" t="s">
        <v>539</v>
      </c>
      <c r="R28" s="387" t="s">
        <v>1878</v>
      </c>
      <c r="S28" s="387" t="s">
        <v>171</v>
      </c>
      <c r="T28" s="387" t="s">
        <v>542</v>
      </c>
      <c r="U28" s="388">
        <v>311858</v>
      </c>
      <c r="V28" s="387" t="s">
        <v>543</v>
      </c>
      <c r="W28" s="387" t="s">
        <v>543</v>
      </c>
      <c r="X28" s="387" t="s">
        <v>543</v>
      </c>
      <c r="Y28" s="387" t="s">
        <v>543</v>
      </c>
      <c r="Z28" s="387" t="s">
        <v>543</v>
      </c>
      <c r="AA28" s="388" t="s">
        <v>543</v>
      </c>
      <c r="AB28" s="388" t="s">
        <v>543</v>
      </c>
      <c r="AC28" s="387" t="s">
        <v>543</v>
      </c>
      <c r="AD28" s="389">
        <v>100</v>
      </c>
      <c r="AE28" s="390">
        <v>45047</v>
      </c>
      <c r="AF28" s="390">
        <v>46142</v>
      </c>
      <c r="AG28" s="391" t="s">
        <v>545</v>
      </c>
      <c r="AH28" s="391" t="s">
        <v>1893</v>
      </c>
      <c r="AI28" s="391" t="s">
        <v>1880</v>
      </c>
      <c r="AJ28" s="391">
        <v>0</v>
      </c>
      <c r="AK28" s="390">
        <v>45047</v>
      </c>
      <c r="AL28" s="389">
        <v>100</v>
      </c>
      <c r="AM28" s="391" t="s">
        <v>548</v>
      </c>
      <c r="AN28" s="391" t="s">
        <v>549</v>
      </c>
      <c r="AO28" s="391" t="s">
        <v>1881</v>
      </c>
    </row>
    <row r="29" spans="1:41" ht="16" thickBot="1">
      <c r="A29" s="387" t="s">
        <v>1717</v>
      </c>
      <c r="B29" s="387" t="s">
        <v>1704</v>
      </c>
      <c r="C29" s="387" t="s">
        <v>1894</v>
      </c>
      <c r="D29" s="387" t="s">
        <v>1895</v>
      </c>
      <c r="E29" s="387">
        <v>30</v>
      </c>
      <c r="F29" s="387" t="s">
        <v>559</v>
      </c>
      <c r="G29" s="387">
        <v>30</v>
      </c>
      <c r="H29" s="387" t="s">
        <v>559</v>
      </c>
      <c r="I29" s="387" t="s">
        <v>560</v>
      </c>
      <c r="J29" s="387" t="s">
        <v>1874</v>
      </c>
      <c r="K29" s="387" t="s">
        <v>1896</v>
      </c>
      <c r="L29" s="387" t="s">
        <v>654</v>
      </c>
      <c r="M29" s="387" t="s">
        <v>655</v>
      </c>
      <c r="N29" s="388">
        <v>16.940000000000001</v>
      </c>
      <c r="O29" s="388">
        <v>14</v>
      </c>
      <c r="P29" s="387" t="s">
        <v>538</v>
      </c>
      <c r="Q29" s="387" t="s">
        <v>539</v>
      </c>
      <c r="R29" s="387" t="s">
        <v>1878</v>
      </c>
      <c r="S29" s="387" t="s">
        <v>171</v>
      </c>
      <c r="T29" s="387" t="s">
        <v>542</v>
      </c>
      <c r="U29" s="388">
        <v>748778</v>
      </c>
      <c r="V29" s="387">
        <v>6004405008858</v>
      </c>
      <c r="W29" s="387">
        <v>6004405008858</v>
      </c>
      <c r="X29" s="387" t="s">
        <v>543</v>
      </c>
      <c r="Y29" s="387">
        <v>16004405008549</v>
      </c>
      <c r="Z29" s="387" t="s">
        <v>543</v>
      </c>
      <c r="AA29" s="388" t="s">
        <v>543</v>
      </c>
      <c r="AB29" s="388" t="s">
        <v>543</v>
      </c>
      <c r="AC29" s="387">
        <v>719128001</v>
      </c>
      <c r="AD29" s="389">
        <v>50</v>
      </c>
      <c r="AE29" s="390">
        <v>45047</v>
      </c>
      <c r="AF29" s="390">
        <v>46142</v>
      </c>
      <c r="AG29" s="391" t="s">
        <v>545</v>
      </c>
      <c r="AH29" s="391" t="s">
        <v>1897</v>
      </c>
      <c r="AI29" s="391" t="s">
        <v>658</v>
      </c>
      <c r="AJ29" s="391">
        <v>0</v>
      </c>
      <c r="AK29" s="390">
        <v>45047</v>
      </c>
      <c r="AL29" s="389">
        <v>40</v>
      </c>
      <c r="AM29" s="391" t="s">
        <v>548</v>
      </c>
      <c r="AN29" s="391" t="s">
        <v>549</v>
      </c>
      <c r="AO29" s="391" t="s">
        <v>1898</v>
      </c>
    </row>
    <row r="30" spans="1:41" ht="16" thickBot="1">
      <c r="A30" s="387" t="s">
        <v>1717</v>
      </c>
      <c r="B30" s="387" t="s">
        <v>1704</v>
      </c>
      <c r="C30" s="387" t="s">
        <v>1894</v>
      </c>
      <c r="D30" s="387" t="s">
        <v>1895</v>
      </c>
      <c r="E30" s="387">
        <v>30</v>
      </c>
      <c r="F30" s="387" t="s">
        <v>559</v>
      </c>
      <c r="G30" s="387">
        <v>30</v>
      </c>
      <c r="H30" s="387" t="s">
        <v>559</v>
      </c>
      <c r="I30" s="387" t="s">
        <v>560</v>
      </c>
      <c r="J30" s="387" t="s">
        <v>1874</v>
      </c>
      <c r="K30" s="387" t="s">
        <v>1899</v>
      </c>
      <c r="L30" s="387" t="s">
        <v>1886</v>
      </c>
      <c r="M30" s="387" t="s">
        <v>1887</v>
      </c>
      <c r="N30" s="388">
        <v>17.07</v>
      </c>
      <c r="O30" s="388">
        <v>14</v>
      </c>
      <c r="P30" s="387" t="s">
        <v>538</v>
      </c>
      <c r="Q30" s="387" t="s">
        <v>539</v>
      </c>
      <c r="R30" s="387" t="s">
        <v>1878</v>
      </c>
      <c r="S30" s="387" t="s">
        <v>171</v>
      </c>
      <c r="T30" s="387" t="s">
        <v>542</v>
      </c>
      <c r="U30" s="388">
        <v>1123167</v>
      </c>
      <c r="V30" s="387">
        <v>6009691113550</v>
      </c>
      <c r="W30" s="387" t="s">
        <v>543</v>
      </c>
      <c r="X30" s="387" t="s">
        <v>543</v>
      </c>
      <c r="Y30" s="387">
        <v>16009691113557</v>
      </c>
      <c r="Z30" s="387" t="s">
        <v>543</v>
      </c>
      <c r="AA30" s="388" t="s">
        <v>543</v>
      </c>
      <c r="AB30" s="388" t="s">
        <v>543</v>
      </c>
      <c r="AC30" s="387" t="s">
        <v>1900</v>
      </c>
      <c r="AD30" s="389">
        <v>10</v>
      </c>
      <c r="AE30" s="390">
        <v>45047</v>
      </c>
      <c r="AF30" s="390">
        <v>46142</v>
      </c>
      <c r="AG30" s="391" t="s">
        <v>545</v>
      </c>
      <c r="AH30" s="391" t="s">
        <v>1897</v>
      </c>
      <c r="AI30" s="391" t="s">
        <v>1889</v>
      </c>
      <c r="AJ30" s="391">
        <v>0</v>
      </c>
      <c r="AK30" s="390">
        <v>45047</v>
      </c>
      <c r="AL30" s="389">
        <v>60</v>
      </c>
      <c r="AM30" s="391" t="s">
        <v>548</v>
      </c>
      <c r="AN30" s="391" t="s">
        <v>549</v>
      </c>
      <c r="AO30" s="391" t="s">
        <v>1898</v>
      </c>
    </row>
    <row r="31" spans="1:41" ht="16" thickBot="1">
      <c r="A31" s="387" t="s">
        <v>1717</v>
      </c>
      <c r="B31" s="387" t="s">
        <v>992</v>
      </c>
      <c r="C31" s="387" t="s">
        <v>1901</v>
      </c>
      <c r="D31" s="387" t="s">
        <v>1902</v>
      </c>
      <c r="E31" s="387">
        <v>30</v>
      </c>
      <c r="F31" s="387" t="s">
        <v>559</v>
      </c>
      <c r="G31" s="387">
        <v>30</v>
      </c>
      <c r="H31" s="387" t="s">
        <v>559</v>
      </c>
      <c r="I31" s="387" t="s">
        <v>560</v>
      </c>
      <c r="J31" s="387" t="s">
        <v>1903</v>
      </c>
      <c r="K31" s="387" t="s">
        <v>1904</v>
      </c>
      <c r="L31" s="387" t="s">
        <v>1905</v>
      </c>
      <c r="M31" s="387" t="s">
        <v>1906</v>
      </c>
      <c r="N31" s="388">
        <v>15.94</v>
      </c>
      <c r="O31" s="388">
        <v>14</v>
      </c>
      <c r="P31" s="387" t="s">
        <v>538</v>
      </c>
      <c r="Q31" s="387" t="s">
        <v>539</v>
      </c>
      <c r="R31" s="387" t="s">
        <v>1907</v>
      </c>
      <c r="S31" s="387" t="s">
        <v>614</v>
      </c>
      <c r="T31" s="387" t="s">
        <v>1908</v>
      </c>
      <c r="U31" s="388">
        <v>98528</v>
      </c>
      <c r="V31" s="387">
        <v>6006823005868</v>
      </c>
      <c r="W31" s="387" t="s">
        <v>543</v>
      </c>
      <c r="X31" s="387" t="s">
        <v>543</v>
      </c>
      <c r="Y31" s="387" t="s">
        <v>543</v>
      </c>
      <c r="Z31" s="387" t="s">
        <v>543</v>
      </c>
      <c r="AA31" s="388" t="s">
        <v>543</v>
      </c>
      <c r="AB31" s="388" t="s">
        <v>543</v>
      </c>
      <c r="AC31" s="387" t="s">
        <v>543</v>
      </c>
      <c r="AD31" s="389">
        <v>10</v>
      </c>
      <c r="AE31" s="390">
        <v>45047</v>
      </c>
      <c r="AF31" s="390">
        <v>46142</v>
      </c>
      <c r="AG31" s="391" t="s">
        <v>545</v>
      </c>
      <c r="AH31" s="391" t="s">
        <v>1909</v>
      </c>
      <c r="AI31" s="391" t="s">
        <v>1910</v>
      </c>
      <c r="AJ31" s="391">
        <v>0</v>
      </c>
      <c r="AK31" s="390">
        <v>45047</v>
      </c>
      <c r="AL31" s="389">
        <v>100</v>
      </c>
      <c r="AM31" s="391" t="s">
        <v>548</v>
      </c>
      <c r="AN31" s="391" t="s">
        <v>549</v>
      </c>
      <c r="AO31" s="391" t="s">
        <v>1911</v>
      </c>
    </row>
    <row r="32" spans="1:41" ht="16" thickBot="1">
      <c r="A32" s="387" t="s">
        <v>1748</v>
      </c>
      <c r="B32" s="387" t="s">
        <v>581</v>
      </c>
      <c r="C32" s="387" t="s">
        <v>1912</v>
      </c>
      <c r="D32" s="387" t="s">
        <v>1913</v>
      </c>
      <c r="E32" s="387">
        <v>1</v>
      </c>
      <c r="F32" s="387" t="s">
        <v>531</v>
      </c>
      <c r="G32" s="387">
        <v>1</v>
      </c>
      <c r="H32" s="387" t="s">
        <v>531</v>
      </c>
      <c r="I32" s="387" t="s">
        <v>1751</v>
      </c>
      <c r="J32" s="387" t="s">
        <v>1914</v>
      </c>
      <c r="K32" s="387" t="s">
        <v>1915</v>
      </c>
      <c r="L32" s="387" t="s">
        <v>1916</v>
      </c>
      <c r="M32" s="387" t="s">
        <v>1917</v>
      </c>
      <c r="N32" s="388">
        <v>2744.6</v>
      </c>
      <c r="O32" s="388">
        <v>14</v>
      </c>
      <c r="P32" s="387" t="s">
        <v>538</v>
      </c>
      <c r="Q32" s="387" t="s">
        <v>539</v>
      </c>
      <c r="R32" s="387" t="s">
        <v>1918</v>
      </c>
      <c r="S32" s="387" t="s">
        <v>541</v>
      </c>
      <c r="T32" s="387" t="s">
        <v>757</v>
      </c>
      <c r="U32" s="388">
        <v>6250</v>
      </c>
      <c r="V32" s="387">
        <v>6005561001422</v>
      </c>
      <c r="W32" s="387" t="s">
        <v>543</v>
      </c>
      <c r="X32" s="387" t="s">
        <v>543</v>
      </c>
      <c r="Y32" s="387" t="s">
        <v>543</v>
      </c>
      <c r="Z32" s="387" t="s">
        <v>543</v>
      </c>
      <c r="AA32" s="388" t="s">
        <v>543</v>
      </c>
      <c r="AB32" s="388" t="s">
        <v>543</v>
      </c>
      <c r="AC32" s="387">
        <v>757802028</v>
      </c>
      <c r="AD32" s="389">
        <v>5</v>
      </c>
      <c r="AE32" s="390">
        <v>44317</v>
      </c>
      <c r="AF32" s="390">
        <v>45412</v>
      </c>
      <c r="AG32" s="391" t="s">
        <v>545</v>
      </c>
      <c r="AH32" s="391" t="s">
        <v>1919</v>
      </c>
      <c r="AI32" s="391" t="s">
        <v>1920</v>
      </c>
      <c r="AJ32" s="391">
        <v>0</v>
      </c>
      <c r="AK32" s="390">
        <v>44317</v>
      </c>
      <c r="AL32" s="389">
        <v>100</v>
      </c>
      <c r="AM32" s="391" t="s">
        <v>548</v>
      </c>
      <c r="AN32" s="391" t="s">
        <v>549</v>
      </c>
      <c r="AO32" s="391" t="s">
        <v>1921</v>
      </c>
    </row>
    <row r="33" spans="1:41" ht="16" thickBot="1">
      <c r="A33" s="387" t="s">
        <v>1922</v>
      </c>
      <c r="B33" s="387" t="s">
        <v>637</v>
      </c>
      <c r="C33" s="387" t="s">
        <v>1923</v>
      </c>
      <c r="D33" s="387" t="s">
        <v>1924</v>
      </c>
      <c r="E33" s="387">
        <v>1</v>
      </c>
      <c r="F33" s="387" t="s">
        <v>1780</v>
      </c>
      <c r="G33" s="387">
        <v>1</v>
      </c>
      <c r="H33" s="387" t="s">
        <v>1780</v>
      </c>
      <c r="I33" s="387" t="s">
        <v>1751</v>
      </c>
      <c r="J33" s="387" t="s">
        <v>1925</v>
      </c>
      <c r="K33" s="387" t="s">
        <v>1926</v>
      </c>
      <c r="L33" s="387" t="s">
        <v>1927</v>
      </c>
      <c r="M33" s="387" t="s">
        <v>1928</v>
      </c>
      <c r="N33" s="388">
        <v>7232.1</v>
      </c>
      <c r="O33" s="388">
        <v>14</v>
      </c>
      <c r="P33" s="387" t="s">
        <v>538</v>
      </c>
      <c r="Q33" s="387" t="s">
        <v>539</v>
      </c>
      <c r="R33" s="387" t="s">
        <v>1929</v>
      </c>
      <c r="S33" s="387" t="s">
        <v>541</v>
      </c>
      <c r="T33" s="387" t="s">
        <v>757</v>
      </c>
      <c r="U33" s="388">
        <v>7960</v>
      </c>
      <c r="V33" s="387">
        <v>6006127000019</v>
      </c>
      <c r="W33" s="387">
        <v>6006127000016</v>
      </c>
      <c r="X33" s="387" t="s">
        <v>543</v>
      </c>
      <c r="Y33" s="387">
        <v>6006127000014</v>
      </c>
      <c r="Z33" s="387" t="s">
        <v>543</v>
      </c>
      <c r="AA33" s="388" t="s">
        <v>543</v>
      </c>
      <c r="AB33" s="388" t="s">
        <v>543</v>
      </c>
      <c r="AC33" s="387">
        <v>863548008</v>
      </c>
      <c r="AD33" s="389" t="s">
        <v>1930</v>
      </c>
      <c r="AE33" s="390">
        <v>44620</v>
      </c>
      <c r="AF33" s="390">
        <v>45412</v>
      </c>
      <c r="AG33" s="391" t="s">
        <v>545</v>
      </c>
      <c r="AH33" s="391" t="s">
        <v>1931</v>
      </c>
      <c r="AI33" s="391" t="s">
        <v>1932</v>
      </c>
      <c r="AJ33" s="391">
        <v>0</v>
      </c>
      <c r="AK33" s="390">
        <v>44620</v>
      </c>
      <c r="AL33" s="389">
        <v>100</v>
      </c>
      <c r="AM33" s="391" t="s">
        <v>548</v>
      </c>
      <c r="AN33" s="391" t="s">
        <v>549</v>
      </c>
      <c r="AO33" s="391" t="s">
        <v>1933</v>
      </c>
    </row>
    <row r="34" spans="1:41" ht="16" thickBot="1">
      <c r="A34" s="387" t="s">
        <v>1729</v>
      </c>
      <c r="B34" s="387" t="s">
        <v>686</v>
      </c>
      <c r="C34" s="387" t="s">
        <v>1934</v>
      </c>
      <c r="D34" s="387" t="s">
        <v>1935</v>
      </c>
      <c r="E34" s="387">
        <v>500</v>
      </c>
      <c r="F34" s="387" t="s">
        <v>531</v>
      </c>
      <c r="G34" s="387">
        <v>500</v>
      </c>
      <c r="H34" s="387" t="s">
        <v>531</v>
      </c>
      <c r="I34" s="387" t="s">
        <v>744</v>
      </c>
      <c r="J34" s="387" t="s">
        <v>1936</v>
      </c>
      <c r="K34" s="387" t="s">
        <v>1937</v>
      </c>
      <c r="L34" s="387" t="s">
        <v>1809</v>
      </c>
      <c r="M34" s="387" t="s">
        <v>1810</v>
      </c>
      <c r="N34" s="388">
        <v>20.57</v>
      </c>
      <c r="O34" s="388">
        <v>14</v>
      </c>
      <c r="P34" s="387" t="s">
        <v>538</v>
      </c>
      <c r="Q34" s="387" t="s">
        <v>539</v>
      </c>
      <c r="R34" s="387" t="s">
        <v>1938</v>
      </c>
      <c r="S34" s="387" t="s">
        <v>171</v>
      </c>
      <c r="T34" s="387" t="s">
        <v>757</v>
      </c>
      <c r="U34" s="388">
        <v>422151</v>
      </c>
      <c r="V34" s="387" t="s">
        <v>543</v>
      </c>
      <c r="W34" s="387" t="s">
        <v>543</v>
      </c>
      <c r="X34" s="387" t="s">
        <v>543</v>
      </c>
      <c r="Y34" s="387" t="s">
        <v>543</v>
      </c>
      <c r="Z34" s="387" t="s">
        <v>543</v>
      </c>
      <c r="AA34" s="388" t="s">
        <v>543</v>
      </c>
      <c r="AB34" s="388" t="s">
        <v>543</v>
      </c>
      <c r="AC34" s="387" t="s">
        <v>543</v>
      </c>
      <c r="AD34" s="389">
        <v>24</v>
      </c>
      <c r="AE34" s="390">
        <v>44105</v>
      </c>
      <c r="AF34" s="390">
        <v>45199</v>
      </c>
      <c r="AG34" s="390">
        <v>45199</v>
      </c>
      <c r="AH34" s="391" t="s">
        <v>1939</v>
      </c>
      <c r="AI34" s="391" t="s">
        <v>1813</v>
      </c>
      <c r="AJ34" s="391">
        <v>0</v>
      </c>
      <c r="AK34" s="390">
        <v>44105</v>
      </c>
      <c r="AL34" s="389">
        <v>100</v>
      </c>
      <c r="AM34" s="391" t="s">
        <v>548</v>
      </c>
      <c r="AN34" s="391" t="s">
        <v>545</v>
      </c>
      <c r="AO34" s="391" t="s">
        <v>1940</v>
      </c>
    </row>
    <row r="35" spans="1:41" ht="16" thickBot="1">
      <c r="A35" s="387" t="s">
        <v>1717</v>
      </c>
      <c r="B35" s="387" t="s">
        <v>544</v>
      </c>
      <c r="C35" s="387" t="s">
        <v>1941</v>
      </c>
      <c r="D35" s="387" t="s">
        <v>1942</v>
      </c>
      <c r="E35" s="387">
        <v>20</v>
      </c>
      <c r="F35" s="387" t="s">
        <v>584</v>
      </c>
      <c r="G35" s="387">
        <v>20</v>
      </c>
      <c r="H35" s="387" t="s">
        <v>584</v>
      </c>
      <c r="I35" s="387" t="s">
        <v>585</v>
      </c>
      <c r="J35" s="387" t="s">
        <v>1943</v>
      </c>
      <c r="K35" s="387" t="s">
        <v>1944</v>
      </c>
      <c r="L35" s="387" t="s">
        <v>1945</v>
      </c>
      <c r="M35" s="387" t="s">
        <v>1946</v>
      </c>
      <c r="N35" s="388">
        <v>107.34</v>
      </c>
      <c r="O35" s="388">
        <v>14</v>
      </c>
      <c r="P35" s="387" t="s">
        <v>611</v>
      </c>
      <c r="Q35" s="387" t="s">
        <v>612</v>
      </c>
      <c r="R35" s="387" t="s">
        <v>1947</v>
      </c>
      <c r="S35" s="387" t="s">
        <v>614</v>
      </c>
      <c r="T35" s="387" t="s">
        <v>160</v>
      </c>
      <c r="U35" s="388">
        <v>54820</v>
      </c>
      <c r="V35" s="387">
        <v>6005534000667</v>
      </c>
      <c r="W35" s="387">
        <v>6005534000667</v>
      </c>
      <c r="X35" s="387" t="s">
        <v>543</v>
      </c>
      <c r="Y35" s="387" t="s">
        <v>543</v>
      </c>
      <c r="Z35" s="387" t="s">
        <v>543</v>
      </c>
      <c r="AA35" s="388" t="s">
        <v>543</v>
      </c>
      <c r="AB35" s="388" t="s">
        <v>543</v>
      </c>
      <c r="AC35" s="387">
        <v>768243009</v>
      </c>
      <c r="AD35" s="389">
        <v>1</v>
      </c>
      <c r="AE35" s="390">
        <v>45047</v>
      </c>
      <c r="AF35" s="390">
        <v>46142</v>
      </c>
      <c r="AG35" s="391" t="s">
        <v>545</v>
      </c>
      <c r="AH35" s="391" t="s">
        <v>1948</v>
      </c>
      <c r="AI35" s="391" t="s">
        <v>1949</v>
      </c>
      <c r="AJ35" s="391">
        <v>0</v>
      </c>
      <c r="AK35" s="390">
        <v>45047</v>
      </c>
      <c r="AL35" s="389">
        <v>100</v>
      </c>
      <c r="AM35" s="391" t="s">
        <v>548</v>
      </c>
      <c r="AN35" s="391" t="s">
        <v>549</v>
      </c>
      <c r="AO35" s="391" t="s">
        <v>1950</v>
      </c>
    </row>
    <row r="36" spans="1:41" ht="16" thickBot="1">
      <c r="A36" s="387" t="s">
        <v>1766</v>
      </c>
      <c r="B36" s="387" t="s">
        <v>581</v>
      </c>
      <c r="C36" s="387" t="s">
        <v>1951</v>
      </c>
      <c r="D36" s="387" t="s">
        <v>1952</v>
      </c>
      <c r="E36" s="387">
        <v>2</v>
      </c>
      <c r="F36" s="387" t="s">
        <v>531</v>
      </c>
      <c r="G36" s="387">
        <v>2</v>
      </c>
      <c r="H36" s="387" t="s">
        <v>531</v>
      </c>
      <c r="I36" s="387" t="s">
        <v>1751</v>
      </c>
      <c r="J36" s="387" t="s">
        <v>1953</v>
      </c>
      <c r="K36" s="387" t="s">
        <v>1954</v>
      </c>
      <c r="L36" s="387" t="s">
        <v>1955</v>
      </c>
      <c r="M36" s="387" t="s">
        <v>1956</v>
      </c>
      <c r="N36" s="388">
        <v>12.32</v>
      </c>
      <c r="O36" s="388">
        <v>14</v>
      </c>
      <c r="P36" s="387" t="s">
        <v>538</v>
      </c>
      <c r="Q36" s="387" t="s">
        <v>539</v>
      </c>
      <c r="R36" s="387" t="s">
        <v>1957</v>
      </c>
      <c r="S36" s="387" t="s">
        <v>541</v>
      </c>
      <c r="T36" s="387" t="s">
        <v>757</v>
      </c>
      <c r="U36" s="388">
        <v>155000</v>
      </c>
      <c r="V36" s="387">
        <v>6006267000863</v>
      </c>
      <c r="W36" s="387">
        <v>6006267000863</v>
      </c>
      <c r="X36" s="387" t="s">
        <v>543</v>
      </c>
      <c r="Y36" s="387">
        <v>16006267000860</v>
      </c>
      <c r="Z36" s="387">
        <v>16006267000860</v>
      </c>
      <c r="AA36" s="388" t="s">
        <v>543</v>
      </c>
      <c r="AB36" s="388" t="s">
        <v>543</v>
      </c>
      <c r="AC36" s="387">
        <v>701065006</v>
      </c>
      <c r="AD36" s="389">
        <v>10</v>
      </c>
      <c r="AE36" s="390">
        <v>44470</v>
      </c>
      <c r="AF36" s="390">
        <v>45199</v>
      </c>
      <c r="AG36" s="391" t="s">
        <v>545</v>
      </c>
      <c r="AH36" s="391" t="s">
        <v>1958</v>
      </c>
      <c r="AI36" s="391" t="s">
        <v>1959</v>
      </c>
      <c r="AJ36" s="391">
        <v>0</v>
      </c>
      <c r="AK36" s="390">
        <v>44470</v>
      </c>
      <c r="AL36" s="389">
        <v>100</v>
      </c>
      <c r="AM36" s="391" t="s">
        <v>548</v>
      </c>
      <c r="AN36" s="391" t="s">
        <v>549</v>
      </c>
      <c r="AO36" s="391" t="s">
        <v>1960</v>
      </c>
    </row>
    <row r="37" spans="1:41" ht="16" thickBot="1">
      <c r="A37" s="387" t="s">
        <v>1766</v>
      </c>
      <c r="B37" s="387" t="s">
        <v>637</v>
      </c>
      <c r="C37" s="387" t="s">
        <v>1961</v>
      </c>
      <c r="D37" s="387" t="s">
        <v>1962</v>
      </c>
      <c r="E37" s="387">
        <v>2</v>
      </c>
      <c r="F37" s="387" t="s">
        <v>531</v>
      </c>
      <c r="G37" s="387">
        <v>2</v>
      </c>
      <c r="H37" s="387" t="s">
        <v>531</v>
      </c>
      <c r="I37" s="387" t="s">
        <v>1751</v>
      </c>
      <c r="J37" s="387" t="s">
        <v>1953</v>
      </c>
      <c r="K37" s="387" t="s">
        <v>1963</v>
      </c>
      <c r="L37" s="387" t="s">
        <v>1955</v>
      </c>
      <c r="M37" s="387" t="s">
        <v>1956</v>
      </c>
      <c r="N37" s="388">
        <v>15.35</v>
      </c>
      <c r="O37" s="388">
        <v>14</v>
      </c>
      <c r="P37" s="387" t="s">
        <v>538</v>
      </c>
      <c r="Q37" s="387" t="s">
        <v>539</v>
      </c>
      <c r="R37" s="387" t="s">
        <v>1957</v>
      </c>
      <c r="S37" s="387" t="s">
        <v>541</v>
      </c>
      <c r="T37" s="387" t="s">
        <v>757</v>
      </c>
      <c r="U37" s="388">
        <v>31810</v>
      </c>
      <c r="V37" s="387">
        <v>6006267000870</v>
      </c>
      <c r="W37" s="387">
        <v>6006267000870</v>
      </c>
      <c r="X37" s="387" t="s">
        <v>543</v>
      </c>
      <c r="Y37" s="387">
        <v>16006267000877</v>
      </c>
      <c r="Z37" s="387" t="s">
        <v>543</v>
      </c>
      <c r="AA37" s="388" t="s">
        <v>543</v>
      </c>
      <c r="AB37" s="388" t="s">
        <v>543</v>
      </c>
      <c r="AC37" s="387">
        <v>701073002</v>
      </c>
      <c r="AD37" s="389">
        <v>10</v>
      </c>
      <c r="AE37" s="390">
        <v>44470</v>
      </c>
      <c r="AF37" s="390">
        <v>45199</v>
      </c>
      <c r="AG37" s="391" t="s">
        <v>545</v>
      </c>
      <c r="AH37" s="391" t="s">
        <v>1964</v>
      </c>
      <c r="AI37" s="391" t="s">
        <v>1959</v>
      </c>
      <c r="AJ37" s="391">
        <v>0</v>
      </c>
      <c r="AK37" s="390">
        <v>44470</v>
      </c>
      <c r="AL37" s="389">
        <v>100</v>
      </c>
      <c r="AM37" s="391" t="s">
        <v>548</v>
      </c>
      <c r="AN37" s="391" t="s">
        <v>549</v>
      </c>
      <c r="AO37" s="391" t="s">
        <v>1965</v>
      </c>
    </row>
    <row r="38" spans="1:41" ht="16" thickBot="1">
      <c r="A38" s="387" t="s">
        <v>1766</v>
      </c>
      <c r="B38" s="387" t="s">
        <v>556</v>
      </c>
      <c r="C38" s="387" t="s">
        <v>1966</v>
      </c>
      <c r="D38" s="387" t="s">
        <v>1967</v>
      </c>
      <c r="E38" s="387">
        <v>2</v>
      </c>
      <c r="F38" s="387" t="s">
        <v>531</v>
      </c>
      <c r="G38" s="387">
        <v>2</v>
      </c>
      <c r="H38" s="387" t="s">
        <v>531</v>
      </c>
      <c r="I38" s="387" t="s">
        <v>1751</v>
      </c>
      <c r="J38" s="387" t="s">
        <v>1953</v>
      </c>
      <c r="K38" s="387" t="s">
        <v>1968</v>
      </c>
      <c r="L38" s="387" t="s">
        <v>1955</v>
      </c>
      <c r="M38" s="387" t="s">
        <v>1956</v>
      </c>
      <c r="N38" s="388">
        <v>19.84</v>
      </c>
      <c r="O38" s="388">
        <v>14</v>
      </c>
      <c r="P38" s="387" t="s">
        <v>538</v>
      </c>
      <c r="Q38" s="387" t="s">
        <v>539</v>
      </c>
      <c r="R38" s="387" t="s">
        <v>1957</v>
      </c>
      <c r="S38" s="387" t="s">
        <v>541</v>
      </c>
      <c r="T38" s="387" t="s">
        <v>757</v>
      </c>
      <c r="U38" s="388">
        <v>308590</v>
      </c>
      <c r="V38" s="387">
        <v>6006267000887</v>
      </c>
      <c r="W38" s="387">
        <v>6006267000887</v>
      </c>
      <c r="X38" s="387" t="s">
        <v>543</v>
      </c>
      <c r="Y38" s="387">
        <v>16006267000884</v>
      </c>
      <c r="Z38" s="387">
        <v>16006267000884</v>
      </c>
      <c r="AA38" s="388" t="s">
        <v>543</v>
      </c>
      <c r="AB38" s="388" t="s">
        <v>543</v>
      </c>
      <c r="AC38" s="387">
        <v>701079003</v>
      </c>
      <c r="AD38" s="389">
        <v>10</v>
      </c>
      <c r="AE38" s="390">
        <v>44470</v>
      </c>
      <c r="AF38" s="390">
        <v>45199</v>
      </c>
      <c r="AG38" s="391" t="s">
        <v>545</v>
      </c>
      <c r="AH38" s="391" t="s">
        <v>1969</v>
      </c>
      <c r="AI38" s="391" t="s">
        <v>1959</v>
      </c>
      <c r="AJ38" s="391">
        <v>0</v>
      </c>
      <c r="AK38" s="390">
        <v>44470</v>
      </c>
      <c r="AL38" s="389">
        <v>100</v>
      </c>
      <c r="AM38" s="391" t="s">
        <v>548</v>
      </c>
      <c r="AN38" s="391" t="s">
        <v>549</v>
      </c>
      <c r="AO38" s="391" t="s">
        <v>1970</v>
      </c>
    </row>
    <row r="39" spans="1:41" ht="16" thickBot="1">
      <c r="A39" s="387" t="s">
        <v>1748</v>
      </c>
      <c r="B39" s="387" t="s">
        <v>556</v>
      </c>
      <c r="C39" s="387" t="s">
        <v>1971</v>
      </c>
      <c r="D39" s="387" t="s">
        <v>1972</v>
      </c>
      <c r="E39" s="387">
        <v>10</v>
      </c>
      <c r="F39" s="387" t="s">
        <v>531</v>
      </c>
      <c r="G39" s="387">
        <v>10</v>
      </c>
      <c r="H39" s="387" t="s">
        <v>531</v>
      </c>
      <c r="I39" s="387" t="s">
        <v>1751</v>
      </c>
      <c r="J39" s="387" t="s">
        <v>1973</v>
      </c>
      <c r="K39" s="387" t="s">
        <v>1974</v>
      </c>
      <c r="L39" s="387" t="s">
        <v>1975</v>
      </c>
      <c r="M39" s="387" t="s">
        <v>1976</v>
      </c>
      <c r="N39" s="388">
        <v>3.57</v>
      </c>
      <c r="O39" s="388">
        <v>14</v>
      </c>
      <c r="P39" s="387" t="s">
        <v>538</v>
      </c>
      <c r="Q39" s="387" t="s">
        <v>539</v>
      </c>
      <c r="R39" s="387" t="s">
        <v>1977</v>
      </c>
      <c r="S39" s="387" t="s">
        <v>541</v>
      </c>
      <c r="T39" s="387" t="s">
        <v>757</v>
      </c>
      <c r="U39" s="388">
        <v>354560</v>
      </c>
      <c r="V39" s="387">
        <v>6003252006145</v>
      </c>
      <c r="W39" s="387">
        <v>6003252006145</v>
      </c>
      <c r="X39" s="387" t="s">
        <v>543</v>
      </c>
      <c r="Y39" s="387">
        <v>16003252006145</v>
      </c>
      <c r="Z39" s="387" t="s">
        <v>543</v>
      </c>
      <c r="AA39" s="388" t="s">
        <v>543</v>
      </c>
      <c r="AB39" s="388" t="s">
        <v>543</v>
      </c>
      <c r="AC39" s="387">
        <v>802360009</v>
      </c>
      <c r="AD39" s="389">
        <v>10</v>
      </c>
      <c r="AE39" s="390">
        <v>44317</v>
      </c>
      <c r="AF39" s="390">
        <v>45412</v>
      </c>
      <c r="AG39" s="391" t="s">
        <v>545</v>
      </c>
      <c r="AH39" s="391" t="s">
        <v>1978</v>
      </c>
      <c r="AI39" s="391" t="s">
        <v>1979</v>
      </c>
      <c r="AJ39" s="391">
        <v>0</v>
      </c>
      <c r="AK39" s="390">
        <v>44317</v>
      </c>
      <c r="AL39" s="389">
        <v>100</v>
      </c>
      <c r="AM39" s="391" t="s">
        <v>548</v>
      </c>
      <c r="AN39" s="391" t="s">
        <v>549</v>
      </c>
      <c r="AO39" s="391" t="s">
        <v>1980</v>
      </c>
    </row>
    <row r="40" spans="1:41" ht="16" thickBot="1">
      <c r="A40" s="387" t="s">
        <v>1748</v>
      </c>
      <c r="B40" s="387" t="s">
        <v>784</v>
      </c>
      <c r="C40" s="387" t="s">
        <v>1981</v>
      </c>
      <c r="D40" s="387" t="s">
        <v>1982</v>
      </c>
      <c r="E40" s="387">
        <v>3</v>
      </c>
      <c r="F40" s="387" t="s">
        <v>531</v>
      </c>
      <c r="G40" s="387">
        <v>3</v>
      </c>
      <c r="H40" s="387" t="s">
        <v>531</v>
      </c>
      <c r="I40" s="387" t="s">
        <v>1751</v>
      </c>
      <c r="J40" s="387" t="s">
        <v>1983</v>
      </c>
      <c r="K40" s="387" t="s">
        <v>1984</v>
      </c>
      <c r="L40" s="387" t="s">
        <v>1819</v>
      </c>
      <c r="M40" s="387" t="s">
        <v>1820</v>
      </c>
      <c r="N40" s="388">
        <v>61.09</v>
      </c>
      <c r="O40" s="388">
        <v>14</v>
      </c>
      <c r="P40" s="387" t="s">
        <v>538</v>
      </c>
      <c r="Q40" s="387" t="s">
        <v>539</v>
      </c>
      <c r="R40" s="387" t="s">
        <v>1985</v>
      </c>
      <c r="S40" s="387" t="s">
        <v>541</v>
      </c>
      <c r="T40" s="387" t="s">
        <v>757</v>
      </c>
      <c r="U40" s="388">
        <v>223660</v>
      </c>
      <c r="V40" s="387">
        <v>6009609471666</v>
      </c>
      <c r="W40" s="387" t="s">
        <v>543</v>
      </c>
      <c r="X40" s="387" t="s">
        <v>543</v>
      </c>
      <c r="Y40" s="387">
        <v>26009609471660</v>
      </c>
      <c r="Z40" s="387" t="s">
        <v>543</v>
      </c>
      <c r="AA40" s="388" t="s">
        <v>543</v>
      </c>
      <c r="AB40" s="388" t="s">
        <v>543</v>
      </c>
      <c r="AC40" s="387">
        <v>716162009</v>
      </c>
      <c r="AD40" s="389">
        <v>6</v>
      </c>
      <c r="AE40" s="390">
        <v>44317</v>
      </c>
      <c r="AF40" s="390">
        <v>45412</v>
      </c>
      <c r="AG40" s="391" t="s">
        <v>545</v>
      </c>
      <c r="AH40" s="391" t="s">
        <v>1986</v>
      </c>
      <c r="AI40" s="391" t="s">
        <v>1823</v>
      </c>
      <c r="AJ40" s="391">
        <v>0</v>
      </c>
      <c r="AK40" s="390">
        <v>44317</v>
      </c>
      <c r="AL40" s="389">
        <v>100</v>
      </c>
      <c r="AM40" s="391" t="s">
        <v>548</v>
      </c>
      <c r="AN40" s="391" t="s">
        <v>549</v>
      </c>
      <c r="AO40" s="391" t="s">
        <v>1987</v>
      </c>
    </row>
    <row r="41" spans="1:41" ht="16" thickBot="1">
      <c r="A41" s="387" t="s">
        <v>1717</v>
      </c>
      <c r="B41" s="387" t="s">
        <v>1003</v>
      </c>
      <c r="C41" s="387" t="s">
        <v>1988</v>
      </c>
      <c r="D41" s="387" t="s">
        <v>1989</v>
      </c>
      <c r="E41" s="387">
        <v>30</v>
      </c>
      <c r="F41" s="387" t="s">
        <v>559</v>
      </c>
      <c r="G41" s="387">
        <v>30</v>
      </c>
      <c r="H41" s="387" t="s">
        <v>559</v>
      </c>
      <c r="I41" s="387" t="s">
        <v>560</v>
      </c>
      <c r="J41" s="387" t="s">
        <v>1983</v>
      </c>
      <c r="K41" s="387" t="s">
        <v>1990</v>
      </c>
      <c r="L41" s="387" t="s">
        <v>1905</v>
      </c>
      <c r="M41" s="387" t="s">
        <v>1906</v>
      </c>
      <c r="N41" s="388">
        <v>32.28</v>
      </c>
      <c r="O41" s="388">
        <v>14</v>
      </c>
      <c r="P41" s="387" t="s">
        <v>538</v>
      </c>
      <c r="Q41" s="387" t="s">
        <v>539</v>
      </c>
      <c r="R41" s="387" t="s">
        <v>1985</v>
      </c>
      <c r="S41" s="387" t="s">
        <v>541</v>
      </c>
      <c r="T41" s="387" t="s">
        <v>757</v>
      </c>
      <c r="U41" s="388">
        <v>71628</v>
      </c>
      <c r="V41" s="387">
        <v>6006823000825</v>
      </c>
      <c r="W41" s="387">
        <v>6006823000825</v>
      </c>
      <c r="X41" s="387" t="s">
        <v>543</v>
      </c>
      <c r="Y41" s="387">
        <v>16006823000839</v>
      </c>
      <c r="Z41" s="387" t="s">
        <v>543</v>
      </c>
      <c r="AA41" s="388" t="s">
        <v>543</v>
      </c>
      <c r="AB41" s="388" t="s">
        <v>543</v>
      </c>
      <c r="AC41" s="387">
        <v>707851001</v>
      </c>
      <c r="AD41" s="389">
        <v>10</v>
      </c>
      <c r="AE41" s="390">
        <v>45047</v>
      </c>
      <c r="AF41" s="390">
        <v>46142</v>
      </c>
      <c r="AG41" s="391" t="s">
        <v>545</v>
      </c>
      <c r="AH41" s="391" t="s">
        <v>1991</v>
      </c>
      <c r="AI41" s="391" t="s">
        <v>1910</v>
      </c>
      <c r="AJ41" s="391">
        <v>0</v>
      </c>
      <c r="AK41" s="390">
        <v>45047</v>
      </c>
      <c r="AL41" s="389">
        <v>100</v>
      </c>
      <c r="AM41" s="391" t="s">
        <v>548</v>
      </c>
      <c r="AN41" s="391" t="s">
        <v>549</v>
      </c>
      <c r="AO41" s="391" t="s">
        <v>1992</v>
      </c>
    </row>
    <row r="42" spans="1:41" ht="16" thickBot="1">
      <c r="A42" s="387" t="s">
        <v>1717</v>
      </c>
      <c r="B42" s="387" t="s">
        <v>651</v>
      </c>
      <c r="C42" s="387" t="s">
        <v>1993</v>
      </c>
      <c r="D42" s="387" t="s">
        <v>1994</v>
      </c>
      <c r="E42" s="387">
        <v>30</v>
      </c>
      <c r="F42" s="387" t="s">
        <v>559</v>
      </c>
      <c r="G42" s="387">
        <v>30</v>
      </c>
      <c r="H42" s="387" t="s">
        <v>559</v>
      </c>
      <c r="I42" s="387" t="s">
        <v>560</v>
      </c>
      <c r="J42" s="387" t="s">
        <v>1995</v>
      </c>
      <c r="K42" s="387" t="s">
        <v>1996</v>
      </c>
      <c r="L42" s="387" t="s">
        <v>1819</v>
      </c>
      <c r="M42" s="387" t="s">
        <v>1820</v>
      </c>
      <c r="N42" s="388">
        <v>163.82</v>
      </c>
      <c r="O42" s="388">
        <v>14</v>
      </c>
      <c r="P42" s="387" t="s">
        <v>538</v>
      </c>
      <c r="Q42" s="387" t="s">
        <v>539</v>
      </c>
      <c r="R42" s="387" t="s">
        <v>1997</v>
      </c>
      <c r="S42" s="387" t="s">
        <v>171</v>
      </c>
      <c r="T42" s="387" t="s">
        <v>1908</v>
      </c>
      <c r="U42" s="388">
        <v>487863</v>
      </c>
      <c r="V42" s="387">
        <v>6009637910618</v>
      </c>
      <c r="W42" s="387">
        <v>6009637910618</v>
      </c>
      <c r="X42" s="387" t="s">
        <v>543</v>
      </c>
      <c r="Y42" s="387" t="s">
        <v>1998</v>
      </c>
      <c r="Z42" s="387" t="s">
        <v>543</v>
      </c>
      <c r="AA42" s="388" t="s">
        <v>543</v>
      </c>
      <c r="AB42" s="388" t="s">
        <v>543</v>
      </c>
      <c r="AC42" s="387">
        <v>892310001</v>
      </c>
      <c r="AD42" s="389">
        <v>50</v>
      </c>
      <c r="AE42" s="390">
        <v>45047</v>
      </c>
      <c r="AF42" s="390">
        <v>46142</v>
      </c>
      <c r="AG42" s="391" t="s">
        <v>545</v>
      </c>
      <c r="AH42" s="391" t="s">
        <v>1999</v>
      </c>
      <c r="AI42" s="391" t="s">
        <v>1823</v>
      </c>
      <c r="AJ42" s="391">
        <v>0</v>
      </c>
      <c r="AK42" s="390">
        <v>45047</v>
      </c>
      <c r="AL42" s="389">
        <v>100</v>
      </c>
      <c r="AM42" s="391" t="s">
        <v>548</v>
      </c>
      <c r="AN42" s="391" t="s">
        <v>549</v>
      </c>
      <c r="AO42" s="391" t="s">
        <v>2000</v>
      </c>
    </row>
    <row r="43" spans="1:41" ht="16" thickBot="1">
      <c r="A43" s="387" t="s">
        <v>1717</v>
      </c>
      <c r="B43" s="387" t="s">
        <v>989</v>
      </c>
      <c r="C43" s="387" t="s">
        <v>2001</v>
      </c>
      <c r="D43" s="387" t="s">
        <v>2002</v>
      </c>
      <c r="E43" s="387">
        <v>30</v>
      </c>
      <c r="F43" s="387" t="s">
        <v>559</v>
      </c>
      <c r="G43" s="387">
        <v>30</v>
      </c>
      <c r="H43" s="387" t="s">
        <v>559</v>
      </c>
      <c r="I43" s="387" t="s">
        <v>560</v>
      </c>
      <c r="J43" s="387" t="s">
        <v>1995</v>
      </c>
      <c r="K43" s="387" t="s">
        <v>2003</v>
      </c>
      <c r="L43" s="387" t="s">
        <v>1819</v>
      </c>
      <c r="M43" s="387" t="s">
        <v>1820</v>
      </c>
      <c r="N43" s="388">
        <v>81.599999999999994</v>
      </c>
      <c r="O43" s="388">
        <v>14</v>
      </c>
      <c r="P43" s="387" t="s">
        <v>538</v>
      </c>
      <c r="Q43" s="387" t="s">
        <v>539</v>
      </c>
      <c r="R43" s="387" t="s">
        <v>1997</v>
      </c>
      <c r="S43" s="387" t="s">
        <v>171</v>
      </c>
      <c r="T43" s="387" t="s">
        <v>1908</v>
      </c>
      <c r="U43" s="388">
        <v>159068</v>
      </c>
      <c r="V43" s="387">
        <v>6009637910595</v>
      </c>
      <c r="W43" s="387">
        <v>6009637910595</v>
      </c>
      <c r="X43" s="387" t="s">
        <v>543</v>
      </c>
      <c r="Y43" s="387" t="s">
        <v>2004</v>
      </c>
      <c r="Z43" s="387" t="s">
        <v>543</v>
      </c>
      <c r="AA43" s="388" t="s">
        <v>543</v>
      </c>
      <c r="AB43" s="388" t="s">
        <v>543</v>
      </c>
      <c r="AC43" s="387">
        <v>892309005</v>
      </c>
      <c r="AD43" s="389">
        <v>50</v>
      </c>
      <c r="AE43" s="390">
        <v>45047</v>
      </c>
      <c r="AF43" s="390">
        <v>46142</v>
      </c>
      <c r="AG43" s="391" t="s">
        <v>545</v>
      </c>
      <c r="AH43" s="391" t="s">
        <v>2005</v>
      </c>
      <c r="AI43" s="391" t="s">
        <v>1823</v>
      </c>
      <c r="AJ43" s="391">
        <v>0</v>
      </c>
      <c r="AK43" s="390">
        <v>45047</v>
      </c>
      <c r="AL43" s="389">
        <v>100</v>
      </c>
      <c r="AM43" s="391" t="s">
        <v>548</v>
      </c>
      <c r="AN43" s="391" t="s">
        <v>549</v>
      </c>
      <c r="AO43" s="391" t="s">
        <v>2006</v>
      </c>
    </row>
    <row r="44" spans="1:41" ht="16" thickBot="1">
      <c r="A44" s="387" t="s">
        <v>1717</v>
      </c>
      <c r="B44" s="387" t="s">
        <v>999</v>
      </c>
      <c r="C44" s="387" t="s">
        <v>2007</v>
      </c>
      <c r="D44" s="387" t="s">
        <v>2008</v>
      </c>
      <c r="E44" s="387">
        <v>100</v>
      </c>
      <c r="F44" s="387" t="s">
        <v>559</v>
      </c>
      <c r="G44" s="387">
        <v>100</v>
      </c>
      <c r="H44" s="387" t="s">
        <v>559</v>
      </c>
      <c r="I44" s="387" t="s">
        <v>560</v>
      </c>
      <c r="J44" s="387" t="s">
        <v>2009</v>
      </c>
      <c r="K44" s="387" t="s">
        <v>2010</v>
      </c>
      <c r="L44" s="387" t="s">
        <v>535</v>
      </c>
      <c r="M44" s="387" t="s">
        <v>536</v>
      </c>
      <c r="N44" s="388">
        <v>28.27</v>
      </c>
      <c r="O44" s="388">
        <v>14</v>
      </c>
      <c r="P44" s="387" t="s">
        <v>538</v>
      </c>
      <c r="Q44" s="387" t="s">
        <v>539</v>
      </c>
      <c r="R44" s="387" t="s">
        <v>2011</v>
      </c>
      <c r="S44" s="387" t="s">
        <v>614</v>
      </c>
      <c r="T44" s="387" t="s">
        <v>542</v>
      </c>
      <c r="U44" s="388">
        <v>54658</v>
      </c>
      <c r="V44" s="387" t="s">
        <v>543</v>
      </c>
      <c r="W44" s="387" t="s">
        <v>543</v>
      </c>
      <c r="X44" s="387" t="s">
        <v>543</v>
      </c>
      <c r="Y44" s="387" t="s">
        <v>543</v>
      </c>
      <c r="Z44" s="387" t="s">
        <v>543</v>
      </c>
      <c r="AA44" s="388" t="s">
        <v>543</v>
      </c>
      <c r="AB44" s="388" t="s">
        <v>543</v>
      </c>
      <c r="AC44" s="387">
        <v>772003009</v>
      </c>
      <c r="AD44" s="389">
        <v>40</v>
      </c>
      <c r="AE44" s="390">
        <v>45047</v>
      </c>
      <c r="AF44" s="390">
        <v>46142</v>
      </c>
      <c r="AG44" s="391" t="s">
        <v>545</v>
      </c>
      <c r="AH44" s="391" t="s">
        <v>2012</v>
      </c>
      <c r="AI44" s="391" t="s">
        <v>547</v>
      </c>
      <c r="AJ44" s="391">
        <v>0</v>
      </c>
      <c r="AK44" s="390">
        <v>45047</v>
      </c>
      <c r="AL44" s="389">
        <v>100</v>
      </c>
      <c r="AM44" s="391" t="s">
        <v>548</v>
      </c>
      <c r="AN44" s="391" t="s">
        <v>549</v>
      </c>
      <c r="AO44" s="391" t="s">
        <v>2013</v>
      </c>
    </row>
    <row r="45" spans="1:41" ht="16" thickBot="1">
      <c r="A45" s="387" t="s">
        <v>1717</v>
      </c>
      <c r="B45" s="387" t="s">
        <v>993</v>
      </c>
      <c r="C45" s="387" t="s">
        <v>2014</v>
      </c>
      <c r="D45" s="387" t="s">
        <v>2015</v>
      </c>
      <c r="E45" s="387">
        <v>28</v>
      </c>
      <c r="F45" s="387" t="s">
        <v>559</v>
      </c>
      <c r="G45" s="387">
        <v>28</v>
      </c>
      <c r="H45" s="387" t="s">
        <v>559</v>
      </c>
      <c r="I45" s="387" t="s">
        <v>560</v>
      </c>
      <c r="J45" s="387" t="s">
        <v>2009</v>
      </c>
      <c r="K45" s="387" t="s">
        <v>2016</v>
      </c>
      <c r="L45" s="387" t="s">
        <v>1886</v>
      </c>
      <c r="M45" s="387" t="s">
        <v>1887</v>
      </c>
      <c r="N45" s="388">
        <v>5.69</v>
      </c>
      <c r="O45" s="388">
        <v>14</v>
      </c>
      <c r="P45" s="387" t="s">
        <v>538</v>
      </c>
      <c r="Q45" s="387" t="s">
        <v>539</v>
      </c>
      <c r="R45" s="387" t="s">
        <v>2011</v>
      </c>
      <c r="S45" s="387" t="s">
        <v>614</v>
      </c>
      <c r="T45" s="387" t="s">
        <v>542</v>
      </c>
      <c r="U45" s="388">
        <v>2381780</v>
      </c>
      <c r="V45" s="387">
        <v>6009691114984</v>
      </c>
      <c r="W45" s="387" t="s">
        <v>543</v>
      </c>
      <c r="X45" s="387" t="s">
        <v>543</v>
      </c>
      <c r="Y45" s="387">
        <v>16009691114981</v>
      </c>
      <c r="Z45" s="387">
        <v>16009691114984</v>
      </c>
      <c r="AA45" s="388" t="s">
        <v>543</v>
      </c>
      <c r="AB45" s="388" t="s">
        <v>543</v>
      </c>
      <c r="AC45" s="387" t="s">
        <v>543</v>
      </c>
      <c r="AD45" s="389">
        <v>10</v>
      </c>
      <c r="AE45" s="390">
        <v>45047</v>
      </c>
      <c r="AF45" s="390">
        <v>46142</v>
      </c>
      <c r="AG45" s="391" t="s">
        <v>545</v>
      </c>
      <c r="AH45" s="391" t="s">
        <v>2017</v>
      </c>
      <c r="AI45" s="391" t="s">
        <v>1889</v>
      </c>
      <c r="AJ45" s="391">
        <v>0</v>
      </c>
      <c r="AK45" s="390">
        <v>45047</v>
      </c>
      <c r="AL45" s="389">
        <v>100</v>
      </c>
      <c r="AM45" s="391" t="s">
        <v>548</v>
      </c>
      <c r="AN45" s="391" t="s">
        <v>549</v>
      </c>
      <c r="AO45" s="391" t="s">
        <v>2013</v>
      </c>
    </row>
    <row r="46" spans="1:41" ht="16" thickBot="1">
      <c r="A46" s="387" t="s">
        <v>1717</v>
      </c>
      <c r="B46" s="387" t="s">
        <v>603</v>
      </c>
      <c r="C46" s="387" t="s">
        <v>2018</v>
      </c>
      <c r="D46" s="387" t="s">
        <v>2019</v>
      </c>
      <c r="E46" s="387">
        <v>100</v>
      </c>
      <c r="F46" s="387" t="s">
        <v>559</v>
      </c>
      <c r="G46" s="387">
        <v>100</v>
      </c>
      <c r="H46" s="387" t="s">
        <v>559</v>
      </c>
      <c r="I46" s="387" t="s">
        <v>560</v>
      </c>
      <c r="J46" s="387" t="s">
        <v>2009</v>
      </c>
      <c r="K46" s="387" t="s">
        <v>2020</v>
      </c>
      <c r="L46" s="387" t="s">
        <v>2021</v>
      </c>
      <c r="M46" s="387" t="s">
        <v>2022</v>
      </c>
      <c r="N46" s="388">
        <v>18.100000000000001</v>
      </c>
      <c r="O46" s="388">
        <v>14</v>
      </c>
      <c r="P46" s="387" t="s">
        <v>538</v>
      </c>
      <c r="Q46" s="387" t="s">
        <v>539</v>
      </c>
      <c r="R46" s="387" t="s">
        <v>2011</v>
      </c>
      <c r="S46" s="387" t="s">
        <v>614</v>
      </c>
      <c r="T46" s="387" t="s">
        <v>542</v>
      </c>
      <c r="U46" s="388">
        <v>166901</v>
      </c>
      <c r="V46" s="387">
        <v>600988074306</v>
      </c>
      <c r="W46" s="387" t="s">
        <v>543</v>
      </c>
      <c r="X46" s="387" t="s">
        <v>543</v>
      </c>
      <c r="Y46" s="387" t="s">
        <v>543</v>
      </c>
      <c r="Z46" s="387" t="s">
        <v>543</v>
      </c>
      <c r="AA46" s="388" t="s">
        <v>543</v>
      </c>
      <c r="AB46" s="388" t="s">
        <v>543</v>
      </c>
      <c r="AC46" s="387">
        <v>784230005</v>
      </c>
      <c r="AD46" s="389">
        <v>140</v>
      </c>
      <c r="AE46" s="390">
        <v>45047</v>
      </c>
      <c r="AF46" s="390">
        <v>46142</v>
      </c>
      <c r="AG46" s="391" t="s">
        <v>545</v>
      </c>
      <c r="AH46" s="391" t="s">
        <v>2023</v>
      </c>
      <c r="AI46" s="391" t="s">
        <v>2024</v>
      </c>
      <c r="AJ46" s="391">
        <v>0</v>
      </c>
      <c r="AK46" s="390">
        <v>45047</v>
      </c>
      <c r="AL46" s="389">
        <v>100</v>
      </c>
      <c r="AM46" s="391" t="s">
        <v>548</v>
      </c>
      <c r="AN46" s="391" t="s">
        <v>549</v>
      </c>
      <c r="AO46" s="391" t="s">
        <v>2025</v>
      </c>
    </row>
    <row r="47" spans="1:41" ht="16" thickBot="1">
      <c r="A47" s="387" t="s">
        <v>1717</v>
      </c>
      <c r="B47" s="387" t="s">
        <v>985</v>
      </c>
      <c r="C47" s="387" t="s">
        <v>2026</v>
      </c>
      <c r="D47" s="387" t="s">
        <v>2027</v>
      </c>
      <c r="E47" s="387">
        <v>28</v>
      </c>
      <c r="F47" s="387" t="s">
        <v>559</v>
      </c>
      <c r="G47" s="387">
        <v>28</v>
      </c>
      <c r="H47" s="387" t="s">
        <v>559</v>
      </c>
      <c r="I47" s="387" t="s">
        <v>560</v>
      </c>
      <c r="J47" s="387" t="s">
        <v>2009</v>
      </c>
      <c r="K47" s="387" t="s">
        <v>2028</v>
      </c>
      <c r="L47" s="387" t="s">
        <v>535</v>
      </c>
      <c r="M47" s="387" t="s">
        <v>536</v>
      </c>
      <c r="N47" s="388">
        <v>5.08</v>
      </c>
      <c r="O47" s="388">
        <v>14</v>
      </c>
      <c r="P47" s="387" t="s">
        <v>538</v>
      </c>
      <c r="Q47" s="387" t="s">
        <v>539</v>
      </c>
      <c r="R47" s="387" t="s">
        <v>2011</v>
      </c>
      <c r="S47" s="387" t="s">
        <v>614</v>
      </c>
      <c r="T47" s="387" t="s">
        <v>542</v>
      </c>
      <c r="U47" s="388">
        <v>6675940</v>
      </c>
      <c r="V47" s="387" t="s">
        <v>543</v>
      </c>
      <c r="W47" s="387" t="s">
        <v>543</v>
      </c>
      <c r="X47" s="387" t="s">
        <v>543</v>
      </c>
      <c r="Y47" s="387" t="s">
        <v>543</v>
      </c>
      <c r="Z47" s="387" t="s">
        <v>543</v>
      </c>
      <c r="AA47" s="388" t="s">
        <v>543</v>
      </c>
      <c r="AB47" s="388" t="s">
        <v>543</v>
      </c>
      <c r="AC47" s="387" t="s">
        <v>543</v>
      </c>
      <c r="AD47" s="389">
        <v>200</v>
      </c>
      <c r="AE47" s="390">
        <v>45047</v>
      </c>
      <c r="AF47" s="390">
        <v>46142</v>
      </c>
      <c r="AG47" s="391" t="s">
        <v>545</v>
      </c>
      <c r="AH47" s="391" t="s">
        <v>2029</v>
      </c>
      <c r="AI47" s="391" t="s">
        <v>547</v>
      </c>
      <c r="AJ47" s="391">
        <v>0</v>
      </c>
      <c r="AK47" s="390">
        <v>45047</v>
      </c>
      <c r="AL47" s="389">
        <v>80</v>
      </c>
      <c r="AM47" s="391" t="s">
        <v>548</v>
      </c>
      <c r="AN47" s="391" t="s">
        <v>549</v>
      </c>
      <c r="AO47" s="391" t="s">
        <v>2025</v>
      </c>
    </row>
    <row r="48" spans="1:41" ht="16" thickBot="1">
      <c r="A48" s="387" t="s">
        <v>1717</v>
      </c>
      <c r="B48" s="387" t="s">
        <v>985</v>
      </c>
      <c r="C48" s="387" t="s">
        <v>2026</v>
      </c>
      <c r="D48" s="387" t="s">
        <v>2027</v>
      </c>
      <c r="E48" s="387">
        <v>28</v>
      </c>
      <c r="F48" s="387" t="s">
        <v>559</v>
      </c>
      <c r="G48" s="387">
        <v>28</v>
      </c>
      <c r="H48" s="387" t="s">
        <v>559</v>
      </c>
      <c r="I48" s="387" t="s">
        <v>560</v>
      </c>
      <c r="J48" s="387" t="s">
        <v>2009</v>
      </c>
      <c r="K48" s="387" t="s">
        <v>2030</v>
      </c>
      <c r="L48" s="387" t="s">
        <v>2031</v>
      </c>
      <c r="M48" s="387" t="s">
        <v>2032</v>
      </c>
      <c r="N48" s="388">
        <v>5.52</v>
      </c>
      <c r="O48" s="388">
        <v>14</v>
      </c>
      <c r="P48" s="387" t="s">
        <v>538</v>
      </c>
      <c r="Q48" s="387" t="s">
        <v>539</v>
      </c>
      <c r="R48" s="387" t="s">
        <v>2011</v>
      </c>
      <c r="S48" s="387" t="s">
        <v>614</v>
      </c>
      <c r="T48" s="387" t="s">
        <v>542</v>
      </c>
      <c r="U48" s="388">
        <v>1668985</v>
      </c>
      <c r="V48" s="387" t="s">
        <v>543</v>
      </c>
      <c r="W48" s="387" t="s">
        <v>543</v>
      </c>
      <c r="X48" s="387" t="s">
        <v>543</v>
      </c>
      <c r="Y48" s="387" t="s">
        <v>543</v>
      </c>
      <c r="Z48" s="387" t="s">
        <v>543</v>
      </c>
      <c r="AA48" s="388" t="s">
        <v>543</v>
      </c>
      <c r="AB48" s="388" t="s">
        <v>543</v>
      </c>
      <c r="AC48" s="387" t="s">
        <v>543</v>
      </c>
      <c r="AD48" s="389">
        <v>300</v>
      </c>
      <c r="AE48" s="390">
        <v>45047</v>
      </c>
      <c r="AF48" s="390">
        <v>46142</v>
      </c>
      <c r="AG48" s="391" t="s">
        <v>545</v>
      </c>
      <c r="AH48" s="391" t="s">
        <v>2029</v>
      </c>
      <c r="AI48" s="391" t="s">
        <v>2033</v>
      </c>
      <c r="AJ48" s="391">
        <v>0</v>
      </c>
      <c r="AK48" s="390">
        <v>45047</v>
      </c>
      <c r="AL48" s="389">
        <v>20</v>
      </c>
      <c r="AM48" s="391" t="s">
        <v>548</v>
      </c>
      <c r="AN48" s="391" t="s">
        <v>549</v>
      </c>
      <c r="AO48" s="391" t="s">
        <v>2025</v>
      </c>
    </row>
    <row r="49" spans="1:43" ht="16" thickBot="1">
      <c r="A49" s="387" t="s">
        <v>1717</v>
      </c>
      <c r="B49" s="387" t="s">
        <v>994</v>
      </c>
      <c r="C49" s="387" t="s">
        <v>2034</v>
      </c>
      <c r="D49" s="387" t="s">
        <v>2035</v>
      </c>
      <c r="E49" s="387">
        <v>56</v>
      </c>
      <c r="F49" s="387" t="s">
        <v>559</v>
      </c>
      <c r="G49" s="387">
        <v>56</v>
      </c>
      <c r="H49" s="387" t="s">
        <v>559</v>
      </c>
      <c r="I49" s="387" t="s">
        <v>560</v>
      </c>
      <c r="J49" s="387" t="s">
        <v>2009</v>
      </c>
      <c r="K49" s="387" t="s">
        <v>2036</v>
      </c>
      <c r="L49" s="387" t="s">
        <v>535</v>
      </c>
      <c r="M49" s="387" t="s">
        <v>536</v>
      </c>
      <c r="N49" s="388">
        <v>8.9600000000000009</v>
      </c>
      <c r="O49" s="388">
        <v>14</v>
      </c>
      <c r="P49" s="387" t="s">
        <v>538</v>
      </c>
      <c r="Q49" s="387" t="s">
        <v>539</v>
      </c>
      <c r="R49" s="387" t="s">
        <v>2011</v>
      </c>
      <c r="S49" s="387" t="s">
        <v>614</v>
      </c>
      <c r="T49" s="387" t="s">
        <v>542</v>
      </c>
      <c r="U49" s="388">
        <v>643130</v>
      </c>
      <c r="V49" s="387" t="s">
        <v>543</v>
      </c>
      <c r="W49" s="387" t="s">
        <v>543</v>
      </c>
      <c r="X49" s="387" t="s">
        <v>543</v>
      </c>
      <c r="Y49" s="387" t="s">
        <v>543</v>
      </c>
      <c r="Z49" s="387" t="s">
        <v>543</v>
      </c>
      <c r="AA49" s="388" t="s">
        <v>543</v>
      </c>
      <c r="AB49" s="388" t="s">
        <v>543</v>
      </c>
      <c r="AC49" s="387" t="s">
        <v>543</v>
      </c>
      <c r="AD49" s="389">
        <v>100</v>
      </c>
      <c r="AE49" s="390">
        <v>45047</v>
      </c>
      <c r="AF49" s="390">
        <v>46142</v>
      </c>
      <c r="AG49" s="391" t="s">
        <v>545</v>
      </c>
      <c r="AH49" s="391" t="s">
        <v>2037</v>
      </c>
      <c r="AI49" s="391" t="s">
        <v>547</v>
      </c>
      <c r="AJ49" s="391">
        <v>0</v>
      </c>
      <c r="AK49" s="390">
        <v>45047</v>
      </c>
      <c r="AL49" s="389">
        <v>100</v>
      </c>
      <c r="AM49" s="391" t="s">
        <v>548</v>
      </c>
      <c r="AN49" s="391" t="s">
        <v>549</v>
      </c>
      <c r="AO49" s="391" t="s">
        <v>2025</v>
      </c>
    </row>
    <row r="50" spans="1:43" ht="16" thickBot="1">
      <c r="A50" s="387" t="s">
        <v>1717</v>
      </c>
      <c r="B50" s="387" t="s">
        <v>1004</v>
      </c>
      <c r="C50" s="387" t="s">
        <v>2038</v>
      </c>
      <c r="D50" s="387" t="s">
        <v>2039</v>
      </c>
      <c r="E50" s="387">
        <v>84</v>
      </c>
      <c r="F50" s="387" t="s">
        <v>559</v>
      </c>
      <c r="G50" s="387">
        <v>84</v>
      </c>
      <c r="H50" s="387" t="s">
        <v>559</v>
      </c>
      <c r="I50" s="387" t="s">
        <v>560</v>
      </c>
      <c r="J50" s="387" t="s">
        <v>2009</v>
      </c>
      <c r="K50" s="387" t="s">
        <v>2040</v>
      </c>
      <c r="L50" s="387" t="s">
        <v>535</v>
      </c>
      <c r="M50" s="387" t="s">
        <v>536</v>
      </c>
      <c r="N50" s="388">
        <v>13.52</v>
      </c>
      <c r="O50" s="388">
        <v>14</v>
      </c>
      <c r="P50" s="387" t="s">
        <v>538</v>
      </c>
      <c r="Q50" s="387" t="s">
        <v>539</v>
      </c>
      <c r="R50" s="387" t="s">
        <v>2011</v>
      </c>
      <c r="S50" s="387" t="s">
        <v>614</v>
      </c>
      <c r="T50" s="387" t="s">
        <v>542</v>
      </c>
      <c r="U50" s="388">
        <v>207245</v>
      </c>
      <c r="V50" s="387" t="s">
        <v>543</v>
      </c>
      <c r="W50" s="387" t="s">
        <v>543</v>
      </c>
      <c r="X50" s="387" t="s">
        <v>543</v>
      </c>
      <c r="Y50" s="387" t="s">
        <v>543</v>
      </c>
      <c r="Z50" s="387" t="s">
        <v>543</v>
      </c>
      <c r="AA50" s="388" t="s">
        <v>543</v>
      </c>
      <c r="AB50" s="388" t="s">
        <v>543</v>
      </c>
      <c r="AC50" s="387" t="s">
        <v>543</v>
      </c>
      <c r="AD50" s="389">
        <v>80</v>
      </c>
      <c r="AE50" s="390">
        <v>45047</v>
      </c>
      <c r="AF50" s="390">
        <v>46142</v>
      </c>
      <c r="AG50" s="391" t="s">
        <v>545</v>
      </c>
      <c r="AH50" s="391" t="s">
        <v>2041</v>
      </c>
      <c r="AI50" s="391" t="s">
        <v>547</v>
      </c>
      <c r="AJ50" s="391">
        <v>0</v>
      </c>
      <c r="AK50" s="390">
        <v>45047</v>
      </c>
      <c r="AL50" s="389">
        <v>100</v>
      </c>
      <c r="AM50" s="391" t="s">
        <v>548</v>
      </c>
      <c r="AN50" s="391" t="s">
        <v>549</v>
      </c>
      <c r="AO50" s="391" t="s">
        <v>2025</v>
      </c>
    </row>
    <row r="51" spans="1:43" ht="16" thickBot="1">
      <c r="A51" s="387" t="s">
        <v>1717</v>
      </c>
      <c r="B51" s="387" t="s">
        <v>573</v>
      </c>
      <c r="C51" s="387" t="s">
        <v>2042</v>
      </c>
      <c r="D51" s="387" t="s">
        <v>2043</v>
      </c>
      <c r="E51" s="387">
        <v>28</v>
      </c>
      <c r="F51" s="387" t="s">
        <v>559</v>
      </c>
      <c r="G51" s="387">
        <v>28</v>
      </c>
      <c r="H51" s="387" t="s">
        <v>559</v>
      </c>
      <c r="I51" s="387" t="s">
        <v>560</v>
      </c>
      <c r="J51" s="387" t="s">
        <v>2044</v>
      </c>
      <c r="K51" s="387" t="s">
        <v>2045</v>
      </c>
      <c r="L51" s="387" t="s">
        <v>2046</v>
      </c>
      <c r="M51" s="387" t="s">
        <v>2047</v>
      </c>
      <c r="N51" s="388">
        <v>4.49</v>
      </c>
      <c r="O51" s="388">
        <v>14</v>
      </c>
      <c r="P51" s="387" t="s">
        <v>538</v>
      </c>
      <c r="Q51" s="387" t="s">
        <v>539</v>
      </c>
      <c r="R51" s="387" t="s">
        <v>2048</v>
      </c>
      <c r="S51" s="387" t="s">
        <v>171</v>
      </c>
      <c r="T51" s="387" t="s">
        <v>542</v>
      </c>
      <c r="U51" s="388">
        <v>11909598</v>
      </c>
      <c r="V51" s="387">
        <v>6006352029304</v>
      </c>
      <c r="W51" s="387">
        <v>6006352029311</v>
      </c>
      <c r="X51" s="387" t="s">
        <v>543</v>
      </c>
      <c r="Y51" s="387" t="s">
        <v>543</v>
      </c>
      <c r="Z51" s="387" t="s">
        <v>543</v>
      </c>
      <c r="AA51" s="388" t="s">
        <v>543</v>
      </c>
      <c r="AB51" s="388" t="s">
        <v>543</v>
      </c>
      <c r="AC51" s="387">
        <v>708152001</v>
      </c>
      <c r="AD51" s="389">
        <v>720</v>
      </c>
      <c r="AE51" s="390">
        <v>45047</v>
      </c>
      <c r="AF51" s="390">
        <v>46142</v>
      </c>
      <c r="AG51" s="391" t="s">
        <v>545</v>
      </c>
      <c r="AH51" s="391" t="s">
        <v>2049</v>
      </c>
      <c r="AI51" s="391" t="s">
        <v>2050</v>
      </c>
      <c r="AJ51" s="391">
        <v>0</v>
      </c>
      <c r="AK51" s="390">
        <v>45047</v>
      </c>
      <c r="AL51" s="389">
        <v>33.69</v>
      </c>
      <c r="AM51" s="391" t="s">
        <v>548</v>
      </c>
      <c r="AN51" s="391" t="s">
        <v>549</v>
      </c>
      <c r="AO51" s="391" t="s">
        <v>2051</v>
      </c>
      <c r="AP51" s="372">
        <f>N51/E51</f>
        <v>0.16035714285714286</v>
      </c>
      <c r="AQ51" s="372">
        <f>SUMPRODUCT(AP51:AP53,U51:U53)/SUM(U51:U53)</f>
        <v>0.16680357240796304</v>
      </c>
    </row>
    <row r="52" spans="1:43" ht="16" thickBot="1">
      <c r="A52" s="387" t="s">
        <v>1717</v>
      </c>
      <c r="B52" s="387" t="s">
        <v>573</v>
      </c>
      <c r="C52" s="387" t="s">
        <v>2042</v>
      </c>
      <c r="D52" s="387" t="s">
        <v>2043</v>
      </c>
      <c r="E52" s="387">
        <v>28</v>
      </c>
      <c r="F52" s="387" t="s">
        <v>559</v>
      </c>
      <c r="G52" s="387">
        <v>28</v>
      </c>
      <c r="H52" s="387" t="s">
        <v>559</v>
      </c>
      <c r="I52" s="387" t="s">
        <v>560</v>
      </c>
      <c r="J52" s="387" t="s">
        <v>2044</v>
      </c>
      <c r="K52" s="387" t="s">
        <v>2052</v>
      </c>
      <c r="L52" s="387" t="s">
        <v>1829</v>
      </c>
      <c r="M52" s="387" t="s">
        <v>1830</v>
      </c>
      <c r="N52" s="388">
        <v>4.6500000000000004</v>
      </c>
      <c r="O52" s="388">
        <v>14</v>
      </c>
      <c r="P52" s="387" t="s">
        <v>538</v>
      </c>
      <c r="Q52" s="387" t="s">
        <v>539</v>
      </c>
      <c r="R52" s="387" t="s">
        <v>2048</v>
      </c>
      <c r="S52" s="387" t="s">
        <v>171</v>
      </c>
      <c r="T52" s="387" t="s">
        <v>542</v>
      </c>
      <c r="U52" s="388">
        <v>12007961</v>
      </c>
      <c r="V52" s="387">
        <v>6009694780248</v>
      </c>
      <c r="W52" s="387" t="s">
        <v>543</v>
      </c>
      <c r="X52" s="387" t="s">
        <v>543</v>
      </c>
      <c r="Y52" s="387">
        <v>16009694780240</v>
      </c>
      <c r="Z52" s="387" t="s">
        <v>543</v>
      </c>
      <c r="AA52" s="388">
        <v>16009694780248</v>
      </c>
      <c r="AB52" s="388" t="s">
        <v>543</v>
      </c>
      <c r="AC52" s="387" t="s">
        <v>543</v>
      </c>
      <c r="AD52" s="389">
        <v>10</v>
      </c>
      <c r="AE52" s="390">
        <v>45047</v>
      </c>
      <c r="AF52" s="390">
        <v>46142</v>
      </c>
      <c r="AG52" s="391" t="s">
        <v>545</v>
      </c>
      <c r="AH52" s="391" t="s">
        <v>2049</v>
      </c>
      <c r="AI52" s="391" t="s">
        <v>1833</v>
      </c>
      <c r="AJ52" s="391">
        <v>0</v>
      </c>
      <c r="AK52" s="390">
        <v>45047</v>
      </c>
      <c r="AL52" s="389">
        <v>33.97</v>
      </c>
      <c r="AM52" s="391" t="s">
        <v>548</v>
      </c>
      <c r="AN52" s="391" t="s">
        <v>549</v>
      </c>
      <c r="AO52" s="391" t="s">
        <v>2051</v>
      </c>
      <c r="AP52" s="372">
        <f t="shared" ref="AP52:AP56" si="0">N52/E52</f>
        <v>0.16607142857142859</v>
      </c>
    </row>
    <row r="53" spans="1:43" ht="16" thickBot="1">
      <c r="A53" s="387" t="s">
        <v>1717</v>
      </c>
      <c r="B53" s="387" t="s">
        <v>573</v>
      </c>
      <c r="C53" s="387" t="s">
        <v>2042</v>
      </c>
      <c r="D53" s="387" t="s">
        <v>2043</v>
      </c>
      <c r="E53" s="387">
        <v>28</v>
      </c>
      <c r="F53" s="387" t="s">
        <v>559</v>
      </c>
      <c r="G53" s="387">
        <v>28</v>
      </c>
      <c r="H53" s="387" t="s">
        <v>559</v>
      </c>
      <c r="I53" s="387" t="s">
        <v>560</v>
      </c>
      <c r="J53" s="387" t="s">
        <v>2044</v>
      </c>
      <c r="K53" s="387" t="s">
        <v>2053</v>
      </c>
      <c r="L53" s="387" t="s">
        <v>1886</v>
      </c>
      <c r="M53" s="387" t="s">
        <v>1887</v>
      </c>
      <c r="N53" s="388">
        <v>4.88</v>
      </c>
      <c r="O53" s="388">
        <v>14</v>
      </c>
      <c r="P53" s="387" t="s">
        <v>538</v>
      </c>
      <c r="Q53" s="387" t="s">
        <v>539</v>
      </c>
      <c r="R53" s="387" t="s">
        <v>2048</v>
      </c>
      <c r="S53" s="387" t="s">
        <v>171</v>
      </c>
      <c r="T53" s="387" t="s">
        <v>542</v>
      </c>
      <c r="U53" s="388">
        <v>11436022</v>
      </c>
      <c r="V53" s="387">
        <v>6009691111754</v>
      </c>
      <c r="W53" s="387">
        <v>6009691111754</v>
      </c>
      <c r="X53" s="387" t="s">
        <v>543</v>
      </c>
      <c r="Y53" s="387" t="s">
        <v>543</v>
      </c>
      <c r="Z53" s="387" t="s">
        <v>543</v>
      </c>
      <c r="AA53" s="388" t="s">
        <v>543</v>
      </c>
      <c r="AB53" s="388" t="s">
        <v>543</v>
      </c>
      <c r="AC53" s="387">
        <v>708095</v>
      </c>
      <c r="AD53" s="389">
        <v>10</v>
      </c>
      <c r="AE53" s="390">
        <v>45047</v>
      </c>
      <c r="AF53" s="390">
        <v>46142</v>
      </c>
      <c r="AG53" s="391" t="s">
        <v>545</v>
      </c>
      <c r="AH53" s="391" t="s">
        <v>2049</v>
      </c>
      <c r="AI53" s="391" t="s">
        <v>1889</v>
      </c>
      <c r="AJ53" s="391">
        <v>0</v>
      </c>
      <c r="AK53" s="390">
        <v>45047</v>
      </c>
      <c r="AL53" s="389">
        <v>32.35</v>
      </c>
      <c r="AM53" s="391" t="s">
        <v>548</v>
      </c>
      <c r="AN53" s="391" t="s">
        <v>549</v>
      </c>
      <c r="AO53" s="391" t="s">
        <v>2051</v>
      </c>
      <c r="AP53" s="372">
        <f t="shared" si="0"/>
        <v>0.17428571428571429</v>
      </c>
    </row>
    <row r="54" spans="1:43" ht="20.5" customHeight="1" thickBot="1">
      <c r="A54" s="387" t="s">
        <v>1717</v>
      </c>
      <c r="B54" s="387" t="s">
        <v>2054</v>
      </c>
      <c r="C54" s="387" t="s">
        <v>2055</v>
      </c>
      <c r="D54" s="387" t="s">
        <v>2056</v>
      </c>
      <c r="E54" s="387">
        <v>28</v>
      </c>
      <c r="F54" s="387" t="s">
        <v>559</v>
      </c>
      <c r="G54" s="387" t="s">
        <v>543</v>
      </c>
      <c r="H54" s="387" t="s">
        <v>559</v>
      </c>
      <c r="I54" s="387" t="s">
        <v>560</v>
      </c>
      <c r="J54" s="387" t="s">
        <v>2044</v>
      </c>
      <c r="K54" s="387" t="s">
        <v>2057</v>
      </c>
      <c r="L54" s="387" t="s">
        <v>2046</v>
      </c>
      <c r="M54" s="387" t="s">
        <v>2047</v>
      </c>
      <c r="N54" s="388">
        <v>3.28</v>
      </c>
      <c r="O54" s="388">
        <v>14</v>
      </c>
      <c r="P54" s="387" t="s">
        <v>538</v>
      </c>
      <c r="Q54" s="387" t="s">
        <v>539</v>
      </c>
      <c r="R54" s="387" t="s">
        <v>2048</v>
      </c>
      <c r="S54" s="387" t="s">
        <v>171</v>
      </c>
      <c r="T54" s="387" t="s">
        <v>542</v>
      </c>
      <c r="U54" s="388">
        <v>17067317</v>
      </c>
      <c r="V54" s="387">
        <v>6006352029281</v>
      </c>
      <c r="W54" s="387">
        <v>6006352029298</v>
      </c>
      <c r="X54" s="387" t="s">
        <v>543</v>
      </c>
      <c r="Y54" s="387" t="s">
        <v>543</v>
      </c>
      <c r="Z54" s="387" t="s">
        <v>543</v>
      </c>
      <c r="AA54" s="388" t="s">
        <v>543</v>
      </c>
      <c r="AB54" s="388" t="s">
        <v>543</v>
      </c>
      <c r="AC54" s="387">
        <v>708150001</v>
      </c>
      <c r="AD54" s="389">
        <v>720</v>
      </c>
      <c r="AE54" s="390">
        <v>45047</v>
      </c>
      <c r="AF54" s="390">
        <v>46142</v>
      </c>
      <c r="AG54" s="391" t="s">
        <v>545</v>
      </c>
      <c r="AH54" s="391" t="s">
        <v>2058</v>
      </c>
      <c r="AI54" s="391" t="s">
        <v>2050</v>
      </c>
      <c r="AJ54" s="391">
        <v>0</v>
      </c>
      <c r="AK54" s="390">
        <v>45047</v>
      </c>
      <c r="AL54" s="389">
        <v>35.6</v>
      </c>
      <c r="AM54" s="391" t="s">
        <v>548</v>
      </c>
      <c r="AN54" s="391" t="s">
        <v>549</v>
      </c>
      <c r="AO54" s="391" t="s">
        <v>2059</v>
      </c>
      <c r="AP54" s="372">
        <f>N54/E54</f>
        <v>0.11714285714285713</v>
      </c>
      <c r="AQ54" s="372">
        <f>SUMPRODUCT(AP54:AP56,U54:U56)/SUM(U54:U56)</f>
        <v>0.12772849588143914</v>
      </c>
    </row>
    <row r="55" spans="1:43" ht="16" thickBot="1">
      <c r="A55" s="387" t="s">
        <v>1717</v>
      </c>
      <c r="B55" s="387" t="s">
        <v>2054</v>
      </c>
      <c r="C55" s="387" t="s">
        <v>2055</v>
      </c>
      <c r="D55" s="387" t="s">
        <v>2056</v>
      </c>
      <c r="E55" s="387">
        <v>28</v>
      </c>
      <c r="F55" s="387" t="s">
        <v>559</v>
      </c>
      <c r="G55" s="387" t="s">
        <v>543</v>
      </c>
      <c r="H55" s="387" t="s">
        <v>559</v>
      </c>
      <c r="I55" s="387" t="s">
        <v>560</v>
      </c>
      <c r="J55" s="387" t="s">
        <v>2044</v>
      </c>
      <c r="K55" s="387" t="s">
        <v>2060</v>
      </c>
      <c r="L55" s="387" t="s">
        <v>1886</v>
      </c>
      <c r="M55" s="387" t="s">
        <v>1887</v>
      </c>
      <c r="N55" s="388">
        <v>4.01</v>
      </c>
      <c r="O55" s="388">
        <v>14</v>
      </c>
      <c r="P55" s="387" t="s">
        <v>538</v>
      </c>
      <c r="Q55" s="387" t="s">
        <v>539</v>
      </c>
      <c r="R55" s="387" t="s">
        <v>2048</v>
      </c>
      <c r="S55" s="387" t="s">
        <v>171</v>
      </c>
      <c r="T55" s="387" t="s">
        <v>542</v>
      </c>
      <c r="U55" s="388">
        <v>14217344</v>
      </c>
      <c r="V55" s="387">
        <v>6009691111747</v>
      </c>
      <c r="W55" s="387">
        <v>6009691111747</v>
      </c>
      <c r="X55" s="387" t="s">
        <v>543</v>
      </c>
      <c r="Y55" s="387" t="s">
        <v>543</v>
      </c>
      <c r="Z55" s="387" t="s">
        <v>543</v>
      </c>
      <c r="AA55" s="388" t="s">
        <v>543</v>
      </c>
      <c r="AB55" s="388" t="s">
        <v>543</v>
      </c>
      <c r="AC55" s="387">
        <v>708094</v>
      </c>
      <c r="AD55" s="389">
        <v>10</v>
      </c>
      <c r="AE55" s="390">
        <v>45047</v>
      </c>
      <c r="AF55" s="390">
        <v>46142</v>
      </c>
      <c r="AG55" s="391" t="s">
        <v>545</v>
      </c>
      <c r="AH55" s="391" t="s">
        <v>2058</v>
      </c>
      <c r="AI55" s="391" t="s">
        <v>1889</v>
      </c>
      <c r="AJ55" s="391">
        <v>0</v>
      </c>
      <c r="AK55" s="390">
        <v>45047</v>
      </c>
      <c r="AL55" s="389">
        <v>29.66</v>
      </c>
      <c r="AM55" s="391" t="s">
        <v>548</v>
      </c>
      <c r="AN55" s="391" t="s">
        <v>549</v>
      </c>
      <c r="AO55" s="391" t="s">
        <v>2059</v>
      </c>
      <c r="AP55" s="372">
        <f t="shared" si="0"/>
        <v>0.14321428571428571</v>
      </c>
    </row>
    <row r="56" spans="1:43" ht="16" thickBot="1">
      <c r="A56" s="387" t="s">
        <v>1717</v>
      </c>
      <c r="B56" s="387" t="s">
        <v>2054</v>
      </c>
      <c r="C56" s="387" t="s">
        <v>2055</v>
      </c>
      <c r="D56" s="387" t="s">
        <v>2056</v>
      </c>
      <c r="E56" s="387">
        <v>28</v>
      </c>
      <c r="F56" s="387" t="s">
        <v>559</v>
      </c>
      <c r="G56" s="387" t="s">
        <v>543</v>
      </c>
      <c r="H56" s="387" t="s">
        <v>559</v>
      </c>
      <c r="I56" s="387" t="s">
        <v>560</v>
      </c>
      <c r="J56" s="387" t="s">
        <v>2044</v>
      </c>
      <c r="K56" s="387" t="s">
        <v>2061</v>
      </c>
      <c r="L56" s="387" t="s">
        <v>2062</v>
      </c>
      <c r="M56" s="387" t="s">
        <v>2063</v>
      </c>
      <c r="N56" s="388">
        <v>3.51</v>
      </c>
      <c r="O56" s="388">
        <v>14</v>
      </c>
      <c r="P56" s="387" t="s">
        <v>538</v>
      </c>
      <c r="Q56" s="387" t="s">
        <v>539</v>
      </c>
      <c r="R56" s="387" t="s">
        <v>2048</v>
      </c>
      <c r="S56" s="387" t="s">
        <v>171</v>
      </c>
      <c r="T56" s="387" t="s">
        <v>542</v>
      </c>
      <c r="U56" s="388">
        <v>16656461</v>
      </c>
      <c r="V56" s="387">
        <v>6009881036386</v>
      </c>
      <c r="W56" s="387" t="s">
        <v>543</v>
      </c>
      <c r="X56" s="387" t="s">
        <v>543</v>
      </c>
      <c r="Y56" s="387" t="s">
        <v>543</v>
      </c>
      <c r="Z56" s="387">
        <v>16009881036383</v>
      </c>
      <c r="AA56" s="388" t="s">
        <v>543</v>
      </c>
      <c r="AB56" s="388" t="s">
        <v>543</v>
      </c>
      <c r="AC56" s="387" t="s">
        <v>543</v>
      </c>
      <c r="AD56" s="389">
        <v>200</v>
      </c>
      <c r="AE56" s="390">
        <v>45047</v>
      </c>
      <c r="AF56" s="390">
        <v>46142</v>
      </c>
      <c r="AG56" s="391" t="s">
        <v>545</v>
      </c>
      <c r="AH56" s="391" t="s">
        <v>2058</v>
      </c>
      <c r="AI56" s="391" t="s">
        <v>2064</v>
      </c>
      <c r="AJ56" s="391">
        <v>0</v>
      </c>
      <c r="AK56" s="390">
        <v>45047</v>
      </c>
      <c r="AL56" s="389">
        <v>34.74</v>
      </c>
      <c r="AM56" s="391" t="s">
        <v>548</v>
      </c>
      <c r="AN56" s="391" t="s">
        <v>549</v>
      </c>
      <c r="AO56" s="391" t="s">
        <v>2059</v>
      </c>
      <c r="AP56" s="372">
        <f t="shared" si="0"/>
        <v>0.12535714285714286</v>
      </c>
    </row>
    <row r="57" spans="1:43" ht="16" thickBot="1">
      <c r="A57" s="387" t="s">
        <v>1766</v>
      </c>
      <c r="B57" s="387" t="s">
        <v>1704</v>
      </c>
      <c r="C57" s="387" t="s">
        <v>2065</v>
      </c>
      <c r="D57" s="387" t="s">
        <v>2066</v>
      </c>
      <c r="E57" s="387">
        <v>1</v>
      </c>
      <c r="F57" s="387" t="s">
        <v>1780</v>
      </c>
      <c r="G57" s="387">
        <v>1</v>
      </c>
      <c r="H57" s="387" t="s">
        <v>1780</v>
      </c>
      <c r="I57" s="387" t="s">
        <v>1751</v>
      </c>
      <c r="J57" s="387" t="s">
        <v>2067</v>
      </c>
      <c r="K57" s="387" t="s">
        <v>2068</v>
      </c>
      <c r="L57" s="387" t="s">
        <v>1761</v>
      </c>
      <c r="M57" s="387" t="s">
        <v>1762</v>
      </c>
      <c r="N57" s="388">
        <v>24.26</v>
      </c>
      <c r="O57" s="388">
        <v>14</v>
      </c>
      <c r="P57" s="387" t="s">
        <v>538</v>
      </c>
      <c r="Q57" s="387" t="s">
        <v>539</v>
      </c>
      <c r="R57" s="387" t="s">
        <v>2069</v>
      </c>
      <c r="S57" s="387" t="s">
        <v>171</v>
      </c>
      <c r="T57" s="387" t="s">
        <v>542</v>
      </c>
      <c r="U57" s="388">
        <v>9173040</v>
      </c>
      <c r="V57" s="387">
        <v>6006498011676</v>
      </c>
      <c r="W57" s="387" t="s">
        <v>543</v>
      </c>
      <c r="X57" s="387" t="s">
        <v>543</v>
      </c>
      <c r="Y57" s="387" t="s">
        <v>543</v>
      </c>
      <c r="Z57" s="387" t="s">
        <v>543</v>
      </c>
      <c r="AA57" s="388" t="s">
        <v>543</v>
      </c>
      <c r="AB57" s="388" t="s">
        <v>543</v>
      </c>
      <c r="AC57" s="387" t="s">
        <v>543</v>
      </c>
      <c r="AD57" s="389" t="s">
        <v>2070</v>
      </c>
      <c r="AE57" s="390">
        <v>44470</v>
      </c>
      <c r="AF57" s="390">
        <v>45199</v>
      </c>
      <c r="AG57" s="390">
        <v>45199</v>
      </c>
      <c r="AH57" s="391" t="s">
        <v>2071</v>
      </c>
      <c r="AI57" s="391" t="s">
        <v>1764</v>
      </c>
      <c r="AJ57" s="391">
        <v>0</v>
      </c>
      <c r="AK57" s="390">
        <v>44470</v>
      </c>
      <c r="AL57" s="389">
        <v>100</v>
      </c>
      <c r="AM57" s="391" t="s">
        <v>548</v>
      </c>
      <c r="AN57" s="391" t="s">
        <v>549</v>
      </c>
      <c r="AO57" s="391" t="s">
        <v>2072</v>
      </c>
    </row>
    <row r="58" spans="1:43" ht="16" thickBot="1">
      <c r="A58" s="387" t="s">
        <v>1766</v>
      </c>
      <c r="B58" s="387" t="s">
        <v>992</v>
      </c>
      <c r="C58" s="387" t="s">
        <v>2073</v>
      </c>
      <c r="D58" s="387" t="s">
        <v>2074</v>
      </c>
      <c r="E58" s="387">
        <v>100</v>
      </c>
      <c r="F58" s="387" t="s">
        <v>531</v>
      </c>
      <c r="G58" s="387">
        <v>100</v>
      </c>
      <c r="H58" s="387" t="s">
        <v>531</v>
      </c>
      <c r="I58" s="387" t="s">
        <v>744</v>
      </c>
      <c r="J58" s="387" t="s">
        <v>2067</v>
      </c>
      <c r="K58" s="387" t="s">
        <v>2075</v>
      </c>
      <c r="L58" s="387" t="s">
        <v>1761</v>
      </c>
      <c r="M58" s="387" t="s">
        <v>1762</v>
      </c>
      <c r="N58" s="388">
        <v>24.41</v>
      </c>
      <c r="O58" s="388">
        <v>14</v>
      </c>
      <c r="P58" s="387" t="s">
        <v>538</v>
      </c>
      <c r="Q58" s="387" t="s">
        <v>539</v>
      </c>
      <c r="R58" s="387" t="s">
        <v>2069</v>
      </c>
      <c r="S58" s="387" t="s">
        <v>171</v>
      </c>
      <c r="T58" s="387" t="s">
        <v>542</v>
      </c>
      <c r="U58" s="388">
        <v>948810</v>
      </c>
      <c r="V58" s="387">
        <v>6006498009956</v>
      </c>
      <c r="W58" s="387" t="s">
        <v>543</v>
      </c>
      <c r="X58" s="387" t="s">
        <v>543</v>
      </c>
      <c r="Y58" s="387" t="s">
        <v>543</v>
      </c>
      <c r="Z58" s="387" t="s">
        <v>543</v>
      </c>
      <c r="AA58" s="388" t="s">
        <v>543</v>
      </c>
      <c r="AB58" s="388" t="s">
        <v>543</v>
      </c>
      <c r="AC58" s="387">
        <v>878774009</v>
      </c>
      <c r="AD58" s="389">
        <v>100</v>
      </c>
      <c r="AE58" s="390">
        <v>44470</v>
      </c>
      <c r="AF58" s="390">
        <v>45199</v>
      </c>
      <c r="AG58" s="391" t="s">
        <v>545</v>
      </c>
      <c r="AH58" s="391" t="s">
        <v>2076</v>
      </c>
      <c r="AI58" s="391" t="s">
        <v>1764</v>
      </c>
      <c r="AJ58" s="391">
        <v>0</v>
      </c>
      <c r="AK58" s="390">
        <v>44470</v>
      </c>
      <c r="AL58" s="389">
        <v>75</v>
      </c>
      <c r="AM58" s="391" t="s">
        <v>548</v>
      </c>
      <c r="AN58" s="391" t="s">
        <v>549</v>
      </c>
      <c r="AO58" s="391" t="s">
        <v>2077</v>
      </c>
    </row>
    <row r="59" spans="1:43" ht="16" thickBot="1">
      <c r="A59" s="387" t="s">
        <v>1766</v>
      </c>
      <c r="B59" s="387" t="s">
        <v>992</v>
      </c>
      <c r="C59" s="387" t="s">
        <v>2073</v>
      </c>
      <c r="D59" s="387" t="s">
        <v>2074</v>
      </c>
      <c r="E59" s="387">
        <v>100</v>
      </c>
      <c r="F59" s="387" t="s">
        <v>531</v>
      </c>
      <c r="G59" s="387">
        <v>100</v>
      </c>
      <c r="H59" s="387" t="s">
        <v>531</v>
      </c>
      <c r="I59" s="387" t="s">
        <v>744</v>
      </c>
      <c r="J59" s="387" t="s">
        <v>2067</v>
      </c>
      <c r="K59" s="387" t="s">
        <v>2078</v>
      </c>
      <c r="L59" s="387" t="s">
        <v>588</v>
      </c>
      <c r="M59" s="387" t="s">
        <v>589</v>
      </c>
      <c r="N59" s="388">
        <v>23.82</v>
      </c>
      <c r="O59" s="388">
        <v>14</v>
      </c>
      <c r="P59" s="387" t="s">
        <v>538</v>
      </c>
      <c r="Q59" s="387" t="s">
        <v>539</v>
      </c>
      <c r="R59" s="387" t="s">
        <v>2069</v>
      </c>
      <c r="S59" s="387" t="s">
        <v>171</v>
      </c>
      <c r="T59" s="387" t="s">
        <v>542</v>
      </c>
      <c r="U59" s="388">
        <v>316270</v>
      </c>
      <c r="V59" s="387">
        <v>6009695242072</v>
      </c>
      <c r="W59" s="387" t="s">
        <v>543</v>
      </c>
      <c r="X59" s="387" t="s">
        <v>543</v>
      </c>
      <c r="Y59" s="387">
        <v>16009695242079</v>
      </c>
      <c r="Z59" s="387" t="s">
        <v>543</v>
      </c>
      <c r="AA59" s="388" t="s">
        <v>543</v>
      </c>
      <c r="AB59" s="388" t="s">
        <v>543</v>
      </c>
      <c r="AC59" s="387">
        <v>713358001</v>
      </c>
      <c r="AD59" s="389">
        <v>1</v>
      </c>
      <c r="AE59" s="390">
        <v>44470</v>
      </c>
      <c r="AF59" s="390">
        <v>45199</v>
      </c>
      <c r="AG59" s="391" t="s">
        <v>545</v>
      </c>
      <c r="AH59" s="391" t="s">
        <v>2076</v>
      </c>
      <c r="AI59" s="391" t="s">
        <v>592</v>
      </c>
      <c r="AJ59" s="391">
        <v>0</v>
      </c>
      <c r="AK59" s="390">
        <v>44470</v>
      </c>
      <c r="AL59" s="389">
        <v>25</v>
      </c>
      <c r="AM59" s="391" t="s">
        <v>548</v>
      </c>
      <c r="AN59" s="391" t="s">
        <v>549</v>
      </c>
      <c r="AO59" s="391" t="s">
        <v>2077</v>
      </c>
    </row>
    <row r="60" spans="1:43" ht="16" thickBot="1">
      <c r="A60" s="387" t="s">
        <v>1766</v>
      </c>
      <c r="B60" s="387" t="s">
        <v>544</v>
      </c>
      <c r="C60" s="387" t="s">
        <v>2079</v>
      </c>
      <c r="D60" s="387" t="s">
        <v>2080</v>
      </c>
      <c r="E60" s="387">
        <v>15</v>
      </c>
      <c r="F60" s="387" t="s">
        <v>559</v>
      </c>
      <c r="G60" s="387">
        <v>15</v>
      </c>
      <c r="H60" s="387" t="s">
        <v>559</v>
      </c>
      <c r="I60" s="387" t="s">
        <v>560</v>
      </c>
      <c r="J60" s="387" t="s">
        <v>2067</v>
      </c>
      <c r="K60" s="387" t="s">
        <v>2081</v>
      </c>
      <c r="L60" s="387" t="s">
        <v>588</v>
      </c>
      <c r="M60" s="387" t="s">
        <v>589</v>
      </c>
      <c r="N60" s="388">
        <v>22.28</v>
      </c>
      <c r="O60" s="388">
        <v>14</v>
      </c>
      <c r="P60" s="387" t="s">
        <v>538</v>
      </c>
      <c r="Q60" s="387" t="s">
        <v>539</v>
      </c>
      <c r="R60" s="387" t="s">
        <v>2069</v>
      </c>
      <c r="S60" s="387" t="s">
        <v>171</v>
      </c>
      <c r="T60" s="387" t="s">
        <v>542</v>
      </c>
      <c r="U60" s="388">
        <v>1725990</v>
      </c>
      <c r="V60" s="387">
        <v>6009695240689</v>
      </c>
      <c r="W60" s="387" t="s">
        <v>543</v>
      </c>
      <c r="X60" s="387" t="s">
        <v>543</v>
      </c>
      <c r="Y60" s="387">
        <v>16009695240686</v>
      </c>
      <c r="Z60" s="387" t="s">
        <v>543</v>
      </c>
      <c r="AA60" s="388" t="s">
        <v>543</v>
      </c>
      <c r="AB60" s="388" t="s">
        <v>543</v>
      </c>
      <c r="AC60" s="387" t="s">
        <v>2082</v>
      </c>
      <c r="AD60" s="389">
        <v>15</v>
      </c>
      <c r="AE60" s="390">
        <v>44470</v>
      </c>
      <c r="AF60" s="390">
        <v>45199</v>
      </c>
      <c r="AG60" s="391" t="s">
        <v>545</v>
      </c>
      <c r="AH60" s="391" t="s">
        <v>2083</v>
      </c>
      <c r="AI60" s="391" t="s">
        <v>592</v>
      </c>
      <c r="AJ60" s="391">
        <v>0</v>
      </c>
      <c r="AK60" s="390">
        <v>44470</v>
      </c>
      <c r="AL60" s="389">
        <v>60</v>
      </c>
      <c r="AM60" s="391" t="s">
        <v>548</v>
      </c>
      <c r="AN60" s="391" t="s">
        <v>549</v>
      </c>
      <c r="AO60" s="391" t="s">
        <v>2084</v>
      </c>
      <c r="AP60" s="372">
        <f>N60/E60</f>
        <v>1.4853333333333334</v>
      </c>
      <c r="AQ60" s="372">
        <f>SUMPRODUCT(AP60:AP61,U60:U61)/SUM(U60:U61)</f>
        <v>1.5744</v>
      </c>
    </row>
    <row r="61" spans="1:43" ht="16" thickBot="1">
      <c r="A61" s="387" t="s">
        <v>1766</v>
      </c>
      <c r="B61" s="387" t="s">
        <v>544</v>
      </c>
      <c r="C61" s="387" t="s">
        <v>2079</v>
      </c>
      <c r="D61" s="387" t="s">
        <v>2080</v>
      </c>
      <c r="E61" s="387">
        <v>15</v>
      </c>
      <c r="F61" s="387" t="s">
        <v>559</v>
      </c>
      <c r="G61" s="387">
        <v>15</v>
      </c>
      <c r="H61" s="387" t="s">
        <v>559</v>
      </c>
      <c r="I61" s="387" t="s">
        <v>560</v>
      </c>
      <c r="J61" s="387" t="s">
        <v>2067</v>
      </c>
      <c r="K61" s="387" t="s">
        <v>2085</v>
      </c>
      <c r="L61" s="387" t="s">
        <v>1886</v>
      </c>
      <c r="M61" s="387" t="s">
        <v>1887</v>
      </c>
      <c r="N61" s="388">
        <v>25.62</v>
      </c>
      <c r="O61" s="388">
        <v>14</v>
      </c>
      <c r="P61" s="387" t="s">
        <v>538</v>
      </c>
      <c r="Q61" s="387" t="s">
        <v>539</v>
      </c>
      <c r="R61" s="387" t="s">
        <v>2069</v>
      </c>
      <c r="S61" s="387" t="s">
        <v>171</v>
      </c>
      <c r="T61" s="387" t="s">
        <v>542</v>
      </c>
      <c r="U61" s="388">
        <v>1150660</v>
      </c>
      <c r="V61" s="387">
        <v>6009691110818</v>
      </c>
      <c r="W61" s="387">
        <v>16009691110815</v>
      </c>
      <c r="X61" s="387" t="s">
        <v>543</v>
      </c>
      <c r="Y61" s="387">
        <v>26009691110812</v>
      </c>
      <c r="Z61" s="387" t="s">
        <v>543</v>
      </c>
      <c r="AA61" s="388" t="s">
        <v>543</v>
      </c>
      <c r="AB61" s="388" t="s">
        <v>543</v>
      </c>
      <c r="AC61" s="387">
        <v>707407001</v>
      </c>
      <c r="AD61" s="389">
        <v>144</v>
      </c>
      <c r="AE61" s="390">
        <v>44470</v>
      </c>
      <c r="AF61" s="390">
        <v>45199</v>
      </c>
      <c r="AG61" s="390">
        <v>45199</v>
      </c>
      <c r="AH61" s="391" t="s">
        <v>2083</v>
      </c>
      <c r="AI61" s="391" t="s">
        <v>1889</v>
      </c>
      <c r="AJ61" s="391">
        <v>14</v>
      </c>
      <c r="AK61" s="390">
        <v>45047</v>
      </c>
      <c r="AL61" s="389">
        <v>40</v>
      </c>
      <c r="AM61" s="391" t="s">
        <v>548</v>
      </c>
      <c r="AN61" s="391" t="s">
        <v>549</v>
      </c>
      <c r="AO61" s="391" t="s">
        <v>2084</v>
      </c>
      <c r="AP61" s="372">
        <f t="shared" ref="AP61" si="1">N61/E61</f>
        <v>1.708</v>
      </c>
    </row>
    <row r="62" spans="1:43" ht="16" thickBot="1">
      <c r="A62" s="387" t="s">
        <v>1766</v>
      </c>
      <c r="B62" s="387" t="s">
        <v>1003</v>
      </c>
      <c r="C62" s="387" t="s">
        <v>2086</v>
      </c>
      <c r="D62" s="387" t="s">
        <v>2087</v>
      </c>
      <c r="E62" s="387">
        <v>100</v>
      </c>
      <c r="F62" s="387" t="s">
        <v>531</v>
      </c>
      <c r="G62" s="387">
        <v>100</v>
      </c>
      <c r="H62" s="387" t="s">
        <v>531</v>
      </c>
      <c r="I62" s="387" t="s">
        <v>744</v>
      </c>
      <c r="J62" s="387" t="s">
        <v>2067</v>
      </c>
      <c r="K62" s="387" t="s">
        <v>2088</v>
      </c>
      <c r="L62" s="387" t="s">
        <v>588</v>
      </c>
      <c r="M62" s="387" t="s">
        <v>589</v>
      </c>
      <c r="N62" s="388">
        <v>30.66</v>
      </c>
      <c r="O62" s="388">
        <v>14</v>
      </c>
      <c r="P62" s="387" t="s">
        <v>538</v>
      </c>
      <c r="Q62" s="387" t="s">
        <v>539</v>
      </c>
      <c r="R62" s="387" t="s">
        <v>2069</v>
      </c>
      <c r="S62" s="387" t="s">
        <v>171</v>
      </c>
      <c r="T62" s="387" t="s">
        <v>542</v>
      </c>
      <c r="U62" s="388">
        <v>170853</v>
      </c>
      <c r="V62" s="387">
        <v>6009695242096</v>
      </c>
      <c r="W62" s="387" t="s">
        <v>543</v>
      </c>
      <c r="X62" s="387" t="s">
        <v>543</v>
      </c>
      <c r="Y62" s="387">
        <v>16009695242093</v>
      </c>
      <c r="Z62" s="387" t="s">
        <v>543</v>
      </c>
      <c r="AA62" s="388" t="s">
        <v>543</v>
      </c>
      <c r="AB62" s="388" t="s">
        <v>543</v>
      </c>
      <c r="AC62" s="387">
        <v>713360001</v>
      </c>
      <c r="AD62" s="389">
        <v>1</v>
      </c>
      <c r="AE62" s="390">
        <v>44470</v>
      </c>
      <c r="AF62" s="390">
        <v>45199</v>
      </c>
      <c r="AG62" s="391" t="s">
        <v>545</v>
      </c>
      <c r="AH62" s="391" t="s">
        <v>2089</v>
      </c>
      <c r="AI62" s="391" t="s">
        <v>592</v>
      </c>
      <c r="AJ62" s="391">
        <v>0</v>
      </c>
      <c r="AK62" s="390">
        <v>44470</v>
      </c>
      <c r="AL62" s="389">
        <v>25</v>
      </c>
      <c r="AM62" s="391" t="s">
        <v>548</v>
      </c>
      <c r="AN62" s="391" t="s">
        <v>549</v>
      </c>
      <c r="AO62" s="391" t="s">
        <v>2090</v>
      </c>
    </row>
    <row r="63" spans="1:43" ht="16" thickBot="1">
      <c r="A63" s="387" t="s">
        <v>1766</v>
      </c>
      <c r="B63" s="387" t="s">
        <v>1003</v>
      </c>
      <c r="C63" s="387" t="s">
        <v>2086</v>
      </c>
      <c r="D63" s="387" t="s">
        <v>2087</v>
      </c>
      <c r="E63" s="387">
        <v>100</v>
      </c>
      <c r="F63" s="387" t="s">
        <v>531</v>
      </c>
      <c r="G63" s="387">
        <v>100</v>
      </c>
      <c r="H63" s="387" t="s">
        <v>531</v>
      </c>
      <c r="I63" s="387" t="s">
        <v>744</v>
      </c>
      <c r="J63" s="387" t="s">
        <v>2067</v>
      </c>
      <c r="K63" s="387" t="s">
        <v>2091</v>
      </c>
      <c r="L63" s="387" t="s">
        <v>1761</v>
      </c>
      <c r="M63" s="387" t="s">
        <v>1762</v>
      </c>
      <c r="N63" s="388">
        <v>34.729999999999997</v>
      </c>
      <c r="O63" s="388">
        <v>14</v>
      </c>
      <c r="P63" s="387" t="s">
        <v>538</v>
      </c>
      <c r="Q63" s="387" t="s">
        <v>539</v>
      </c>
      <c r="R63" s="387" t="s">
        <v>2069</v>
      </c>
      <c r="S63" s="387" t="s">
        <v>171</v>
      </c>
      <c r="T63" s="387" t="s">
        <v>542</v>
      </c>
      <c r="U63" s="388">
        <v>512558</v>
      </c>
      <c r="V63" s="387">
        <v>6006498009963</v>
      </c>
      <c r="W63" s="387" t="s">
        <v>543</v>
      </c>
      <c r="X63" s="387" t="s">
        <v>543</v>
      </c>
      <c r="Y63" s="387" t="s">
        <v>543</v>
      </c>
      <c r="Z63" s="387" t="s">
        <v>543</v>
      </c>
      <c r="AA63" s="388" t="s">
        <v>543</v>
      </c>
      <c r="AB63" s="388" t="s">
        <v>543</v>
      </c>
      <c r="AC63" s="387" t="s">
        <v>543</v>
      </c>
      <c r="AD63" s="389">
        <v>100</v>
      </c>
      <c r="AE63" s="390">
        <v>44470</v>
      </c>
      <c r="AF63" s="390">
        <v>45199</v>
      </c>
      <c r="AG63" s="391" t="s">
        <v>545</v>
      </c>
      <c r="AH63" s="391" t="s">
        <v>2089</v>
      </c>
      <c r="AI63" s="391" t="s">
        <v>1764</v>
      </c>
      <c r="AJ63" s="391">
        <v>0</v>
      </c>
      <c r="AK63" s="390">
        <v>44470</v>
      </c>
      <c r="AL63" s="389">
        <v>75</v>
      </c>
      <c r="AM63" s="391" t="s">
        <v>548</v>
      </c>
      <c r="AN63" s="391" t="s">
        <v>549</v>
      </c>
      <c r="AO63" s="391" t="s">
        <v>2090</v>
      </c>
    </row>
    <row r="64" spans="1:43" ht="16" thickBot="1">
      <c r="A64" s="387" t="s">
        <v>1766</v>
      </c>
      <c r="B64" s="387" t="s">
        <v>651</v>
      </c>
      <c r="C64" s="387" t="s">
        <v>2092</v>
      </c>
      <c r="D64" s="387" t="s">
        <v>2093</v>
      </c>
      <c r="E64" s="387">
        <v>1</v>
      </c>
      <c r="F64" s="387" t="s">
        <v>1780</v>
      </c>
      <c r="G64" s="387">
        <v>1</v>
      </c>
      <c r="H64" s="387" t="s">
        <v>1780</v>
      </c>
      <c r="I64" s="387" t="s">
        <v>1751</v>
      </c>
      <c r="J64" s="387" t="s">
        <v>2067</v>
      </c>
      <c r="K64" s="387" t="s">
        <v>2094</v>
      </c>
      <c r="L64" s="387" t="s">
        <v>1761</v>
      </c>
      <c r="M64" s="387" t="s">
        <v>1762</v>
      </c>
      <c r="N64" s="388">
        <v>16.98</v>
      </c>
      <c r="O64" s="388">
        <v>14</v>
      </c>
      <c r="P64" s="387" t="s">
        <v>538</v>
      </c>
      <c r="Q64" s="387" t="s">
        <v>539</v>
      </c>
      <c r="R64" s="387" t="s">
        <v>2069</v>
      </c>
      <c r="S64" s="387" t="s">
        <v>171</v>
      </c>
      <c r="T64" s="387" t="s">
        <v>542</v>
      </c>
      <c r="U64" s="388">
        <v>1745620</v>
      </c>
      <c r="V64" s="387">
        <v>6006498011690</v>
      </c>
      <c r="W64" s="387" t="s">
        <v>543</v>
      </c>
      <c r="X64" s="387" t="s">
        <v>543</v>
      </c>
      <c r="Y64" s="387" t="s">
        <v>543</v>
      </c>
      <c r="Z64" s="387" t="s">
        <v>543</v>
      </c>
      <c r="AA64" s="388" t="s">
        <v>543</v>
      </c>
      <c r="AB64" s="388" t="s">
        <v>543</v>
      </c>
      <c r="AC64" s="387">
        <v>705588002</v>
      </c>
      <c r="AD64" s="389" t="s">
        <v>2070</v>
      </c>
      <c r="AE64" s="390">
        <v>44470</v>
      </c>
      <c r="AF64" s="390">
        <v>45199</v>
      </c>
      <c r="AG64" s="390">
        <v>45199</v>
      </c>
      <c r="AH64" s="391" t="s">
        <v>2095</v>
      </c>
      <c r="AI64" s="391" t="s">
        <v>1764</v>
      </c>
      <c r="AJ64" s="391">
        <v>0</v>
      </c>
      <c r="AK64" s="390">
        <v>44470</v>
      </c>
      <c r="AL64" s="389">
        <v>100</v>
      </c>
      <c r="AM64" s="391" t="s">
        <v>548</v>
      </c>
      <c r="AN64" s="391" t="s">
        <v>549</v>
      </c>
      <c r="AO64" s="391" t="s">
        <v>2096</v>
      </c>
    </row>
    <row r="65" spans="1:43" ht="16" thickBot="1">
      <c r="A65" s="387" t="s">
        <v>1766</v>
      </c>
      <c r="B65" s="387" t="s">
        <v>999</v>
      </c>
      <c r="C65" s="387" t="s">
        <v>2097</v>
      </c>
      <c r="D65" s="387" t="s">
        <v>2098</v>
      </c>
      <c r="E65" s="387">
        <v>10</v>
      </c>
      <c r="F65" s="387" t="s">
        <v>559</v>
      </c>
      <c r="G65" s="387">
        <v>10</v>
      </c>
      <c r="H65" s="387" t="s">
        <v>559</v>
      </c>
      <c r="I65" s="387" t="s">
        <v>560</v>
      </c>
      <c r="J65" s="387" t="s">
        <v>2067</v>
      </c>
      <c r="K65" s="387" t="s">
        <v>2099</v>
      </c>
      <c r="L65" s="387" t="s">
        <v>588</v>
      </c>
      <c r="M65" s="387" t="s">
        <v>589</v>
      </c>
      <c r="N65" s="388">
        <v>22.98</v>
      </c>
      <c r="O65" s="388">
        <v>14</v>
      </c>
      <c r="P65" s="387" t="s">
        <v>538</v>
      </c>
      <c r="Q65" s="387" t="s">
        <v>539</v>
      </c>
      <c r="R65" s="387" t="s">
        <v>2069</v>
      </c>
      <c r="S65" s="387" t="s">
        <v>171</v>
      </c>
      <c r="T65" s="387" t="s">
        <v>542</v>
      </c>
      <c r="U65" s="388">
        <v>2324280</v>
      </c>
      <c r="V65" s="387">
        <v>6009695240726</v>
      </c>
      <c r="W65" s="387" t="s">
        <v>543</v>
      </c>
      <c r="X65" s="387" t="s">
        <v>543</v>
      </c>
      <c r="Y65" s="387">
        <v>16009695240723</v>
      </c>
      <c r="Z65" s="387" t="s">
        <v>543</v>
      </c>
      <c r="AA65" s="388" t="s">
        <v>543</v>
      </c>
      <c r="AB65" s="388" t="s">
        <v>543</v>
      </c>
      <c r="AC65" s="387" t="s">
        <v>2100</v>
      </c>
      <c r="AD65" s="389">
        <v>10</v>
      </c>
      <c r="AE65" s="390">
        <v>44470</v>
      </c>
      <c r="AF65" s="390">
        <v>45199</v>
      </c>
      <c r="AG65" s="391" t="s">
        <v>545</v>
      </c>
      <c r="AH65" s="391" t="s">
        <v>2101</v>
      </c>
      <c r="AI65" s="391" t="s">
        <v>592</v>
      </c>
      <c r="AJ65" s="391">
        <v>0</v>
      </c>
      <c r="AK65" s="390">
        <v>44470</v>
      </c>
      <c r="AL65" s="389">
        <v>80</v>
      </c>
      <c r="AM65" s="391" t="s">
        <v>548</v>
      </c>
      <c r="AN65" s="391" t="s">
        <v>549</v>
      </c>
      <c r="AO65" s="391" t="s">
        <v>2102</v>
      </c>
    </row>
    <row r="66" spans="1:43" ht="16" thickBot="1">
      <c r="A66" s="387" t="s">
        <v>1766</v>
      </c>
      <c r="B66" s="387" t="s">
        <v>999</v>
      </c>
      <c r="C66" s="387" t="s">
        <v>2097</v>
      </c>
      <c r="D66" s="387" t="s">
        <v>2098</v>
      </c>
      <c r="E66" s="387">
        <v>10</v>
      </c>
      <c r="F66" s="387" t="s">
        <v>559</v>
      </c>
      <c r="G66" s="387">
        <v>10</v>
      </c>
      <c r="H66" s="387" t="s">
        <v>559</v>
      </c>
      <c r="I66" s="387" t="s">
        <v>560</v>
      </c>
      <c r="J66" s="387" t="s">
        <v>2067</v>
      </c>
      <c r="K66" s="387" t="s">
        <v>2103</v>
      </c>
      <c r="L66" s="387" t="s">
        <v>1771</v>
      </c>
      <c r="M66" s="387" t="s">
        <v>1772</v>
      </c>
      <c r="N66" s="388">
        <v>28.28</v>
      </c>
      <c r="O66" s="388">
        <v>14</v>
      </c>
      <c r="P66" s="387" t="s">
        <v>538</v>
      </c>
      <c r="Q66" s="387" t="s">
        <v>539</v>
      </c>
      <c r="R66" s="387" t="s">
        <v>2069</v>
      </c>
      <c r="S66" s="387" t="s">
        <v>171</v>
      </c>
      <c r="T66" s="387" t="s">
        <v>542</v>
      </c>
      <c r="U66" s="388">
        <v>581070</v>
      </c>
      <c r="V66" s="387">
        <v>6008288002567</v>
      </c>
      <c r="W66" s="387" t="s">
        <v>543</v>
      </c>
      <c r="X66" s="387" t="s">
        <v>543</v>
      </c>
      <c r="Y66" s="387" t="s">
        <v>2104</v>
      </c>
      <c r="Z66" s="387" t="s">
        <v>543</v>
      </c>
      <c r="AA66" s="388" t="s">
        <v>543</v>
      </c>
      <c r="AB66" s="388" t="s">
        <v>543</v>
      </c>
      <c r="AC66" s="387">
        <v>708893001</v>
      </c>
      <c r="AD66" s="389">
        <v>200</v>
      </c>
      <c r="AE66" s="390">
        <v>44470</v>
      </c>
      <c r="AF66" s="390">
        <v>45199</v>
      </c>
      <c r="AG66" s="390">
        <v>45199</v>
      </c>
      <c r="AH66" s="391" t="s">
        <v>2101</v>
      </c>
      <c r="AI66" s="391" t="s">
        <v>1776</v>
      </c>
      <c r="AJ66" s="391">
        <v>23</v>
      </c>
      <c r="AK66" s="390">
        <v>45047</v>
      </c>
      <c r="AL66" s="389">
        <v>20</v>
      </c>
      <c r="AM66" s="391" t="s">
        <v>548</v>
      </c>
      <c r="AN66" s="391" t="s">
        <v>549</v>
      </c>
      <c r="AO66" s="391" t="s">
        <v>2102</v>
      </c>
    </row>
    <row r="67" spans="1:43" ht="16" thickBot="1">
      <c r="A67" s="387" t="s">
        <v>1766</v>
      </c>
      <c r="B67" s="387" t="s">
        <v>989</v>
      </c>
      <c r="C67" s="387" t="s">
        <v>2105</v>
      </c>
      <c r="D67" s="387" t="s">
        <v>2106</v>
      </c>
      <c r="E67" s="387">
        <v>100</v>
      </c>
      <c r="F67" s="387" t="s">
        <v>531</v>
      </c>
      <c r="G67" s="387">
        <v>100</v>
      </c>
      <c r="H67" s="387" t="s">
        <v>531</v>
      </c>
      <c r="I67" s="387" t="s">
        <v>744</v>
      </c>
      <c r="J67" s="387" t="s">
        <v>2107</v>
      </c>
      <c r="K67" s="387" t="s">
        <v>2108</v>
      </c>
      <c r="L67" s="387" t="s">
        <v>1886</v>
      </c>
      <c r="M67" s="387" t="s">
        <v>1887</v>
      </c>
      <c r="N67" s="388">
        <v>70.319999999999993</v>
      </c>
      <c r="O67" s="388">
        <v>14</v>
      </c>
      <c r="P67" s="387" t="s">
        <v>538</v>
      </c>
      <c r="Q67" s="387" t="s">
        <v>539</v>
      </c>
      <c r="R67" s="387" t="s">
        <v>2069</v>
      </c>
      <c r="S67" s="387" t="s">
        <v>171</v>
      </c>
      <c r="T67" s="387" t="s">
        <v>542</v>
      </c>
      <c r="U67" s="388">
        <v>171500</v>
      </c>
      <c r="V67" s="387">
        <v>6009691113925</v>
      </c>
      <c r="W67" s="387" t="s">
        <v>543</v>
      </c>
      <c r="X67" s="387" t="s">
        <v>543</v>
      </c>
      <c r="Y67" s="387">
        <v>16009691113922</v>
      </c>
      <c r="Z67" s="387">
        <v>6009691113925</v>
      </c>
      <c r="AA67" s="388" t="s">
        <v>543</v>
      </c>
      <c r="AB67" s="388" t="s">
        <v>543</v>
      </c>
      <c r="AC67" s="387">
        <v>722105001</v>
      </c>
      <c r="AD67" s="389">
        <v>30</v>
      </c>
      <c r="AE67" s="390">
        <v>44470</v>
      </c>
      <c r="AF67" s="390">
        <v>45199</v>
      </c>
      <c r="AG67" s="391" t="s">
        <v>545</v>
      </c>
      <c r="AH67" s="391" t="s">
        <v>2109</v>
      </c>
      <c r="AI67" s="391" t="s">
        <v>1889</v>
      </c>
      <c r="AJ67" s="391">
        <v>0</v>
      </c>
      <c r="AK67" s="390">
        <v>44470</v>
      </c>
      <c r="AL67" s="389">
        <v>100</v>
      </c>
      <c r="AM67" s="391" t="s">
        <v>548</v>
      </c>
      <c r="AN67" s="391" t="s">
        <v>549</v>
      </c>
      <c r="AO67" s="391" t="s">
        <v>2110</v>
      </c>
    </row>
    <row r="68" spans="1:43" ht="16" thickBot="1">
      <c r="A68" s="387" t="s">
        <v>1766</v>
      </c>
      <c r="B68" s="387" t="s">
        <v>784</v>
      </c>
      <c r="C68" s="387" t="s">
        <v>2111</v>
      </c>
      <c r="D68" s="387" t="s">
        <v>2112</v>
      </c>
      <c r="E68" s="387">
        <v>100</v>
      </c>
      <c r="F68" s="387" t="s">
        <v>531</v>
      </c>
      <c r="G68" s="387">
        <v>100</v>
      </c>
      <c r="H68" s="387" t="s">
        <v>531</v>
      </c>
      <c r="I68" s="387" t="s">
        <v>744</v>
      </c>
      <c r="J68" s="387" t="s">
        <v>2113</v>
      </c>
      <c r="K68" s="387" t="s">
        <v>2114</v>
      </c>
      <c r="L68" s="387" t="s">
        <v>576</v>
      </c>
      <c r="M68" s="387" t="s">
        <v>577</v>
      </c>
      <c r="N68" s="388">
        <v>7.86</v>
      </c>
      <c r="O68" s="388">
        <v>14</v>
      </c>
      <c r="P68" s="387" t="s">
        <v>538</v>
      </c>
      <c r="Q68" s="387" t="s">
        <v>539</v>
      </c>
      <c r="R68" s="387" t="s">
        <v>2115</v>
      </c>
      <c r="S68" s="387" t="s">
        <v>171</v>
      </c>
      <c r="T68" s="387" t="s">
        <v>542</v>
      </c>
      <c r="U68" s="388">
        <v>1473591</v>
      </c>
      <c r="V68" s="387" t="s">
        <v>543</v>
      </c>
      <c r="W68" s="387" t="s">
        <v>543</v>
      </c>
      <c r="X68" s="387" t="s">
        <v>543</v>
      </c>
      <c r="Y68" s="387" t="s">
        <v>543</v>
      </c>
      <c r="Z68" s="387" t="s">
        <v>543</v>
      </c>
      <c r="AA68" s="388" t="s">
        <v>543</v>
      </c>
      <c r="AB68" s="388" t="s">
        <v>543</v>
      </c>
      <c r="AC68" s="387" t="s">
        <v>543</v>
      </c>
      <c r="AD68" s="389">
        <v>100</v>
      </c>
      <c r="AE68" s="390">
        <v>44470</v>
      </c>
      <c r="AF68" s="390">
        <v>45199</v>
      </c>
      <c r="AG68" s="390">
        <v>45199</v>
      </c>
      <c r="AH68" s="391" t="s">
        <v>2116</v>
      </c>
      <c r="AI68" s="391" t="s">
        <v>580</v>
      </c>
      <c r="AJ68" s="391">
        <v>18</v>
      </c>
      <c r="AK68" s="390">
        <v>45047</v>
      </c>
      <c r="AL68" s="389">
        <v>32.19</v>
      </c>
      <c r="AM68" s="391" t="s">
        <v>548</v>
      </c>
      <c r="AN68" s="391" t="s">
        <v>549</v>
      </c>
      <c r="AO68" s="391" t="s">
        <v>2117</v>
      </c>
      <c r="AP68" s="372">
        <f>N68/E68</f>
        <v>7.8600000000000003E-2</v>
      </c>
      <c r="AQ68" s="372">
        <f>SUMPRODUCT(AP68:AP70,U68:U70)/SUM(U68:U70)</f>
        <v>7.6689787557534222E-2</v>
      </c>
    </row>
    <row r="69" spans="1:43" ht="16" thickBot="1">
      <c r="A69" s="387" t="s">
        <v>1766</v>
      </c>
      <c r="B69" s="387" t="s">
        <v>784</v>
      </c>
      <c r="C69" s="387" t="s">
        <v>2111</v>
      </c>
      <c r="D69" s="387" t="s">
        <v>2112</v>
      </c>
      <c r="E69" s="387">
        <v>100</v>
      </c>
      <c r="F69" s="387" t="s">
        <v>531</v>
      </c>
      <c r="G69" s="387">
        <v>100</v>
      </c>
      <c r="H69" s="387" t="s">
        <v>531</v>
      </c>
      <c r="I69" s="387" t="s">
        <v>744</v>
      </c>
      <c r="J69" s="387" t="s">
        <v>2113</v>
      </c>
      <c r="K69" s="387" t="s">
        <v>2118</v>
      </c>
      <c r="L69" s="387" t="s">
        <v>1829</v>
      </c>
      <c r="M69" s="387" t="s">
        <v>1830</v>
      </c>
      <c r="N69" s="388">
        <v>7.44</v>
      </c>
      <c r="O69" s="388">
        <v>14</v>
      </c>
      <c r="P69" s="387" t="s">
        <v>538</v>
      </c>
      <c r="Q69" s="387" t="s">
        <v>539</v>
      </c>
      <c r="R69" s="387" t="s">
        <v>2115</v>
      </c>
      <c r="S69" s="387" t="s">
        <v>171</v>
      </c>
      <c r="T69" s="387" t="s">
        <v>542</v>
      </c>
      <c r="U69" s="388">
        <v>1570940</v>
      </c>
      <c r="V69" s="387">
        <v>6009694780353</v>
      </c>
      <c r="W69" s="387" t="s">
        <v>543</v>
      </c>
      <c r="X69" s="387" t="s">
        <v>543</v>
      </c>
      <c r="Y69" s="387">
        <v>16009694780350</v>
      </c>
      <c r="Z69" s="387" t="s">
        <v>543</v>
      </c>
      <c r="AA69" s="388" t="s">
        <v>543</v>
      </c>
      <c r="AB69" s="388" t="s">
        <v>543</v>
      </c>
      <c r="AC69" s="387">
        <v>714182002</v>
      </c>
      <c r="AD69" s="389">
        <v>100</v>
      </c>
      <c r="AE69" s="390">
        <v>44470</v>
      </c>
      <c r="AF69" s="390">
        <v>45199</v>
      </c>
      <c r="AG69" s="390">
        <v>45199</v>
      </c>
      <c r="AH69" s="391" t="s">
        <v>2116</v>
      </c>
      <c r="AI69" s="391" t="s">
        <v>1833</v>
      </c>
      <c r="AJ69" s="391">
        <v>16</v>
      </c>
      <c r="AK69" s="390">
        <v>45047</v>
      </c>
      <c r="AL69" s="389">
        <v>34.32</v>
      </c>
      <c r="AM69" s="391" t="s">
        <v>548</v>
      </c>
      <c r="AN69" s="391" t="s">
        <v>549</v>
      </c>
      <c r="AO69" s="391" t="s">
        <v>2117</v>
      </c>
      <c r="AP69" s="372">
        <f t="shared" ref="AP69:AP70" si="2">N69/E69</f>
        <v>7.4400000000000008E-2</v>
      </c>
    </row>
    <row r="70" spans="1:43" ht="16" thickBot="1">
      <c r="A70" s="387" t="s">
        <v>1766</v>
      </c>
      <c r="B70" s="387" t="s">
        <v>784</v>
      </c>
      <c r="C70" s="387" t="s">
        <v>2111</v>
      </c>
      <c r="D70" s="387" t="s">
        <v>2112</v>
      </c>
      <c r="E70" s="387">
        <v>100</v>
      </c>
      <c r="F70" s="387" t="s">
        <v>531</v>
      </c>
      <c r="G70" s="387">
        <v>100</v>
      </c>
      <c r="H70" s="387" t="s">
        <v>531</v>
      </c>
      <c r="I70" s="387" t="s">
        <v>744</v>
      </c>
      <c r="J70" s="387" t="s">
        <v>2113</v>
      </c>
      <c r="K70" s="387" t="s">
        <v>2119</v>
      </c>
      <c r="L70" s="387" t="s">
        <v>2062</v>
      </c>
      <c r="M70" s="387" t="s">
        <v>2063</v>
      </c>
      <c r="N70" s="388">
        <v>7.72</v>
      </c>
      <c r="O70" s="388">
        <v>14</v>
      </c>
      <c r="P70" s="387" t="s">
        <v>538</v>
      </c>
      <c r="Q70" s="387" t="s">
        <v>539</v>
      </c>
      <c r="R70" s="387" t="s">
        <v>2115</v>
      </c>
      <c r="S70" s="387" t="s">
        <v>171</v>
      </c>
      <c r="T70" s="387" t="s">
        <v>542</v>
      </c>
      <c r="U70" s="388">
        <v>1533179</v>
      </c>
      <c r="V70" s="387">
        <v>6009880832781</v>
      </c>
      <c r="W70" s="387">
        <v>6009880832781</v>
      </c>
      <c r="X70" s="387" t="s">
        <v>543</v>
      </c>
      <c r="Y70" s="387">
        <v>16009880832788</v>
      </c>
      <c r="Z70" s="387" t="s">
        <v>543</v>
      </c>
      <c r="AA70" s="388" t="s">
        <v>543</v>
      </c>
      <c r="AB70" s="388" t="s">
        <v>543</v>
      </c>
      <c r="AC70" s="387" t="s">
        <v>543</v>
      </c>
      <c r="AD70" s="389">
        <v>300</v>
      </c>
      <c r="AE70" s="390">
        <v>44470</v>
      </c>
      <c r="AF70" s="390">
        <v>45199</v>
      </c>
      <c r="AG70" s="390">
        <v>45199</v>
      </c>
      <c r="AH70" s="391" t="s">
        <v>2116</v>
      </c>
      <c r="AI70" s="391" t="s">
        <v>2064</v>
      </c>
      <c r="AJ70" s="391">
        <v>24</v>
      </c>
      <c r="AK70" s="390">
        <v>45047</v>
      </c>
      <c r="AL70" s="389">
        <v>33.49</v>
      </c>
      <c r="AM70" s="391" t="s">
        <v>548</v>
      </c>
      <c r="AN70" s="391" t="s">
        <v>549</v>
      </c>
      <c r="AO70" s="391" t="s">
        <v>2117</v>
      </c>
      <c r="AP70" s="372">
        <f t="shared" si="2"/>
        <v>7.7199999999999991E-2</v>
      </c>
    </row>
    <row r="71" spans="1:43" ht="16" thickBot="1">
      <c r="A71" s="387" t="s">
        <v>1766</v>
      </c>
      <c r="B71" s="387" t="s">
        <v>965</v>
      </c>
      <c r="C71" s="387" t="s">
        <v>2120</v>
      </c>
      <c r="D71" s="387" t="s">
        <v>2121</v>
      </c>
      <c r="E71" s="387">
        <v>100</v>
      </c>
      <c r="F71" s="387" t="s">
        <v>531</v>
      </c>
      <c r="G71" s="387">
        <v>100</v>
      </c>
      <c r="H71" s="387" t="s">
        <v>531</v>
      </c>
      <c r="I71" s="387" t="s">
        <v>744</v>
      </c>
      <c r="J71" s="387" t="s">
        <v>2113</v>
      </c>
      <c r="K71" s="387" t="s">
        <v>2122</v>
      </c>
      <c r="L71" s="387" t="s">
        <v>576</v>
      </c>
      <c r="M71" s="387" t="s">
        <v>577</v>
      </c>
      <c r="N71" s="388">
        <v>9.8800000000000008</v>
      </c>
      <c r="O71" s="388">
        <v>14</v>
      </c>
      <c r="P71" s="387" t="s">
        <v>538</v>
      </c>
      <c r="Q71" s="387" t="s">
        <v>539</v>
      </c>
      <c r="R71" s="387" t="s">
        <v>2115</v>
      </c>
      <c r="S71" s="387" t="s">
        <v>171</v>
      </c>
      <c r="T71" s="387" t="s">
        <v>542</v>
      </c>
      <c r="U71" s="388">
        <v>1972078</v>
      </c>
      <c r="V71" s="387">
        <v>6009688290325</v>
      </c>
      <c r="W71" s="387" t="s">
        <v>543</v>
      </c>
      <c r="X71" s="387" t="s">
        <v>543</v>
      </c>
      <c r="Y71" s="387" t="s">
        <v>543</v>
      </c>
      <c r="Z71" s="387" t="s">
        <v>543</v>
      </c>
      <c r="AA71" s="388" t="s">
        <v>543</v>
      </c>
      <c r="AB71" s="388" t="s">
        <v>543</v>
      </c>
      <c r="AC71" s="387">
        <v>714180001</v>
      </c>
      <c r="AD71" s="389">
        <v>500</v>
      </c>
      <c r="AE71" s="390">
        <v>44470</v>
      </c>
      <c r="AF71" s="390">
        <v>45199</v>
      </c>
      <c r="AG71" s="390">
        <v>45199</v>
      </c>
      <c r="AH71" s="391" t="s">
        <v>2123</v>
      </c>
      <c r="AI71" s="391" t="s">
        <v>580</v>
      </c>
      <c r="AJ71" s="391">
        <v>18</v>
      </c>
      <c r="AK71" s="390">
        <v>45047</v>
      </c>
      <c r="AL71" s="389">
        <v>33.049999999999997</v>
      </c>
      <c r="AM71" s="391" t="s">
        <v>548</v>
      </c>
      <c r="AN71" s="391" t="s">
        <v>549</v>
      </c>
      <c r="AO71" s="391" t="s">
        <v>2124</v>
      </c>
    </row>
    <row r="72" spans="1:43" ht="16" thickBot="1">
      <c r="A72" s="387" t="s">
        <v>1766</v>
      </c>
      <c r="B72" s="387" t="s">
        <v>965</v>
      </c>
      <c r="C72" s="387" t="s">
        <v>2120</v>
      </c>
      <c r="D72" s="387" t="s">
        <v>2121</v>
      </c>
      <c r="E72" s="387">
        <v>100</v>
      </c>
      <c r="F72" s="387" t="s">
        <v>531</v>
      </c>
      <c r="G72" s="387">
        <v>100</v>
      </c>
      <c r="H72" s="387" t="s">
        <v>531</v>
      </c>
      <c r="I72" s="387" t="s">
        <v>744</v>
      </c>
      <c r="J72" s="387" t="s">
        <v>2113</v>
      </c>
      <c r="K72" s="387" t="s">
        <v>2125</v>
      </c>
      <c r="L72" s="387" t="s">
        <v>1829</v>
      </c>
      <c r="M72" s="387" t="s">
        <v>1830</v>
      </c>
      <c r="N72" s="388">
        <v>9.8000000000000007</v>
      </c>
      <c r="O72" s="388">
        <v>14</v>
      </c>
      <c r="P72" s="387" t="s">
        <v>538</v>
      </c>
      <c r="Q72" s="387" t="s">
        <v>539</v>
      </c>
      <c r="R72" s="387" t="s">
        <v>2115</v>
      </c>
      <c r="S72" s="387" t="s">
        <v>171</v>
      </c>
      <c r="T72" s="387" t="s">
        <v>542</v>
      </c>
      <c r="U72" s="388">
        <v>2005673</v>
      </c>
      <c r="V72" s="387">
        <v>6009694780337</v>
      </c>
      <c r="W72" s="387" t="s">
        <v>543</v>
      </c>
      <c r="X72" s="387" t="s">
        <v>543</v>
      </c>
      <c r="Y72" s="387">
        <v>6009694780337</v>
      </c>
      <c r="Z72" s="387" t="s">
        <v>543</v>
      </c>
      <c r="AA72" s="388" t="s">
        <v>543</v>
      </c>
      <c r="AB72" s="388" t="s">
        <v>543</v>
      </c>
      <c r="AC72" s="387">
        <v>714183001</v>
      </c>
      <c r="AD72" s="389">
        <v>100</v>
      </c>
      <c r="AE72" s="390">
        <v>44470</v>
      </c>
      <c r="AF72" s="390">
        <v>45199</v>
      </c>
      <c r="AG72" s="390">
        <v>45199</v>
      </c>
      <c r="AH72" s="391" t="s">
        <v>2123</v>
      </c>
      <c r="AI72" s="391" t="s">
        <v>1833</v>
      </c>
      <c r="AJ72" s="391">
        <v>16</v>
      </c>
      <c r="AK72" s="390">
        <v>45047</v>
      </c>
      <c r="AL72" s="389">
        <v>33.61</v>
      </c>
      <c r="AM72" s="391" t="s">
        <v>548</v>
      </c>
      <c r="AN72" s="391" t="s">
        <v>549</v>
      </c>
      <c r="AO72" s="391" t="s">
        <v>2124</v>
      </c>
    </row>
    <row r="73" spans="1:43" ht="16" thickBot="1">
      <c r="A73" s="387" t="s">
        <v>1766</v>
      </c>
      <c r="B73" s="387" t="s">
        <v>965</v>
      </c>
      <c r="C73" s="387" t="s">
        <v>2120</v>
      </c>
      <c r="D73" s="387" t="s">
        <v>2121</v>
      </c>
      <c r="E73" s="387">
        <v>100</v>
      </c>
      <c r="F73" s="387" t="s">
        <v>531</v>
      </c>
      <c r="G73" s="387">
        <v>100</v>
      </c>
      <c r="H73" s="387" t="s">
        <v>531</v>
      </c>
      <c r="I73" s="387" t="s">
        <v>744</v>
      </c>
      <c r="J73" s="387" t="s">
        <v>2113</v>
      </c>
      <c r="K73" s="387" t="s">
        <v>2126</v>
      </c>
      <c r="L73" s="387" t="s">
        <v>2062</v>
      </c>
      <c r="M73" s="387" t="s">
        <v>2063</v>
      </c>
      <c r="N73" s="388">
        <v>10</v>
      </c>
      <c r="O73" s="388">
        <v>14</v>
      </c>
      <c r="P73" s="387" t="s">
        <v>538</v>
      </c>
      <c r="Q73" s="387" t="s">
        <v>539</v>
      </c>
      <c r="R73" s="387" t="s">
        <v>2115</v>
      </c>
      <c r="S73" s="387" t="s">
        <v>171</v>
      </c>
      <c r="T73" s="387" t="s">
        <v>542</v>
      </c>
      <c r="U73" s="388">
        <v>1989389</v>
      </c>
      <c r="V73" s="387">
        <v>6009880832798</v>
      </c>
      <c r="W73" s="387">
        <v>6009880832798</v>
      </c>
      <c r="X73" s="387" t="s">
        <v>543</v>
      </c>
      <c r="Y73" s="387">
        <v>16009880832795</v>
      </c>
      <c r="Z73" s="387" t="s">
        <v>543</v>
      </c>
      <c r="AA73" s="388" t="s">
        <v>543</v>
      </c>
      <c r="AB73" s="388" t="s">
        <v>543</v>
      </c>
      <c r="AC73" s="387" t="s">
        <v>543</v>
      </c>
      <c r="AD73" s="389">
        <v>200</v>
      </c>
      <c r="AE73" s="390">
        <v>44470</v>
      </c>
      <c r="AF73" s="390">
        <v>45199</v>
      </c>
      <c r="AG73" s="390">
        <v>45199</v>
      </c>
      <c r="AH73" s="391" t="s">
        <v>2123</v>
      </c>
      <c r="AI73" s="391" t="s">
        <v>2064</v>
      </c>
      <c r="AJ73" s="391">
        <v>24</v>
      </c>
      <c r="AK73" s="390">
        <v>45047</v>
      </c>
      <c r="AL73" s="389">
        <v>33.340000000000003</v>
      </c>
      <c r="AM73" s="391" t="s">
        <v>548</v>
      </c>
      <c r="AN73" s="391" t="s">
        <v>549</v>
      </c>
      <c r="AO73" s="391" t="s">
        <v>2124</v>
      </c>
    </row>
    <row r="74" spans="1:43" ht="16" thickBot="1">
      <c r="A74" s="387" t="s">
        <v>1766</v>
      </c>
      <c r="B74" s="387" t="s">
        <v>2127</v>
      </c>
      <c r="C74" s="387" t="s">
        <v>2128</v>
      </c>
      <c r="D74" s="387" t="s">
        <v>2129</v>
      </c>
      <c r="E74" s="387">
        <v>100</v>
      </c>
      <c r="F74" s="387" t="s">
        <v>584</v>
      </c>
      <c r="G74" s="387">
        <v>100</v>
      </c>
      <c r="H74" s="387" t="s">
        <v>584</v>
      </c>
      <c r="I74" s="387" t="s">
        <v>585</v>
      </c>
      <c r="J74" s="387" t="s">
        <v>2113</v>
      </c>
      <c r="K74" s="387" t="s">
        <v>2130</v>
      </c>
      <c r="L74" s="387" t="s">
        <v>576</v>
      </c>
      <c r="M74" s="387" t="s">
        <v>577</v>
      </c>
      <c r="N74" s="388">
        <v>34.869999999999997</v>
      </c>
      <c r="O74" s="388">
        <v>14</v>
      </c>
      <c r="P74" s="387" t="s">
        <v>538</v>
      </c>
      <c r="Q74" s="387" t="s">
        <v>539</v>
      </c>
      <c r="R74" s="387" t="s">
        <v>2115</v>
      </c>
      <c r="S74" s="387" t="s">
        <v>171</v>
      </c>
      <c r="T74" s="387" t="s">
        <v>542</v>
      </c>
      <c r="U74" s="388">
        <v>30700</v>
      </c>
      <c r="V74" s="387">
        <v>6009688290080</v>
      </c>
      <c r="W74" s="387" t="s">
        <v>543</v>
      </c>
      <c r="X74" s="387" t="s">
        <v>543</v>
      </c>
      <c r="Y74" s="387" t="s">
        <v>543</v>
      </c>
      <c r="Z74" s="387" t="s">
        <v>543</v>
      </c>
      <c r="AA74" s="388" t="s">
        <v>543</v>
      </c>
      <c r="AB74" s="388" t="s">
        <v>543</v>
      </c>
      <c r="AC74" s="387" t="s">
        <v>543</v>
      </c>
      <c r="AD74" s="389">
        <v>75</v>
      </c>
      <c r="AE74" s="390">
        <v>44470</v>
      </c>
      <c r="AF74" s="390">
        <v>45199</v>
      </c>
      <c r="AG74" s="390">
        <v>45199</v>
      </c>
      <c r="AH74" s="391" t="s">
        <v>2131</v>
      </c>
      <c r="AI74" s="391" t="s">
        <v>580</v>
      </c>
      <c r="AJ74" s="391">
        <v>18</v>
      </c>
      <c r="AK74" s="390">
        <v>45047</v>
      </c>
      <c r="AL74" s="389">
        <v>100</v>
      </c>
      <c r="AM74" s="391" t="s">
        <v>548</v>
      </c>
      <c r="AN74" s="391" t="s">
        <v>549</v>
      </c>
      <c r="AO74" s="391" t="s">
        <v>2132</v>
      </c>
      <c r="AP74" s="372">
        <f>N74/E74</f>
        <v>0.34869999999999995</v>
      </c>
      <c r="AQ74" s="372">
        <f>SUMPRODUCT(AP74:AP77,U74:U77)/SUM(U74:U77)</f>
        <v>0.35317052202446847</v>
      </c>
    </row>
    <row r="75" spans="1:43" ht="16" thickBot="1">
      <c r="A75" s="387" t="s">
        <v>1766</v>
      </c>
      <c r="B75" s="387" t="s">
        <v>554</v>
      </c>
      <c r="C75" s="387" t="s">
        <v>2133</v>
      </c>
      <c r="D75" s="387" t="s">
        <v>2134</v>
      </c>
      <c r="E75" s="387">
        <v>15</v>
      </c>
      <c r="F75" s="387" t="s">
        <v>584</v>
      </c>
      <c r="G75" s="387">
        <v>15</v>
      </c>
      <c r="H75" s="387" t="s">
        <v>584</v>
      </c>
      <c r="I75" s="387" t="s">
        <v>585</v>
      </c>
      <c r="J75" s="387" t="s">
        <v>2113</v>
      </c>
      <c r="K75" s="387" t="s">
        <v>2135</v>
      </c>
      <c r="L75" s="387" t="s">
        <v>1829</v>
      </c>
      <c r="M75" s="387" t="s">
        <v>1830</v>
      </c>
      <c r="N75" s="388">
        <v>5.38</v>
      </c>
      <c r="O75" s="388">
        <v>14</v>
      </c>
      <c r="P75" s="387" t="s">
        <v>538</v>
      </c>
      <c r="Q75" s="387" t="s">
        <v>539</v>
      </c>
      <c r="R75" s="387" t="s">
        <v>2115</v>
      </c>
      <c r="S75" s="387" t="s">
        <v>171</v>
      </c>
      <c r="T75" s="387" t="s">
        <v>542</v>
      </c>
      <c r="U75" s="388">
        <v>2204070</v>
      </c>
      <c r="V75" s="387">
        <v>6009694780216</v>
      </c>
      <c r="W75" s="387" t="s">
        <v>543</v>
      </c>
      <c r="X75" s="387" t="s">
        <v>543</v>
      </c>
      <c r="Y75" s="387">
        <v>16009694780213</v>
      </c>
      <c r="Z75" s="387" t="s">
        <v>543</v>
      </c>
      <c r="AA75" s="388" t="s">
        <v>543</v>
      </c>
      <c r="AB75" s="388" t="s">
        <v>543</v>
      </c>
      <c r="AC75" s="387" t="s">
        <v>543</v>
      </c>
      <c r="AD75" s="389">
        <v>600</v>
      </c>
      <c r="AE75" s="390">
        <v>44470</v>
      </c>
      <c r="AF75" s="390">
        <v>45199</v>
      </c>
      <c r="AG75" s="390">
        <v>45199</v>
      </c>
      <c r="AH75" s="391" t="s">
        <v>2136</v>
      </c>
      <c r="AI75" s="391" t="s">
        <v>1833</v>
      </c>
      <c r="AJ75" s="391">
        <v>16</v>
      </c>
      <c r="AK75" s="390">
        <v>45047</v>
      </c>
      <c r="AL75" s="389">
        <v>32.86</v>
      </c>
      <c r="AM75" s="391" t="s">
        <v>548</v>
      </c>
      <c r="AN75" s="391" t="s">
        <v>549</v>
      </c>
      <c r="AO75" s="391" t="s">
        <v>2132</v>
      </c>
      <c r="AP75" s="372">
        <f t="shared" ref="AP75:AP77" si="3">N75/E75</f>
        <v>0.35866666666666663</v>
      </c>
    </row>
    <row r="76" spans="1:43" ht="16" thickBot="1">
      <c r="A76" s="387" t="s">
        <v>1766</v>
      </c>
      <c r="B76" s="387" t="s">
        <v>554</v>
      </c>
      <c r="C76" s="387" t="s">
        <v>2133</v>
      </c>
      <c r="D76" s="387" t="s">
        <v>2134</v>
      </c>
      <c r="E76" s="387">
        <v>15</v>
      </c>
      <c r="F76" s="387" t="s">
        <v>584</v>
      </c>
      <c r="G76" s="387">
        <v>15</v>
      </c>
      <c r="H76" s="387" t="s">
        <v>584</v>
      </c>
      <c r="I76" s="387" t="s">
        <v>585</v>
      </c>
      <c r="J76" s="387" t="s">
        <v>2113</v>
      </c>
      <c r="K76" s="387" t="s">
        <v>2137</v>
      </c>
      <c r="L76" s="387" t="s">
        <v>2062</v>
      </c>
      <c r="M76" s="387" t="s">
        <v>2063</v>
      </c>
      <c r="N76" s="388">
        <v>5.17</v>
      </c>
      <c r="O76" s="388">
        <v>14</v>
      </c>
      <c r="P76" s="387" t="s">
        <v>538</v>
      </c>
      <c r="Q76" s="387" t="s">
        <v>539</v>
      </c>
      <c r="R76" s="387" t="s">
        <v>2115</v>
      </c>
      <c r="S76" s="387" t="s">
        <v>171</v>
      </c>
      <c r="T76" s="387" t="s">
        <v>542</v>
      </c>
      <c r="U76" s="388">
        <v>2310346</v>
      </c>
      <c r="V76" s="387">
        <v>6009880832002</v>
      </c>
      <c r="W76" s="387">
        <v>16009880832009</v>
      </c>
      <c r="X76" s="387" t="s">
        <v>543</v>
      </c>
      <c r="Y76" s="387">
        <v>26009880832006</v>
      </c>
      <c r="Z76" s="387" t="s">
        <v>543</v>
      </c>
      <c r="AA76" s="388" t="s">
        <v>543</v>
      </c>
      <c r="AB76" s="388" t="s">
        <v>543</v>
      </c>
      <c r="AC76" s="387" t="s">
        <v>543</v>
      </c>
      <c r="AD76" s="389">
        <v>600</v>
      </c>
      <c r="AE76" s="390">
        <v>44470</v>
      </c>
      <c r="AF76" s="390">
        <v>45199</v>
      </c>
      <c r="AG76" s="390">
        <v>45199</v>
      </c>
      <c r="AH76" s="391" t="s">
        <v>2136</v>
      </c>
      <c r="AI76" s="391" t="s">
        <v>2064</v>
      </c>
      <c r="AJ76" s="391">
        <v>24</v>
      </c>
      <c r="AK76" s="390">
        <v>45047</v>
      </c>
      <c r="AL76" s="389">
        <v>34.44</v>
      </c>
      <c r="AM76" s="391" t="s">
        <v>548</v>
      </c>
      <c r="AN76" s="391" t="s">
        <v>549</v>
      </c>
      <c r="AO76" s="391" t="s">
        <v>2132</v>
      </c>
      <c r="AP76" s="372">
        <f t="shared" si="3"/>
        <v>0.34466666666666668</v>
      </c>
    </row>
    <row r="77" spans="1:43" ht="16" thickBot="1">
      <c r="A77" s="387" t="s">
        <v>1766</v>
      </c>
      <c r="B77" s="387" t="s">
        <v>554</v>
      </c>
      <c r="C77" s="387" t="s">
        <v>2133</v>
      </c>
      <c r="D77" s="387" t="s">
        <v>2134</v>
      </c>
      <c r="E77" s="387">
        <v>15</v>
      </c>
      <c r="F77" s="387" t="s">
        <v>584</v>
      </c>
      <c r="G77" s="387">
        <v>15</v>
      </c>
      <c r="H77" s="387" t="s">
        <v>584</v>
      </c>
      <c r="I77" s="387" t="s">
        <v>585</v>
      </c>
      <c r="J77" s="387" t="s">
        <v>2113</v>
      </c>
      <c r="K77" s="387" t="s">
        <v>2130</v>
      </c>
      <c r="L77" s="387" t="s">
        <v>576</v>
      </c>
      <c r="M77" s="387" t="s">
        <v>577</v>
      </c>
      <c r="N77" s="388">
        <v>5.35</v>
      </c>
      <c r="O77" s="388">
        <v>14</v>
      </c>
      <c r="P77" s="387" t="s">
        <v>538</v>
      </c>
      <c r="Q77" s="387" t="s">
        <v>539</v>
      </c>
      <c r="R77" s="387" t="s">
        <v>2115</v>
      </c>
      <c r="S77" s="387" t="s">
        <v>171</v>
      </c>
      <c r="T77" s="387" t="s">
        <v>542</v>
      </c>
      <c r="U77" s="388">
        <v>2193904</v>
      </c>
      <c r="V77" s="387">
        <v>6009688290073</v>
      </c>
      <c r="W77" s="387" t="s">
        <v>543</v>
      </c>
      <c r="X77" s="387" t="s">
        <v>543</v>
      </c>
      <c r="Y77" s="387" t="s">
        <v>543</v>
      </c>
      <c r="Z77" s="387" t="s">
        <v>543</v>
      </c>
      <c r="AA77" s="388" t="s">
        <v>543</v>
      </c>
      <c r="AB77" s="388" t="s">
        <v>543</v>
      </c>
      <c r="AC77" s="387" t="s">
        <v>543</v>
      </c>
      <c r="AD77" s="389">
        <v>500</v>
      </c>
      <c r="AE77" s="390">
        <v>44470</v>
      </c>
      <c r="AF77" s="390">
        <v>45199</v>
      </c>
      <c r="AG77" s="390">
        <v>45199</v>
      </c>
      <c r="AH77" s="391" t="s">
        <v>2136</v>
      </c>
      <c r="AI77" s="391" t="s">
        <v>580</v>
      </c>
      <c r="AJ77" s="391">
        <v>18</v>
      </c>
      <c r="AK77" s="390">
        <v>45047</v>
      </c>
      <c r="AL77" s="389">
        <v>32.700000000000003</v>
      </c>
      <c r="AM77" s="391" t="s">
        <v>548</v>
      </c>
      <c r="AN77" s="391" t="s">
        <v>549</v>
      </c>
      <c r="AO77" s="391" t="s">
        <v>2132</v>
      </c>
      <c r="AP77" s="372">
        <f t="shared" si="3"/>
        <v>0.35666666666666663</v>
      </c>
    </row>
    <row r="78" spans="1:43" ht="16" thickBot="1">
      <c r="A78" s="387" t="s">
        <v>1766</v>
      </c>
      <c r="B78" s="387" t="s">
        <v>1890</v>
      </c>
      <c r="C78" s="387" t="s">
        <v>2138</v>
      </c>
      <c r="D78" s="387" t="s">
        <v>2139</v>
      </c>
      <c r="E78" s="387">
        <v>100</v>
      </c>
      <c r="F78" s="387" t="s">
        <v>584</v>
      </c>
      <c r="G78" s="387">
        <v>100</v>
      </c>
      <c r="H78" s="387" t="s">
        <v>584</v>
      </c>
      <c r="I78" s="387" t="s">
        <v>585</v>
      </c>
      <c r="J78" s="387" t="s">
        <v>2113</v>
      </c>
      <c r="K78" s="387" t="s">
        <v>2140</v>
      </c>
      <c r="L78" s="387" t="s">
        <v>2141</v>
      </c>
      <c r="M78" s="387" t="s">
        <v>2142</v>
      </c>
      <c r="N78" s="388">
        <v>60.51</v>
      </c>
      <c r="O78" s="388">
        <v>14</v>
      </c>
      <c r="P78" s="387" t="s">
        <v>538</v>
      </c>
      <c r="Q78" s="387" t="s">
        <v>539</v>
      </c>
      <c r="R78" s="387" t="s">
        <v>2115</v>
      </c>
      <c r="S78" s="387" t="s">
        <v>171</v>
      </c>
      <c r="T78" s="387" t="s">
        <v>542</v>
      </c>
      <c r="U78" s="388">
        <v>84960</v>
      </c>
      <c r="V78" s="387">
        <v>614143127250</v>
      </c>
      <c r="W78" s="387" t="s">
        <v>543</v>
      </c>
      <c r="X78" s="387" t="s">
        <v>543</v>
      </c>
      <c r="Y78" s="387" t="s">
        <v>543</v>
      </c>
      <c r="Z78" s="387">
        <v>6141431272501</v>
      </c>
      <c r="AA78" s="388" t="s">
        <v>543</v>
      </c>
      <c r="AB78" s="388" t="s">
        <v>543</v>
      </c>
      <c r="AC78" s="387" t="s">
        <v>543</v>
      </c>
      <c r="AD78" s="389">
        <v>40</v>
      </c>
      <c r="AE78" s="390">
        <v>44470</v>
      </c>
      <c r="AF78" s="390">
        <v>45199</v>
      </c>
      <c r="AG78" s="390">
        <v>45199</v>
      </c>
      <c r="AH78" s="391" t="s">
        <v>2143</v>
      </c>
      <c r="AI78" s="391" t="s">
        <v>2144</v>
      </c>
      <c r="AJ78" s="391">
        <v>20</v>
      </c>
      <c r="AK78" s="390">
        <v>45047</v>
      </c>
      <c r="AL78" s="389">
        <v>100</v>
      </c>
      <c r="AM78" s="391" t="s">
        <v>548</v>
      </c>
      <c r="AN78" s="391" t="s">
        <v>549</v>
      </c>
      <c r="AO78" s="391" t="s">
        <v>2145</v>
      </c>
      <c r="AP78" s="372">
        <f>N78/E78</f>
        <v>0.60509999999999997</v>
      </c>
      <c r="AQ78" s="372">
        <f>SUMPRODUCT(AP78:AP81,U78:U81)/SUM(U78:U81)</f>
        <v>0.55516046284546272</v>
      </c>
    </row>
    <row r="79" spans="1:43" ht="16" thickBot="1">
      <c r="A79" s="387" t="s">
        <v>1766</v>
      </c>
      <c r="B79" s="387" t="s">
        <v>537</v>
      </c>
      <c r="C79" s="387" t="s">
        <v>2146</v>
      </c>
      <c r="D79" s="387" t="s">
        <v>2147</v>
      </c>
      <c r="E79" s="387">
        <v>15</v>
      </c>
      <c r="F79" s="387" t="s">
        <v>584</v>
      </c>
      <c r="G79" s="387">
        <v>15</v>
      </c>
      <c r="H79" s="387" t="s">
        <v>584</v>
      </c>
      <c r="I79" s="387" t="s">
        <v>585</v>
      </c>
      <c r="J79" s="387" t="s">
        <v>2113</v>
      </c>
      <c r="K79" s="387" t="s">
        <v>2148</v>
      </c>
      <c r="L79" s="387" t="s">
        <v>576</v>
      </c>
      <c r="M79" s="387" t="s">
        <v>577</v>
      </c>
      <c r="N79" s="388">
        <v>8.41</v>
      </c>
      <c r="O79" s="388">
        <v>14</v>
      </c>
      <c r="P79" s="387" t="s">
        <v>538</v>
      </c>
      <c r="Q79" s="387" t="s">
        <v>539</v>
      </c>
      <c r="R79" s="387" t="s">
        <v>2115</v>
      </c>
      <c r="S79" s="387" t="s">
        <v>171</v>
      </c>
      <c r="T79" s="387" t="s">
        <v>542</v>
      </c>
      <c r="U79" s="388">
        <v>4531888</v>
      </c>
      <c r="V79" s="387">
        <v>6009688290103</v>
      </c>
      <c r="W79" s="387" t="s">
        <v>543</v>
      </c>
      <c r="X79" s="387" t="s">
        <v>543</v>
      </c>
      <c r="Y79" s="387" t="s">
        <v>543</v>
      </c>
      <c r="Z79" s="387" t="s">
        <v>543</v>
      </c>
      <c r="AA79" s="388" t="s">
        <v>543</v>
      </c>
      <c r="AB79" s="388" t="s">
        <v>543</v>
      </c>
      <c r="AC79" s="387" t="s">
        <v>543</v>
      </c>
      <c r="AD79" s="389">
        <v>500</v>
      </c>
      <c r="AE79" s="390">
        <v>44470</v>
      </c>
      <c r="AF79" s="390">
        <v>45199</v>
      </c>
      <c r="AG79" s="390">
        <v>45199</v>
      </c>
      <c r="AH79" s="391" t="s">
        <v>2149</v>
      </c>
      <c r="AI79" s="391" t="s">
        <v>580</v>
      </c>
      <c r="AJ79" s="391">
        <v>18</v>
      </c>
      <c r="AK79" s="390">
        <v>45047</v>
      </c>
      <c r="AL79" s="389">
        <v>32.799999999999997</v>
      </c>
      <c r="AM79" s="391" t="s">
        <v>548</v>
      </c>
      <c r="AN79" s="391" t="s">
        <v>549</v>
      </c>
      <c r="AO79" s="391" t="s">
        <v>2145</v>
      </c>
      <c r="AP79" s="372">
        <f t="shared" ref="AP79:AP81" si="4">N79/E79</f>
        <v>0.56066666666666665</v>
      </c>
    </row>
    <row r="80" spans="1:43" ht="16" thickBot="1">
      <c r="A80" s="387" t="s">
        <v>1766</v>
      </c>
      <c r="B80" s="387" t="s">
        <v>537</v>
      </c>
      <c r="C80" s="387" t="s">
        <v>2146</v>
      </c>
      <c r="D80" s="387" t="s">
        <v>2147</v>
      </c>
      <c r="E80" s="387">
        <v>15</v>
      </c>
      <c r="F80" s="387" t="s">
        <v>584</v>
      </c>
      <c r="G80" s="387">
        <v>15</v>
      </c>
      <c r="H80" s="387" t="s">
        <v>584</v>
      </c>
      <c r="I80" s="387" t="s">
        <v>585</v>
      </c>
      <c r="J80" s="387" t="s">
        <v>2113</v>
      </c>
      <c r="K80" s="387" t="s">
        <v>2150</v>
      </c>
      <c r="L80" s="387" t="s">
        <v>1829</v>
      </c>
      <c r="M80" s="387" t="s">
        <v>1830</v>
      </c>
      <c r="N80" s="388">
        <v>8.2100000000000009</v>
      </c>
      <c r="O80" s="388">
        <v>14</v>
      </c>
      <c r="P80" s="387" t="s">
        <v>538</v>
      </c>
      <c r="Q80" s="387" t="s">
        <v>539</v>
      </c>
      <c r="R80" s="387" t="s">
        <v>2115</v>
      </c>
      <c r="S80" s="387" t="s">
        <v>171</v>
      </c>
      <c r="T80" s="387" t="s">
        <v>542</v>
      </c>
      <c r="U80" s="388">
        <v>4626397</v>
      </c>
      <c r="V80" s="387">
        <v>6009694780278</v>
      </c>
      <c r="W80" s="387" t="s">
        <v>543</v>
      </c>
      <c r="X80" s="387" t="s">
        <v>543</v>
      </c>
      <c r="Y80" s="387">
        <v>16009694780275</v>
      </c>
      <c r="Z80" s="387" t="s">
        <v>543</v>
      </c>
      <c r="AA80" s="388" t="s">
        <v>543</v>
      </c>
      <c r="AB80" s="388" t="s">
        <v>543</v>
      </c>
      <c r="AC80" s="387" t="s">
        <v>543</v>
      </c>
      <c r="AD80" s="389">
        <v>600</v>
      </c>
      <c r="AE80" s="390">
        <v>44470</v>
      </c>
      <c r="AF80" s="390">
        <v>45199</v>
      </c>
      <c r="AG80" s="390">
        <v>45199</v>
      </c>
      <c r="AH80" s="391" t="s">
        <v>2149</v>
      </c>
      <c r="AI80" s="391" t="s">
        <v>1833</v>
      </c>
      <c r="AJ80" s="391">
        <v>16</v>
      </c>
      <c r="AK80" s="390">
        <v>45047</v>
      </c>
      <c r="AL80" s="389">
        <v>33.49</v>
      </c>
      <c r="AM80" s="391" t="s">
        <v>548</v>
      </c>
      <c r="AN80" s="391" t="s">
        <v>549</v>
      </c>
      <c r="AO80" s="391" t="s">
        <v>2145</v>
      </c>
      <c r="AP80" s="372">
        <f t="shared" si="4"/>
        <v>0.54733333333333334</v>
      </c>
    </row>
    <row r="81" spans="1:43" ht="16" thickBot="1">
      <c r="A81" s="387" t="s">
        <v>1766</v>
      </c>
      <c r="B81" s="387" t="s">
        <v>537</v>
      </c>
      <c r="C81" s="387" t="s">
        <v>2146</v>
      </c>
      <c r="D81" s="387" t="s">
        <v>2147</v>
      </c>
      <c r="E81" s="387">
        <v>15</v>
      </c>
      <c r="F81" s="387" t="s">
        <v>584</v>
      </c>
      <c r="G81" s="387">
        <v>15</v>
      </c>
      <c r="H81" s="387" t="s">
        <v>584</v>
      </c>
      <c r="I81" s="387" t="s">
        <v>585</v>
      </c>
      <c r="J81" s="387" t="s">
        <v>2113</v>
      </c>
      <c r="K81" s="387" t="s">
        <v>2151</v>
      </c>
      <c r="L81" s="387" t="s">
        <v>2062</v>
      </c>
      <c r="M81" s="387" t="s">
        <v>2063</v>
      </c>
      <c r="N81" s="388">
        <v>8.35</v>
      </c>
      <c r="O81" s="388">
        <v>14</v>
      </c>
      <c r="P81" s="387" t="s">
        <v>538</v>
      </c>
      <c r="Q81" s="387" t="s">
        <v>539</v>
      </c>
      <c r="R81" s="387" t="s">
        <v>2115</v>
      </c>
      <c r="S81" s="387" t="s">
        <v>171</v>
      </c>
      <c r="T81" s="387" t="s">
        <v>542</v>
      </c>
      <c r="U81" s="388">
        <v>4657435</v>
      </c>
      <c r="V81" s="387" t="s">
        <v>543</v>
      </c>
      <c r="W81" s="387" t="s">
        <v>543</v>
      </c>
      <c r="X81" s="387" t="s">
        <v>543</v>
      </c>
      <c r="Y81" s="387" t="s">
        <v>543</v>
      </c>
      <c r="Z81" s="387" t="s">
        <v>543</v>
      </c>
      <c r="AA81" s="388" t="s">
        <v>543</v>
      </c>
      <c r="AB81" s="388" t="s">
        <v>543</v>
      </c>
      <c r="AC81" s="387" t="s">
        <v>543</v>
      </c>
      <c r="AD81" s="389">
        <v>600</v>
      </c>
      <c r="AE81" s="390">
        <v>44470</v>
      </c>
      <c r="AF81" s="390">
        <v>45199</v>
      </c>
      <c r="AG81" s="390">
        <v>45199</v>
      </c>
      <c r="AH81" s="391" t="s">
        <v>2149</v>
      </c>
      <c r="AI81" s="391" t="s">
        <v>2064</v>
      </c>
      <c r="AJ81" s="391">
        <v>24</v>
      </c>
      <c r="AK81" s="390">
        <v>45047</v>
      </c>
      <c r="AL81" s="389">
        <v>33.71</v>
      </c>
      <c r="AM81" s="391" t="s">
        <v>548</v>
      </c>
      <c r="AN81" s="391" t="s">
        <v>549</v>
      </c>
      <c r="AO81" s="391" t="s">
        <v>2145</v>
      </c>
      <c r="AP81" s="372">
        <f t="shared" si="4"/>
        <v>0.55666666666666664</v>
      </c>
    </row>
    <row r="82" spans="1:43" ht="16" thickBot="1">
      <c r="A82" s="387" t="s">
        <v>1766</v>
      </c>
      <c r="B82" s="387" t="s">
        <v>603</v>
      </c>
      <c r="C82" s="387" t="s">
        <v>2152</v>
      </c>
      <c r="D82" s="387" t="s">
        <v>2153</v>
      </c>
      <c r="E82" s="387">
        <v>1</v>
      </c>
      <c r="F82" s="387" t="s">
        <v>1780</v>
      </c>
      <c r="G82" s="387">
        <v>1</v>
      </c>
      <c r="H82" s="387" t="s">
        <v>1780</v>
      </c>
      <c r="I82" s="387" t="s">
        <v>1751</v>
      </c>
      <c r="J82" s="387" t="s">
        <v>2154</v>
      </c>
      <c r="K82" s="387" t="s">
        <v>2155</v>
      </c>
      <c r="L82" s="387" t="s">
        <v>1955</v>
      </c>
      <c r="M82" s="387" t="s">
        <v>1956</v>
      </c>
      <c r="N82" s="388">
        <v>9.14</v>
      </c>
      <c r="O82" s="388">
        <v>14</v>
      </c>
      <c r="P82" s="387" t="s">
        <v>538</v>
      </c>
      <c r="Q82" s="387" t="s">
        <v>539</v>
      </c>
      <c r="R82" s="387" t="s">
        <v>2156</v>
      </c>
      <c r="S82" s="387" t="s">
        <v>541</v>
      </c>
      <c r="T82" s="387" t="s">
        <v>542</v>
      </c>
      <c r="U82" s="388">
        <v>182176</v>
      </c>
      <c r="V82" s="387">
        <v>6006267004953</v>
      </c>
      <c r="W82" s="387">
        <v>6006267004953</v>
      </c>
      <c r="X82" s="387" t="s">
        <v>543</v>
      </c>
      <c r="Y82" s="387">
        <v>6006267004953</v>
      </c>
      <c r="Z82" s="387" t="s">
        <v>543</v>
      </c>
      <c r="AA82" s="388" t="s">
        <v>543</v>
      </c>
      <c r="AB82" s="388" t="s">
        <v>543</v>
      </c>
      <c r="AC82" s="387">
        <v>893889008</v>
      </c>
      <c r="AD82" s="389">
        <v>10</v>
      </c>
      <c r="AE82" s="390">
        <v>44470</v>
      </c>
      <c r="AF82" s="390">
        <v>45199</v>
      </c>
      <c r="AG82" s="391" t="s">
        <v>545</v>
      </c>
      <c r="AH82" s="391" t="s">
        <v>2157</v>
      </c>
      <c r="AI82" s="391" t="s">
        <v>1959</v>
      </c>
      <c r="AJ82" s="391">
        <v>0</v>
      </c>
      <c r="AK82" s="390">
        <v>44470</v>
      </c>
      <c r="AL82" s="389">
        <v>10</v>
      </c>
      <c r="AM82" s="391" t="s">
        <v>548</v>
      </c>
      <c r="AN82" s="391" t="s">
        <v>549</v>
      </c>
      <c r="AO82" s="391" t="s">
        <v>2158</v>
      </c>
    </row>
    <row r="83" spans="1:43" ht="16" thickBot="1">
      <c r="A83" s="387" t="s">
        <v>1766</v>
      </c>
      <c r="B83" s="387" t="s">
        <v>603</v>
      </c>
      <c r="C83" s="387" t="s">
        <v>2152</v>
      </c>
      <c r="D83" s="387" t="s">
        <v>2153</v>
      </c>
      <c r="E83" s="387">
        <v>1</v>
      </c>
      <c r="F83" s="387" t="s">
        <v>1780</v>
      </c>
      <c r="G83" s="387">
        <v>1</v>
      </c>
      <c r="H83" s="387" t="s">
        <v>1780</v>
      </c>
      <c r="I83" s="387" t="s">
        <v>1751</v>
      </c>
      <c r="J83" s="387" t="s">
        <v>2154</v>
      </c>
      <c r="K83" s="387" t="s">
        <v>2159</v>
      </c>
      <c r="L83" s="387" t="s">
        <v>2062</v>
      </c>
      <c r="M83" s="387" t="s">
        <v>2063</v>
      </c>
      <c r="N83" s="388">
        <v>7.02</v>
      </c>
      <c r="O83" s="388">
        <v>14</v>
      </c>
      <c r="P83" s="387" t="s">
        <v>538</v>
      </c>
      <c r="Q83" s="387" t="s">
        <v>539</v>
      </c>
      <c r="R83" s="387" t="s">
        <v>2156</v>
      </c>
      <c r="S83" s="387" t="s">
        <v>541</v>
      </c>
      <c r="T83" s="387" t="s">
        <v>542</v>
      </c>
      <c r="U83" s="388">
        <v>1639584</v>
      </c>
      <c r="V83" s="387">
        <v>6009880832804</v>
      </c>
      <c r="W83" s="387">
        <v>6009880832804</v>
      </c>
      <c r="X83" s="387" t="s">
        <v>543</v>
      </c>
      <c r="Y83" s="387">
        <v>16009880832801</v>
      </c>
      <c r="Z83" s="387" t="s">
        <v>543</v>
      </c>
      <c r="AA83" s="388" t="s">
        <v>543</v>
      </c>
      <c r="AB83" s="388" t="s">
        <v>543</v>
      </c>
      <c r="AC83" s="387" t="s">
        <v>543</v>
      </c>
      <c r="AD83" s="389">
        <v>600</v>
      </c>
      <c r="AE83" s="390">
        <v>44470</v>
      </c>
      <c r="AF83" s="390">
        <v>45199</v>
      </c>
      <c r="AG83" s="390">
        <v>45199</v>
      </c>
      <c r="AH83" s="391" t="s">
        <v>2157</v>
      </c>
      <c r="AI83" s="391" t="s">
        <v>2064</v>
      </c>
      <c r="AJ83" s="391">
        <v>23</v>
      </c>
      <c r="AK83" s="390">
        <v>45047</v>
      </c>
      <c r="AL83" s="389">
        <v>90</v>
      </c>
      <c r="AM83" s="391" t="s">
        <v>548</v>
      </c>
      <c r="AN83" s="391" t="s">
        <v>549</v>
      </c>
      <c r="AO83" s="391" t="s">
        <v>2158</v>
      </c>
    </row>
    <row r="84" spans="1:43" ht="16" thickBot="1">
      <c r="A84" s="387" t="s">
        <v>1766</v>
      </c>
      <c r="B84" s="387" t="s">
        <v>985</v>
      </c>
      <c r="C84" s="387" t="s">
        <v>2160</v>
      </c>
      <c r="D84" s="387" t="s">
        <v>2161</v>
      </c>
      <c r="E84" s="387">
        <v>1</v>
      </c>
      <c r="F84" s="387" t="s">
        <v>1780</v>
      </c>
      <c r="G84" s="387">
        <v>1</v>
      </c>
      <c r="H84" s="387" t="s">
        <v>1780</v>
      </c>
      <c r="I84" s="387" t="s">
        <v>1751</v>
      </c>
      <c r="J84" s="387" t="s">
        <v>2154</v>
      </c>
      <c r="K84" s="387" t="s">
        <v>2162</v>
      </c>
      <c r="L84" s="387" t="s">
        <v>588</v>
      </c>
      <c r="M84" s="387" t="s">
        <v>589</v>
      </c>
      <c r="N84" s="388">
        <v>7.77</v>
      </c>
      <c r="O84" s="388">
        <v>14</v>
      </c>
      <c r="P84" s="387" t="s">
        <v>538</v>
      </c>
      <c r="Q84" s="387" t="s">
        <v>539</v>
      </c>
      <c r="R84" s="387" t="s">
        <v>2156</v>
      </c>
      <c r="S84" s="387" t="s">
        <v>541</v>
      </c>
      <c r="T84" s="387" t="s">
        <v>542</v>
      </c>
      <c r="U84" s="388">
        <v>1958052</v>
      </c>
      <c r="V84" s="387">
        <v>6009695242775</v>
      </c>
      <c r="W84" s="387" t="s">
        <v>543</v>
      </c>
      <c r="X84" s="387" t="s">
        <v>543</v>
      </c>
      <c r="Y84" s="387" t="s">
        <v>543</v>
      </c>
      <c r="Z84" s="387">
        <v>26009695242779</v>
      </c>
      <c r="AA84" s="388" t="s">
        <v>543</v>
      </c>
      <c r="AB84" s="388" t="s">
        <v>543</v>
      </c>
      <c r="AC84" s="387">
        <v>719996001</v>
      </c>
      <c r="AD84" s="389">
        <v>1</v>
      </c>
      <c r="AE84" s="390">
        <v>44470</v>
      </c>
      <c r="AF84" s="390">
        <v>45199</v>
      </c>
      <c r="AG84" s="391" t="s">
        <v>545</v>
      </c>
      <c r="AH84" s="391" t="s">
        <v>2163</v>
      </c>
      <c r="AI84" s="391" t="s">
        <v>592</v>
      </c>
      <c r="AJ84" s="391">
        <v>0</v>
      </c>
      <c r="AK84" s="390">
        <v>44470</v>
      </c>
      <c r="AL84" s="389">
        <v>30</v>
      </c>
      <c r="AM84" s="391" t="s">
        <v>548</v>
      </c>
      <c r="AN84" s="391" t="s">
        <v>549</v>
      </c>
      <c r="AO84" s="391" t="s">
        <v>2164</v>
      </c>
    </row>
    <row r="85" spans="1:43" ht="16" thickBot="1">
      <c r="A85" s="387" t="s">
        <v>1766</v>
      </c>
      <c r="B85" s="387" t="s">
        <v>985</v>
      </c>
      <c r="C85" s="387" t="s">
        <v>2160</v>
      </c>
      <c r="D85" s="387" t="s">
        <v>2161</v>
      </c>
      <c r="E85" s="387">
        <v>1</v>
      </c>
      <c r="F85" s="387" t="s">
        <v>1780</v>
      </c>
      <c r="G85" s="387">
        <v>1</v>
      </c>
      <c r="H85" s="387" t="s">
        <v>1780</v>
      </c>
      <c r="I85" s="387" t="s">
        <v>1751</v>
      </c>
      <c r="J85" s="387" t="s">
        <v>2154</v>
      </c>
      <c r="K85" s="387" t="s">
        <v>2165</v>
      </c>
      <c r="L85" s="387" t="s">
        <v>2062</v>
      </c>
      <c r="M85" s="387" t="s">
        <v>2063</v>
      </c>
      <c r="N85" s="388">
        <v>7.77</v>
      </c>
      <c r="O85" s="388">
        <v>14</v>
      </c>
      <c r="P85" s="387" t="s">
        <v>538</v>
      </c>
      <c r="Q85" s="387" t="s">
        <v>539</v>
      </c>
      <c r="R85" s="387" t="s">
        <v>2156</v>
      </c>
      <c r="S85" s="387" t="s">
        <v>541</v>
      </c>
      <c r="T85" s="387" t="s">
        <v>542</v>
      </c>
      <c r="U85" s="388">
        <v>4568788</v>
      </c>
      <c r="V85" s="387">
        <v>6009880832811</v>
      </c>
      <c r="W85" s="387">
        <v>6009880832811</v>
      </c>
      <c r="X85" s="387" t="s">
        <v>543</v>
      </c>
      <c r="Y85" s="387">
        <v>16009880832818</v>
      </c>
      <c r="Z85" s="387" t="s">
        <v>543</v>
      </c>
      <c r="AA85" s="388" t="s">
        <v>543</v>
      </c>
      <c r="AB85" s="388" t="s">
        <v>543</v>
      </c>
      <c r="AC85" s="387" t="s">
        <v>543</v>
      </c>
      <c r="AD85" s="389">
        <v>600</v>
      </c>
      <c r="AE85" s="390">
        <v>44470</v>
      </c>
      <c r="AF85" s="390">
        <v>45199</v>
      </c>
      <c r="AG85" s="390">
        <v>45199</v>
      </c>
      <c r="AH85" s="391" t="s">
        <v>2163</v>
      </c>
      <c r="AI85" s="391" t="s">
        <v>2064</v>
      </c>
      <c r="AJ85" s="391">
        <v>24</v>
      </c>
      <c r="AK85" s="390">
        <v>45047</v>
      </c>
      <c r="AL85" s="389">
        <v>70</v>
      </c>
      <c r="AM85" s="391" t="s">
        <v>548</v>
      </c>
      <c r="AN85" s="391" t="s">
        <v>549</v>
      </c>
      <c r="AO85" s="391" t="s">
        <v>2164</v>
      </c>
    </row>
    <row r="86" spans="1:43" ht="16" thickBot="1">
      <c r="A86" s="387" t="s">
        <v>2166</v>
      </c>
      <c r="B86" s="387" t="s">
        <v>615</v>
      </c>
      <c r="C86" s="387" t="s">
        <v>2167</v>
      </c>
      <c r="D86" s="387" t="s">
        <v>2168</v>
      </c>
      <c r="E86" s="387">
        <v>28</v>
      </c>
      <c r="F86" s="387" t="s">
        <v>559</v>
      </c>
      <c r="G86" s="387">
        <v>28</v>
      </c>
      <c r="H86" s="387" t="s">
        <v>559</v>
      </c>
      <c r="I86" s="387" t="s">
        <v>560</v>
      </c>
      <c r="J86" s="387" t="s">
        <v>2169</v>
      </c>
      <c r="K86" s="387" t="s">
        <v>2170</v>
      </c>
      <c r="L86" s="387" t="s">
        <v>2171</v>
      </c>
      <c r="M86" s="387" t="s">
        <v>2172</v>
      </c>
      <c r="N86" s="388">
        <v>26.15</v>
      </c>
      <c r="O86" s="388">
        <v>14</v>
      </c>
      <c r="P86" s="387" t="s">
        <v>538</v>
      </c>
      <c r="Q86" s="387" t="s">
        <v>539</v>
      </c>
      <c r="R86" s="387" t="s">
        <v>2173</v>
      </c>
      <c r="S86" s="387" t="s">
        <v>171</v>
      </c>
      <c r="T86" s="387" t="s">
        <v>1908</v>
      </c>
      <c r="U86" s="388">
        <v>115239</v>
      </c>
      <c r="V86" s="387">
        <v>6009712070121</v>
      </c>
      <c r="W86" s="387" t="s">
        <v>543</v>
      </c>
      <c r="X86" s="387" t="s">
        <v>543</v>
      </c>
      <c r="Y86" s="387" t="s">
        <v>543</v>
      </c>
      <c r="Z86" s="387" t="s">
        <v>543</v>
      </c>
      <c r="AA86" s="388" t="s">
        <v>543</v>
      </c>
      <c r="AB86" s="388" t="s">
        <v>543</v>
      </c>
      <c r="AC86" s="387">
        <v>720035001</v>
      </c>
      <c r="AD86" s="389">
        <v>30</v>
      </c>
      <c r="AE86" s="390">
        <v>44743</v>
      </c>
      <c r="AF86" s="390">
        <v>45473</v>
      </c>
      <c r="AG86" s="390">
        <v>45473</v>
      </c>
      <c r="AH86" s="391" t="s">
        <v>2174</v>
      </c>
      <c r="AI86" s="391" t="s">
        <v>2175</v>
      </c>
      <c r="AJ86" s="391">
        <v>6</v>
      </c>
      <c r="AK86" s="390">
        <v>44958</v>
      </c>
      <c r="AL86" s="389">
        <v>100</v>
      </c>
      <c r="AM86" s="391" t="s">
        <v>548</v>
      </c>
      <c r="AN86" s="391" t="s">
        <v>549</v>
      </c>
      <c r="AO86" s="391" t="s">
        <v>2176</v>
      </c>
    </row>
    <row r="87" spans="1:43" ht="16" thickBot="1">
      <c r="A87" s="387" t="s">
        <v>2177</v>
      </c>
      <c r="B87" s="387" t="s">
        <v>615</v>
      </c>
      <c r="C87" s="387" t="s">
        <v>2178</v>
      </c>
      <c r="D87" s="387" t="s">
        <v>2179</v>
      </c>
      <c r="E87" s="387">
        <v>100</v>
      </c>
      <c r="F87" s="387" t="s">
        <v>2180</v>
      </c>
      <c r="G87" s="387">
        <v>100</v>
      </c>
      <c r="H87" s="387" t="s">
        <v>2180</v>
      </c>
      <c r="I87" s="387" t="s">
        <v>2181</v>
      </c>
      <c r="J87" s="387" t="s">
        <v>2182</v>
      </c>
      <c r="K87" s="387" t="s">
        <v>2183</v>
      </c>
      <c r="L87" s="387" t="s">
        <v>1855</v>
      </c>
      <c r="M87" s="387" t="s">
        <v>1856</v>
      </c>
      <c r="N87" s="388">
        <v>3.43</v>
      </c>
      <c r="O87" s="388">
        <v>14</v>
      </c>
      <c r="P87" s="387" t="s">
        <v>538</v>
      </c>
      <c r="Q87" s="387" t="s">
        <v>539</v>
      </c>
      <c r="R87" s="387" t="s">
        <v>2184</v>
      </c>
      <c r="S87" s="387" t="s">
        <v>614</v>
      </c>
      <c r="T87" s="387" t="s">
        <v>542</v>
      </c>
      <c r="U87" s="388">
        <v>9253541</v>
      </c>
      <c r="V87" s="387">
        <v>6001668004243</v>
      </c>
      <c r="W87" s="387" t="s">
        <v>543</v>
      </c>
      <c r="X87" s="387" t="s">
        <v>543</v>
      </c>
      <c r="Y87" s="387">
        <v>16001668004240</v>
      </c>
      <c r="Z87" s="387" t="s">
        <v>543</v>
      </c>
      <c r="AA87" s="388" t="s">
        <v>543</v>
      </c>
      <c r="AB87" s="388" t="s">
        <v>543</v>
      </c>
      <c r="AC87" s="387" t="s">
        <v>543</v>
      </c>
      <c r="AD87" s="389">
        <v>100</v>
      </c>
      <c r="AE87" s="390">
        <v>44013</v>
      </c>
      <c r="AF87" s="390">
        <v>45107</v>
      </c>
      <c r="AG87" s="390">
        <v>45107</v>
      </c>
      <c r="AH87" s="391" t="s">
        <v>2185</v>
      </c>
      <c r="AI87" s="391" t="s">
        <v>1859</v>
      </c>
      <c r="AJ87" s="391">
        <v>54</v>
      </c>
      <c r="AK87" s="390">
        <v>45040</v>
      </c>
      <c r="AL87" s="389">
        <v>100</v>
      </c>
      <c r="AM87" s="391" t="s">
        <v>548</v>
      </c>
      <c r="AN87" s="391" t="s">
        <v>545</v>
      </c>
      <c r="AO87" s="391" t="s">
        <v>2186</v>
      </c>
      <c r="AP87" s="372">
        <f>N87/E87</f>
        <v>3.4300000000000004E-2</v>
      </c>
      <c r="AQ87" s="372">
        <f>AP87</f>
        <v>3.4300000000000004E-2</v>
      </c>
    </row>
    <row r="88" spans="1:43" ht="16" thickBot="1">
      <c r="A88" s="387" t="s">
        <v>2177</v>
      </c>
      <c r="B88" s="387" t="s">
        <v>1018</v>
      </c>
      <c r="C88" s="387" t="s">
        <v>2187</v>
      </c>
      <c r="D88" s="387" t="s">
        <v>2188</v>
      </c>
      <c r="E88" s="387">
        <v>500</v>
      </c>
      <c r="F88" s="387" t="s">
        <v>2180</v>
      </c>
      <c r="G88" s="387">
        <v>500</v>
      </c>
      <c r="H88" s="387" t="s">
        <v>2180</v>
      </c>
      <c r="I88" s="387" t="s">
        <v>2181</v>
      </c>
      <c r="J88" s="387" t="s">
        <v>2182</v>
      </c>
      <c r="K88" s="387" t="s">
        <v>2183</v>
      </c>
      <c r="L88" s="387" t="s">
        <v>1855</v>
      </c>
      <c r="M88" s="387" t="s">
        <v>1856</v>
      </c>
      <c r="N88" s="388">
        <v>11.2</v>
      </c>
      <c r="O88" s="388">
        <v>14</v>
      </c>
      <c r="P88" s="387" t="s">
        <v>538</v>
      </c>
      <c r="Q88" s="387" t="s">
        <v>539</v>
      </c>
      <c r="R88" s="387" t="s">
        <v>2184</v>
      </c>
      <c r="S88" s="387" t="s">
        <v>614</v>
      </c>
      <c r="T88" s="387" t="s">
        <v>542</v>
      </c>
      <c r="U88" s="388">
        <v>3425236</v>
      </c>
      <c r="V88" s="387">
        <v>6001668004250</v>
      </c>
      <c r="W88" s="387" t="s">
        <v>543</v>
      </c>
      <c r="X88" s="387" t="s">
        <v>543</v>
      </c>
      <c r="Y88" s="387">
        <v>16001668004257</v>
      </c>
      <c r="Z88" s="387" t="s">
        <v>543</v>
      </c>
      <c r="AA88" s="388" t="s">
        <v>543</v>
      </c>
      <c r="AB88" s="388" t="s">
        <v>543</v>
      </c>
      <c r="AC88" s="387" t="s">
        <v>543</v>
      </c>
      <c r="AD88" s="389">
        <v>22</v>
      </c>
      <c r="AE88" s="390">
        <v>44013</v>
      </c>
      <c r="AF88" s="390">
        <v>45107</v>
      </c>
      <c r="AG88" s="390">
        <v>45107</v>
      </c>
      <c r="AH88" s="391" t="s">
        <v>2189</v>
      </c>
      <c r="AI88" s="391" t="s">
        <v>1859</v>
      </c>
      <c r="AJ88" s="391">
        <v>54</v>
      </c>
      <c r="AK88" s="390">
        <v>45040</v>
      </c>
      <c r="AL88" s="389">
        <v>100</v>
      </c>
      <c r="AM88" s="391" t="s">
        <v>548</v>
      </c>
      <c r="AN88" s="391" t="s">
        <v>545</v>
      </c>
      <c r="AO88" s="391" t="s">
        <v>2186</v>
      </c>
    </row>
    <row r="89" spans="1:43" ht="16" thickBot="1">
      <c r="A89" s="387" t="s">
        <v>1717</v>
      </c>
      <c r="B89" s="387" t="s">
        <v>972</v>
      </c>
      <c r="C89" s="387" t="s">
        <v>2190</v>
      </c>
      <c r="D89" s="387" t="s">
        <v>2191</v>
      </c>
      <c r="E89" s="387">
        <v>30</v>
      </c>
      <c r="F89" s="387" t="s">
        <v>559</v>
      </c>
      <c r="G89" s="387">
        <v>30</v>
      </c>
      <c r="H89" s="387" t="s">
        <v>559</v>
      </c>
      <c r="I89" s="387" t="s">
        <v>560</v>
      </c>
      <c r="J89" s="387" t="s">
        <v>2192</v>
      </c>
      <c r="K89" s="387" t="s">
        <v>2193</v>
      </c>
      <c r="L89" s="387" t="s">
        <v>552</v>
      </c>
      <c r="M89" s="387" t="s">
        <v>553</v>
      </c>
      <c r="N89" s="388">
        <v>30.84</v>
      </c>
      <c r="O89" s="388">
        <v>14</v>
      </c>
      <c r="P89" s="387" t="s">
        <v>538</v>
      </c>
      <c r="Q89" s="387" t="s">
        <v>539</v>
      </c>
      <c r="R89" s="387" t="s">
        <v>2194</v>
      </c>
      <c r="S89" s="387" t="s">
        <v>171</v>
      </c>
      <c r="T89" s="387" t="s">
        <v>1908</v>
      </c>
      <c r="U89" s="388">
        <v>18574</v>
      </c>
      <c r="V89" s="387">
        <v>8903726285800</v>
      </c>
      <c r="W89" s="387">
        <v>8903726285800</v>
      </c>
      <c r="X89" s="387" t="s">
        <v>543</v>
      </c>
      <c r="Y89" s="387">
        <v>58903726285805</v>
      </c>
      <c r="Z89" s="387" t="s">
        <v>543</v>
      </c>
      <c r="AA89" s="388" t="s">
        <v>543</v>
      </c>
      <c r="AB89" s="388" t="s">
        <v>543</v>
      </c>
      <c r="AC89" s="387" t="s">
        <v>543</v>
      </c>
      <c r="AD89" s="389">
        <v>45</v>
      </c>
      <c r="AE89" s="390">
        <v>45047</v>
      </c>
      <c r="AF89" s="390">
        <v>46142</v>
      </c>
      <c r="AG89" s="391" t="s">
        <v>545</v>
      </c>
      <c r="AH89" s="391" t="s">
        <v>2195</v>
      </c>
      <c r="AI89" s="391" t="s">
        <v>555</v>
      </c>
      <c r="AJ89" s="391">
        <v>0</v>
      </c>
      <c r="AK89" s="390">
        <v>45047</v>
      </c>
      <c r="AL89" s="389">
        <v>100</v>
      </c>
      <c r="AM89" s="391" t="s">
        <v>548</v>
      </c>
      <c r="AN89" s="391" t="s">
        <v>549</v>
      </c>
      <c r="AO89" s="391" t="s">
        <v>2196</v>
      </c>
    </row>
    <row r="90" spans="1:43" ht="16" thickBot="1">
      <c r="A90" s="387" t="s">
        <v>1717</v>
      </c>
      <c r="B90" s="387" t="s">
        <v>1006</v>
      </c>
      <c r="C90" s="387" t="s">
        <v>2197</v>
      </c>
      <c r="D90" s="387" t="s">
        <v>2198</v>
      </c>
      <c r="E90" s="387">
        <v>30</v>
      </c>
      <c r="F90" s="387" t="s">
        <v>559</v>
      </c>
      <c r="G90" s="387">
        <v>30</v>
      </c>
      <c r="H90" s="387" t="s">
        <v>559</v>
      </c>
      <c r="I90" s="387" t="s">
        <v>560</v>
      </c>
      <c r="J90" s="387" t="s">
        <v>2192</v>
      </c>
      <c r="K90" s="387" t="s">
        <v>2199</v>
      </c>
      <c r="L90" s="387" t="s">
        <v>2200</v>
      </c>
      <c r="M90" s="387" t="s">
        <v>2201</v>
      </c>
      <c r="N90" s="388">
        <v>39</v>
      </c>
      <c r="O90" s="388">
        <v>14</v>
      </c>
      <c r="P90" s="387" t="s">
        <v>538</v>
      </c>
      <c r="Q90" s="387" t="s">
        <v>539</v>
      </c>
      <c r="R90" s="387" t="s">
        <v>2194</v>
      </c>
      <c r="S90" s="387" t="s">
        <v>171</v>
      </c>
      <c r="T90" s="387" t="s">
        <v>1908</v>
      </c>
      <c r="U90" s="388">
        <v>10586</v>
      </c>
      <c r="V90" s="387">
        <v>8901463171509</v>
      </c>
      <c r="W90" s="387" t="s">
        <v>543</v>
      </c>
      <c r="X90" s="387" t="s">
        <v>543</v>
      </c>
      <c r="Y90" s="387">
        <v>58901463171504</v>
      </c>
      <c r="Z90" s="387" t="s">
        <v>543</v>
      </c>
      <c r="AA90" s="388" t="s">
        <v>543</v>
      </c>
      <c r="AB90" s="388" t="s">
        <v>543</v>
      </c>
      <c r="AC90" s="387" t="s">
        <v>543</v>
      </c>
      <c r="AD90" s="389">
        <v>50</v>
      </c>
      <c r="AE90" s="390">
        <v>45047</v>
      </c>
      <c r="AF90" s="390">
        <v>46142</v>
      </c>
      <c r="AG90" s="390">
        <v>46142</v>
      </c>
      <c r="AH90" s="391" t="s">
        <v>2202</v>
      </c>
      <c r="AI90" s="391" t="s">
        <v>2203</v>
      </c>
      <c r="AJ90" s="391">
        <v>0</v>
      </c>
      <c r="AK90" s="390">
        <v>45047</v>
      </c>
      <c r="AL90" s="389">
        <v>100</v>
      </c>
      <c r="AM90" s="391" t="s">
        <v>548</v>
      </c>
      <c r="AN90" s="391" t="s">
        <v>549</v>
      </c>
      <c r="AO90" s="391" t="s">
        <v>2204</v>
      </c>
    </row>
    <row r="91" spans="1:43" ht="16" thickBot="1">
      <c r="A91" s="387" t="s">
        <v>1717</v>
      </c>
      <c r="B91" s="387" t="s">
        <v>990</v>
      </c>
      <c r="C91" s="387" t="s">
        <v>2205</v>
      </c>
      <c r="D91" s="387" t="s">
        <v>2206</v>
      </c>
      <c r="E91" s="387">
        <v>30</v>
      </c>
      <c r="F91" s="387" t="s">
        <v>559</v>
      </c>
      <c r="G91" s="387">
        <v>30</v>
      </c>
      <c r="H91" s="387" t="s">
        <v>559</v>
      </c>
      <c r="I91" s="387" t="s">
        <v>560</v>
      </c>
      <c r="J91" s="387" t="s">
        <v>2192</v>
      </c>
      <c r="K91" s="387" t="s">
        <v>2207</v>
      </c>
      <c r="L91" s="387" t="s">
        <v>2200</v>
      </c>
      <c r="M91" s="387" t="s">
        <v>2201</v>
      </c>
      <c r="N91" s="388">
        <v>29</v>
      </c>
      <c r="O91" s="388">
        <v>14</v>
      </c>
      <c r="P91" s="387" t="s">
        <v>538</v>
      </c>
      <c r="Q91" s="387" t="s">
        <v>539</v>
      </c>
      <c r="R91" s="387" t="s">
        <v>2194</v>
      </c>
      <c r="S91" s="387" t="s">
        <v>171</v>
      </c>
      <c r="T91" s="387" t="s">
        <v>1908</v>
      </c>
      <c r="U91" s="388">
        <v>6205</v>
      </c>
      <c r="V91" s="387">
        <v>8901463171516</v>
      </c>
      <c r="W91" s="387" t="s">
        <v>543</v>
      </c>
      <c r="X91" s="387" t="s">
        <v>543</v>
      </c>
      <c r="Y91" s="387">
        <v>58901463171511</v>
      </c>
      <c r="Z91" s="387" t="s">
        <v>543</v>
      </c>
      <c r="AA91" s="388" t="s">
        <v>543</v>
      </c>
      <c r="AB91" s="388" t="s">
        <v>543</v>
      </c>
      <c r="AC91" s="387" t="s">
        <v>543</v>
      </c>
      <c r="AD91" s="389">
        <v>50</v>
      </c>
      <c r="AE91" s="390">
        <v>45047</v>
      </c>
      <c r="AF91" s="390">
        <v>46142</v>
      </c>
      <c r="AG91" s="391" t="s">
        <v>545</v>
      </c>
      <c r="AH91" s="391" t="s">
        <v>2208</v>
      </c>
      <c r="AI91" s="391" t="s">
        <v>2203</v>
      </c>
      <c r="AJ91" s="391">
        <v>0</v>
      </c>
      <c r="AK91" s="390">
        <v>45047</v>
      </c>
      <c r="AL91" s="389">
        <v>100</v>
      </c>
      <c r="AM91" s="391" t="s">
        <v>548</v>
      </c>
      <c r="AN91" s="391" t="s">
        <v>549</v>
      </c>
      <c r="AO91" s="391" t="s">
        <v>2209</v>
      </c>
    </row>
    <row r="92" spans="1:43" ht="16" thickBot="1">
      <c r="A92" s="387" t="s">
        <v>1766</v>
      </c>
      <c r="B92" s="387" t="s">
        <v>1004</v>
      </c>
      <c r="C92" s="387" t="s">
        <v>2210</v>
      </c>
      <c r="D92" s="387" t="s">
        <v>2211</v>
      </c>
      <c r="E92" s="387">
        <v>24</v>
      </c>
      <c r="F92" s="387" t="s">
        <v>559</v>
      </c>
      <c r="G92" s="387">
        <v>24</v>
      </c>
      <c r="H92" s="387" t="s">
        <v>559</v>
      </c>
      <c r="I92" s="387" t="s">
        <v>560</v>
      </c>
      <c r="J92" s="387" t="s">
        <v>2212</v>
      </c>
      <c r="K92" s="387" t="s">
        <v>2213</v>
      </c>
      <c r="L92" s="387" t="s">
        <v>1761</v>
      </c>
      <c r="M92" s="387" t="s">
        <v>1762</v>
      </c>
      <c r="N92" s="388">
        <v>67.56</v>
      </c>
      <c r="O92" s="388">
        <v>14</v>
      </c>
      <c r="P92" s="387" t="s">
        <v>538</v>
      </c>
      <c r="Q92" s="387" t="s">
        <v>539</v>
      </c>
      <c r="R92" s="387" t="s">
        <v>2214</v>
      </c>
      <c r="S92" s="387" t="s">
        <v>541</v>
      </c>
      <c r="T92" s="387" t="s">
        <v>542</v>
      </c>
      <c r="U92" s="388">
        <v>64060</v>
      </c>
      <c r="V92" s="387">
        <v>6005534001206</v>
      </c>
      <c r="W92" s="387" t="s">
        <v>543</v>
      </c>
      <c r="X92" s="387" t="s">
        <v>543</v>
      </c>
      <c r="Y92" s="387">
        <v>16005534001203</v>
      </c>
      <c r="Z92" s="387" t="s">
        <v>543</v>
      </c>
      <c r="AA92" s="388" t="s">
        <v>543</v>
      </c>
      <c r="AB92" s="388" t="s">
        <v>543</v>
      </c>
      <c r="AC92" s="387">
        <v>876089007</v>
      </c>
      <c r="AD92" s="389">
        <v>50</v>
      </c>
      <c r="AE92" s="390">
        <v>44470</v>
      </c>
      <c r="AF92" s="390">
        <v>45199</v>
      </c>
      <c r="AG92" s="391" t="s">
        <v>545</v>
      </c>
      <c r="AH92" s="391" t="s">
        <v>2215</v>
      </c>
      <c r="AI92" s="391" t="s">
        <v>1764</v>
      </c>
      <c r="AJ92" s="391">
        <v>0</v>
      </c>
      <c r="AK92" s="390">
        <v>44470</v>
      </c>
      <c r="AL92" s="389">
        <v>100</v>
      </c>
      <c r="AM92" s="391" t="s">
        <v>548</v>
      </c>
      <c r="AN92" s="391" t="s">
        <v>549</v>
      </c>
      <c r="AO92" s="391" t="s">
        <v>2216</v>
      </c>
    </row>
    <row r="93" spans="1:43" ht="16" thickBot="1">
      <c r="A93" s="387" t="s">
        <v>1766</v>
      </c>
      <c r="B93" s="387" t="s">
        <v>573</v>
      </c>
      <c r="C93" s="387" t="s">
        <v>2217</v>
      </c>
      <c r="D93" s="387" t="s">
        <v>2218</v>
      </c>
      <c r="E93" s="387">
        <v>1</v>
      </c>
      <c r="F93" s="387" t="s">
        <v>1780</v>
      </c>
      <c r="G93" s="387">
        <v>1</v>
      </c>
      <c r="H93" s="387" t="s">
        <v>1780</v>
      </c>
      <c r="I93" s="387" t="s">
        <v>1751</v>
      </c>
      <c r="J93" s="387" t="s">
        <v>2219</v>
      </c>
      <c r="K93" s="387" t="s">
        <v>2220</v>
      </c>
      <c r="L93" s="387" t="s">
        <v>1711</v>
      </c>
      <c r="M93" s="387" t="s">
        <v>1712</v>
      </c>
      <c r="N93" s="388">
        <v>452</v>
      </c>
      <c r="O93" s="388">
        <v>14</v>
      </c>
      <c r="P93" s="387" t="s">
        <v>538</v>
      </c>
      <c r="Q93" s="387" t="s">
        <v>539</v>
      </c>
      <c r="R93" s="387" t="s">
        <v>2221</v>
      </c>
      <c r="S93" s="387" t="s">
        <v>541</v>
      </c>
      <c r="T93" s="387" t="s">
        <v>757</v>
      </c>
      <c r="U93" s="388">
        <v>453675</v>
      </c>
      <c r="V93" s="387">
        <v>6920108100805</v>
      </c>
      <c r="W93" s="387" t="s">
        <v>543</v>
      </c>
      <c r="X93" s="387" t="s">
        <v>543</v>
      </c>
      <c r="Y93" s="387" t="s">
        <v>543</v>
      </c>
      <c r="Z93" s="387" t="s">
        <v>543</v>
      </c>
      <c r="AA93" s="388" t="s">
        <v>543</v>
      </c>
      <c r="AB93" s="388" t="s">
        <v>543</v>
      </c>
      <c r="AC93" s="387">
        <v>723395001</v>
      </c>
      <c r="AD93" s="389">
        <v>10</v>
      </c>
      <c r="AE93" s="390">
        <v>44470</v>
      </c>
      <c r="AF93" s="390">
        <v>45199</v>
      </c>
      <c r="AG93" s="391" t="s">
        <v>545</v>
      </c>
      <c r="AH93" s="391" t="s">
        <v>2222</v>
      </c>
      <c r="AI93" s="391" t="s">
        <v>1715</v>
      </c>
      <c r="AJ93" s="391">
        <v>0</v>
      </c>
      <c r="AK93" s="390">
        <v>44470</v>
      </c>
      <c r="AL93" s="389">
        <v>100</v>
      </c>
      <c r="AM93" s="391" t="s">
        <v>548</v>
      </c>
      <c r="AN93" s="391" t="s">
        <v>549</v>
      </c>
      <c r="AO93" s="391" t="s">
        <v>2223</v>
      </c>
    </row>
    <row r="94" spans="1:43" ht="16" thickBot="1">
      <c r="A94" s="387" t="s">
        <v>1717</v>
      </c>
      <c r="B94" s="387" t="s">
        <v>975</v>
      </c>
      <c r="C94" s="387" t="s">
        <v>2224</v>
      </c>
      <c r="D94" s="387" t="s">
        <v>2225</v>
      </c>
      <c r="E94" s="387">
        <v>14</v>
      </c>
      <c r="F94" s="387" t="s">
        <v>559</v>
      </c>
      <c r="G94" s="387">
        <v>500</v>
      </c>
      <c r="H94" s="387" t="s">
        <v>559</v>
      </c>
      <c r="I94" s="387" t="s">
        <v>628</v>
      </c>
      <c r="J94" s="387" t="s">
        <v>2226</v>
      </c>
      <c r="K94" s="387" t="s">
        <v>2227</v>
      </c>
      <c r="L94" s="387" t="s">
        <v>2062</v>
      </c>
      <c r="M94" s="387" t="s">
        <v>2063</v>
      </c>
      <c r="N94" s="388">
        <v>3.92</v>
      </c>
      <c r="O94" s="388">
        <v>14</v>
      </c>
      <c r="P94" s="387" t="s">
        <v>538</v>
      </c>
      <c r="Q94" s="387" t="s">
        <v>539</v>
      </c>
      <c r="R94" s="387" t="s">
        <v>2228</v>
      </c>
      <c r="S94" s="387" t="s">
        <v>171</v>
      </c>
      <c r="T94" s="387" t="s">
        <v>542</v>
      </c>
      <c r="U94" s="388">
        <v>20109235</v>
      </c>
      <c r="V94" s="387">
        <v>6009712480104</v>
      </c>
      <c r="W94" s="387" t="s">
        <v>543</v>
      </c>
      <c r="X94" s="387" t="s">
        <v>543</v>
      </c>
      <c r="Y94" s="387">
        <v>16009712480101</v>
      </c>
      <c r="Z94" s="387" t="s">
        <v>543</v>
      </c>
      <c r="AA94" s="388" t="s">
        <v>543</v>
      </c>
      <c r="AB94" s="388" t="s">
        <v>543</v>
      </c>
      <c r="AC94" s="387" t="s">
        <v>543</v>
      </c>
      <c r="AD94" s="389">
        <v>300</v>
      </c>
      <c r="AE94" s="390">
        <v>45047</v>
      </c>
      <c r="AF94" s="390">
        <v>46142</v>
      </c>
      <c r="AG94" s="391" t="s">
        <v>545</v>
      </c>
      <c r="AH94" s="391" t="s">
        <v>2229</v>
      </c>
      <c r="AI94" s="391" t="s">
        <v>2064</v>
      </c>
      <c r="AJ94" s="391">
        <v>0</v>
      </c>
      <c r="AK94" s="390">
        <v>45047</v>
      </c>
      <c r="AL94" s="389">
        <v>37.409999999999997</v>
      </c>
      <c r="AM94" s="391" t="s">
        <v>548</v>
      </c>
      <c r="AN94" s="391" t="s">
        <v>549</v>
      </c>
      <c r="AO94" s="391" t="s">
        <v>2230</v>
      </c>
      <c r="AP94" s="372">
        <f>N94/E94</f>
        <v>0.27999999999999997</v>
      </c>
      <c r="AQ94" s="372">
        <f>SUMPRODUCT(AP94:AP96,U94:U96)/SUM(U94:U96)</f>
        <v>0.29699636168187971</v>
      </c>
    </row>
    <row r="95" spans="1:43" ht="16" thickBot="1">
      <c r="A95" s="387" t="s">
        <v>1717</v>
      </c>
      <c r="B95" s="387" t="s">
        <v>975</v>
      </c>
      <c r="C95" s="387" t="s">
        <v>2224</v>
      </c>
      <c r="D95" s="387" t="s">
        <v>2225</v>
      </c>
      <c r="E95" s="387">
        <v>14</v>
      </c>
      <c r="F95" s="387" t="s">
        <v>559</v>
      </c>
      <c r="G95" s="387">
        <v>500</v>
      </c>
      <c r="H95" s="387" t="s">
        <v>559</v>
      </c>
      <c r="I95" s="387" t="s">
        <v>628</v>
      </c>
      <c r="J95" s="387" t="s">
        <v>2226</v>
      </c>
      <c r="K95" s="387" t="s">
        <v>2231</v>
      </c>
      <c r="L95" s="387" t="s">
        <v>2232</v>
      </c>
      <c r="M95" s="387" t="s">
        <v>2233</v>
      </c>
      <c r="N95" s="388">
        <v>4.92</v>
      </c>
      <c r="O95" s="388">
        <v>14</v>
      </c>
      <c r="P95" s="387" t="s">
        <v>538</v>
      </c>
      <c r="Q95" s="387" t="s">
        <v>539</v>
      </c>
      <c r="R95" s="387" t="s">
        <v>2228</v>
      </c>
      <c r="S95" s="387" t="s">
        <v>171</v>
      </c>
      <c r="T95" s="387" t="s">
        <v>542</v>
      </c>
      <c r="U95" s="388">
        <v>13399216</v>
      </c>
      <c r="V95" s="387">
        <v>6009879724103</v>
      </c>
      <c r="W95" s="387">
        <v>6009879724110</v>
      </c>
      <c r="X95" s="387" t="s">
        <v>543</v>
      </c>
      <c r="Y95" s="387">
        <v>16009879724117</v>
      </c>
      <c r="Z95" s="387" t="s">
        <v>543</v>
      </c>
      <c r="AA95" s="388" t="s">
        <v>543</v>
      </c>
      <c r="AB95" s="388" t="s">
        <v>543</v>
      </c>
      <c r="AC95" s="387">
        <v>719673005</v>
      </c>
      <c r="AD95" s="389">
        <v>280</v>
      </c>
      <c r="AE95" s="390">
        <v>45047</v>
      </c>
      <c r="AF95" s="390">
        <v>46142</v>
      </c>
      <c r="AG95" s="391" t="s">
        <v>545</v>
      </c>
      <c r="AH95" s="391" t="s">
        <v>2229</v>
      </c>
      <c r="AI95" s="391" t="s">
        <v>2234</v>
      </c>
      <c r="AJ95" s="391">
        <v>0</v>
      </c>
      <c r="AK95" s="390">
        <v>45047</v>
      </c>
      <c r="AL95" s="389">
        <v>24.92</v>
      </c>
      <c r="AM95" s="391" t="s">
        <v>548</v>
      </c>
      <c r="AN95" s="391" t="s">
        <v>549</v>
      </c>
      <c r="AO95" s="391" t="s">
        <v>2230</v>
      </c>
      <c r="AP95" s="372">
        <f>N95/E95</f>
        <v>0.35142857142857142</v>
      </c>
    </row>
    <row r="96" spans="1:43" ht="16" thickBot="1">
      <c r="A96" s="387" t="s">
        <v>1717</v>
      </c>
      <c r="B96" s="387" t="s">
        <v>975</v>
      </c>
      <c r="C96" s="387" t="s">
        <v>2224</v>
      </c>
      <c r="D96" s="387" t="s">
        <v>2225</v>
      </c>
      <c r="E96" s="387">
        <v>14</v>
      </c>
      <c r="F96" s="387" t="s">
        <v>559</v>
      </c>
      <c r="G96" s="387">
        <v>500</v>
      </c>
      <c r="H96" s="387" t="s">
        <v>559</v>
      </c>
      <c r="I96" s="387" t="s">
        <v>628</v>
      </c>
      <c r="J96" s="387" t="s">
        <v>2226</v>
      </c>
      <c r="K96" s="387" t="s">
        <v>2235</v>
      </c>
      <c r="L96" s="387" t="s">
        <v>1809</v>
      </c>
      <c r="M96" s="387" t="s">
        <v>1810</v>
      </c>
      <c r="N96" s="388">
        <v>3.89</v>
      </c>
      <c r="O96" s="388">
        <v>14</v>
      </c>
      <c r="P96" s="387" t="s">
        <v>538</v>
      </c>
      <c r="Q96" s="387" t="s">
        <v>539</v>
      </c>
      <c r="R96" s="387" t="s">
        <v>2228</v>
      </c>
      <c r="S96" s="387" t="s">
        <v>171</v>
      </c>
      <c r="T96" s="387" t="s">
        <v>542</v>
      </c>
      <c r="U96" s="388">
        <v>20249787</v>
      </c>
      <c r="V96" s="387">
        <v>6006845003712</v>
      </c>
      <c r="W96" s="387">
        <v>6006845003712</v>
      </c>
      <c r="X96" s="387" t="s">
        <v>543</v>
      </c>
      <c r="Y96" s="387">
        <v>16006845003801</v>
      </c>
      <c r="Z96" s="387" t="s">
        <v>543</v>
      </c>
      <c r="AA96" s="388" t="s">
        <v>543</v>
      </c>
      <c r="AB96" s="388" t="s">
        <v>543</v>
      </c>
      <c r="AC96" s="387" t="s">
        <v>543</v>
      </c>
      <c r="AD96" s="389">
        <v>500</v>
      </c>
      <c r="AE96" s="390">
        <v>45047</v>
      </c>
      <c r="AF96" s="390">
        <v>46142</v>
      </c>
      <c r="AG96" s="391" t="s">
        <v>545</v>
      </c>
      <c r="AH96" s="391" t="s">
        <v>2229</v>
      </c>
      <c r="AI96" s="391" t="s">
        <v>1813</v>
      </c>
      <c r="AJ96" s="391">
        <v>0</v>
      </c>
      <c r="AK96" s="390">
        <v>45047</v>
      </c>
      <c r="AL96" s="389">
        <v>37.67</v>
      </c>
      <c r="AM96" s="391" t="s">
        <v>548</v>
      </c>
      <c r="AN96" s="391" t="s">
        <v>549</v>
      </c>
      <c r="AO96" s="391" t="s">
        <v>2230</v>
      </c>
      <c r="AP96" s="372">
        <f>N96/E96</f>
        <v>0.27785714285714286</v>
      </c>
    </row>
    <row r="97" spans="1:43" ht="16" thickBot="1">
      <c r="A97" s="387" t="s">
        <v>1717</v>
      </c>
      <c r="B97" s="387" t="s">
        <v>643</v>
      </c>
      <c r="C97" s="387" t="s">
        <v>2236</v>
      </c>
      <c r="D97" s="387" t="s">
        <v>2237</v>
      </c>
      <c r="E97" s="387">
        <v>96</v>
      </c>
      <c r="F97" s="387" t="s">
        <v>559</v>
      </c>
      <c r="G97" s="387">
        <v>96</v>
      </c>
      <c r="H97" s="387" t="s">
        <v>559</v>
      </c>
      <c r="I97" s="387" t="s">
        <v>560</v>
      </c>
      <c r="J97" s="387" t="s">
        <v>2226</v>
      </c>
      <c r="K97" s="387" t="s">
        <v>2235</v>
      </c>
      <c r="L97" s="387" t="s">
        <v>1809</v>
      </c>
      <c r="M97" s="387" t="s">
        <v>1810</v>
      </c>
      <c r="N97" s="388">
        <v>15.95</v>
      </c>
      <c r="O97" s="388">
        <v>14</v>
      </c>
      <c r="P97" s="387" t="s">
        <v>538</v>
      </c>
      <c r="Q97" s="387" t="s">
        <v>539</v>
      </c>
      <c r="R97" s="387" t="s">
        <v>2228</v>
      </c>
      <c r="S97" s="387" t="s">
        <v>541</v>
      </c>
      <c r="T97" s="387" t="s">
        <v>542</v>
      </c>
      <c r="U97" s="388">
        <v>318025</v>
      </c>
      <c r="V97" s="387">
        <v>6006845003620</v>
      </c>
      <c r="W97" s="387">
        <v>6006845003620</v>
      </c>
      <c r="X97" s="387" t="s">
        <v>543</v>
      </c>
      <c r="Y97" s="387">
        <v>16006845003627</v>
      </c>
      <c r="Z97" s="387" t="s">
        <v>543</v>
      </c>
      <c r="AA97" s="388" t="s">
        <v>543</v>
      </c>
      <c r="AB97" s="388" t="s">
        <v>543</v>
      </c>
      <c r="AC97" s="387" t="s">
        <v>543</v>
      </c>
      <c r="AD97" s="389">
        <v>300</v>
      </c>
      <c r="AE97" s="390">
        <v>45047</v>
      </c>
      <c r="AF97" s="390">
        <v>46142</v>
      </c>
      <c r="AG97" s="391" t="s">
        <v>545</v>
      </c>
      <c r="AH97" s="391" t="s">
        <v>2238</v>
      </c>
      <c r="AI97" s="391" t="s">
        <v>1813</v>
      </c>
      <c r="AJ97" s="391">
        <v>0</v>
      </c>
      <c r="AK97" s="390">
        <v>45047</v>
      </c>
      <c r="AL97" s="389">
        <v>100</v>
      </c>
      <c r="AM97" s="391" t="s">
        <v>548</v>
      </c>
      <c r="AN97" s="391" t="s">
        <v>549</v>
      </c>
      <c r="AO97" s="391" t="s">
        <v>2239</v>
      </c>
    </row>
    <row r="98" spans="1:43" ht="16" thickBot="1">
      <c r="A98" s="387" t="s">
        <v>529</v>
      </c>
      <c r="B98" s="387" t="s">
        <v>637</v>
      </c>
      <c r="C98" s="387" t="s">
        <v>995</v>
      </c>
      <c r="D98" s="387" t="s">
        <v>572</v>
      </c>
      <c r="E98" s="387">
        <v>28</v>
      </c>
      <c r="F98" s="387" t="s">
        <v>559</v>
      </c>
      <c r="G98" s="387">
        <v>28</v>
      </c>
      <c r="H98" s="387" t="s">
        <v>559</v>
      </c>
      <c r="I98" s="387" t="s">
        <v>560</v>
      </c>
      <c r="J98" s="387" t="s">
        <v>574</v>
      </c>
      <c r="K98" s="387" t="s">
        <v>575</v>
      </c>
      <c r="L98" s="387" t="s">
        <v>576</v>
      </c>
      <c r="M98" s="387" t="s">
        <v>577</v>
      </c>
      <c r="N98" s="388">
        <v>240.44</v>
      </c>
      <c r="O98" s="388">
        <v>14</v>
      </c>
      <c r="P98" s="387" t="s">
        <v>538</v>
      </c>
      <c r="Q98" s="387" t="s">
        <v>539</v>
      </c>
      <c r="R98" s="387" t="s">
        <v>578</v>
      </c>
      <c r="S98" s="387" t="s">
        <v>171</v>
      </c>
      <c r="T98" s="387" t="s">
        <v>542</v>
      </c>
      <c r="U98" s="388">
        <v>597943</v>
      </c>
      <c r="V98" s="387">
        <v>6009688291582</v>
      </c>
      <c r="W98" s="387">
        <v>6009688291582</v>
      </c>
      <c r="X98" s="387" t="s">
        <v>543</v>
      </c>
      <c r="Y98" s="387">
        <v>16009688291589</v>
      </c>
      <c r="Z98" s="387" t="s">
        <v>543</v>
      </c>
      <c r="AA98" s="388" t="s">
        <v>543</v>
      </c>
      <c r="AB98" s="388" t="s">
        <v>543</v>
      </c>
      <c r="AC98" s="387" t="s">
        <v>543</v>
      </c>
      <c r="AD98" s="389">
        <v>64</v>
      </c>
      <c r="AE98" s="390">
        <v>44743</v>
      </c>
      <c r="AF98" s="390">
        <v>45838</v>
      </c>
      <c r="AG98" s="390">
        <v>45838</v>
      </c>
      <c r="AH98" s="391" t="s">
        <v>579</v>
      </c>
      <c r="AI98" s="391" t="s">
        <v>580</v>
      </c>
      <c r="AJ98" s="391">
        <v>20</v>
      </c>
      <c r="AK98" s="390">
        <v>45047</v>
      </c>
      <c r="AL98" s="389">
        <v>100</v>
      </c>
      <c r="AM98" s="391" t="s">
        <v>548</v>
      </c>
      <c r="AN98" s="391" t="s">
        <v>549</v>
      </c>
      <c r="AO98" s="391" t="s">
        <v>582</v>
      </c>
    </row>
    <row r="99" spans="1:43" ht="16" thickBot="1">
      <c r="A99" s="387" t="s">
        <v>529</v>
      </c>
      <c r="B99" s="387" t="s">
        <v>686</v>
      </c>
      <c r="C99" s="387" t="s">
        <v>980</v>
      </c>
      <c r="D99" s="387" t="s">
        <v>583</v>
      </c>
      <c r="E99" s="387">
        <v>60</v>
      </c>
      <c r="F99" s="387" t="s">
        <v>584</v>
      </c>
      <c r="G99" s="387">
        <v>60</v>
      </c>
      <c r="H99" s="387" t="s">
        <v>584</v>
      </c>
      <c r="I99" s="387" t="s">
        <v>585</v>
      </c>
      <c r="J99" s="387" t="s">
        <v>586</v>
      </c>
      <c r="K99" s="387" t="s">
        <v>587</v>
      </c>
      <c r="L99" s="387" t="s">
        <v>588</v>
      </c>
      <c r="M99" s="387" t="s">
        <v>589</v>
      </c>
      <c r="N99" s="388">
        <v>359.67</v>
      </c>
      <c r="O99" s="388">
        <v>14</v>
      </c>
      <c r="P99" s="387" t="s">
        <v>538</v>
      </c>
      <c r="Q99" s="387" t="s">
        <v>539</v>
      </c>
      <c r="R99" s="387" t="s">
        <v>578</v>
      </c>
      <c r="S99" s="387" t="s">
        <v>171</v>
      </c>
      <c r="T99" s="387" t="s">
        <v>542</v>
      </c>
      <c r="U99" s="388">
        <v>83263</v>
      </c>
      <c r="V99" s="387">
        <v>6009695244854</v>
      </c>
      <c r="W99" s="387" t="s">
        <v>543</v>
      </c>
      <c r="X99" s="387" t="s">
        <v>543</v>
      </c>
      <c r="Y99" s="387">
        <v>16009695244851</v>
      </c>
      <c r="Z99" s="387" t="s">
        <v>543</v>
      </c>
      <c r="AA99" s="388" t="s">
        <v>543</v>
      </c>
      <c r="AB99" s="388" t="s">
        <v>543</v>
      </c>
      <c r="AC99" s="387" t="s">
        <v>543</v>
      </c>
      <c r="AD99" s="389">
        <v>48</v>
      </c>
      <c r="AE99" s="390">
        <v>44743</v>
      </c>
      <c r="AF99" s="390">
        <v>45838</v>
      </c>
      <c r="AG99" s="390">
        <v>45838</v>
      </c>
      <c r="AH99" s="391" t="s">
        <v>591</v>
      </c>
      <c r="AI99" s="391" t="s">
        <v>592</v>
      </c>
      <c r="AJ99" s="391">
        <v>10</v>
      </c>
      <c r="AK99" s="390">
        <v>44958</v>
      </c>
      <c r="AL99" s="389">
        <v>100</v>
      </c>
      <c r="AM99" s="391" t="s">
        <v>548</v>
      </c>
      <c r="AN99" s="391" t="s">
        <v>549</v>
      </c>
      <c r="AO99" s="391" t="s">
        <v>594</v>
      </c>
      <c r="AP99" s="372">
        <f>N99/G99</f>
        <v>5.9945000000000004</v>
      </c>
      <c r="AQ99" s="372">
        <f>AP99</f>
        <v>5.9945000000000004</v>
      </c>
    </row>
    <row r="100" spans="1:43" ht="16" thickBot="1">
      <c r="A100" s="387" t="s">
        <v>529</v>
      </c>
      <c r="B100" s="387" t="s">
        <v>581</v>
      </c>
      <c r="C100" s="387" t="s">
        <v>979</v>
      </c>
      <c r="D100" s="387" t="s">
        <v>595</v>
      </c>
      <c r="E100" s="387">
        <v>30</v>
      </c>
      <c r="F100" s="387" t="s">
        <v>584</v>
      </c>
      <c r="G100" s="387">
        <v>30</v>
      </c>
      <c r="H100" s="387" t="s">
        <v>584</v>
      </c>
      <c r="I100" s="387" t="s">
        <v>585</v>
      </c>
      <c r="J100" s="387" t="s">
        <v>586</v>
      </c>
      <c r="K100" s="387" t="s">
        <v>596</v>
      </c>
      <c r="L100" s="387" t="s">
        <v>588</v>
      </c>
      <c r="M100" s="387" t="s">
        <v>589</v>
      </c>
      <c r="N100" s="388">
        <v>253.05</v>
      </c>
      <c r="O100" s="388">
        <v>14</v>
      </c>
      <c r="P100" s="387" t="s">
        <v>538</v>
      </c>
      <c r="Q100" s="387" t="s">
        <v>539</v>
      </c>
      <c r="R100" s="387" t="s">
        <v>578</v>
      </c>
      <c r="S100" s="387" t="s">
        <v>171</v>
      </c>
      <c r="T100" s="387" t="s">
        <v>542</v>
      </c>
      <c r="U100" s="388">
        <v>68156</v>
      </c>
      <c r="V100" s="387">
        <v>6009695244861</v>
      </c>
      <c r="W100" s="387" t="s">
        <v>543</v>
      </c>
      <c r="X100" s="387" t="s">
        <v>543</v>
      </c>
      <c r="Y100" s="387">
        <v>16009695244868</v>
      </c>
      <c r="Z100" s="387" t="s">
        <v>543</v>
      </c>
      <c r="AA100" s="388" t="s">
        <v>543</v>
      </c>
      <c r="AB100" s="388" t="s">
        <v>543</v>
      </c>
      <c r="AC100" s="387" t="s">
        <v>543</v>
      </c>
      <c r="AD100" s="389">
        <v>48</v>
      </c>
      <c r="AE100" s="390">
        <v>44743</v>
      </c>
      <c r="AF100" s="390">
        <v>45838</v>
      </c>
      <c r="AG100" s="390">
        <v>45838</v>
      </c>
      <c r="AH100" s="391" t="s">
        <v>597</v>
      </c>
      <c r="AI100" s="391" t="s">
        <v>592</v>
      </c>
      <c r="AJ100" s="391">
        <v>10</v>
      </c>
      <c r="AK100" s="390">
        <v>44958</v>
      </c>
      <c r="AL100" s="389">
        <v>100</v>
      </c>
      <c r="AM100" s="391" t="s">
        <v>548</v>
      </c>
      <c r="AN100" s="391" t="s">
        <v>549</v>
      </c>
      <c r="AO100" s="391" t="s">
        <v>598</v>
      </c>
    </row>
    <row r="101" spans="1:43" ht="16" thickBot="1">
      <c r="A101" s="387" t="s">
        <v>1717</v>
      </c>
      <c r="B101" s="387" t="s">
        <v>1001</v>
      </c>
      <c r="C101" s="387" t="s">
        <v>2240</v>
      </c>
      <c r="D101" s="387" t="s">
        <v>2241</v>
      </c>
      <c r="E101" s="387">
        <v>28</v>
      </c>
      <c r="F101" s="387" t="s">
        <v>559</v>
      </c>
      <c r="G101" s="387">
        <v>100</v>
      </c>
      <c r="H101" s="387" t="s">
        <v>559</v>
      </c>
      <c r="I101" s="387" t="s">
        <v>560</v>
      </c>
      <c r="J101" s="387" t="s">
        <v>2242</v>
      </c>
      <c r="K101" s="387" t="s">
        <v>2243</v>
      </c>
      <c r="L101" s="387" t="s">
        <v>654</v>
      </c>
      <c r="M101" s="387" t="s">
        <v>655</v>
      </c>
      <c r="N101" s="388">
        <v>4.84</v>
      </c>
      <c r="O101" s="388">
        <v>14</v>
      </c>
      <c r="P101" s="387" t="s">
        <v>538</v>
      </c>
      <c r="Q101" s="387" t="s">
        <v>539</v>
      </c>
      <c r="R101" s="387" t="s">
        <v>2244</v>
      </c>
      <c r="S101" s="387" t="s">
        <v>171</v>
      </c>
      <c r="T101" s="387" t="s">
        <v>542</v>
      </c>
      <c r="U101" s="388">
        <v>2838438</v>
      </c>
      <c r="V101" s="387" t="s">
        <v>543</v>
      </c>
      <c r="W101" s="387" t="s">
        <v>543</v>
      </c>
      <c r="X101" s="387" t="s">
        <v>543</v>
      </c>
      <c r="Y101" s="387" t="s">
        <v>543</v>
      </c>
      <c r="Z101" s="387" t="s">
        <v>543</v>
      </c>
      <c r="AA101" s="388" t="s">
        <v>543</v>
      </c>
      <c r="AB101" s="388" t="s">
        <v>543</v>
      </c>
      <c r="AC101" s="387" t="s">
        <v>543</v>
      </c>
      <c r="AD101" s="389">
        <v>96</v>
      </c>
      <c r="AE101" s="390">
        <v>45047</v>
      </c>
      <c r="AF101" s="390">
        <v>46142</v>
      </c>
      <c r="AG101" s="391" t="s">
        <v>545</v>
      </c>
      <c r="AH101" s="391" t="s">
        <v>2245</v>
      </c>
      <c r="AI101" s="391" t="s">
        <v>658</v>
      </c>
      <c r="AJ101" s="391">
        <v>0</v>
      </c>
      <c r="AK101" s="390">
        <v>45047</v>
      </c>
      <c r="AL101" s="389">
        <v>100</v>
      </c>
      <c r="AM101" s="391" t="s">
        <v>548</v>
      </c>
      <c r="AN101" s="391" t="s">
        <v>549</v>
      </c>
      <c r="AO101" s="391" t="s">
        <v>2246</v>
      </c>
    </row>
    <row r="102" spans="1:43" ht="16" thickBot="1">
      <c r="A102" s="387" t="s">
        <v>1717</v>
      </c>
      <c r="B102" s="387" t="s">
        <v>967</v>
      </c>
      <c r="C102" s="387" t="s">
        <v>2247</v>
      </c>
      <c r="D102" s="387" t="s">
        <v>2248</v>
      </c>
      <c r="E102" s="387">
        <v>28</v>
      </c>
      <c r="F102" s="387" t="s">
        <v>559</v>
      </c>
      <c r="G102" s="387">
        <v>28</v>
      </c>
      <c r="H102" s="387" t="s">
        <v>559</v>
      </c>
      <c r="I102" s="387" t="s">
        <v>560</v>
      </c>
      <c r="J102" s="387" t="s">
        <v>2242</v>
      </c>
      <c r="K102" s="387" t="s">
        <v>2249</v>
      </c>
      <c r="L102" s="387" t="s">
        <v>1886</v>
      </c>
      <c r="M102" s="387" t="s">
        <v>1887</v>
      </c>
      <c r="N102" s="388">
        <v>13.49</v>
      </c>
      <c r="O102" s="388">
        <v>14</v>
      </c>
      <c r="P102" s="387" t="s">
        <v>538</v>
      </c>
      <c r="Q102" s="387" t="s">
        <v>539</v>
      </c>
      <c r="R102" s="387" t="s">
        <v>2244</v>
      </c>
      <c r="S102" s="387" t="s">
        <v>171</v>
      </c>
      <c r="T102" s="387" t="s">
        <v>542</v>
      </c>
      <c r="U102" s="388">
        <v>44845</v>
      </c>
      <c r="V102" s="387">
        <v>6009691114311</v>
      </c>
      <c r="W102" s="387" t="s">
        <v>543</v>
      </c>
      <c r="X102" s="387" t="s">
        <v>543</v>
      </c>
      <c r="Y102" s="387">
        <v>16009691114318</v>
      </c>
      <c r="Z102" s="387" t="s">
        <v>543</v>
      </c>
      <c r="AA102" s="388" t="s">
        <v>543</v>
      </c>
      <c r="AB102" s="388" t="s">
        <v>543</v>
      </c>
      <c r="AC102" s="387">
        <v>705872001</v>
      </c>
      <c r="AD102" s="389">
        <v>10</v>
      </c>
      <c r="AE102" s="390">
        <v>45047</v>
      </c>
      <c r="AF102" s="390">
        <v>46142</v>
      </c>
      <c r="AG102" s="391" t="s">
        <v>545</v>
      </c>
      <c r="AH102" s="391" t="s">
        <v>2250</v>
      </c>
      <c r="AI102" s="391" t="s">
        <v>1889</v>
      </c>
      <c r="AJ102" s="391">
        <v>0</v>
      </c>
      <c r="AK102" s="390">
        <v>45047</v>
      </c>
      <c r="AL102" s="389">
        <v>100</v>
      </c>
      <c r="AM102" s="391" t="s">
        <v>548</v>
      </c>
      <c r="AN102" s="391" t="s">
        <v>549</v>
      </c>
      <c r="AO102" s="391" t="s">
        <v>2251</v>
      </c>
    </row>
    <row r="103" spans="1:43" ht="16" thickBot="1">
      <c r="A103" s="387" t="s">
        <v>1717</v>
      </c>
      <c r="B103" s="387" t="s">
        <v>2252</v>
      </c>
      <c r="C103" s="387" t="s">
        <v>2253</v>
      </c>
      <c r="D103" s="387" t="s">
        <v>2254</v>
      </c>
      <c r="E103" s="387">
        <v>30</v>
      </c>
      <c r="F103" s="387" t="s">
        <v>559</v>
      </c>
      <c r="G103" s="387">
        <v>30</v>
      </c>
      <c r="H103" s="387" t="s">
        <v>559</v>
      </c>
      <c r="I103" s="387" t="s">
        <v>560</v>
      </c>
      <c r="J103" s="387" t="s">
        <v>2242</v>
      </c>
      <c r="K103" s="387" t="s">
        <v>2255</v>
      </c>
      <c r="L103" s="387" t="s">
        <v>654</v>
      </c>
      <c r="M103" s="387" t="s">
        <v>655</v>
      </c>
      <c r="N103" s="388">
        <v>3.78</v>
      </c>
      <c r="O103" s="388">
        <v>14</v>
      </c>
      <c r="P103" s="387" t="s">
        <v>538</v>
      </c>
      <c r="Q103" s="387" t="s">
        <v>539</v>
      </c>
      <c r="R103" s="387" t="s">
        <v>2244</v>
      </c>
      <c r="S103" s="387" t="s">
        <v>171</v>
      </c>
      <c r="T103" s="387" t="s">
        <v>542</v>
      </c>
      <c r="U103" s="388">
        <v>4454509</v>
      </c>
      <c r="V103" s="387">
        <v>6004405005138</v>
      </c>
      <c r="W103" s="387">
        <v>6004405005138</v>
      </c>
      <c r="X103" s="387" t="s">
        <v>543</v>
      </c>
      <c r="Y103" s="387">
        <v>36004405005139</v>
      </c>
      <c r="Z103" s="387" t="s">
        <v>543</v>
      </c>
      <c r="AA103" s="388" t="s">
        <v>543</v>
      </c>
      <c r="AB103" s="388" t="s">
        <v>543</v>
      </c>
      <c r="AC103" s="387" t="s">
        <v>543</v>
      </c>
      <c r="AD103" s="389">
        <v>300</v>
      </c>
      <c r="AE103" s="390">
        <v>45047</v>
      </c>
      <c r="AF103" s="390">
        <v>46142</v>
      </c>
      <c r="AG103" s="391" t="s">
        <v>545</v>
      </c>
      <c r="AH103" s="391" t="s">
        <v>2256</v>
      </c>
      <c r="AI103" s="391" t="s">
        <v>658</v>
      </c>
      <c r="AJ103" s="391">
        <v>0</v>
      </c>
      <c r="AK103" s="390">
        <v>45047</v>
      </c>
      <c r="AL103" s="389">
        <v>30</v>
      </c>
      <c r="AM103" s="391" t="s">
        <v>548</v>
      </c>
      <c r="AN103" s="391" t="s">
        <v>549</v>
      </c>
      <c r="AO103" s="391" t="s">
        <v>2257</v>
      </c>
    </row>
    <row r="104" spans="1:43" ht="16" thickBot="1">
      <c r="A104" s="387" t="s">
        <v>1717</v>
      </c>
      <c r="B104" s="387" t="s">
        <v>2252</v>
      </c>
      <c r="C104" s="387" t="s">
        <v>2253</v>
      </c>
      <c r="D104" s="387" t="s">
        <v>2254</v>
      </c>
      <c r="E104" s="387">
        <v>30</v>
      </c>
      <c r="F104" s="387" t="s">
        <v>559</v>
      </c>
      <c r="G104" s="387">
        <v>30</v>
      </c>
      <c r="H104" s="387" t="s">
        <v>559</v>
      </c>
      <c r="I104" s="387" t="s">
        <v>560</v>
      </c>
      <c r="J104" s="387" t="s">
        <v>2242</v>
      </c>
      <c r="K104" s="387" t="s">
        <v>2258</v>
      </c>
      <c r="L104" s="387" t="s">
        <v>2259</v>
      </c>
      <c r="M104" s="387" t="s">
        <v>2260</v>
      </c>
      <c r="N104" s="388">
        <v>3.55</v>
      </c>
      <c r="O104" s="388">
        <v>14</v>
      </c>
      <c r="P104" s="387" t="s">
        <v>538</v>
      </c>
      <c r="Q104" s="387" t="s">
        <v>539</v>
      </c>
      <c r="R104" s="387" t="s">
        <v>2244</v>
      </c>
      <c r="S104" s="387" t="s">
        <v>171</v>
      </c>
      <c r="T104" s="387" t="s">
        <v>542</v>
      </c>
      <c r="U104" s="388">
        <v>10393855</v>
      </c>
      <c r="V104" s="387">
        <v>6009826650011</v>
      </c>
      <c r="W104" s="387">
        <v>16009826650018</v>
      </c>
      <c r="X104" s="387" t="s">
        <v>543</v>
      </c>
      <c r="Y104" s="387">
        <v>46009826650019</v>
      </c>
      <c r="Z104" s="387" t="s">
        <v>543</v>
      </c>
      <c r="AA104" s="388" t="s">
        <v>543</v>
      </c>
      <c r="AB104" s="388" t="s">
        <v>543</v>
      </c>
      <c r="AC104" s="387" t="s">
        <v>543</v>
      </c>
      <c r="AD104" s="389">
        <v>600</v>
      </c>
      <c r="AE104" s="390">
        <v>45047</v>
      </c>
      <c r="AF104" s="390">
        <v>46142</v>
      </c>
      <c r="AG104" s="391" t="s">
        <v>545</v>
      </c>
      <c r="AH104" s="391" t="s">
        <v>2256</v>
      </c>
      <c r="AI104" s="391" t="s">
        <v>2261</v>
      </c>
      <c r="AJ104" s="391">
        <v>0</v>
      </c>
      <c r="AK104" s="390">
        <v>45047</v>
      </c>
      <c r="AL104" s="389">
        <v>70</v>
      </c>
      <c r="AM104" s="391" t="s">
        <v>548</v>
      </c>
      <c r="AN104" s="391" t="s">
        <v>549</v>
      </c>
      <c r="AO104" s="391" t="s">
        <v>2257</v>
      </c>
    </row>
    <row r="105" spans="1:43" ht="16" thickBot="1">
      <c r="A105" s="387" t="s">
        <v>1717</v>
      </c>
      <c r="B105" s="387" t="s">
        <v>1024</v>
      </c>
      <c r="C105" s="387" t="s">
        <v>2262</v>
      </c>
      <c r="D105" s="387" t="s">
        <v>2263</v>
      </c>
      <c r="E105" s="387">
        <v>28</v>
      </c>
      <c r="F105" s="387" t="s">
        <v>559</v>
      </c>
      <c r="G105" s="387">
        <v>28</v>
      </c>
      <c r="H105" s="387" t="s">
        <v>559</v>
      </c>
      <c r="I105" s="387" t="s">
        <v>560</v>
      </c>
      <c r="J105" s="387" t="s">
        <v>2264</v>
      </c>
      <c r="K105" s="387" t="s">
        <v>2265</v>
      </c>
      <c r="L105" s="387" t="s">
        <v>1771</v>
      </c>
      <c r="M105" s="387" t="s">
        <v>1772</v>
      </c>
      <c r="N105" s="388">
        <v>7.68</v>
      </c>
      <c r="O105" s="388">
        <v>14</v>
      </c>
      <c r="P105" s="387" t="s">
        <v>538</v>
      </c>
      <c r="Q105" s="387" t="s">
        <v>539</v>
      </c>
      <c r="R105" s="387" t="s">
        <v>2266</v>
      </c>
      <c r="S105" s="387" t="s">
        <v>171</v>
      </c>
      <c r="T105" s="387" t="s">
        <v>542</v>
      </c>
      <c r="U105" s="388">
        <v>740188</v>
      </c>
      <c r="V105" s="387">
        <v>6008288003007</v>
      </c>
      <c r="W105" s="387">
        <v>6008288003007</v>
      </c>
      <c r="X105" s="387" t="s">
        <v>543</v>
      </c>
      <c r="Y105" s="387">
        <v>46008288003005</v>
      </c>
      <c r="Z105" s="387" t="s">
        <v>543</v>
      </c>
      <c r="AA105" s="388" t="s">
        <v>543</v>
      </c>
      <c r="AB105" s="388" t="s">
        <v>543</v>
      </c>
      <c r="AC105" s="387" t="s">
        <v>543</v>
      </c>
      <c r="AD105" s="389">
        <v>10</v>
      </c>
      <c r="AE105" s="390">
        <v>45047</v>
      </c>
      <c r="AF105" s="390">
        <v>46142</v>
      </c>
      <c r="AG105" s="391" t="s">
        <v>545</v>
      </c>
      <c r="AH105" s="391" t="s">
        <v>2267</v>
      </c>
      <c r="AI105" s="391" t="s">
        <v>1776</v>
      </c>
      <c r="AJ105" s="391">
        <v>0</v>
      </c>
      <c r="AK105" s="390">
        <v>45047</v>
      </c>
      <c r="AL105" s="389">
        <v>30</v>
      </c>
      <c r="AM105" s="391" t="s">
        <v>548</v>
      </c>
      <c r="AN105" s="391" t="s">
        <v>549</v>
      </c>
      <c r="AO105" s="391" t="s">
        <v>2268</v>
      </c>
    </row>
    <row r="106" spans="1:43" ht="16" thickBot="1">
      <c r="A106" s="387" t="s">
        <v>1717</v>
      </c>
      <c r="B106" s="387" t="s">
        <v>1024</v>
      </c>
      <c r="C106" s="387" t="s">
        <v>2262</v>
      </c>
      <c r="D106" s="387" t="s">
        <v>2263</v>
      </c>
      <c r="E106" s="387">
        <v>28</v>
      </c>
      <c r="F106" s="387" t="s">
        <v>559</v>
      </c>
      <c r="G106" s="387">
        <v>28</v>
      </c>
      <c r="H106" s="387" t="s">
        <v>559</v>
      </c>
      <c r="I106" s="387" t="s">
        <v>560</v>
      </c>
      <c r="J106" s="387" t="s">
        <v>2264</v>
      </c>
      <c r="K106" s="387" t="s">
        <v>2269</v>
      </c>
      <c r="L106" s="387" t="s">
        <v>2062</v>
      </c>
      <c r="M106" s="387" t="s">
        <v>2063</v>
      </c>
      <c r="N106" s="388">
        <v>7.46</v>
      </c>
      <c r="O106" s="388">
        <v>14</v>
      </c>
      <c r="P106" s="387" t="s">
        <v>538</v>
      </c>
      <c r="Q106" s="387" t="s">
        <v>539</v>
      </c>
      <c r="R106" s="387" t="s">
        <v>2266</v>
      </c>
      <c r="S106" s="387" t="s">
        <v>171</v>
      </c>
      <c r="T106" s="387" t="s">
        <v>542</v>
      </c>
      <c r="U106" s="388">
        <v>1727105</v>
      </c>
      <c r="V106" s="387">
        <v>6009880832583</v>
      </c>
      <c r="W106" s="387" t="s">
        <v>543</v>
      </c>
      <c r="X106" s="387" t="s">
        <v>543</v>
      </c>
      <c r="Y106" s="387">
        <v>16009880832580</v>
      </c>
      <c r="Z106" s="387" t="s">
        <v>543</v>
      </c>
      <c r="AA106" s="388" t="s">
        <v>543</v>
      </c>
      <c r="AB106" s="388" t="s">
        <v>543</v>
      </c>
      <c r="AC106" s="387" t="s">
        <v>543</v>
      </c>
      <c r="AD106" s="389">
        <v>50</v>
      </c>
      <c r="AE106" s="390">
        <v>45047</v>
      </c>
      <c r="AF106" s="390">
        <v>46142</v>
      </c>
      <c r="AG106" s="391" t="s">
        <v>545</v>
      </c>
      <c r="AH106" s="391" t="s">
        <v>2267</v>
      </c>
      <c r="AI106" s="391" t="s">
        <v>2064</v>
      </c>
      <c r="AJ106" s="391">
        <v>0</v>
      </c>
      <c r="AK106" s="390">
        <v>45047</v>
      </c>
      <c r="AL106" s="389">
        <v>70</v>
      </c>
      <c r="AM106" s="391" t="s">
        <v>548</v>
      </c>
      <c r="AN106" s="391" t="s">
        <v>549</v>
      </c>
      <c r="AO106" s="391" t="s">
        <v>2268</v>
      </c>
    </row>
    <row r="107" spans="1:43" ht="16" thickBot="1">
      <c r="A107" s="387" t="s">
        <v>1717</v>
      </c>
      <c r="B107" s="387" t="s">
        <v>1009</v>
      </c>
      <c r="C107" s="387" t="s">
        <v>2270</v>
      </c>
      <c r="D107" s="387" t="s">
        <v>2271</v>
      </c>
      <c r="E107" s="387">
        <v>30</v>
      </c>
      <c r="F107" s="387" t="s">
        <v>559</v>
      </c>
      <c r="G107" s="387">
        <v>30</v>
      </c>
      <c r="H107" s="387" t="s">
        <v>559</v>
      </c>
      <c r="I107" s="387" t="s">
        <v>560</v>
      </c>
      <c r="J107" s="387" t="s">
        <v>2264</v>
      </c>
      <c r="K107" s="387" t="s">
        <v>2272</v>
      </c>
      <c r="L107" s="387" t="s">
        <v>562</v>
      </c>
      <c r="M107" s="387" t="s">
        <v>563</v>
      </c>
      <c r="N107" s="388">
        <v>10.9</v>
      </c>
      <c r="O107" s="388">
        <v>14</v>
      </c>
      <c r="P107" s="387" t="s">
        <v>538</v>
      </c>
      <c r="Q107" s="387" t="s">
        <v>539</v>
      </c>
      <c r="R107" s="387" t="s">
        <v>2266</v>
      </c>
      <c r="S107" s="387" t="s">
        <v>171</v>
      </c>
      <c r="T107" s="387" t="s">
        <v>542</v>
      </c>
      <c r="U107" s="388">
        <v>709722</v>
      </c>
      <c r="V107" s="387">
        <v>6009628333185</v>
      </c>
      <c r="W107" s="387">
        <v>6009628333185</v>
      </c>
      <c r="X107" s="387" t="s">
        <v>543</v>
      </c>
      <c r="Y107" s="387" t="s">
        <v>543</v>
      </c>
      <c r="Z107" s="387" t="s">
        <v>543</v>
      </c>
      <c r="AA107" s="388" t="s">
        <v>543</v>
      </c>
      <c r="AB107" s="388" t="s">
        <v>543</v>
      </c>
      <c r="AC107" s="387" t="s">
        <v>2273</v>
      </c>
      <c r="AD107" s="389">
        <v>50</v>
      </c>
      <c r="AE107" s="390">
        <v>45047</v>
      </c>
      <c r="AF107" s="390">
        <v>46142</v>
      </c>
      <c r="AG107" s="391" t="s">
        <v>545</v>
      </c>
      <c r="AH107" s="391" t="s">
        <v>2274</v>
      </c>
      <c r="AI107" s="391" t="s">
        <v>565</v>
      </c>
      <c r="AJ107" s="391">
        <v>0</v>
      </c>
      <c r="AK107" s="390">
        <v>45047</v>
      </c>
      <c r="AL107" s="389">
        <v>40</v>
      </c>
      <c r="AM107" s="391" t="s">
        <v>548</v>
      </c>
      <c r="AN107" s="391" t="s">
        <v>549</v>
      </c>
      <c r="AO107" s="391" t="s">
        <v>2275</v>
      </c>
    </row>
    <row r="108" spans="1:43" ht="16" thickBot="1">
      <c r="A108" s="387" t="s">
        <v>1717</v>
      </c>
      <c r="B108" s="387" t="s">
        <v>1009</v>
      </c>
      <c r="C108" s="387" t="s">
        <v>2270</v>
      </c>
      <c r="D108" s="387" t="s">
        <v>2271</v>
      </c>
      <c r="E108" s="387">
        <v>30</v>
      </c>
      <c r="F108" s="387" t="s">
        <v>559</v>
      </c>
      <c r="G108" s="387">
        <v>30</v>
      </c>
      <c r="H108" s="387" t="s">
        <v>559</v>
      </c>
      <c r="I108" s="387" t="s">
        <v>560</v>
      </c>
      <c r="J108" s="387" t="s">
        <v>2264</v>
      </c>
      <c r="K108" s="387" t="s">
        <v>2276</v>
      </c>
      <c r="L108" s="387" t="s">
        <v>1771</v>
      </c>
      <c r="M108" s="387" t="s">
        <v>1772</v>
      </c>
      <c r="N108" s="388">
        <v>10.35</v>
      </c>
      <c r="O108" s="388">
        <v>14</v>
      </c>
      <c r="P108" s="387" t="s">
        <v>538</v>
      </c>
      <c r="Q108" s="387" t="s">
        <v>539</v>
      </c>
      <c r="R108" s="387" t="s">
        <v>2266</v>
      </c>
      <c r="S108" s="387" t="s">
        <v>171</v>
      </c>
      <c r="T108" s="387" t="s">
        <v>542</v>
      </c>
      <c r="U108" s="388">
        <v>1064583</v>
      </c>
      <c r="V108" s="387">
        <v>6008288003014</v>
      </c>
      <c r="W108" s="387">
        <v>6008288003014</v>
      </c>
      <c r="X108" s="387">
        <v>46008288003012</v>
      </c>
      <c r="Y108" s="387" t="s">
        <v>543</v>
      </c>
      <c r="Z108" s="387" t="s">
        <v>543</v>
      </c>
      <c r="AA108" s="388">
        <v>16008288003011</v>
      </c>
      <c r="AB108" s="388" t="s">
        <v>543</v>
      </c>
      <c r="AC108" s="387">
        <v>714072001</v>
      </c>
      <c r="AD108" s="389">
        <v>10</v>
      </c>
      <c r="AE108" s="390">
        <v>45047</v>
      </c>
      <c r="AF108" s="390">
        <v>46142</v>
      </c>
      <c r="AG108" s="391" t="s">
        <v>545</v>
      </c>
      <c r="AH108" s="391" t="s">
        <v>2274</v>
      </c>
      <c r="AI108" s="391" t="s">
        <v>1776</v>
      </c>
      <c r="AJ108" s="391">
        <v>0</v>
      </c>
      <c r="AK108" s="390">
        <v>45047</v>
      </c>
      <c r="AL108" s="389">
        <v>60</v>
      </c>
      <c r="AM108" s="391" t="s">
        <v>548</v>
      </c>
      <c r="AN108" s="391" t="s">
        <v>549</v>
      </c>
      <c r="AO108" s="391" t="s">
        <v>2275</v>
      </c>
    </row>
    <row r="109" spans="1:43" ht="16" thickBot="1">
      <c r="A109" s="387" t="s">
        <v>1717</v>
      </c>
      <c r="B109" s="387" t="s">
        <v>987</v>
      </c>
      <c r="C109" s="387" t="s">
        <v>2277</v>
      </c>
      <c r="D109" s="387" t="s">
        <v>2278</v>
      </c>
      <c r="E109" s="387">
        <v>30</v>
      </c>
      <c r="F109" s="387" t="s">
        <v>559</v>
      </c>
      <c r="G109" s="387">
        <v>30</v>
      </c>
      <c r="H109" s="387" t="s">
        <v>559</v>
      </c>
      <c r="I109" s="387" t="s">
        <v>560</v>
      </c>
      <c r="J109" s="387" t="s">
        <v>2264</v>
      </c>
      <c r="K109" s="387" t="s">
        <v>2279</v>
      </c>
      <c r="L109" s="387" t="s">
        <v>1771</v>
      </c>
      <c r="M109" s="387" t="s">
        <v>1772</v>
      </c>
      <c r="N109" s="388">
        <v>20.13</v>
      </c>
      <c r="O109" s="388">
        <v>14</v>
      </c>
      <c r="P109" s="387" t="s">
        <v>538</v>
      </c>
      <c r="Q109" s="387" t="s">
        <v>539</v>
      </c>
      <c r="R109" s="387" t="s">
        <v>2266</v>
      </c>
      <c r="S109" s="387" t="s">
        <v>171</v>
      </c>
      <c r="T109" s="387" t="s">
        <v>542</v>
      </c>
      <c r="U109" s="388">
        <v>407120</v>
      </c>
      <c r="V109" s="387">
        <v>6008288003021</v>
      </c>
      <c r="W109" s="387">
        <v>6008288003021</v>
      </c>
      <c r="X109" s="387" t="s">
        <v>543</v>
      </c>
      <c r="Y109" s="387">
        <v>46008288003029</v>
      </c>
      <c r="Z109" s="387" t="s">
        <v>543</v>
      </c>
      <c r="AA109" s="388">
        <v>16008288003028</v>
      </c>
      <c r="AB109" s="388" t="s">
        <v>543</v>
      </c>
      <c r="AC109" s="387">
        <v>714073001</v>
      </c>
      <c r="AD109" s="389">
        <v>120</v>
      </c>
      <c r="AE109" s="390">
        <v>45047</v>
      </c>
      <c r="AF109" s="390">
        <v>46142</v>
      </c>
      <c r="AG109" s="391" t="s">
        <v>545</v>
      </c>
      <c r="AH109" s="391" t="s">
        <v>2280</v>
      </c>
      <c r="AI109" s="391" t="s">
        <v>1776</v>
      </c>
      <c r="AJ109" s="391">
        <v>0</v>
      </c>
      <c r="AK109" s="390">
        <v>45047</v>
      </c>
      <c r="AL109" s="389">
        <v>100</v>
      </c>
      <c r="AM109" s="391" t="s">
        <v>548</v>
      </c>
      <c r="AN109" s="391" t="s">
        <v>549</v>
      </c>
      <c r="AO109" s="391" t="s">
        <v>2281</v>
      </c>
    </row>
    <row r="110" spans="1:43" ht="16" thickBot="1">
      <c r="A110" s="387" t="s">
        <v>1748</v>
      </c>
      <c r="B110" s="387" t="s">
        <v>2127</v>
      </c>
      <c r="C110" s="387" t="s">
        <v>2282</v>
      </c>
      <c r="D110" s="387" t="s">
        <v>2283</v>
      </c>
      <c r="E110" s="387">
        <v>2.5</v>
      </c>
      <c r="F110" s="387" t="s">
        <v>531</v>
      </c>
      <c r="G110" s="387">
        <v>2.5</v>
      </c>
      <c r="H110" s="387" t="s">
        <v>531</v>
      </c>
      <c r="I110" s="387" t="s">
        <v>1751</v>
      </c>
      <c r="J110" s="387" t="s">
        <v>2284</v>
      </c>
      <c r="K110" s="387" t="s">
        <v>2285</v>
      </c>
      <c r="L110" s="387" t="s">
        <v>535</v>
      </c>
      <c r="M110" s="387" t="s">
        <v>536</v>
      </c>
      <c r="N110" s="388">
        <v>78.66</v>
      </c>
      <c r="O110" s="388">
        <v>14</v>
      </c>
      <c r="P110" s="387" t="s">
        <v>538</v>
      </c>
      <c r="Q110" s="387" t="s">
        <v>539</v>
      </c>
      <c r="R110" s="387" t="s">
        <v>2286</v>
      </c>
      <c r="S110" s="387" t="s">
        <v>171</v>
      </c>
      <c r="T110" s="387" t="s">
        <v>757</v>
      </c>
      <c r="U110" s="388">
        <v>81270</v>
      </c>
      <c r="V110" s="387" t="s">
        <v>543</v>
      </c>
      <c r="W110" s="387" t="s">
        <v>543</v>
      </c>
      <c r="X110" s="387" t="s">
        <v>543</v>
      </c>
      <c r="Y110" s="387" t="s">
        <v>543</v>
      </c>
      <c r="Z110" s="387" t="s">
        <v>543</v>
      </c>
      <c r="AA110" s="388" t="s">
        <v>543</v>
      </c>
      <c r="AB110" s="388" t="s">
        <v>543</v>
      </c>
      <c r="AC110" s="387" t="s">
        <v>543</v>
      </c>
      <c r="AD110" s="389">
        <v>5</v>
      </c>
      <c r="AE110" s="390">
        <v>44317</v>
      </c>
      <c r="AF110" s="390">
        <v>45412</v>
      </c>
      <c r="AG110" s="391" t="s">
        <v>545</v>
      </c>
      <c r="AH110" s="391" t="s">
        <v>2287</v>
      </c>
      <c r="AI110" s="391" t="s">
        <v>547</v>
      </c>
      <c r="AJ110" s="391">
        <v>0</v>
      </c>
      <c r="AK110" s="390">
        <v>44317</v>
      </c>
      <c r="AL110" s="389">
        <v>100</v>
      </c>
      <c r="AM110" s="391" t="s">
        <v>548</v>
      </c>
      <c r="AN110" s="391" t="s">
        <v>549</v>
      </c>
      <c r="AO110" s="391" t="s">
        <v>2288</v>
      </c>
    </row>
    <row r="111" spans="1:43" ht="16" thickBot="1">
      <c r="A111" s="387" t="s">
        <v>1748</v>
      </c>
      <c r="B111" s="387" t="s">
        <v>554</v>
      </c>
      <c r="C111" s="387" t="s">
        <v>2289</v>
      </c>
      <c r="D111" s="387" t="s">
        <v>2290</v>
      </c>
      <c r="E111" s="387">
        <v>5</v>
      </c>
      <c r="F111" s="387" t="s">
        <v>531</v>
      </c>
      <c r="G111" s="387">
        <v>5</v>
      </c>
      <c r="H111" s="387" t="s">
        <v>531</v>
      </c>
      <c r="I111" s="387" t="s">
        <v>1751</v>
      </c>
      <c r="J111" s="387" t="s">
        <v>2284</v>
      </c>
      <c r="K111" s="387" t="s">
        <v>2291</v>
      </c>
      <c r="L111" s="387" t="s">
        <v>535</v>
      </c>
      <c r="M111" s="387" t="s">
        <v>536</v>
      </c>
      <c r="N111" s="388">
        <v>158.41</v>
      </c>
      <c r="O111" s="388">
        <v>14</v>
      </c>
      <c r="P111" s="387" t="s">
        <v>538</v>
      </c>
      <c r="Q111" s="387" t="s">
        <v>539</v>
      </c>
      <c r="R111" s="387" t="s">
        <v>2286</v>
      </c>
      <c r="S111" s="387" t="s">
        <v>171</v>
      </c>
      <c r="T111" s="387" t="s">
        <v>757</v>
      </c>
      <c r="U111" s="388">
        <v>58400</v>
      </c>
      <c r="V111" s="387" t="s">
        <v>543</v>
      </c>
      <c r="W111" s="387" t="s">
        <v>543</v>
      </c>
      <c r="X111" s="387" t="s">
        <v>543</v>
      </c>
      <c r="Y111" s="387" t="s">
        <v>543</v>
      </c>
      <c r="Z111" s="387" t="s">
        <v>543</v>
      </c>
      <c r="AA111" s="388" t="s">
        <v>543</v>
      </c>
      <c r="AB111" s="388" t="s">
        <v>543</v>
      </c>
      <c r="AC111" s="387" t="s">
        <v>543</v>
      </c>
      <c r="AD111" s="389">
        <v>5</v>
      </c>
      <c r="AE111" s="390">
        <v>44317</v>
      </c>
      <c r="AF111" s="390">
        <v>45412</v>
      </c>
      <c r="AG111" s="391" t="s">
        <v>545</v>
      </c>
      <c r="AH111" s="391" t="s">
        <v>2292</v>
      </c>
      <c r="AI111" s="391" t="s">
        <v>547</v>
      </c>
      <c r="AJ111" s="391">
        <v>0</v>
      </c>
      <c r="AK111" s="390">
        <v>44317</v>
      </c>
      <c r="AL111" s="389">
        <v>100</v>
      </c>
      <c r="AM111" s="391" t="s">
        <v>548</v>
      </c>
      <c r="AN111" s="391" t="s">
        <v>549</v>
      </c>
      <c r="AO111" s="391" t="s">
        <v>2293</v>
      </c>
    </row>
    <row r="112" spans="1:43" ht="16" thickBot="1">
      <c r="A112" s="387" t="s">
        <v>2294</v>
      </c>
      <c r="B112" s="387" t="s">
        <v>1027</v>
      </c>
      <c r="C112" s="387" t="s">
        <v>2295</v>
      </c>
      <c r="D112" s="387" t="s">
        <v>2296</v>
      </c>
      <c r="E112" s="387">
        <v>5</v>
      </c>
      <c r="F112" s="387" t="s">
        <v>531</v>
      </c>
      <c r="G112" s="387">
        <v>100</v>
      </c>
      <c r="H112" s="387" t="s">
        <v>2297</v>
      </c>
      <c r="I112" s="387" t="s">
        <v>2298</v>
      </c>
      <c r="J112" s="387" t="s">
        <v>2299</v>
      </c>
      <c r="K112" s="387" t="s">
        <v>2300</v>
      </c>
      <c r="L112" s="387" t="s">
        <v>654</v>
      </c>
      <c r="M112" s="387" t="s">
        <v>655</v>
      </c>
      <c r="N112" s="388">
        <v>27.24</v>
      </c>
      <c r="O112" s="388">
        <v>14</v>
      </c>
      <c r="P112" s="387" t="s">
        <v>538</v>
      </c>
      <c r="Q112" s="387" t="s">
        <v>539</v>
      </c>
      <c r="R112" s="387" t="s">
        <v>2301</v>
      </c>
      <c r="S112" s="387" t="s">
        <v>171</v>
      </c>
      <c r="T112" s="387" t="s">
        <v>542</v>
      </c>
      <c r="U112" s="388">
        <v>224532</v>
      </c>
      <c r="V112" s="387">
        <v>6006264000200</v>
      </c>
      <c r="W112" s="387" t="s">
        <v>543</v>
      </c>
      <c r="X112" s="387" t="s">
        <v>543</v>
      </c>
      <c r="Y112" s="387">
        <v>16006264000207</v>
      </c>
      <c r="Z112" s="387" t="s">
        <v>543</v>
      </c>
      <c r="AA112" s="388">
        <v>26006264000204</v>
      </c>
      <c r="AB112" s="388" t="s">
        <v>543</v>
      </c>
      <c r="AC112" s="387" t="s">
        <v>543</v>
      </c>
      <c r="AD112" s="389">
        <v>200</v>
      </c>
      <c r="AE112" s="390">
        <v>44013</v>
      </c>
      <c r="AF112" s="390">
        <v>45107</v>
      </c>
      <c r="AG112" s="390">
        <v>45107</v>
      </c>
      <c r="AH112" s="391" t="s">
        <v>2302</v>
      </c>
      <c r="AI112" s="391" t="s">
        <v>658</v>
      </c>
      <c r="AJ112" s="391">
        <v>67</v>
      </c>
      <c r="AK112" s="390">
        <v>45047</v>
      </c>
      <c r="AL112" s="389">
        <v>100</v>
      </c>
      <c r="AM112" s="391" t="s">
        <v>548</v>
      </c>
      <c r="AN112" s="391" t="s">
        <v>545</v>
      </c>
      <c r="AO112" s="391" t="s">
        <v>2303</v>
      </c>
    </row>
    <row r="113" spans="1:43" ht="16" thickBot="1">
      <c r="A113" s="387" t="s">
        <v>1748</v>
      </c>
      <c r="B113" s="387" t="s">
        <v>537</v>
      </c>
      <c r="C113" s="387" t="s">
        <v>2304</v>
      </c>
      <c r="D113" s="387" t="s">
        <v>2305</v>
      </c>
      <c r="E113" s="387">
        <v>1</v>
      </c>
      <c r="F113" s="387" t="s">
        <v>531</v>
      </c>
      <c r="G113" s="387" t="s">
        <v>543</v>
      </c>
      <c r="H113" s="387" t="s">
        <v>531</v>
      </c>
      <c r="I113" s="387" t="s">
        <v>1751</v>
      </c>
      <c r="J113" s="387" t="s">
        <v>2299</v>
      </c>
      <c r="K113" s="387" t="s">
        <v>2306</v>
      </c>
      <c r="L113" s="387" t="s">
        <v>1955</v>
      </c>
      <c r="M113" s="387" t="s">
        <v>1956</v>
      </c>
      <c r="N113" s="388">
        <v>4.78</v>
      </c>
      <c r="O113" s="388">
        <v>14</v>
      </c>
      <c r="P113" s="387" t="s">
        <v>538</v>
      </c>
      <c r="Q113" s="387" t="s">
        <v>539</v>
      </c>
      <c r="R113" s="387" t="s">
        <v>2307</v>
      </c>
      <c r="S113" s="387" t="s">
        <v>541</v>
      </c>
      <c r="T113" s="387" t="s">
        <v>542</v>
      </c>
      <c r="U113" s="388">
        <v>470622</v>
      </c>
      <c r="V113" s="387">
        <v>6006267000245</v>
      </c>
      <c r="W113" s="387">
        <v>6006267000245</v>
      </c>
      <c r="X113" s="387" t="s">
        <v>543</v>
      </c>
      <c r="Y113" s="387">
        <v>16006267000242</v>
      </c>
      <c r="Z113" s="387" t="s">
        <v>543</v>
      </c>
      <c r="AA113" s="388" t="s">
        <v>543</v>
      </c>
      <c r="AB113" s="388" t="s">
        <v>543</v>
      </c>
      <c r="AC113" s="387">
        <v>705578003</v>
      </c>
      <c r="AD113" s="389" t="s">
        <v>2308</v>
      </c>
      <c r="AE113" s="390">
        <v>44317</v>
      </c>
      <c r="AF113" s="390">
        <v>45412</v>
      </c>
      <c r="AG113" s="391" t="s">
        <v>545</v>
      </c>
      <c r="AH113" s="391" t="s">
        <v>2309</v>
      </c>
      <c r="AI113" s="391" t="s">
        <v>1959</v>
      </c>
      <c r="AJ113" s="391">
        <v>0</v>
      </c>
      <c r="AK113" s="390">
        <v>44317</v>
      </c>
      <c r="AL113" s="389">
        <v>20</v>
      </c>
      <c r="AM113" s="391" t="s">
        <v>548</v>
      </c>
      <c r="AN113" s="391" t="s">
        <v>549</v>
      </c>
      <c r="AO113" s="391" t="s">
        <v>2310</v>
      </c>
      <c r="AP113" s="372">
        <f>N113/E113</f>
        <v>4.78</v>
      </c>
      <c r="AQ113" s="372">
        <f>SUMPRODUCT(AP113:AP114,U113:U114)/SUM(U113:U114)</f>
        <v>4.3160000000000007</v>
      </c>
    </row>
    <row r="114" spans="1:43" ht="16" thickBot="1">
      <c r="A114" s="387" t="s">
        <v>1748</v>
      </c>
      <c r="B114" s="387" t="s">
        <v>537</v>
      </c>
      <c r="C114" s="387" t="s">
        <v>2304</v>
      </c>
      <c r="D114" s="387" t="s">
        <v>2305</v>
      </c>
      <c r="E114" s="387">
        <v>1</v>
      </c>
      <c r="F114" s="387" t="s">
        <v>531</v>
      </c>
      <c r="G114" s="387" t="s">
        <v>543</v>
      </c>
      <c r="H114" s="387" t="s">
        <v>531</v>
      </c>
      <c r="I114" s="387" t="s">
        <v>1751</v>
      </c>
      <c r="J114" s="387" t="s">
        <v>2299</v>
      </c>
      <c r="K114" s="387" t="s">
        <v>2311</v>
      </c>
      <c r="L114" s="387" t="s">
        <v>2312</v>
      </c>
      <c r="M114" s="387" t="s">
        <v>2313</v>
      </c>
      <c r="N114" s="388">
        <v>4.2</v>
      </c>
      <c r="O114" s="388">
        <v>14</v>
      </c>
      <c r="P114" s="387" t="s">
        <v>538</v>
      </c>
      <c r="Q114" s="387" t="s">
        <v>539</v>
      </c>
      <c r="R114" s="387" t="s">
        <v>2307</v>
      </c>
      <c r="S114" s="387" t="s">
        <v>541</v>
      </c>
      <c r="T114" s="387" t="s">
        <v>542</v>
      </c>
      <c r="U114" s="388">
        <v>1882488</v>
      </c>
      <c r="V114" s="387">
        <v>6009802416020</v>
      </c>
      <c r="W114" s="387">
        <v>6009802416020</v>
      </c>
      <c r="X114" s="387" t="s">
        <v>543</v>
      </c>
      <c r="Y114" s="387">
        <v>16009802416027</v>
      </c>
      <c r="Z114" s="387" t="s">
        <v>543</v>
      </c>
      <c r="AA114" s="388" t="s">
        <v>543</v>
      </c>
      <c r="AB114" s="388" t="s">
        <v>543</v>
      </c>
      <c r="AC114" s="387">
        <v>700226001</v>
      </c>
      <c r="AD114" s="389">
        <v>400</v>
      </c>
      <c r="AE114" s="390">
        <v>44317</v>
      </c>
      <c r="AF114" s="390">
        <v>45412</v>
      </c>
      <c r="AG114" s="391" t="s">
        <v>545</v>
      </c>
      <c r="AH114" s="391" t="s">
        <v>2309</v>
      </c>
      <c r="AI114" s="391" t="s">
        <v>2314</v>
      </c>
      <c r="AJ114" s="391">
        <v>0</v>
      </c>
      <c r="AK114" s="390">
        <v>44317</v>
      </c>
      <c r="AL114" s="389">
        <v>80</v>
      </c>
      <c r="AM114" s="391" t="s">
        <v>548</v>
      </c>
      <c r="AN114" s="391" t="s">
        <v>549</v>
      </c>
      <c r="AO114" s="391" t="s">
        <v>2310</v>
      </c>
      <c r="AP114" s="372">
        <f>N114/E114</f>
        <v>4.2</v>
      </c>
    </row>
    <row r="115" spans="1:43" ht="16" thickBot="1">
      <c r="A115" s="387" t="s">
        <v>1748</v>
      </c>
      <c r="B115" s="387" t="s">
        <v>965</v>
      </c>
      <c r="C115" s="387" t="s">
        <v>2315</v>
      </c>
      <c r="D115" s="387" t="s">
        <v>2316</v>
      </c>
      <c r="E115" s="387">
        <v>1</v>
      </c>
      <c r="F115" s="387" t="s">
        <v>531</v>
      </c>
      <c r="G115" s="387">
        <v>1</v>
      </c>
      <c r="H115" s="387" t="s">
        <v>531</v>
      </c>
      <c r="I115" s="387" t="s">
        <v>1751</v>
      </c>
      <c r="J115" s="387" t="s">
        <v>2299</v>
      </c>
      <c r="K115" s="387" t="s">
        <v>2317</v>
      </c>
      <c r="L115" s="387" t="s">
        <v>2312</v>
      </c>
      <c r="M115" s="387" t="s">
        <v>2313</v>
      </c>
      <c r="N115" s="388">
        <v>4</v>
      </c>
      <c r="O115" s="388">
        <v>14</v>
      </c>
      <c r="P115" s="387" t="s">
        <v>538</v>
      </c>
      <c r="Q115" s="387" t="s">
        <v>539</v>
      </c>
      <c r="R115" s="387" t="s">
        <v>2307</v>
      </c>
      <c r="S115" s="387" t="s">
        <v>541</v>
      </c>
      <c r="T115" s="387" t="s">
        <v>542</v>
      </c>
      <c r="U115" s="388">
        <v>1023072</v>
      </c>
      <c r="V115" s="387">
        <v>6009802416013</v>
      </c>
      <c r="W115" s="387">
        <v>6009802416013</v>
      </c>
      <c r="X115" s="387" t="s">
        <v>543</v>
      </c>
      <c r="Y115" s="387">
        <v>16009802416010</v>
      </c>
      <c r="Z115" s="387" t="s">
        <v>543</v>
      </c>
      <c r="AA115" s="388" t="s">
        <v>543</v>
      </c>
      <c r="AB115" s="388" t="s">
        <v>543</v>
      </c>
      <c r="AC115" s="387">
        <v>700218001</v>
      </c>
      <c r="AD115" s="389">
        <v>500</v>
      </c>
      <c r="AE115" s="390">
        <v>44317</v>
      </c>
      <c r="AF115" s="390">
        <v>45412</v>
      </c>
      <c r="AG115" s="391" t="s">
        <v>545</v>
      </c>
      <c r="AH115" s="391" t="s">
        <v>2318</v>
      </c>
      <c r="AI115" s="391" t="s">
        <v>2314</v>
      </c>
      <c r="AJ115" s="391">
        <v>0</v>
      </c>
      <c r="AK115" s="390">
        <v>44317</v>
      </c>
      <c r="AL115" s="389">
        <v>80</v>
      </c>
      <c r="AM115" s="391" t="s">
        <v>548</v>
      </c>
      <c r="AN115" s="391" t="s">
        <v>549</v>
      </c>
      <c r="AO115" s="391" t="s">
        <v>2319</v>
      </c>
    </row>
    <row r="116" spans="1:43" ht="16" thickBot="1">
      <c r="A116" s="387" t="s">
        <v>1748</v>
      </c>
      <c r="B116" s="387" t="s">
        <v>965</v>
      </c>
      <c r="C116" s="387" t="s">
        <v>2315</v>
      </c>
      <c r="D116" s="387" t="s">
        <v>2316</v>
      </c>
      <c r="E116" s="387">
        <v>1</v>
      </c>
      <c r="F116" s="387" t="s">
        <v>531</v>
      </c>
      <c r="G116" s="387">
        <v>1</v>
      </c>
      <c r="H116" s="387" t="s">
        <v>531</v>
      </c>
      <c r="I116" s="387" t="s">
        <v>1751</v>
      </c>
      <c r="J116" s="387" t="s">
        <v>2299</v>
      </c>
      <c r="K116" s="387" t="s">
        <v>2320</v>
      </c>
      <c r="L116" s="387" t="s">
        <v>1955</v>
      </c>
      <c r="M116" s="387" t="s">
        <v>1956</v>
      </c>
      <c r="N116" s="388">
        <v>4.43</v>
      </c>
      <c r="O116" s="388">
        <v>14</v>
      </c>
      <c r="P116" s="387" t="s">
        <v>538</v>
      </c>
      <c r="Q116" s="387" t="s">
        <v>539</v>
      </c>
      <c r="R116" s="387" t="s">
        <v>2307</v>
      </c>
      <c r="S116" s="387" t="s">
        <v>541</v>
      </c>
      <c r="T116" s="387" t="s">
        <v>542</v>
      </c>
      <c r="U116" s="388">
        <v>255768</v>
      </c>
      <c r="V116" s="387">
        <v>6006267000238</v>
      </c>
      <c r="W116" s="387">
        <v>6006267000238</v>
      </c>
      <c r="X116" s="387" t="s">
        <v>543</v>
      </c>
      <c r="Y116" s="387" t="s">
        <v>2321</v>
      </c>
      <c r="Z116" s="387" t="s">
        <v>543</v>
      </c>
      <c r="AA116" s="388" t="s">
        <v>543</v>
      </c>
      <c r="AB116" s="388" t="s">
        <v>543</v>
      </c>
      <c r="AC116" s="387">
        <v>705551008</v>
      </c>
      <c r="AD116" s="389" t="s">
        <v>2308</v>
      </c>
      <c r="AE116" s="390">
        <v>44317</v>
      </c>
      <c r="AF116" s="390">
        <v>45412</v>
      </c>
      <c r="AG116" s="391" t="s">
        <v>545</v>
      </c>
      <c r="AH116" s="391" t="s">
        <v>2318</v>
      </c>
      <c r="AI116" s="391" t="s">
        <v>1959</v>
      </c>
      <c r="AJ116" s="391">
        <v>0</v>
      </c>
      <c r="AK116" s="390">
        <v>44317</v>
      </c>
      <c r="AL116" s="389">
        <v>20</v>
      </c>
      <c r="AM116" s="391" t="s">
        <v>548</v>
      </c>
      <c r="AN116" s="391" t="s">
        <v>549</v>
      </c>
      <c r="AO116" s="391" t="s">
        <v>2319</v>
      </c>
    </row>
    <row r="117" spans="1:43" ht="16" thickBot="1">
      <c r="A117" s="387" t="s">
        <v>2166</v>
      </c>
      <c r="B117" s="387" t="s">
        <v>680</v>
      </c>
      <c r="C117" s="387" t="s">
        <v>2322</v>
      </c>
      <c r="D117" s="387" t="s">
        <v>2323</v>
      </c>
      <c r="E117" s="387">
        <v>100</v>
      </c>
      <c r="F117" s="387" t="s">
        <v>559</v>
      </c>
      <c r="G117" s="387">
        <v>100</v>
      </c>
      <c r="H117" s="387" t="s">
        <v>559</v>
      </c>
      <c r="I117" s="387" t="s">
        <v>560</v>
      </c>
      <c r="J117" s="387" t="s">
        <v>2324</v>
      </c>
      <c r="K117" s="387" t="s">
        <v>2325</v>
      </c>
      <c r="L117" s="387" t="s">
        <v>2326</v>
      </c>
      <c r="M117" s="387" t="s">
        <v>2327</v>
      </c>
      <c r="N117" s="388">
        <v>102.35</v>
      </c>
      <c r="O117" s="388">
        <v>14</v>
      </c>
      <c r="P117" s="387" t="s">
        <v>538</v>
      </c>
      <c r="Q117" s="387" t="s">
        <v>539</v>
      </c>
      <c r="R117" s="387" t="s">
        <v>2328</v>
      </c>
      <c r="S117" s="387" t="s">
        <v>541</v>
      </c>
      <c r="T117" s="387" t="s">
        <v>757</v>
      </c>
      <c r="U117" s="388">
        <v>91743</v>
      </c>
      <c r="V117" s="387">
        <v>6009609620330</v>
      </c>
      <c r="W117" s="387" t="s">
        <v>543</v>
      </c>
      <c r="X117" s="387" t="s">
        <v>543</v>
      </c>
      <c r="Y117" s="387" t="s">
        <v>543</v>
      </c>
      <c r="Z117" s="387" t="s">
        <v>543</v>
      </c>
      <c r="AA117" s="388" t="s">
        <v>543</v>
      </c>
      <c r="AB117" s="388" t="s">
        <v>543</v>
      </c>
      <c r="AC117" s="387">
        <v>701252001</v>
      </c>
      <c r="AD117" s="389">
        <v>50</v>
      </c>
      <c r="AE117" s="390">
        <v>44743</v>
      </c>
      <c r="AF117" s="390">
        <v>45473</v>
      </c>
      <c r="AG117" s="391" t="s">
        <v>545</v>
      </c>
      <c r="AH117" s="391" t="s">
        <v>2329</v>
      </c>
      <c r="AI117" s="391" t="s">
        <v>2330</v>
      </c>
      <c r="AJ117" s="391">
        <v>0</v>
      </c>
      <c r="AK117" s="390">
        <v>44743</v>
      </c>
      <c r="AL117" s="389">
        <v>100</v>
      </c>
      <c r="AM117" s="391" t="s">
        <v>548</v>
      </c>
      <c r="AN117" s="391" t="s">
        <v>549</v>
      </c>
      <c r="AO117" s="391" t="s">
        <v>2331</v>
      </c>
    </row>
    <row r="118" spans="1:43" ht="16" thickBot="1">
      <c r="A118" s="387" t="s">
        <v>1766</v>
      </c>
      <c r="B118" s="387" t="s">
        <v>990</v>
      </c>
      <c r="C118" s="387" t="s">
        <v>2332</v>
      </c>
      <c r="D118" s="387" t="s">
        <v>2333</v>
      </c>
      <c r="E118" s="387">
        <v>2</v>
      </c>
      <c r="F118" s="387" t="s">
        <v>559</v>
      </c>
      <c r="G118" s="387">
        <v>2</v>
      </c>
      <c r="H118" s="387" t="s">
        <v>559</v>
      </c>
      <c r="I118" s="387" t="s">
        <v>560</v>
      </c>
      <c r="J118" s="387" t="s">
        <v>2334</v>
      </c>
      <c r="K118" s="387" t="s">
        <v>2335</v>
      </c>
      <c r="L118" s="387" t="s">
        <v>1886</v>
      </c>
      <c r="M118" s="387" t="s">
        <v>1887</v>
      </c>
      <c r="N118" s="388">
        <v>9.85</v>
      </c>
      <c r="O118" s="388">
        <v>14</v>
      </c>
      <c r="P118" s="387" t="s">
        <v>538</v>
      </c>
      <c r="Q118" s="387" t="s">
        <v>539</v>
      </c>
      <c r="R118" s="387" t="s">
        <v>2336</v>
      </c>
      <c r="S118" s="387" t="s">
        <v>171</v>
      </c>
      <c r="T118" s="387" t="s">
        <v>542</v>
      </c>
      <c r="U118" s="388">
        <v>1450302</v>
      </c>
      <c r="V118" s="387">
        <v>6009691113246</v>
      </c>
      <c r="W118" s="387" t="s">
        <v>543</v>
      </c>
      <c r="X118" s="387" t="s">
        <v>543</v>
      </c>
      <c r="Y118" s="387">
        <v>16009691113243</v>
      </c>
      <c r="Z118" s="387">
        <v>26009691113240</v>
      </c>
      <c r="AA118" s="388" t="s">
        <v>543</v>
      </c>
      <c r="AB118" s="388" t="s">
        <v>543</v>
      </c>
      <c r="AC118" s="387">
        <v>717052001</v>
      </c>
      <c r="AD118" s="389">
        <v>500</v>
      </c>
      <c r="AE118" s="390">
        <v>44470</v>
      </c>
      <c r="AF118" s="390">
        <v>45199</v>
      </c>
      <c r="AG118" s="390">
        <v>45199</v>
      </c>
      <c r="AH118" s="391" t="s">
        <v>2337</v>
      </c>
      <c r="AI118" s="391" t="s">
        <v>1889</v>
      </c>
      <c r="AJ118" s="391">
        <v>14</v>
      </c>
      <c r="AK118" s="390">
        <v>45047</v>
      </c>
      <c r="AL118" s="389">
        <v>60</v>
      </c>
      <c r="AM118" s="391" t="s">
        <v>548</v>
      </c>
      <c r="AN118" s="391" t="s">
        <v>549</v>
      </c>
      <c r="AO118" s="391" t="s">
        <v>2338</v>
      </c>
      <c r="AP118" s="372">
        <f>N118/E118</f>
        <v>4.9249999999999998</v>
      </c>
      <c r="AQ118" s="372">
        <f>SUMPRODUCT(AP118:AP119,U118:U119)/SUM(U118:U119)</f>
        <v>4.8429999999999991</v>
      </c>
    </row>
    <row r="119" spans="1:43" ht="16" thickBot="1">
      <c r="A119" s="387" t="s">
        <v>1766</v>
      </c>
      <c r="B119" s="387" t="s">
        <v>990</v>
      </c>
      <c r="C119" s="387" t="s">
        <v>2332</v>
      </c>
      <c r="D119" s="387" t="s">
        <v>2333</v>
      </c>
      <c r="E119" s="387">
        <v>2</v>
      </c>
      <c r="F119" s="387" t="s">
        <v>559</v>
      </c>
      <c r="G119" s="387">
        <v>2</v>
      </c>
      <c r="H119" s="387" t="s">
        <v>559</v>
      </c>
      <c r="I119" s="387" t="s">
        <v>560</v>
      </c>
      <c r="J119" s="387" t="s">
        <v>2334</v>
      </c>
      <c r="K119" s="387" t="s">
        <v>2339</v>
      </c>
      <c r="L119" s="387" t="s">
        <v>1905</v>
      </c>
      <c r="M119" s="387" t="s">
        <v>1906</v>
      </c>
      <c r="N119" s="388">
        <v>9.44</v>
      </c>
      <c r="O119" s="388">
        <v>14</v>
      </c>
      <c r="P119" s="387" t="s">
        <v>538</v>
      </c>
      <c r="Q119" s="387" t="s">
        <v>539</v>
      </c>
      <c r="R119" s="387" t="s">
        <v>2336</v>
      </c>
      <c r="S119" s="387" t="s">
        <v>171</v>
      </c>
      <c r="T119" s="387" t="s">
        <v>542</v>
      </c>
      <c r="U119" s="388">
        <v>966868</v>
      </c>
      <c r="V119" s="387">
        <v>6006823001990</v>
      </c>
      <c r="W119" s="387" t="s">
        <v>543</v>
      </c>
      <c r="X119" s="387" t="s">
        <v>543</v>
      </c>
      <c r="Y119" s="387" t="s">
        <v>543</v>
      </c>
      <c r="Z119" s="387" t="s">
        <v>543</v>
      </c>
      <c r="AA119" s="388" t="s">
        <v>543</v>
      </c>
      <c r="AB119" s="388" t="s">
        <v>543</v>
      </c>
      <c r="AC119" s="387" t="s">
        <v>543</v>
      </c>
      <c r="AD119" s="389">
        <v>480</v>
      </c>
      <c r="AE119" s="390">
        <v>44470</v>
      </c>
      <c r="AF119" s="390">
        <v>45199</v>
      </c>
      <c r="AG119" s="390">
        <v>45199</v>
      </c>
      <c r="AH119" s="391" t="s">
        <v>2337</v>
      </c>
      <c r="AI119" s="391" t="s">
        <v>1910</v>
      </c>
      <c r="AJ119" s="391">
        <v>15</v>
      </c>
      <c r="AK119" s="390">
        <v>45047</v>
      </c>
      <c r="AL119" s="389">
        <v>40</v>
      </c>
      <c r="AM119" s="391" t="s">
        <v>548</v>
      </c>
      <c r="AN119" s="391" t="s">
        <v>549</v>
      </c>
      <c r="AO119" s="391" t="s">
        <v>2338</v>
      </c>
      <c r="AP119" s="372">
        <f>N119/E119</f>
        <v>4.72</v>
      </c>
    </row>
    <row r="120" spans="1:43" ht="16" thickBot="1">
      <c r="A120" s="387" t="s">
        <v>1766</v>
      </c>
      <c r="B120" s="387" t="s">
        <v>982</v>
      </c>
      <c r="C120" s="387" t="s">
        <v>2340</v>
      </c>
      <c r="D120" s="387" t="s">
        <v>2341</v>
      </c>
      <c r="E120" s="387">
        <v>3</v>
      </c>
      <c r="F120" s="387" t="s">
        <v>559</v>
      </c>
      <c r="G120" s="387">
        <v>3</v>
      </c>
      <c r="H120" s="387" t="s">
        <v>559</v>
      </c>
      <c r="I120" s="387" t="s">
        <v>560</v>
      </c>
      <c r="J120" s="387" t="s">
        <v>2334</v>
      </c>
      <c r="K120" s="387" t="s">
        <v>2342</v>
      </c>
      <c r="L120" s="387" t="s">
        <v>2343</v>
      </c>
      <c r="M120" s="387" t="s">
        <v>2344</v>
      </c>
      <c r="N120" s="388">
        <v>10.98</v>
      </c>
      <c r="O120" s="388">
        <v>14</v>
      </c>
      <c r="P120" s="387" t="s">
        <v>538</v>
      </c>
      <c r="Q120" s="387" t="s">
        <v>539</v>
      </c>
      <c r="R120" s="387" t="s">
        <v>2336</v>
      </c>
      <c r="S120" s="387" t="s">
        <v>171</v>
      </c>
      <c r="T120" s="387" t="s">
        <v>542</v>
      </c>
      <c r="U120" s="388">
        <v>1265106</v>
      </c>
      <c r="V120" s="387">
        <v>6009880904006</v>
      </c>
      <c r="W120" s="387" t="s">
        <v>543</v>
      </c>
      <c r="X120" s="387" t="s">
        <v>543</v>
      </c>
      <c r="Y120" s="387" t="s">
        <v>543</v>
      </c>
      <c r="Z120" s="387" t="s">
        <v>543</v>
      </c>
      <c r="AA120" s="388" t="s">
        <v>543</v>
      </c>
      <c r="AB120" s="388" t="s">
        <v>543</v>
      </c>
      <c r="AC120" s="387" t="s">
        <v>543</v>
      </c>
      <c r="AD120" s="389">
        <v>150</v>
      </c>
      <c r="AE120" s="390">
        <v>44470</v>
      </c>
      <c r="AF120" s="390">
        <v>45199</v>
      </c>
      <c r="AG120" s="391" t="s">
        <v>545</v>
      </c>
      <c r="AH120" s="391" t="s">
        <v>2345</v>
      </c>
      <c r="AI120" s="391" t="s">
        <v>2346</v>
      </c>
      <c r="AJ120" s="391">
        <v>0</v>
      </c>
      <c r="AK120" s="390">
        <v>44470</v>
      </c>
      <c r="AL120" s="389">
        <v>20</v>
      </c>
      <c r="AM120" s="391" t="s">
        <v>548</v>
      </c>
      <c r="AN120" s="391" t="s">
        <v>549</v>
      </c>
      <c r="AO120" s="391" t="s">
        <v>2338</v>
      </c>
      <c r="AP120" s="372">
        <f t="shared" ref="AP120:AP121" si="5">N120/E120</f>
        <v>3.66</v>
      </c>
      <c r="AQ120" s="372">
        <f>SUMPRODUCT(AP120:AP121,U120:U121)/SUM(U120:U121)</f>
        <v>3.4253333333333336</v>
      </c>
    </row>
    <row r="121" spans="1:43" ht="16" thickBot="1">
      <c r="A121" s="387" t="s">
        <v>1766</v>
      </c>
      <c r="B121" s="387" t="s">
        <v>982</v>
      </c>
      <c r="C121" s="387" t="s">
        <v>2340</v>
      </c>
      <c r="D121" s="387" t="s">
        <v>2341</v>
      </c>
      <c r="E121" s="387">
        <v>3</v>
      </c>
      <c r="F121" s="387" t="s">
        <v>559</v>
      </c>
      <c r="G121" s="387">
        <v>3</v>
      </c>
      <c r="H121" s="387" t="s">
        <v>559</v>
      </c>
      <c r="I121" s="387" t="s">
        <v>560</v>
      </c>
      <c r="J121" s="387" t="s">
        <v>2334</v>
      </c>
      <c r="K121" s="387" t="s">
        <v>2347</v>
      </c>
      <c r="L121" s="387" t="s">
        <v>1905</v>
      </c>
      <c r="M121" s="387" t="s">
        <v>1906</v>
      </c>
      <c r="N121" s="388">
        <v>10.1</v>
      </c>
      <c r="O121" s="388">
        <v>14</v>
      </c>
      <c r="P121" s="387" t="s">
        <v>538</v>
      </c>
      <c r="Q121" s="387" t="s">
        <v>539</v>
      </c>
      <c r="R121" s="387" t="s">
        <v>2336</v>
      </c>
      <c r="S121" s="387" t="s">
        <v>171</v>
      </c>
      <c r="T121" s="387" t="s">
        <v>542</v>
      </c>
      <c r="U121" s="388">
        <v>5060424</v>
      </c>
      <c r="V121" s="387">
        <v>6006823002041</v>
      </c>
      <c r="W121" s="387" t="s">
        <v>543</v>
      </c>
      <c r="X121" s="387" t="s">
        <v>543</v>
      </c>
      <c r="Y121" s="387" t="s">
        <v>543</v>
      </c>
      <c r="Z121" s="387" t="s">
        <v>543</v>
      </c>
      <c r="AA121" s="388" t="s">
        <v>543</v>
      </c>
      <c r="AB121" s="388" t="s">
        <v>543</v>
      </c>
      <c r="AC121" s="387" t="s">
        <v>543</v>
      </c>
      <c r="AD121" s="389">
        <v>200</v>
      </c>
      <c r="AE121" s="390">
        <v>44470</v>
      </c>
      <c r="AF121" s="390">
        <v>45199</v>
      </c>
      <c r="AG121" s="390">
        <v>45199</v>
      </c>
      <c r="AH121" s="391" t="s">
        <v>2345</v>
      </c>
      <c r="AI121" s="391" t="s">
        <v>1910</v>
      </c>
      <c r="AJ121" s="391">
        <v>15</v>
      </c>
      <c r="AK121" s="390">
        <v>45047</v>
      </c>
      <c r="AL121" s="389">
        <v>80</v>
      </c>
      <c r="AM121" s="391" t="s">
        <v>548</v>
      </c>
      <c r="AN121" s="391" t="s">
        <v>549</v>
      </c>
      <c r="AO121" s="391" t="s">
        <v>2338</v>
      </c>
      <c r="AP121" s="372">
        <f t="shared" si="5"/>
        <v>3.3666666666666667</v>
      </c>
    </row>
    <row r="122" spans="1:43" ht="16" thickBot="1">
      <c r="A122" s="387" t="s">
        <v>1717</v>
      </c>
      <c r="B122" s="387" t="s">
        <v>634</v>
      </c>
      <c r="C122" s="387" t="s">
        <v>2348</v>
      </c>
      <c r="D122" s="387" t="s">
        <v>2349</v>
      </c>
      <c r="E122" s="387">
        <v>30</v>
      </c>
      <c r="F122" s="387" t="s">
        <v>559</v>
      </c>
      <c r="G122" s="387">
        <v>30</v>
      </c>
      <c r="H122" s="387" t="s">
        <v>559</v>
      </c>
      <c r="I122" s="387" t="s">
        <v>560</v>
      </c>
      <c r="J122" s="387" t="s">
        <v>2350</v>
      </c>
      <c r="K122" s="387" t="s">
        <v>2351</v>
      </c>
      <c r="L122" s="387" t="s">
        <v>1793</v>
      </c>
      <c r="M122" s="387" t="s">
        <v>1794</v>
      </c>
      <c r="N122" s="388">
        <v>14.78</v>
      </c>
      <c r="O122" s="388">
        <v>14</v>
      </c>
      <c r="P122" s="387" t="s">
        <v>611</v>
      </c>
      <c r="Q122" s="387" t="s">
        <v>668</v>
      </c>
      <c r="R122" s="387" t="s">
        <v>2352</v>
      </c>
      <c r="S122" s="387" t="s">
        <v>614</v>
      </c>
      <c r="T122" s="387" t="s">
        <v>160</v>
      </c>
      <c r="U122" s="388">
        <v>1287995</v>
      </c>
      <c r="V122" s="387" t="s">
        <v>543</v>
      </c>
      <c r="W122" s="387" t="s">
        <v>543</v>
      </c>
      <c r="X122" s="387" t="s">
        <v>543</v>
      </c>
      <c r="Y122" s="387" t="s">
        <v>543</v>
      </c>
      <c r="Z122" s="387" t="s">
        <v>543</v>
      </c>
      <c r="AA122" s="388" t="s">
        <v>543</v>
      </c>
      <c r="AB122" s="388" t="s">
        <v>543</v>
      </c>
      <c r="AC122" s="387">
        <v>712607001</v>
      </c>
      <c r="AD122" s="389">
        <v>130</v>
      </c>
      <c r="AE122" s="390">
        <v>45047</v>
      </c>
      <c r="AF122" s="390">
        <v>46142</v>
      </c>
      <c r="AG122" s="391" t="s">
        <v>545</v>
      </c>
      <c r="AH122" s="391" t="s">
        <v>2353</v>
      </c>
      <c r="AI122" s="391" t="s">
        <v>1797</v>
      </c>
      <c r="AJ122" s="391">
        <v>0</v>
      </c>
      <c r="AK122" s="390">
        <v>45047</v>
      </c>
      <c r="AL122" s="389">
        <v>100</v>
      </c>
      <c r="AM122" s="391" t="s">
        <v>548</v>
      </c>
      <c r="AN122" s="391" t="s">
        <v>549</v>
      </c>
      <c r="AO122" s="391" t="s">
        <v>2354</v>
      </c>
    </row>
    <row r="123" spans="1:43" ht="16" thickBot="1">
      <c r="A123" s="387" t="s">
        <v>1717</v>
      </c>
      <c r="B123" s="387" t="s">
        <v>1013</v>
      </c>
      <c r="C123" s="387" t="s">
        <v>2355</v>
      </c>
      <c r="D123" s="387" t="s">
        <v>2356</v>
      </c>
      <c r="E123" s="387">
        <v>30</v>
      </c>
      <c r="F123" s="387" t="s">
        <v>559</v>
      </c>
      <c r="G123" s="387">
        <v>30</v>
      </c>
      <c r="H123" s="387" t="s">
        <v>559</v>
      </c>
      <c r="I123" s="387" t="s">
        <v>560</v>
      </c>
      <c r="J123" s="387" t="s">
        <v>2350</v>
      </c>
      <c r="K123" s="387" t="s">
        <v>2357</v>
      </c>
      <c r="L123" s="387" t="s">
        <v>1905</v>
      </c>
      <c r="M123" s="387" t="s">
        <v>1906</v>
      </c>
      <c r="N123" s="388">
        <v>45.46</v>
      </c>
      <c r="O123" s="388">
        <v>14</v>
      </c>
      <c r="P123" s="387" t="s">
        <v>611</v>
      </c>
      <c r="Q123" s="387" t="s">
        <v>668</v>
      </c>
      <c r="R123" s="387" t="s">
        <v>2352</v>
      </c>
      <c r="S123" s="387" t="s">
        <v>614</v>
      </c>
      <c r="T123" s="387" t="s">
        <v>160</v>
      </c>
      <c r="U123" s="388">
        <v>311402</v>
      </c>
      <c r="V123" s="387">
        <v>6006823003987</v>
      </c>
      <c r="W123" s="387" t="s">
        <v>543</v>
      </c>
      <c r="X123" s="387" t="s">
        <v>543</v>
      </c>
      <c r="Y123" s="387" t="s">
        <v>543</v>
      </c>
      <c r="Z123" s="387" t="s">
        <v>543</v>
      </c>
      <c r="AA123" s="388" t="s">
        <v>543</v>
      </c>
      <c r="AB123" s="388" t="s">
        <v>543</v>
      </c>
      <c r="AC123" s="387" t="s">
        <v>543</v>
      </c>
      <c r="AD123" s="389">
        <v>10</v>
      </c>
      <c r="AE123" s="390">
        <v>45047</v>
      </c>
      <c r="AF123" s="390">
        <v>46142</v>
      </c>
      <c r="AG123" s="391" t="s">
        <v>545</v>
      </c>
      <c r="AH123" s="391" t="s">
        <v>2358</v>
      </c>
      <c r="AI123" s="391" t="s">
        <v>1910</v>
      </c>
      <c r="AJ123" s="391">
        <v>0</v>
      </c>
      <c r="AK123" s="390">
        <v>45047</v>
      </c>
      <c r="AL123" s="389">
        <v>100</v>
      </c>
      <c r="AM123" s="391" t="s">
        <v>548</v>
      </c>
      <c r="AN123" s="391" t="s">
        <v>549</v>
      </c>
      <c r="AO123" s="391" t="s">
        <v>2359</v>
      </c>
    </row>
    <row r="124" spans="1:43" ht="16" thickBot="1">
      <c r="A124" s="387" t="s">
        <v>2294</v>
      </c>
      <c r="B124" s="387" t="s">
        <v>975</v>
      </c>
      <c r="C124" s="387" t="s">
        <v>2360</v>
      </c>
      <c r="D124" s="387" t="s">
        <v>2361</v>
      </c>
      <c r="E124" s="387">
        <v>15</v>
      </c>
      <c r="F124" s="387" t="s">
        <v>531</v>
      </c>
      <c r="G124" s="387">
        <v>15</v>
      </c>
      <c r="H124" s="387" t="s">
        <v>531</v>
      </c>
      <c r="I124" s="387" t="s">
        <v>2362</v>
      </c>
      <c r="J124" s="387" t="s">
        <v>2363</v>
      </c>
      <c r="K124" s="387" t="s">
        <v>2364</v>
      </c>
      <c r="L124" s="387" t="s">
        <v>2365</v>
      </c>
      <c r="M124" s="387" t="s">
        <v>2366</v>
      </c>
      <c r="N124" s="388">
        <v>24.83</v>
      </c>
      <c r="O124" s="388">
        <v>14</v>
      </c>
      <c r="P124" s="387" t="s">
        <v>538</v>
      </c>
      <c r="Q124" s="387" t="s">
        <v>539</v>
      </c>
      <c r="R124" s="387" t="s">
        <v>2367</v>
      </c>
      <c r="S124" s="387" t="s">
        <v>171</v>
      </c>
      <c r="T124" s="387" t="s">
        <v>542</v>
      </c>
      <c r="U124" s="388">
        <v>206080</v>
      </c>
      <c r="V124" s="387">
        <v>6005667048260</v>
      </c>
      <c r="W124" s="387">
        <v>16005667048267</v>
      </c>
      <c r="X124" s="387" t="s">
        <v>543</v>
      </c>
      <c r="Y124" s="387" t="s">
        <v>543</v>
      </c>
      <c r="Z124" s="387" t="s">
        <v>543</v>
      </c>
      <c r="AA124" s="388" t="s">
        <v>543</v>
      </c>
      <c r="AB124" s="388" t="s">
        <v>543</v>
      </c>
      <c r="AC124" s="387" t="s">
        <v>543</v>
      </c>
      <c r="AD124" s="389">
        <v>36</v>
      </c>
      <c r="AE124" s="390">
        <v>44013</v>
      </c>
      <c r="AF124" s="390">
        <v>45107</v>
      </c>
      <c r="AG124" s="390">
        <v>45107</v>
      </c>
      <c r="AH124" s="391" t="s">
        <v>2368</v>
      </c>
      <c r="AI124" s="391" t="s">
        <v>2369</v>
      </c>
      <c r="AJ124" s="391">
        <v>41</v>
      </c>
      <c r="AK124" s="390">
        <v>44409</v>
      </c>
      <c r="AL124" s="389">
        <v>100</v>
      </c>
      <c r="AM124" s="391" t="s">
        <v>548</v>
      </c>
      <c r="AN124" s="391" t="s">
        <v>545</v>
      </c>
      <c r="AO124" s="391" t="s">
        <v>2370</v>
      </c>
    </row>
    <row r="125" spans="1:43" ht="16" thickBot="1">
      <c r="A125" s="387" t="s">
        <v>2294</v>
      </c>
      <c r="B125" s="387" t="s">
        <v>643</v>
      </c>
      <c r="C125" s="387" t="s">
        <v>2371</v>
      </c>
      <c r="D125" s="387" t="s">
        <v>2372</v>
      </c>
      <c r="E125" s="387">
        <v>500</v>
      </c>
      <c r="F125" s="387" t="s">
        <v>531</v>
      </c>
      <c r="G125" s="387">
        <v>500</v>
      </c>
      <c r="H125" s="387" t="s">
        <v>531</v>
      </c>
      <c r="I125" s="387" t="s">
        <v>2362</v>
      </c>
      <c r="J125" s="387" t="s">
        <v>2363</v>
      </c>
      <c r="K125" s="387" t="s">
        <v>2373</v>
      </c>
      <c r="L125" s="387" t="s">
        <v>2365</v>
      </c>
      <c r="M125" s="387" t="s">
        <v>2366</v>
      </c>
      <c r="N125" s="388">
        <v>64.3</v>
      </c>
      <c r="O125" s="388">
        <v>14</v>
      </c>
      <c r="P125" s="387" t="s">
        <v>538</v>
      </c>
      <c r="Q125" s="387" t="s">
        <v>539</v>
      </c>
      <c r="R125" s="387" t="s">
        <v>2367</v>
      </c>
      <c r="S125" s="387" t="s">
        <v>171</v>
      </c>
      <c r="T125" s="387" t="s">
        <v>542</v>
      </c>
      <c r="U125" s="388">
        <v>63040</v>
      </c>
      <c r="V125" s="387">
        <v>6005667001395</v>
      </c>
      <c r="W125" s="387">
        <v>10300650795378</v>
      </c>
      <c r="X125" s="387" t="s">
        <v>543</v>
      </c>
      <c r="Y125" s="387" t="s">
        <v>543</v>
      </c>
      <c r="Z125" s="387" t="s">
        <v>543</v>
      </c>
      <c r="AA125" s="388" t="s">
        <v>543</v>
      </c>
      <c r="AB125" s="388" t="s">
        <v>543</v>
      </c>
      <c r="AC125" s="387" t="s">
        <v>543</v>
      </c>
      <c r="AD125" s="389">
        <v>6</v>
      </c>
      <c r="AE125" s="390">
        <v>44013</v>
      </c>
      <c r="AF125" s="390">
        <v>45107</v>
      </c>
      <c r="AG125" s="390">
        <v>45107</v>
      </c>
      <c r="AH125" s="391" t="s">
        <v>2374</v>
      </c>
      <c r="AI125" s="391" t="s">
        <v>2369</v>
      </c>
      <c r="AJ125" s="391">
        <v>41</v>
      </c>
      <c r="AK125" s="390">
        <v>44409</v>
      </c>
      <c r="AL125" s="389">
        <v>100</v>
      </c>
      <c r="AM125" s="391" t="s">
        <v>548</v>
      </c>
      <c r="AN125" s="391" t="s">
        <v>545</v>
      </c>
      <c r="AO125" s="391" t="s">
        <v>2370</v>
      </c>
    </row>
    <row r="126" spans="1:43" ht="16" thickBot="1">
      <c r="A126" s="387" t="s">
        <v>2375</v>
      </c>
      <c r="B126" s="387" t="s">
        <v>615</v>
      </c>
      <c r="C126" s="387" t="s">
        <v>2376</v>
      </c>
      <c r="D126" s="387" t="s">
        <v>2377</v>
      </c>
      <c r="E126" s="387">
        <v>225</v>
      </c>
      <c r="F126" s="387" t="s">
        <v>531</v>
      </c>
      <c r="G126" s="387">
        <v>225</v>
      </c>
      <c r="H126" s="387" t="s">
        <v>531</v>
      </c>
      <c r="I126" s="387" t="s">
        <v>744</v>
      </c>
      <c r="J126" s="387" t="s">
        <v>2378</v>
      </c>
      <c r="K126" s="387" t="s">
        <v>2379</v>
      </c>
      <c r="L126" s="387" t="s">
        <v>2380</v>
      </c>
      <c r="M126" s="387" t="s">
        <v>2381</v>
      </c>
      <c r="N126" s="388">
        <v>218.86</v>
      </c>
      <c r="O126" s="388">
        <v>10</v>
      </c>
      <c r="P126" s="387" t="s">
        <v>538</v>
      </c>
      <c r="Q126" s="387" t="s">
        <v>539</v>
      </c>
      <c r="R126" s="387" t="s">
        <v>2382</v>
      </c>
      <c r="S126" s="387" t="s">
        <v>171</v>
      </c>
      <c r="T126" s="387" t="s">
        <v>757</v>
      </c>
      <c r="U126" s="388">
        <v>10616</v>
      </c>
      <c r="V126" s="387">
        <v>6009673230015</v>
      </c>
      <c r="W126" s="387" t="s">
        <v>543</v>
      </c>
      <c r="X126" s="387" t="s">
        <v>543</v>
      </c>
      <c r="Y126" s="387" t="s">
        <v>543</v>
      </c>
      <c r="Z126" s="387" t="s">
        <v>543</v>
      </c>
      <c r="AA126" s="388" t="s">
        <v>543</v>
      </c>
      <c r="AB126" s="388" t="s">
        <v>543</v>
      </c>
      <c r="AC126" s="387">
        <v>714296001</v>
      </c>
      <c r="AD126" s="389" t="s">
        <v>2383</v>
      </c>
      <c r="AE126" s="390">
        <v>44620</v>
      </c>
      <c r="AF126" s="390">
        <v>45473</v>
      </c>
      <c r="AG126" s="390">
        <v>45473</v>
      </c>
      <c r="AH126" s="391" t="s">
        <v>2384</v>
      </c>
      <c r="AI126" s="391" t="s">
        <v>2385</v>
      </c>
      <c r="AJ126" s="391">
        <v>0</v>
      </c>
      <c r="AK126" s="390">
        <v>44620</v>
      </c>
      <c r="AL126" s="389">
        <v>100</v>
      </c>
      <c r="AM126" s="391" t="s">
        <v>548</v>
      </c>
      <c r="AN126" s="391" t="s">
        <v>549</v>
      </c>
      <c r="AO126" s="391" t="s">
        <v>2386</v>
      </c>
    </row>
    <row r="127" spans="1:43" ht="16" thickBot="1">
      <c r="A127" s="387" t="s">
        <v>2387</v>
      </c>
      <c r="B127" s="387" t="s">
        <v>593</v>
      </c>
      <c r="C127" s="387" t="s">
        <v>2388</v>
      </c>
      <c r="D127" s="387" t="s">
        <v>2389</v>
      </c>
      <c r="E127" s="387">
        <v>340</v>
      </c>
      <c r="F127" s="387" t="s">
        <v>2180</v>
      </c>
      <c r="G127" s="387">
        <v>340</v>
      </c>
      <c r="H127" s="387" t="s">
        <v>2180</v>
      </c>
      <c r="I127" s="387" t="s">
        <v>2390</v>
      </c>
      <c r="J127" s="387" t="s">
        <v>2378</v>
      </c>
      <c r="K127" s="387" t="s">
        <v>2391</v>
      </c>
      <c r="L127" s="387" t="s">
        <v>2380</v>
      </c>
      <c r="M127" s="387" t="s">
        <v>2381</v>
      </c>
      <c r="N127" s="388">
        <v>222.13</v>
      </c>
      <c r="O127" s="388">
        <v>10</v>
      </c>
      <c r="P127" s="387" t="s">
        <v>538</v>
      </c>
      <c r="Q127" s="387" t="s">
        <v>539</v>
      </c>
      <c r="R127" s="387" t="s">
        <v>2382</v>
      </c>
      <c r="S127" s="387" t="s">
        <v>171</v>
      </c>
      <c r="T127" s="387" t="s">
        <v>757</v>
      </c>
      <c r="U127" s="388">
        <v>20205</v>
      </c>
      <c r="V127" s="387" t="s">
        <v>543</v>
      </c>
      <c r="W127" s="387" t="s">
        <v>543</v>
      </c>
      <c r="X127" s="387" t="s">
        <v>543</v>
      </c>
      <c r="Y127" s="387" t="s">
        <v>543</v>
      </c>
      <c r="Z127" s="387" t="s">
        <v>543</v>
      </c>
      <c r="AA127" s="388" t="s">
        <v>543</v>
      </c>
      <c r="AB127" s="388" t="s">
        <v>543</v>
      </c>
      <c r="AC127" s="387">
        <v>714295001</v>
      </c>
      <c r="AD127" s="389">
        <v>24</v>
      </c>
      <c r="AE127" s="390">
        <v>44378</v>
      </c>
      <c r="AF127" s="390">
        <v>45473</v>
      </c>
      <c r="AG127" s="391" t="s">
        <v>545</v>
      </c>
      <c r="AH127" s="391" t="s">
        <v>2392</v>
      </c>
      <c r="AI127" s="391" t="s">
        <v>2385</v>
      </c>
      <c r="AJ127" s="391">
        <v>0</v>
      </c>
      <c r="AK127" s="390">
        <v>44378</v>
      </c>
      <c r="AL127" s="389">
        <v>100</v>
      </c>
      <c r="AM127" s="391" t="s">
        <v>548</v>
      </c>
      <c r="AN127" s="391" t="s">
        <v>549</v>
      </c>
      <c r="AO127" s="391" t="s">
        <v>2393</v>
      </c>
    </row>
    <row r="128" spans="1:43" ht="16" thickBot="1">
      <c r="A128" s="387" t="s">
        <v>2387</v>
      </c>
      <c r="B128" s="387" t="s">
        <v>1027</v>
      </c>
      <c r="C128" s="387" t="s">
        <v>2394</v>
      </c>
      <c r="D128" s="387" t="s">
        <v>2395</v>
      </c>
      <c r="E128" s="387">
        <v>1</v>
      </c>
      <c r="F128" s="387" t="s">
        <v>2396</v>
      </c>
      <c r="G128" s="387">
        <v>1</v>
      </c>
      <c r="H128" s="387" t="s">
        <v>2396</v>
      </c>
      <c r="I128" s="387" t="s">
        <v>744</v>
      </c>
      <c r="J128" s="387" t="s">
        <v>2397</v>
      </c>
      <c r="K128" s="387" t="s">
        <v>2398</v>
      </c>
      <c r="L128" s="387" t="s">
        <v>2380</v>
      </c>
      <c r="M128" s="387" t="s">
        <v>2381</v>
      </c>
      <c r="N128" s="388">
        <v>512.47</v>
      </c>
      <c r="O128" s="388">
        <v>10</v>
      </c>
      <c r="P128" s="387" t="s">
        <v>538</v>
      </c>
      <c r="Q128" s="387" t="s">
        <v>539</v>
      </c>
      <c r="R128" s="387" t="s">
        <v>2382</v>
      </c>
      <c r="S128" s="387" t="s">
        <v>171</v>
      </c>
      <c r="T128" s="387" t="s">
        <v>160</v>
      </c>
      <c r="U128" s="388">
        <v>3280</v>
      </c>
      <c r="V128" s="387" t="s">
        <v>2399</v>
      </c>
      <c r="W128" s="387" t="s">
        <v>543</v>
      </c>
      <c r="X128" s="387" t="s">
        <v>543</v>
      </c>
      <c r="Y128" s="387" t="s">
        <v>543</v>
      </c>
      <c r="Z128" s="387" t="s">
        <v>543</v>
      </c>
      <c r="AA128" s="388" t="s">
        <v>543</v>
      </c>
      <c r="AB128" s="388" t="s">
        <v>543</v>
      </c>
      <c r="AC128" s="387">
        <v>898167002</v>
      </c>
      <c r="AD128" s="389">
        <v>24</v>
      </c>
      <c r="AE128" s="390">
        <v>44378</v>
      </c>
      <c r="AF128" s="390">
        <v>45473</v>
      </c>
      <c r="AG128" s="391" t="s">
        <v>545</v>
      </c>
      <c r="AH128" s="391" t="s">
        <v>2400</v>
      </c>
      <c r="AI128" s="391" t="s">
        <v>2385</v>
      </c>
      <c r="AJ128" s="391">
        <v>0</v>
      </c>
      <c r="AK128" s="390">
        <v>44378</v>
      </c>
      <c r="AL128" s="389">
        <v>100</v>
      </c>
      <c r="AM128" s="391" t="s">
        <v>548</v>
      </c>
      <c r="AN128" s="391" t="s">
        <v>549</v>
      </c>
      <c r="AO128" s="391" t="s">
        <v>2401</v>
      </c>
    </row>
    <row r="129" spans="1:43" ht="16" thickBot="1">
      <c r="A129" s="387" t="s">
        <v>2294</v>
      </c>
      <c r="B129" s="387" t="s">
        <v>2402</v>
      </c>
      <c r="C129" s="387" t="s">
        <v>2403</v>
      </c>
      <c r="D129" s="387" t="s">
        <v>2404</v>
      </c>
      <c r="E129" s="387">
        <v>200</v>
      </c>
      <c r="F129" s="387" t="s">
        <v>2405</v>
      </c>
      <c r="G129" s="387">
        <v>200</v>
      </c>
      <c r="H129" s="387" t="s">
        <v>2405</v>
      </c>
      <c r="I129" s="387" t="s">
        <v>2406</v>
      </c>
      <c r="J129" s="387" t="s">
        <v>2407</v>
      </c>
      <c r="K129" s="387" t="s">
        <v>2408</v>
      </c>
      <c r="L129" s="387" t="s">
        <v>1905</v>
      </c>
      <c r="M129" s="387" t="s">
        <v>1906</v>
      </c>
      <c r="N129" s="388">
        <v>40.19</v>
      </c>
      <c r="O129" s="388">
        <v>14</v>
      </c>
      <c r="P129" s="387" t="s">
        <v>538</v>
      </c>
      <c r="Q129" s="387" t="s">
        <v>539</v>
      </c>
      <c r="R129" s="387" t="s">
        <v>2409</v>
      </c>
      <c r="S129" s="387" t="s">
        <v>171</v>
      </c>
      <c r="T129" s="387" t="s">
        <v>757</v>
      </c>
      <c r="U129" s="388">
        <v>34704</v>
      </c>
      <c r="V129" s="387">
        <v>6006823001730</v>
      </c>
      <c r="W129" s="387" t="s">
        <v>543</v>
      </c>
      <c r="X129" s="387">
        <v>16006823002307</v>
      </c>
      <c r="Y129" s="387" t="s">
        <v>543</v>
      </c>
      <c r="Z129" s="387" t="s">
        <v>543</v>
      </c>
      <c r="AA129" s="388" t="s">
        <v>543</v>
      </c>
      <c r="AB129" s="388" t="s">
        <v>543</v>
      </c>
      <c r="AC129" s="387">
        <v>827088019</v>
      </c>
      <c r="AD129" s="389">
        <v>1</v>
      </c>
      <c r="AE129" s="390">
        <v>44013</v>
      </c>
      <c r="AF129" s="390">
        <v>45107</v>
      </c>
      <c r="AG129" s="390">
        <v>45107</v>
      </c>
      <c r="AH129" s="391" t="s">
        <v>2410</v>
      </c>
      <c r="AI129" s="391" t="s">
        <v>1910</v>
      </c>
      <c r="AJ129" s="391">
        <v>51</v>
      </c>
      <c r="AK129" s="390">
        <v>44593</v>
      </c>
      <c r="AL129" s="389">
        <v>100</v>
      </c>
      <c r="AM129" s="391" t="s">
        <v>548</v>
      </c>
      <c r="AN129" s="391" t="s">
        <v>545</v>
      </c>
      <c r="AO129" s="391" t="s">
        <v>2411</v>
      </c>
    </row>
    <row r="130" spans="1:43" ht="16" thickBot="1">
      <c r="A130" s="387" t="s">
        <v>2412</v>
      </c>
      <c r="B130" s="387" t="s">
        <v>590</v>
      </c>
      <c r="C130" s="387" t="s">
        <v>2413</v>
      </c>
      <c r="D130" s="387" t="s">
        <v>2414</v>
      </c>
      <c r="E130" s="387">
        <v>200</v>
      </c>
      <c r="F130" s="387" t="s">
        <v>2405</v>
      </c>
      <c r="G130" s="387">
        <v>200</v>
      </c>
      <c r="H130" s="387" t="s">
        <v>2405</v>
      </c>
      <c r="I130" s="387" t="s">
        <v>2406</v>
      </c>
      <c r="J130" s="387" t="s">
        <v>2407</v>
      </c>
      <c r="K130" s="387" t="s">
        <v>2415</v>
      </c>
      <c r="L130" s="387" t="s">
        <v>675</v>
      </c>
      <c r="M130" s="387" t="s">
        <v>676</v>
      </c>
      <c r="N130" s="388">
        <v>45.8</v>
      </c>
      <c r="O130" s="388">
        <v>14</v>
      </c>
      <c r="P130" s="387" t="s">
        <v>538</v>
      </c>
      <c r="Q130" s="387" t="s">
        <v>539</v>
      </c>
      <c r="R130" s="387" t="s">
        <v>2409</v>
      </c>
      <c r="S130" s="387" t="s">
        <v>171</v>
      </c>
      <c r="T130" s="387" t="s">
        <v>757</v>
      </c>
      <c r="U130" s="388">
        <v>2400000</v>
      </c>
      <c r="V130" s="387">
        <v>6006352005698</v>
      </c>
      <c r="W130" s="387" t="s">
        <v>543</v>
      </c>
      <c r="X130" s="387" t="s">
        <v>543</v>
      </c>
      <c r="Y130" s="387">
        <v>6006352005704</v>
      </c>
      <c r="Z130" s="387" t="s">
        <v>543</v>
      </c>
      <c r="AA130" s="388" t="s">
        <v>543</v>
      </c>
      <c r="AB130" s="388" t="s">
        <v>543</v>
      </c>
      <c r="AC130" s="387" t="s">
        <v>543</v>
      </c>
      <c r="AD130" s="389" t="s">
        <v>2416</v>
      </c>
      <c r="AE130" s="390">
        <v>44137</v>
      </c>
      <c r="AF130" s="390">
        <v>45107</v>
      </c>
      <c r="AG130" s="390">
        <v>45107</v>
      </c>
      <c r="AH130" s="391" t="s">
        <v>2410</v>
      </c>
      <c r="AI130" s="391" t="s">
        <v>679</v>
      </c>
      <c r="AJ130" s="391">
        <v>3</v>
      </c>
      <c r="AK130" s="390">
        <v>45047</v>
      </c>
      <c r="AL130" s="389">
        <v>92</v>
      </c>
      <c r="AM130" s="391" t="s">
        <v>548</v>
      </c>
      <c r="AN130" s="391" t="s">
        <v>545</v>
      </c>
      <c r="AO130" s="391" t="s">
        <v>2417</v>
      </c>
    </row>
    <row r="131" spans="1:43" ht="16" thickBot="1">
      <c r="A131" s="387" t="s">
        <v>2412</v>
      </c>
      <c r="B131" s="387" t="s">
        <v>2418</v>
      </c>
      <c r="C131" s="387" t="s">
        <v>2419</v>
      </c>
      <c r="D131" s="387" t="s">
        <v>2420</v>
      </c>
      <c r="E131" s="387">
        <v>200</v>
      </c>
      <c r="F131" s="387" t="s">
        <v>2405</v>
      </c>
      <c r="G131" s="387">
        <v>200</v>
      </c>
      <c r="H131" s="387" t="s">
        <v>2405</v>
      </c>
      <c r="I131" s="387" t="s">
        <v>2406</v>
      </c>
      <c r="J131" s="387" t="s">
        <v>2407</v>
      </c>
      <c r="K131" s="387" t="s">
        <v>2421</v>
      </c>
      <c r="L131" s="387" t="s">
        <v>675</v>
      </c>
      <c r="M131" s="387" t="s">
        <v>676</v>
      </c>
      <c r="N131" s="388">
        <v>78.239999999999995</v>
      </c>
      <c r="O131" s="388">
        <v>14</v>
      </c>
      <c r="P131" s="387" t="s">
        <v>538</v>
      </c>
      <c r="Q131" s="387" t="s">
        <v>539</v>
      </c>
      <c r="R131" s="387" t="s">
        <v>2409</v>
      </c>
      <c r="S131" s="387" t="s">
        <v>171</v>
      </c>
      <c r="T131" s="387" t="s">
        <v>757</v>
      </c>
      <c r="U131" s="388">
        <v>4337935</v>
      </c>
      <c r="V131" s="387">
        <v>6006352005834</v>
      </c>
      <c r="W131" s="387" t="s">
        <v>543</v>
      </c>
      <c r="X131" s="387" t="s">
        <v>543</v>
      </c>
      <c r="Y131" s="387">
        <v>6006352005841</v>
      </c>
      <c r="Z131" s="387" t="s">
        <v>543</v>
      </c>
      <c r="AA131" s="388" t="s">
        <v>543</v>
      </c>
      <c r="AB131" s="388" t="s">
        <v>543</v>
      </c>
      <c r="AC131" s="387" t="s">
        <v>543</v>
      </c>
      <c r="AD131" s="389" t="s">
        <v>2416</v>
      </c>
      <c r="AE131" s="390">
        <v>44137</v>
      </c>
      <c r="AF131" s="390">
        <v>45107</v>
      </c>
      <c r="AG131" s="390">
        <v>45107</v>
      </c>
      <c r="AH131" s="391" t="s">
        <v>2422</v>
      </c>
      <c r="AI131" s="391" t="s">
        <v>679</v>
      </c>
      <c r="AJ131" s="391">
        <v>3</v>
      </c>
      <c r="AK131" s="390">
        <v>45047</v>
      </c>
      <c r="AL131" s="389">
        <v>100</v>
      </c>
      <c r="AM131" s="391" t="s">
        <v>548</v>
      </c>
      <c r="AN131" s="391" t="s">
        <v>545</v>
      </c>
      <c r="AO131" s="391" t="s">
        <v>2423</v>
      </c>
      <c r="AP131" s="372">
        <f>N131</f>
        <v>78.239999999999995</v>
      </c>
      <c r="AQ131" s="372">
        <f>AP131</f>
        <v>78.239999999999995</v>
      </c>
    </row>
    <row r="132" spans="1:43" ht="16" thickBot="1">
      <c r="A132" s="387" t="s">
        <v>2294</v>
      </c>
      <c r="B132" s="387" t="s">
        <v>2424</v>
      </c>
      <c r="C132" s="387" t="s">
        <v>2425</v>
      </c>
      <c r="D132" s="387" t="s">
        <v>2426</v>
      </c>
      <c r="E132" s="387">
        <v>200</v>
      </c>
      <c r="F132" s="387" t="s">
        <v>2405</v>
      </c>
      <c r="G132" s="387">
        <v>200</v>
      </c>
      <c r="H132" s="387" t="s">
        <v>2405</v>
      </c>
      <c r="I132" s="387" t="s">
        <v>2406</v>
      </c>
      <c r="J132" s="387" t="s">
        <v>2407</v>
      </c>
      <c r="K132" s="387" t="s">
        <v>2427</v>
      </c>
      <c r="L132" s="387" t="s">
        <v>1905</v>
      </c>
      <c r="M132" s="387" t="s">
        <v>1906</v>
      </c>
      <c r="N132" s="388">
        <v>30.67</v>
      </c>
      <c r="O132" s="388">
        <v>14</v>
      </c>
      <c r="P132" s="387" t="s">
        <v>538</v>
      </c>
      <c r="Q132" s="387" t="s">
        <v>539</v>
      </c>
      <c r="R132" s="387" t="s">
        <v>2409</v>
      </c>
      <c r="S132" s="387" t="s">
        <v>171</v>
      </c>
      <c r="T132" s="387" t="s">
        <v>757</v>
      </c>
      <c r="U132" s="388">
        <v>15924</v>
      </c>
      <c r="V132" s="387">
        <v>6006823001716</v>
      </c>
      <c r="W132" s="387" t="s">
        <v>543</v>
      </c>
      <c r="X132" s="387" t="s">
        <v>543</v>
      </c>
      <c r="Y132" s="387">
        <v>16006823001539</v>
      </c>
      <c r="Z132" s="387" t="s">
        <v>543</v>
      </c>
      <c r="AA132" s="388" t="s">
        <v>543</v>
      </c>
      <c r="AB132" s="388" t="s">
        <v>543</v>
      </c>
      <c r="AC132" s="387">
        <v>827061005</v>
      </c>
      <c r="AD132" s="389">
        <v>1</v>
      </c>
      <c r="AE132" s="390">
        <v>44013</v>
      </c>
      <c r="AF132" s="390">
        <v>45107</v>
      </c>
      <c r="AG132" s="390">
        <v>45107</v>
      </c>
      <c r="AH132" s="391" t="s">
        <v>2428</v>
      </c>
      <c r="AI132" s="391" t="s">
        <v>1910</v>
      </c>
      <c r="AJ132" s="391">
        <v>69</v>
      </c>
      <c r="AK132" s="390">
        <v>45047</v>
      </c>
      <c r="AL132" s="389">
        <v>100</v>
      </c>
      <c r="AM132" s="391" t="s">
        <v>548</v>
      </c>
      <c r="AN132" s="391" t="s">
        <v>545</v>
      </c>
      <c r="AO132" s="391" t="s">
        <v>2429</v>
      </c>
    </row>
    <row r="133" spans="1:43" ht="16" thickBot="1">
      <c r="A133" s="387" t="s">
        <v>2412</v>
      </c>
      <c r="B133" s="387" t="s">
        <v>996</v>
      </c>
      <c r="C133" s="387" t="s">
        <v>2430</v>
      </c>
      <c r="D133" s="387" t="s">
        <v>2431</v>
      </c>
      <c r="E133" s="387">
        <v>200</v>
      </c>
      <c r="F133" s="387" t="s">
        <v>2405</v>
      </c>
      <c r="G133" s="387">
        <v>200</v>
      </c>
      <c r="H133" s="387" t="s">
        <v>2405</v>
      </c>
      <c r="I133" s="387" t="s">
        <v>2406</v>
      </c>
      <c r="J133" s="387" t="s">
        <v>2407</v>
      </c>
      <c r="K133" s="387" t="s">
        <v>2432</v>
      </c>
      <c r="L133" s="387" t="s">
        <v>675</v>
      </c>
      <c r="M133" s="387" t="s">
        <v>676</v>
      </c>
      <c r="N133" s="388">
        <v>30.65</v>
      </c>
      <c r="O133" s="388">
        <v>14</v>
      </c>
      <c r="P133" s="387" t="s">
        <v>538</v>
      </c>
      <c r="Q133" s="387" t="s">
        <v>539</v>
      </c>
      <c r="R133" s="387" t="s">
        <v>2409</v>
      </c>
      <c r="S133" s="387" t="s">
        <v>171</v>
      </c>
      <c r="T133" s="387" t="s">
        <v>757</v>
      </c>
      <c r="U133" s="388">
        <v>660432</v>
      </c>
      <c r="V133" s="387" t="s">
        <v>543</v>
      </c>
      <c r="W133" s="387" t="s">
        <v>543</v>
      </c>
      <c r="X133" s="387" t="s">
        <v>543</v>
      </c>
      <c r="Y133" s="387">
        <v>6006352005681</v>
      </c>
      <c r="Z133" s="387" t="s">
        <v>543</v>
      </c>
      <c r="AA133" s="388" t="s">
        <v>543</v>
      </c>
      <c r="AB133" s="388" t="s">
        <v>543</v>
      </c>
      <c r="AC133" s="387" t="s">
        <v>543</v>
      </c>
      <c r="AD133" s="389" t="s">
        <v>2416</v>
      </c>
      <c r="AE133" s="390">
        <v>44137</v>
      </c>
      <c r="AF133" s="390">
        <v>45107</v>
      </c>
      <c r="AG133" s="390">
        <v>45107</v>
      </c>
      <c r="AH133" s="391" t="s">
        <v>2428</v>
      </c>
      <c r="AI133" s="391" t="s">
        <v>679</v>
      </c>
      <c r="AJ133" s="391">
        <v>3</v>
      </c>
      <c r="AK133" s="390">
        <v>45047</v>
      </c>
      <c r="AL133" s="389">
        <v>100</v>
      </c>
      <c r="AM133" s="391" t="s">
        <v>548</v>
      </c>
      <c r="AN133" s="391" t="s">
        <v>545</v>
      </c>
      <c r="AO133" s="391" t="s">
        <v>2433</v>
      </c>
    </row>
    <row r="134" spans="1:43" ht="16" thickBot="1">
      <c r="A134" s="387" t="s">
        <v>2412</v>
      </c>
      <c r="B134" s="387" t="s">
        <v>2434</v>
      </c>
      <c r="C134" s="387" t="s">
        <v>2435</v>
      </c>
      <c r="D134" s="387" t="s">
        <v>2436</v>
      </c>
      <c r="E134" s="387">
        <v>150</v>
      </c>
      <c r="F134" s="387" t="s">
        <v>2405</v>
      </c>
      <c r="G134" s="387">
        <v>150</v>
      </c>
      <c r="H134" s="387" t="s">
        <v>2437</v>
      </c>
      <c r="I134" s="387" t="s">
        <v>2438</v>
      </c>
      <c r="J134" s="387" t="s">
        <v>2407</v>
      </c>
      <c r="K134" s="387" t="s">
        <v>2439</v>
      </c>
      <c r="L134" s="387" t="s">
        <v>675</v>
      </c>
      <c r="M134" s="387" t="s">
        <v>676</v>
      </c>
      <c r="N134" s="388">
        <v>29.9</v>
      </c>
      <c r="O134" s="388">
        <v>14</v>
      </c>
      <c r="P134" s="387" t="s">
        <v>538</v>
      </c>
      <c r="Q134" s="387" t="s">
        <v>539</v>
      </c>
      <c r="R134" s="387" t="s">
        <v>2409</v>
      </c>
      <c r="S134" s="387" t="s">
        <v>171</v>
      </c>
      <c r="T134" s="387" t="s">
        <v>542</v>
      </c>
      <c r="U134" s="388">
        <v>35810</v>
      </c>
      <c r="V134" s="387">
        <v>6006352000297</v>
      </c>
      <c r="W134" s="387">
        <v>6006352000303</v>
      </c>
      <c r="X134" s="387" t="s">
        <v>543</v>
      </c>
      <c r="Y134" s="387">
        <v>6006352015734</v>
      </c>
      <c r="Z134" s="387" t="s">
        <v>543</v>
      </c>
      <c r="AA134" s="388" t="s">
        <v>543</v>
      </c>
      <c r="AB134" s="388" t="s">
        <v>543</v>
      </c>
      <c r="AC134" s="387" t="s">
        <v>543</v>
      </c>
      <c r="AD134" s="389" t="s">
        <v>2440</v>
      </c>
      <c r="AE134" s="390">
        <v>44137</v>
      </c>
      <c r="AF134" s="390">
        <v>45107</v>
      </c>
      <c r="AG134" s="390">
        <v>45107</v>
      </c>
      <c r="AH134" s="391" t="s">
        <v>2441</v>
      </c>
      <c r="AI134" s="391" t="s">
        <v>679</v>
      </c>
      <c r="AJ134" s="391">
        <v>3</v>
      </c>
      <c r="AK134" s="390">
        <v>45047</v>
      </c>
      <c r="AL134" s="389">
        <v>100</v>
      </c>
      <c r="AM134" s="391" t="s">
        <v>548</v>
      </c>
      <c r="AN134" s="391" t="s">
        <v>545</v>
      </c>
      <c r="AO134" s="391" t="s">
        <v>2442</v>
      </c>
    </row>
    <row r="135" spans="1:43" ht="16" thickBot="1">
      <c r="A135" s="387" t="s">
        <v>1703</v>
      </c>
      <c r="B135" s="387" t="s">
        <v>615</v>
      </c>
      <c r="C135" s="387" t="s">
        <v>2443</v>
      </c>
      <c r="D135" s="387" t="s">
        <v>2444</v>
      </c>
      <c r="E135" s="387">
        <v>188</v>
      </c>
      <c r="F135" s="387" t="s">
        <v>559</v>
      </c>
      <c r="G135" s="387">
        <v>188</v>
      </c>
      <c r="H135" s="387" t="s">
        <v>559</v>
      </c>
      <c r="I135" s="387" t="s">
        <v>560</v>
      </c>
      <c r="J135" s="387" t="s">
        <v>2445</v>
      </c>
      <c r="K135" s="387" t="s">
        <v>2446</v>
      </c>
      <c r="L135" s="387" t="s">
        <v>609</v>
      </c>
      <c r="M135" s="387" t="s">
        <v>610</v>
      </c>
      <c r="N135" s="388">
        <v>5400</v>
      </c>
      <c r="O135" s="388">
        <v>10</v>
      </c>
      <c r="P135" s="387" t="s">
        <v>611</v>
      </c>
      <c r="Q135" s="387" t="s">
        <v>612</v>
      </c>
      <c r="R135" s="387" t="s">
        <v>2447</v>
      </c>
      <c r="S135" s="387" t="s">
        <v>614</v>
      </c>
      <c r="T135" s="387" t="s">
        <v>160</v>
      </c>
      <c r="U135" s="388">
        <v>25330</v>
      </c>
      <c r="V135" s="387">
        <v>6003191115106</v>
      </c>
      <c r="W135" s="387">
        <v>6003191115106</v>
      </c>
      <c r="X135" s="387" t="s">
        <v>543</v>
      </c>
      <c r="Y135" s="387">
        <v>26003191115100</v>
      </c>
      <c r="Z135" s="387" t="s">
        <v>543</v>
      </c>
      <c r="AA135" s="388" t="s">
        <v>543</v>
      </c>
      <c r="AB135" s="388" t="s">
        <v>543</v>
      </c>
      <c r="AC135" s="387" t="s">
        <v>543</v>
      </c>
      <c r="AD135" s="389">
        <v>10</v>
      </c>
      <c r="AE135" s="390">
        <v>44470</v>
      </c>
      <c r="AF135" s="390">
        <v>45199</v>
      </c>
      <c r="AG135" s="391" t="s">
        <v>545</v>
      </c>
      <c r="AH135" s="391" t="s">
        <v>2448</v>
      </c>
      <c r="AI135" s="391" t="s">
        <v>617</v>
      </c>
      <c r="AJ135" s="391">
        <v>0</v>
      </c>
      <c r="AK135" s="390">
        <v>44470</v>
      </c>
      <c r="AL135" s="389">
        <v>100</v>
      </c>
      <c r="AM135" s="391" t="s">
        <v>548</v>
      </c>
      <c r="AN135" s="391" t="s">
        <v>549</v>
      </c>
      <c r="AO135" s="391" t="s">
        <v>2449</v>
      </c>
    </row>
    <row r="136" spans="1:43" ht="16" thickBot="1">
      <c r="A136" s="387" t="s">
        <v>1729</v>
      </c>
      <c r="B136" s="387" t="s">
        <v>581</v>
      </c>
      <c r="C136" s="387" t="s">
        <v>2450</v>
      </c>
      <c r="D136" s="387" t="s">
        <v>2451</v>
      </c>
      <c r="E136" s="387">
        <v>100</v>
      </c>
      <c r="F136" s="387" t="s">
        <v>531</v>
      </c>
      <c r="G136" s="387">
        <v>100</v>
      </c>
      <c r="H136" s="387" t="s">
        <v>531</v>
      </c>
      <c r="I136" s="387" t="s">
        <v>2452</v>
      </c>
      <c r="J136" s="387" t="s">
        <v>2453</v>
      </c>
      <c r="K136" s="387" t="s">
        <v>2454</v>
      </c>
      <c r="L136" s="387" t="s">
        <v>1855</v>
      </c>
      <c r="M136" s="387" t="s">
        <v>1856</v>
      </c>
      <c r="N136" s="388">
        <v>47.58</v>
      </c>
      <c r="O136" s="388">
        <v>14</v>
      </c>
      <c r="P136" s="387" t="s">
        <v>611</v>
      </c>
      <c r="Q136" s="387" t="s">
        <v>612</v>
      </c>
      <c r="R136" s="387" t="s">
        <v>2455</v>
      </c>
      <c r="S136" s="387" t="s">
        <v>614</v>
      </c>
      <c r="T136" s="387" t="s">
        <v>160</v>
      </c>
      <c r="U136" s="388">
        <v>22644</v>
      </c>
      <c r="V136" s="387">
        <v>6001668005011</v>
      </c>
      <c r="W136" s="387" t="s">
        <v>543</v>
      </c>
      <c r="X136" s="387" t="s">
        <v>543</v>
      </c>
      <c r="Y136" s="387">
        <v>16001668005008</v>
      </c>
      <c r="Z136" s="387" t="s">
        <v>543</v>
      </c>
      <c r="AA136" s="388" t="s">
        <v>543</v>
      </c>
      <c r="AB136" s="388" t="s">
        <v>543</v>
      </c>
      <c r="AC136" s="387" t="s">
        <v>543</v>
      </c>
      <c r="AD136" s="389">
        <v>120</v>
      </c>
      <c r="AE136" s="390">
        <v>44105</v>
      </c>
      <c r="AF136" s="390">
        <v>45199</v>
      </c>
      <c r="AG136" s="390">
        <v>45199</v>
      </c>
      <c r="AH136" s="391" t="s">
        <v>2456</v>
      </c>
      <c r="AI136" s="391" t="s">
        <v>1859</v>
      </c>
      <c r="AJ136" s="391">
        <v>6</v>
      </c>
      <c r="AK136" s="390">
        <v>44317</v>
      </c>
      <c r="AL136" s="389">
        <v>100</v>
      </c>
      <c r="AM136" s="391" t="s">
        <v>548</v>
      </c>
      <c r="AN136" s="391" t="s">
        <v>545</v>
      </c>
      <c r="AO136" s="391" t="s">
        <v>2457</v>
      </c>
    </row>
    <row r="137" spans="1:43" ht="16" thickBot="1">
      <c r="A137" s="387" t="s">
        <v>1729</v>
      </c>
      <c r="B137" s="387" t="s">
        <v>637</v>
      </c>
      <c r="C137" s="387" t="s">
        <v>2458</v>
      </c>
      <c r="D137" s="387" t="s">
        <v>2459</v>
      </c>
      <c r="E137" s="387">
        <v>20</v>
      </c>
      <c r="F137" s="387" t="s">
        <v>531</v>
      </c>
      <c r="G137" s="387">
        <v>20</v>
      </c>
      <c r="H137" s="387" t="s">
        <v>531</v>
      </c>
      <c r="I137" s="387" t="s">
        <v>2452</v>
      </c>
      <c r="J137" s="387" t="s">
        <v>2453</v>
      </c>
      <c r="K137" s="387" t="s">
        <v>2460</v>
      </c>
      <c r="L137" s="387" t="s">
        <v>1855</v>
      </c>
      <c r="M137" s="387" t="s">
        <v>1856</v>
      </c>
      <c r="N137" s="388">
        <v>10.029999999999999</v>
      </c>
      <c r="O137" s="388">
        <v>14</v>
      </c>
      <c r="P137" s="387" t="s">
        <v>611</v>
      </c>
      <c r="Q137" s="387" t="s">
        <v>612</v>
      </c>
      <c r="R137" s="387" t="s">
        <v>2455</v>
      </c>
      <c r="S137" s="387" t="s">
        <v>614</v>
      </c>
      <c r="T137" s="387" t="s">
        <v>160</v>
      </c>
      <c r="U137" s="388">
        <v>89720</v>
      </c>
      <c r="V137" s="387">
        <v>6001668005004</v>
      </c>
      <c r="W137" s="387" t="s">
        <v>543</v>
      </c>
      <c r="X137" s="387" t="s">
        <v>543</v>
      </c>
      <c r="Y137" s="387">
        <v>16001668005001</v>
      </c>
      <c r="Z137" s="387" t="s">
        <v>543</v>
      </c>
      <c r="AA137" s="388" t="s">
        <v>543</v>
      </c>
      <c r="AB137" s="388" t="s">
        <v>543</v>
      </c>
      <c r="AC137" s="387" t="s">
        <v>543</v>
      </c>
      <c r="AD137" s="389">
        <v>384</v>
      </c>
      <c r="AE137" s="390">
        <v>44105</v>
      </c>
      <c r="AF137" s="390">
        <v>45199</v>
      </c>
      <c r="AG137" s="390">
        <v>45199</v>
      </c>
      <c r="AH137" s="391" t="s">
        <v>2461</v>
      </c>
      <c r="AI137" s="391" t="s">
        <v>1859</v>
      </c>
      <c r="AJ137" s="391">
        <v>6</v>
      </c>
      <c r="AK137" s="390">
        <v>44317</v>
      </c>
      <c r="AL137" s="389">
        <v>100</v>
      </c>
      <c r="AM137" s="391" t="s">
        <v>548</v>
      </c>
      <c r="AN137" s="391" t="s">
        <v>545</v>
      </c>
      <c r="AO137" s="391" t="s">
        <v>2457</v>
      </c>
    </row>
    <row r="138" spans="1:43" ht="16" thickBot="1">
      <c r="A138" s="387" t="s">
        <v>1729</v>
      </c>
      <c r="B138" s="387" t="s">
        <v>992</v>
      </c>
      <c r="C138" s="387" t="s">
        <v>2462</v>
      </c>
      <c r="D138" s="387" t="s">
        <v>2463</v>
      </c>
      <c r="E138" s="387">
        <v>200</v>
      </c>
      <c r="F138" s="387" t="s">
        <v>531</v>
      </c>
      <c r="G138" s="387">
        <v>200</v>
      </c>
      <c r="H138" s="387" t="s">
        <v>531</v>
      </c>
      <c r="I138" s="387" t="s">
        <v>2464</v>
      </c>
      <c r="J138" s="387" t="s">
        <v>2465</v>
      </c>
      <c r="K138" s="387" t="s">
        <v>2466</v>
      </c>
      <c r="L138" s="387" t="s">
        <v>2467</v>
      </c>
      <c r="M138" s="387" t="s">
        <v>2468</v>
      </c>
      <c r="N138" s="388">
        <v>46.44</v>
      </c>
      <c r="O138" s="388">
        <v>14</v>
      </c>
      <c r="P138" s="387" t="s">
        <v>538</v>
      </c>
      <c r="Q138" s="387" t="s">
        <v>539</v>
      </c>
      <c r="R138" s="387" t="s">
        <v>2469</v>
      </c>
      <c r="S138" s="387" t="s">
        <v>171</v>
      </c>
      <c r="T138" s="387" t="s">
        <v>757</v>
      </c>
      <c r="U138" s="388">
        <v>467890</v>
      </c>
      <c r="V138" s="387">
        <v>6001340585190</v>
      </c>
      <c r="W138" s="387" t="s">
        <v>543</v>
      </c>
      <c r="X138" s="387" t="s">
        <v>543</v>
      </c>
      <c r="Y138" s="387">
        <v>56001340585195</v>
      </c>
      <c r="Z138" s="387" t="s">
        <v>543</v>
      </c>
      <c r="AA138" s="388" t="s">
        <v>543</v>
      </c>
      <c r="AB138" s="388" t="s">
        <v>543</v>
      </c>
      <c r="AC138" s="387">
        <v>827630018</v>
      </c>
      <c r="AD138" s="389">
        <v>1</v>
      </c>
      <c r="AE138" s="390">
        <v>44105</v>
      </c>
      <c r="AF138" s="390">
        <v>45199</v>
      </c>
      <c r="AG138" s="390">
        <v>45199</v>
      </c>
      <c r="AH138" s="391" t="s">
        <v>2470</v>
      </c>
      <c r="AI138" s="391" t="s">
        <v>2471</v>
      </c>
      <c r="AJ138" s="391">
        <v>0</v>
      </c>
      <c r="AK138" s="390">
        <v>44105</v>
      </c>
      <c r="AL138" s="389">
        <v>100</v>
      </c>
      <c r="AM138" s="391" t="s">
        <v>548</v>
      </c>
      <c r="AN138" s="391" t="s">
        <v>545</v>
      </c>
      <c r="AO138" s="391" t="s">
        <v>2472</v>
      </c>
    </row>
    <row r="139" spans="1:43" ht="16" thickBot="1">
      <c r="A139" s="387" t="s">
        <v>1729</v>
      </c>
      <c r="B139" s="387" t="s">
        <v>556</v>
      </c>
      <c r="C139" s="387" t="s">
        <v>2473</v>
      </c>
      <c r="D139" s="387" t="s">
        <v>2474</v>
      </c>
      <c r="E139" s="387">
        <v>100</v>
      </c>
      <c r="F139" s="387" t="s">
        <v>531</v>
      </c>
      <c r="G139" s="387">
        <v>100</v>
      </c>
      <c r="H139" s="387" t="s">
        <v>531</v>
      </c>
      <c r="I139" s="387" t="s">
        <v>1732</v>
      </c>
      <c r="J139" s="387" t="s">
        <v>2475</v>
      </c>
      <c r="K139" s="387" t="s">
        <v>2476</v>
      </c>
      <c r="L139" s="387" t="s">
        <v>1855</v>
      </c>
      <c r="M139" s="387" t="s">
        <v>1856</v>
      </c>
      <c r="N139" s="388">
        <v>3.92</v>
      </c>
      <c r="O139" s="388">
        <v>14</v>
      </c>
      <c r="P139" s="387" t="s">
        <v>538</v>
      </c>
      <c r="Q139" s="387" t="s">
        <v>539</v>
      </c>
      <c r="R139" s="387" t="s">
        <v>2477</v>
      </c>
      <c r="S139" s="387" t="s">
        <v>614</v>
      </c>
      <c r="T139" s="387" t="s">
        <v>542</v>
      </c>
      <c r="U139" s="388">
        <v>2013737</v>
      </c>
      <c r="V139" s="387">
        <v>6001668005035</v>
      </c>
      <c r="W139" s="387">
        <v>6001668005035</v>
      </c>
      <c r="X139" s="387" t="s">
        <v>543</v>
      </c>
      <c r="Y139" s="387">
        <v>16001668005032</v>
      </c>
      <c r="Z139" s="387" t="s">
        <v>543</v>
      </c>
      <c r="AA139" s="388" t="s">
        <v>543</v>
      </c>
      <c r="AB139" s="388" t="s">
        <v>543</v>
      </c>
      <c r="AC139" s="387" t="s">
        <v>543</v>
      </c>
      <c r="AD139" s="389">
        <v>120</v>
      </c>
      <c r="AE139" s="390">
        <v>44105</v>
      </c>
      <c r="AF139" s="390">
        <v>45199</v>
      </c>
      <c r="AG139" s="390">
        <v>45199</v>
      </c>
      <c r="AH139" s="391" t="s">
        <v>2478</v>
      </c>
      <c r="AI139" s="391" t="s">
        <v>1859</v>
      </c>
      <c r="AJ139" s="391">
        <v>6</v>
      </c>
      <c r="AK139" s="390">
        <v>44317</v>
      </c>
      <c r="AL139" s="389">
        <v>100</v>
      </c>
      <c r="AM139" s="391" t="s">
        <v>548</v>
      </c>
      <c r="AN139" s="391" t="s">
        <v>545</v>
      </c>
      <c r="AO139" s="391" t="s">
        <v>2479</v>
      </c>
    </row>
    <row r="140" spans="1:43" ht="16" thickBot="1">
      <c r="A140" s="387" t="s">
        <v>1748</v>
      </c>
      <c r="B140" s="387" t="s">
        <v>1890</v>
      </c>
      <c r="C140" s="387" t="s">
        <v>2480</v>
      </c>
      <c r="D140" s="387" t="s">
        <v>2481</v>
      </c>
      <c r="E140" s="387">
        <v>1</v>
      </c>
      <c r="F140" s="387" t="s">
        <v>531</v>
      </c>
      <c r="G140" s="387">
        <v>1</v>
      </c>
      <c r="H140" s="387" t="s">
        <v>531</v>
      </c>
      <c r="I140" s="387" t="s">
        <v>1751</v>
      </c>
      <c r="J140" s="387" t="s">
        <v>2482</v>
      </c>
      <c r="K140" s="387" t="s">
        <v>2483</v>
      </c>
      <c r="L140" s="387" t="s">
        <v>2312</v>
      </c>
      <c r="M140" s="387" t="s">
        <v>2313</v>
      </c>
      <c r="N140" s="388">
        <v>4.75</v>
      </c>
      <c r="O140" s="388">
        <v>14</v>
      </c>
      <c r="P140" s="387" t="s">
        <v>538</v>
      </c>
      <c r="Q140" s="387" t="s">
        <v>539</v>
      </c>
      <c r="R140" s="387" t="s">
        <v>2484</v>
      </c>
      <c r="S140" s="387" t="s">
        <v>541</v>
      </c>
      <c r="T140" s="387" t="s">
        <v>542</v>
      </c>
      <c r="U140" s="388">
        <v>1199860</v>
      </c>
      <c r="V140" s="387">
        <v>6009802416037</v>
      </c>
      <c r="W140" s="387">
        <v>6009802416037</v>
      </c>
      <c r="X140" s="387" t="s">
        <v>543</v>
      </c>
      <c r="Y140" s="387">
        <v>16009802416034</v>
      </c>
      <c r="Z140" s="387" t="s">
        <v>543</v>
      </c>
      <c r="AA140" s="388" t="s">
        <v>543</v>
      </c>
      <c r="AB140" s="388" t="s">
        <v>543</v>
      </c>
      <c r="AC140" s="387">
        <v>899124006</v>
      </c>
      <c r="AD140" s="389">
        <v>400</v>
      </c>
      <c r="AE140" s="390">
        <v>44317</v>
      </c>
      <c r="AF140" s="390">
        <v>45412</v>
      </c>
      <c r="AG140" s="391" t="s">
        <v>545</v>
      </c>
      <c r="AH140" s="391" t="s">
        <v>2485</v>
      </c>
      <c r="AI140" s="391" t="s">
        <v>2314</v>
      </c>
      <c r="AJ140" s="391">
        <v>0</v>
      </c>
      <c r="AK140" s="390">
        <v>44317</v>
      </c>
      <c r="AL140" s="389">
        <v>100</v>
      </c>
      <c r="AM140" s="391" t="s">
        <v>548</v>
      </c>
      <c r="AN140" s="391" t="s">
        <v>549</v>
      </c>
      <c r="AO140" s="391" t="s">
        <v>2486</v>
      </c>
    </row>
    <row r="141" spans="1:43" ht="16" thickBot="1">
      <c r="A141" s="387" t="s">
        <v>2177</v>
      </c>
      <c r="B141" s="387" t="s">
        <v>581</v>
      </c>
      <c r="C141" s="387" t="s">
        <v>2487</v>
      </c>
      <c r="D141" s="387" t="s">
        <v>2488</v>
      </c>
      <c r="E141" s="387">
        <v>15</v>
      </c>
      <c r="F141" s="387" t="s">
        <v>2180</v>
      </c>
      <c r="G141" s="387">
        <v>15</v>
      </c>
      <c r="H141" s="387" t="s">
        <v>2180</v>
      </c>
      <c r="I141" s="387" t="s">
        <v>2181</v>
      </c>
      <c r="J141" s="387" t="s">
        <v>2489</v>
      </c>
      <c r="K141" s="387" t="s">
        <v>2490</v>
      </c>
      <c r="L141" s="387" t="s">
        <v>1855</v>
      </c>
      <c r="M141" s="387" t="s">
        <v>1856</v>
      </c>
      <c r="N141" s="388">
        <v>4.6100000000000003</v>
      </c>
      <c r="O141" s="388">
        <v>14</v>
      </c>
      <c r="P141" s="387" t="s">
        <v>538</v>
      </c>
      <c r="Q141" s="387" t="s">
        <v>539</v>
      </c>
      <c r="R141" s="387" t="s">
        <v>2491</v>
      </c>
      <c r="S141" s="387" t="s">
        <v>171</v>
      </c>
      <c r="T141" s="387" t="s">
        <v>542</v>
      </c>
      <c r="U141" s="388">
        <v>2288876</v>
      </c>
      <c r="V141" s="387">
        <v>6001668008531</v>
      </c>
      <c r="W141" s="387" t="s">
        <v>543</v>
      </c>
      <c r="X141" s="387" t="s">
        <v>543</v>
      </c>
      <c r="Y141" s="387">
        <v>16001668008545</v>
      </c>
      <c r="Z141" s="387" t="s">
        <v>543</v>
      </c>
      <c r="AA141" s="388" t="s">
        <v>543</v>
      </c>
      <c r="AB141" s="388" t="s">
        <v>543</v>
      </c>
      <c r="AC141" s="387" t="s">
        <v>543</v>
      </c>
      <c r="AD141" s="389">
        <v>224</v>
      </c>
      <c r="AE141" s="390">
        <v>44013</v>
      </c>
      <c r="AF141" s="390">
        <v>45107</v>
      </c>
      <c r="AG141" s="390">
        <v>45107</v>
      </c>
      <c r="AH141" s="391" t="s">
        <v>2492</v>
      </c>
      <c r="AI141" s="391" t="s">
        <v>1859</v>
      </c>
      <c r="AJ141" s="391">
        <v>51</v>
      </c>
      <c r="AK141" s="390">
        <v>44958</v>
      </c>
      <c r="AL141" s="389">
        <v>100</v>
      </c>
      <c r="AM141" s="391" t="s">
        <v>548</v>
      </c>
      <c r="AN141" s="391" t="s">
        <v>545</v>
      </c>
      <c r="AO141" s="391" t="s">
        <v>2493</v>
      </c>
    </row>
    <row r="142" spans="1:43" ht="16" thickBot="1">
      <c r="A142" s="387" t="s">
        <v>2177</v>
      </c>
      <c r="B142" s="387" t="s">
        <v>556</v>
      </c>
      <c r="C142" s="387" t="s">
        <v>2494</v>
      </c>
      <c r="D142" s="387" t="s">
        <v>2495</v>
      </c>
      <c r="E142" s="387">
        <v>50</v>
      </c>
      <c r="F142" s="387" t="s">
        <v>2180</v>
      </c>
      <c r="G142" s="387">
        <v>50</v>
      </c>
      <c r="H142" s="387" t="s">
        <v>2180</v>
      </c>
      <c r="I142" s="387" t="s">
        <v>2181</v>
      </c>
      <c r="J142" s="387" t="s">
        <v>2489</v>
      </c>
      <c r="K142" s="387" t="s">
        <v>2490</v>
      </c>
      <c r="L142" s="387" t="s">
        <v>1855</v>
      </c>
      <c r="M142" s="387" t="s">
        <v>1856</v>
      </c>
      <c r="N142" s="388">
        <v>12.89</v>
      </c>
      <c r="O142" s="388">
        <v>14</v>
      </c>
      <c r="P142" s="387" t="s">
        <v>538</v>
      </c>
      <c r="Q142" s="387" t="s">
        <v>539</v>
      </c>
      <c r="R142" s="387" t="s">
        <v>2491</v>
      </c>
      <c r="S142" s="387" t="s">
        <v>171</v>
      </c>
      <c r="T142" s="387" t="s">
        <v>542</v>
      </c>
      <c r="U142" s="388">
        <v>214176</v>
      </c>
      <c r="V142" s="387">
        <v>6001668009712</v>
      </c>
      <c r="W142" s="387" t="s">
        <v>543</v>
      </c>
      <c r="X142" s="387" t="s">
        <v>543</v>
      </c>
      <c r="Y142" s="387">
        <v>16001668009726</v>
      </c>
      <c r="Z142" s="387" t="s">
        <v>543</v>
      </c>
      <c r="AA142" s="388" t="s">
        <v>543</v>
      </c>
      <c r="AB142" s="388" t="s">
        <v>543</v>
      </c>
      <c r="AC142" s="387" t="s">
        <v>543</v>
      </c>
      <c r="AD142" s="389">
        <v>150</v>
      </c>
      <c r="AE142" s="390">
        <v>44013</v>
      </c>
      <c r="AF142" s="390">
        <v>45107</v>
      </c>
      <c r="AG142" s="390">
        <v>45107</v>
      </c>
      <c r="AH142" s="391" t="s">
        <v>2496</v>
      </c>
      <c r="AI142" s="391" t="s">
        <v>1859</v>
      </c>
      <c r="AJ142" s="391">
        <v>51</v>
      </c>
      <c r="AK142" s="390">
        <v>44958</v>
      </c>
      <c r="AL142" s="389">
        <v>100</v>
      </c>
      <c r="AM142" s="391" t="s">
        <v>548</v>
      </c>
      <c r="AN142" s="391" t="s">
        <v>545</v>
      </c>
      <c r="AO142" s="391" t="s">
        <v>2493</v>
      </c>
    </row>
    <row r="143" spans="1:43" ht="16" thickBot="1">
      <c r="A143" s="387" t="s">
        <v>2177</v>
      </c>
      <c r="B143" s="387" t="s">
        <v>637</v>
      </c>
      <c r="C143" s="387" t="s">
        <v>2497</v>
      </c>
      <c r="D143" s="387" t="s">
        <v>2498</v>
      </c>
      <c r="E143" s="387">
        <v>500</v>
      </c>
      <c r="F143" s="387" t="s">
        <v>2180</v>
      </c>
      <c r="G143" s="387">
        <v>500</v>
      </c>
      <c r="H143" s="387" t="s">
        <v>2180</v>
      </c>
      <c r="I143" s="387" t="s">
        <v>2181</v>
      </c>
      <c r="J143" s="387" t="s">
        <v>2489</v>
      </c>
      <c r="K143" s="387" t="s">
        <v>2499</v>
      </c>
      <c r="L143" s="387" t="s">
        <v>1855</v>
      </c>
      <c r="M143" s="387" t="s">
        <v>1856</v>
      </c>
      <c r="N143" s="388">
        <v>78.44</v>
      </c>
      <c r="O143" s="388">
        <v>14</v>
      </c>
      <c r="P143" s="387" t="s">
        <v>538</v>
      </c>
      <c r="Q143" s="387" t="s">
        <v>539</v>
      </c>
      <c r="R143" s="387" t="s">
        <v>2491</v>
      </c>
      <c r="S143" s="387" t="s">
        <v>171</v>
      </c>
      <c r="T143" s="387" t="s">
        <v>542</v>
      </c>
      <c r="U143" s="388">
        <v>8515</v>
      </c>
      <c r="V143" s="387">
        <v>6001668011005</v>
      </c>
      <c r="W143" s="387">
        <v>6001668011005</v>
      </c>
      <c r="X143" s="387" t="s">
        <v>543</v>
      </c>
      <c r="Y143" s="387" t="s">
        <v>543</v>
      </c>
      <c r="Z143" s="387" t="s">
        <v>543</v>
      </c>
      <c r="AA143" s="388" t="s">
        <v>543</v>
      </c>
      <c r="AB143" s="388" t="s">
        <v>543</v>
      </c>
      <c r="AC143" s="387" t="s">
        <v>543</v>
      </c>
      <c r="AD143" s="389">
        <v>22</v>
      </c>
      <c r="AE143" s="390">
        <v>44013</v>
      </c>
      <c r="AF143" s="390">
        <v>45107</v>
      </c>
      <c r="AG143" s="390">
        <v>45107</v>
      </c>
      <c r="AH143" s="391" t="s">
        <v>2500</v>
      </c>
      <c r="AI143" s="391" t="s">
        <v>1859</v>
      </c>
      <c r="AJ143" s="391">
        <v>51</v>
      </c>
      <c r="AK143" s="390">
        <v>44958</v>
      </c>
      <c r="AL143" s="389">
        <v>100</v>
      </c>
      <c r="AM143" s="391" t="s">
        <v>548</v>
      </c>
      <c r="AN143" s="391" t="s">
        <v>545</v>
      </c>
      <c r="AO143" s="391" t="s">
        <v>2501</v>
      </c>
    </row>
    <row r="144" spans="1:43" ht="16" thickBot="1">
      <c r="A144" s="387" t="s">
        <v>1717</v>
      </c>
      <c r="B144" s="387" t="s">
        <v>996</v>
      </c>
      <c r="C144" s="387" t="s">
        <v>2502</v>
      </c>
      <c r="D144" s="387" t="s">
        <v>2503</v>
      </c>
      <c r="E144" s="387">
        <v>100</v>
      </c>
      <c r="F144" s="387" t="s">
        <v>559</v>
      </c>
      <c r="G144" s="387">
        <v>100</v>
      </c>
      <c r="H144" s="387" t="s">
        <v>559</v>
      </c>
      <c r="I144" s="387" t="s">
        <v>560</v>
      </c>
      <c r="J144" s="387" t="s">
        <v>2504</v>
      </c>
      <c r="K144" s="387" t="s">
        <v>2505</v>
      </c>
      <c r="L144" s="387" t="s">
        <v>535</v>
      </c>
      <c r="M144" s="387" t="s">
        <v>536</v>
      </c>
      <c r="N144" s="388">
        <v>160.38</v>
      </c>
      <c r="O144" s="388">
        <v>14</v>
      </c>
      <c r="P144" s="387" t="s">
        <v>538</v>
      </c>
      <c r="Q144" s="387" t="s">
        <v>539</v>
      </c>
      <c r="R144" s="387" t="s">
        <v>2484</v>
      </c>
      <c r="S144" s="387" t="s">
        <v>171</v>
      </c>
      <c r="T144" s="387" t="s">
        <v>757</v>
      </c>
      <c r="U144" s="388">
        <v>8182</v>
      </c>
      <c r="V144" s="387" t="s">
        <v>543</v>
      </c>
      <c r="W144" s="387" t="s">
        <v>543</v>
      </c>
      <c r="X144" s="387" t="s">
        <v>543</v>
      </c>
      <c r="Y144" s="387" t="s">
        <v>543</v>
      </c>
      <c r="Z144" s="387" t="s">
        <v>543</v>
      </c>
      <c r="AA144" s="388" t="s">
        <v>543</v>
      </c>
      <c r="AB144" s="388" t="s">
        <v>543</v>
      </c>
      <c r="AC144" s="387" t="s">
        <v>543</v>
      </c>
      <c r="AD144" s="389">
        <v>5</v>
      </c>
      <c r="AE144" s="390">
        <v>45047</v>
      </c>
      <c r="AF144" s="390">
        <v>46142</v>
      </c>
      <c r="AG144" s="391" t="s">
        <v>545</v>
      </c>
      <c r="AH144" s="391" t="s">
        <v>2506</v>
      </c>
      <c r="AI144" s="391" t="s">
        <v>547</v>
      </c>
      <c r="AJ144" s="391">
        <v>0</v>
      </c>
      <c r="AK144" s="390">
        <v>45047</v>
      </c>
      <c r="AL144" s="389">
        <v>100</v>
      </c>
      <c r="AM144" s="391" t="s">
        <v>548</v>
      </c>
      <c r="AN144" s="391" t="s">
        <v>549</v>
      </c>
      <c r="AO144" s="391" t="s">
        <v>2507</v>
      </c>
    </row>
    <row r="145" spans="1:41" ht="16" thickBot="1">
      <c r="A145" s="387" t="s">
        <v>1717</v>
      </c>
      <c r="B145" s="387" t="s">
        <v>1026</v>
      </c>
      <c r="C145" s="387" t="s">
        <v>2508</v>
      </c>
      <c r="D145" s="387" t="s">
        <v>2509</v>
      </c>
      <c r="E145" s="387">
        <v>20</v>
      </c>
      <c r="F145" s="387" t="s">
        <v>559</v>
      </c>
      <c r="G145" s="387">
        <v>20</v>
      </c>
      <c r="H145" s="387" t="s">
        <v>559</v>
      </c>
      <c r="I145" s="387" t="s">
        <v>560</v>
      </c>
      <c r="J145" s="387" t="s">
        <v>2504</v>
      </c>
      <c r="K145" s="387" t="s">
        <v>2510</v>
      </c>
      <c r="L145" s="387" t="s">
        <v>535</v>
      </c>
      <c r="M145" s="387" t="s">
        <v>536</v>
      </c>
      <c r="N145" s="388">
        <v>37.67</v>
      </c>
      <c r="O145" s="388">
        <v>14</v>
      </c>
      <c r="P145" s="387" t="s">
        <v>538</v>
      </c>
      <c r="Q145" s="387" t="s">
        <v>539</v>
      </c>
      <c r="R145" s="387" t="s">
        <v>2484</v>
      </c>
      <c r="S145" s="387" t="s">
        <v>171</v>
      </c>
      <c r="T145" s="387" t="s">
        <v>757</v>
      </c>
      <c r="U145" s="388">
        <v>17994</v>
      </c>
      <c r="V145" s="387" t="s">
        <v>543</v>
      </c>
      <c r="W145" s="387" t="s">
        <v>543</v>
      </c>
      <c r="X145" s="387" t="s">
        <v>543</v>
      </c>
      <c r="Y145" s="387" t="s">
        <v>543</v>
      </c>
      <c r="Z145" s="387" t="s">
        <v>543</v>
      </c>
      <c r="AA145" s="388" t="s">
        <v>543</v>
      </c>
      <c r="AB145" s="388" t="s">
        <v>543</v>
      </c>
      <c r="AC145" s="387" t="s">
        <v>543</v>
      </c>
      <c r="AD145" s="389">
        <v>30</v>
      </c>
      <c r="AE145" s="390">
        <v>45047</v>
      </c>
      <c r="AF145" s="390">
        <v>46142</v>
      </c>
      <c r="AG145" s="391" t="s">
        <v>545</v>
      </c>
      <c r="AH145" s="391" t="s">
        <v>2511</v>
      </c>
      <c r="AI145" s="391" t="s">
        <v>547</v>
      </c>
      <c r="AJ145" s="391">
        <v>0</v>
      </c>
      <c r="AK145" s="390">
        <v>45047</v>
      </c>
      <c r="AL145" s="389">
        <v>100</v>
      </c>
      <c r="AM145" s="391" t="s">
        <v>548</v>
      </c>
      <c r="AN145" s="391" t="s">
        <v>549</v>
      </c>
      <c r="AO145" s="391" t="s">
        <v>2507</v>
      </c>
    </row>
    <row r="146" spans="1:41" ht="16" thickBot="1">
      <c r="A146" s="387" t="s">
        <v>2294</v>
      </c>
      <c r="B146" s="387" t="s">
        <v>593</v>
      </c>
      <c r="C146" s="387" t="s">
        <v>2512</v>
      </c>
      <c r="D146" s="387" t="s">
        <v>2513</v>
      </c>
      <c r="E146" s="387">
        <v>5</v>
      </c>
      <c r="F146" s="387" t="s">
        <v>531</v>
      </c>
      <c r="G146" s="387">
        <v>100</v>
      </c>
      <c r="H146" s="387" t="s">
        <v>2297</v>
      </c>
      <c r="I146" s="387" t="s">
        <v>2298</v>
      </c>
      <c r="J146" s="387" t="s">
        <v>2514</v>
      </c>
      <c r="K146" s="387" t="s">
        <v>2515</v>
      </c>
      <c r="L146" s="387" t="s">
        <v>1945</v>
      </c>
      <c r="M146" s="387" t="s">
        <v>1946</v>
      </c>
      <c r="N146" s="388">
        <v>23.19</v>
      </c>
      <c r="O146" s="388">
        <v>14</v>
      </c>
      <c r="P146" s="387" t="s">
        <v>538</v>
      </c>
      <c r="Q146" s="387" t="s">
        <v>539</v>
      </c>
      <c r="R146" s="387" t="s">
        <v>2516</v>
      </c>
      <c r="S146" s="387" t="s">
        <v>171</v>
      </c>
      <c r="T146" s="387" t="s">
        <v>757</v>
      </c>
      <c r="U146" s="388">
        <v>40630</v>
      </c>
      <c r="V146" s="387">
        <v>6005667090481</v>
      </c>
      <c r="W146" s="387" t="s">
        <v>543</v>
      </c>
      <c r="X146" s="387" t="s">
        <v>543</v>
      </c>
      <c r="Y146" s="387" t="s">
        <v>543</v>
      </c>
      <c r="Z146" s="387" t="s">
        <v>543</v>
      </c>
      <c r="AA146" s="388" t="s">
        <v>543</v>
      </c>
      <c r="AB146" s="388" t="s">
        <v>543</v>
      </c>
      <c r="AC146" s="387">
        <v>836052005</v>
      </c>
      <c r="AD146" s="389">
        <v>1</v>
      </c>
      <c r="AE146" s="390">
        <v>44013</v>
      </c>
      <c r="AF146" s="390">
        <v>45107</v>
      </c>
      <c r="AG146" s="390">
        <v>45107</v>
      </c>
      <c r="AH146" s="391" t="s">
        <v>2517</v>
      </c>
      <c r="AI146" s="391" t="s">
        <v>1949</v>
      </c>
      <c r="AJ146" s="391">
        <v>0</v>
      </c>
      <c r="AK146" s="390">
        <v>44013</v>
      </c>
      <c r="AL146" s="389">
        <v>100</v>
      </c>
      <c r="AM146" s="391" t="s">
        <v>548</v>
      </c>
      <c r="AN146" s="391" t="s">
        <v>545</v>
      </c>
      <c r="AO146" s="391" t="s">
        <v>2518</v>
      </c>
    </row>
    <row r="147" spans="1:41" ht="16" thickBot="1">
      <c r="A147" s="387" t="s">
        <v>2294</v>
      </c>
      <c r="B147" s="387" t="s">
        <v>680</v>
      </c>
      <c r="C147" s="387" t="s">
        <v>2519</v>
      </c>
      <c r="D147" s="387" t="s">
        <v>2520</v>
      </c>
      <c r="E147" s="387">
        <v>5</v>
      </c>
      <c r="F147" s="387" t="s">
        <v>531</v>
      </c>
      <c r="G147" s="387">
        <v>100</v>
      </c>
      <c r="H147" s="387" t="s">
        <v>2297</v>
      </c>
      <c r="I147" s="387" t="s">
        <v>2298</v>
      </c>
      <c r="J147" s="387" t="s">
        <v>2514</v>
      </c>
      <c r="K147" s="387" t="s">
        <v>2521</v>
      </c>
      <c r="L147" s="387" t="s">
        <v>2522</v>
      </c>
      <c r="M147" s="387" t="s">
        <v>2523</v>
      </c>
      <c r="N147" s="388">
        <v>23.28</v>
      </c>
      <c r="O147" s="388">
        <v>14</v>
      </c>
      <c r="P147" s="387" t="s">
        <v>538</v>
      </c>
      <c r="Q147" s="387" t="s">
        <v>539</v>
      </c>
      <c r="R147" s="387" t="s">
        <v>2516</v>
      </c>
      <c r="S147" s="387" t="s">
        <v>171</v>
      </c>
      <c r="T147" s="387" t="s">
        <v>757</v>
      </c>
      <c r="U147" s="388">
        <v>166704</v>
      </c>
      <c r="V147" s="387">
        <v>6009802743942</v>
      </c>
      <c r="W147" s="387" t="s">
        <v>543</v>
      </c>
      <c r="X147" s="387" t="s">
        <v>543</v>
      </c>
      <c r="Y147" s="387" t="s">
        <v>543</v>
      </c>
      <c r="Z147" s="387" t="s">
        <v>543</v>
      </c>
      <c r="AA147" s="388" t="s">
        <v>543</v>
      </c>
      <c r="AB147" s="388" t="s">
        <v>543</v>
      </c>
      <c r="AC147" s="387">
        <v>722010001</v>
      </c>
      <c r="AD147" s="389">
        <v>20</v>
      </c>
      <c r="AE147" s="390">
        <v>44013</v>
      </c>
      <c r="AF147" s="390">
        <v>45107</v>
      </c>
      <c r="AG147" s="390">
        <v>45107</v>
      </c>
      <c r="AH147" s="391" t="s">
        <v>2524</v>
      </c>
      <c r="AI147" s="391" t="s">
        <v>2525</v>
      </c>
      <c r="AJ147" s="391">
        <v>68</v>
      </c>
      <c r="AK147" s="390">
        <v>45047</v>
      </c>
      <c r="AL147" s="389">
        <v>100</v>
      </c>
      <c r="AM147" s="391" t="s">
        <v>548</v>
      </c>
      <c r="AN147" s="391" t="s">
        <v>545</v>
      </c>
      <c r="AO147" s="391" t="s">
        <v>2526</v>
      </c>
    </row>
    <row r="148" spans="1:41" ht="16" thickBot="1">
      <c r="A148" s="387" t="s">
        <v>2166</v>
      </c>
      <c r="B148" s="387" t="s">
        <v>686</v>
      </c>
      <c r="C148" s="387" t="s">
        <v>2527</v>
      </c>
      <c r="D148" s="387" t="s">
        <v>2528</v>
      </c>
      <c r="E148" s="387">
        <v>4</v>
      </c>
      <c r="F148" s="387" t="s">
        <v>531</v>
      </c>
      <c r="G148" s="387">
        <v>4</v>
      </c>
      <c r="H148" s="387" t="s">
        <v>531</v>
      </c>
      <c r="I148" s="387" t="s">
        <v>1751</v>
      </c>
      <c r="J148" s="387" t="s">
        <v>2529</v>
      </c>
      <c r="K148" s="387" t="s">
        <v>2530</v>
      </c>
      <c r="L148" s="387" t="s">
        <v>2531</v>
      </c>
      <c r="M148" s="387" t="s">
        <v>2532</v>
      </c>
      <c r="N148" s="388">
        <v>2668</v>
      </c>
      <c r="O148" s="388">
        <v>14</v>
      </c>
      <c r="P148" s="387" t="s">
        <v>538</v>
      </c>
      <c r="Q148" s="387" t="s">
        <v>539</v>
      </c>
      <c r="R148" s="387" t="s">
        <v>2533</v>
      </c>
      <c r="S148" s="387" t="s">
        <v>171</v>
      </c>
      <c r="T148" s="387" t="s">
        <v>1908</v>
      </c>
      <c r="U148" s="388">
        <v>4780</v>
      </c>
      <c r="V148" s="387" t="s">
        <v>543</v>
      </c>
      <c r="W148" s="387" t="s">
        <v>543</v>
      </c>
      <c r="X148" s="387" t="s">
        <v>543</v>
      </c>
      <c r="Y148" s="387" t="s">
        <v>543</v>
      </c>
      <c r="Z148" s="387" t="s">
        <v>543</v>
      </c>
      <c r="AA148" s="388" t="s">
        <v>543</v>
      </c>
      <c r="AB148" s="388" t="s">
        <v>543</v>
      </c>
      <c r="AC148" s="387" t="s">
        <v>543</v>
      </c>
      <c r="AD148" s="389" t="s">
        <v>2534</v>
      </c>
      <c r="AE148" s="390">
        <v>44743</v>
      </c>
      <c r="AF148" s="390">
        <v>45473</v>
      </c>
      <c r="AG148" s="391" t="s">
        <v>545</v>
      </c>
      <c r="AH148" s="391" t="s">
        <v>2535</v>
      </c>
      <c r="AI148" s="391" t="s">
        <v>2536</v>
      </c>
      <c r="AJ148" s="391">
        <v>0</v>
      </c>
      <c r="AK148" s="390">
        <v>44743</v>
      </c>
      <c r="AL148" s="389">
        <v>100</v>
      </c>
      <c r="AM148" s="391" t="s">
        <v>548</v>
      </c>
      <c r="AN148" s="391" t="s">
        <v>549</v>
      </c>
      <c r="AO148" s="391" t="s">
        <v>2537</v>
      </c>
    </row>
    <row r="149" spans="1:41" ht="16" thickBot="1">
      <c r="A149" s="387" t="s">
        <v>1717</v>
      </c>
      <c r="B149" s="387" t="s">
        <v>590</v>
      </c>
      <c r="C149" s="387" t="s">
        <v>2538</v>
      </c>
      <c r="D149" s="387" t="s">
        <v>2539</v>
      </c>
      <c r="E149" s="387">
        <v>30</v>
      </c>
      <c r="F149" s="387" t="s">
        <v>559</v>
      </c>
      <c r="G149" s="387">
        <v>30</v>
      </c>
      <c r="H149" s="387" t="s">
        <v>559</v>
      </c>
      <c r="I149" s="387" t="s">
        <v>560</v>
      </c>
      <c r="J149" s="387" t="s">
        <v>2540</v>
      </c>
      <c r="K149" s="387" t="s">
        <v>2541</v>
      </c>
      <c r="L149" s="387" t="s">
        <v>1761</v>
      </c>
      <c r="M149" s="387" t="s">
        <v>1762</v>
      </c>
      <c r="N149" s="388">
        <v>63.37</v>
      </c>
      <c r="O149" s="388">
        <v>14</v>
      </c>
      <c r="P149" s="387" t="s">
        <v>538</v>
      </c>
      <c r="Q149" s="387" t="s">
        <v>539</v>
      </c>
      <c r="R149" s="387" t="s">
        <v>2542</v>
      </c>
      <c r="S149" s="387" t="s">
        <v>171</v>
      </c>
      <c r="T149" s="387" t="s">
        <v>757</v>
      </c>
      <c r="U149" s="388">
        <v>288750</v>
      </c>
      <c r="V149" s="387" t="s">
        <v>543</v>
      </c>
      <c r="W149" s="387" t="s">
        <v>543</v>
      </c>
      <c r="X149" s="387" t="s">
        <v>543</v>
      </c>
      <c r="Y149" s="387" t="s">
        <v>543</v>
      </c>
      <c r="Z149" s="387" t="s">
        <v>543</v>
      </c>
      <c r="AA149" s="388" t="s">
        <v>543</v>
      </c>
      <c r="AB149" s="388" t="s">
        <v>543</v>
      </c>
      <c r="AC149" s="387">
        <v>828300003</v>
      </c>
      <c r="AD149" s="389">
        <v>20</v>
      </c>
      <c r="AE149" s="390">
        <v>45047</v>
      </c>
      <c r="AF149" s="390">
        <v>46142</v>
      </c>
      <c r="AG149" s="391" t="s">
        <v>545</v>
      </c>
      <c r="AH149" s="391" t="s">
        <v>2543</v>
      </c>
      <c r="AI149" s="391" t="s">
        <v>1764</v>
      </c>
      <c r="AJ149" s="391">
        <v>0</v>
      </c>
      <c r="AK149" s="390">
        <v>45047</v>
      </c>
      <c r="AL149" s="389">
        <v>100</v>
      </c>
      <c r="AM149" s="391" t="s">
        <v>548</v>
      </c>
      <c r="AN149" s="391" t="s">
        <v>549</v>
      </c>
      <c r="AO149" s="391" t="s">
        <v>2544</v>
      </c>
    </row>
    <row r="150" spans="1:41" ht="16" thickBot="1">
      <c r="A150" s="387" t="s">
        <v>2412</v>
      </c>
      <c r="B150" s="387" t="s">
        <v>686</v>
      </c>
      <c r="C150" s="387" t="s">
        <v>2545</v>
      </c>
      <c r="D150" s="387" t="s">
        <v>2546</v>
      </c>
      <c r="E150" s="387">
        <v>3</v>
      </c>
      <c r="F150" s="387" t="s">
        <v>531</v>
      </c>
      <c r="G150" s="387">
        <v>60</v>
      </c>
      <c r="H150" s="387" t="s">
        <v>2297</v>
      </c>
      <c r="I150" s="387" t="s">
        <v>2298</v>
      </c>
      <c r="J150" s="387" t="s">
        <v>2547</v>
      </c>
      <c r="K150" s="387" t="s">
        <v>2548</v>
      </c>
      <c r="L150" s="387" t="s">
        <v>2549</v>
      </c>
      <c r="M150" s="387" t="s">
        <v>2550</v>
      </c>
      <c r="N150" s="388">
        <v>33.93</v>
      </c>
      <c r="O150" s="388">
        <v>14</v>
      </c>
      <c r="P150" s="387" t="s">
        <v>538</v>
      </c>
      <c r="Q150" s="387" t="s">
        <v>539</v>
      </c>
      <c r="R150" s="387" t="s">
        <v>2551</v>
      </c>
      <c r="S150" s="387" t="s">
        <v>171</v>
      </c>
      <c r="T150" s="387" t="s">
        <v>757</v>
      </c>
      <c r="U150" s="388">
        <v>616224</v>
      </c>
      <c r="V150" s="387">
        <v>6009701960228</v>
      </c>
      <c r="W150" s="387" t="s">
        <v>543</v>
      </c>
      <c r="X150" s="387" t="s">
        <v>543</v>
      </c>
      <c r="Y150" s="387" t="s">
        <v>543</v>
      </c>
      <c r="Z150" s="387" t="s">
        <v>543</v>
      </c>
      <c r="AA150" s="388" t="s">
        <v>543</v>
      </c>
      <c r="AB150" s="388" t="s">
        <v>543</v>
      </c>
      <c r="AC150" s="387" t="s">
        <v>543</v>
      </c>
      <c r="AD150" s="389">
        <v>12</v>
      </c>
      <c r="AE150" s="390">
        <v>44137</v>
      </c>
      <c r="AF150" s="390">
        <v>45107</v>
      </c>
      <c r="AG150" s="390">
        <v>45107</v>
      </c>
      <c r="AH150" s="391" t="s">
        <v>2552</v>
      </c>
      <c r="AI150" s="391" t="s">
        <v>2553</v>
      </c>
      <c r="AJ150" s="391">
        <v>0</v>
      </c>
      <c r="AK150" s="390">
        <v>44137</v>
      </c>
      <c r="AL150" s="389">
        <v>100</v>
      </c>
      <c r="AM150" s="391" t="s">
        <v>548</v>
      </c>
      <c r="AN150" s="391" t="s">
        <v>545</v>
      </c>
      <c r="AO150" s="391" t="s">
        <v>2554</v>
      </c>
    </row>
    <row r="151" spans="1:41" ht="16" thickBot="1">
      <c r="A151" s="387" t="s">
        <v>1748</v>
      </c>
      <c r="B151" s="387" t="s">
        <v>1704</v>
      </c>
      <c r="C151" s="387" t="s">
        <v>2555</v>
      </c>
      <c r="D151" s="387" t="s">
        <v>2556</v>
      </c>
      <c r="E151" s="387">
        <v>1</v>
      </c>
      <c r="F151" s="387" t="s">
        <v>531</v>
      </c>
      <c r="G151" s="387">
        <v>1</v>
      </c>
      <c r="H151" s="387" t="s">
        <v>531</v>
      </c>
      <c r="I151" s="387" t="s">
        <v>1751</v>
      </c>
      <c r="J151" s="387" t="s">
        <v>2557</v>
      </c>
      <c r="K151" s="387" t="s">
        <v>2558</v>
      </c>
      <c r="L151" s="387" t="s">
        <v>2559</v>
      </c>
      <c r="M151" s="387" t="s">
        <v>2560</v>
      </c>
      <c r="N151" s="388">
        <v>45.17</v>
      </c>
      <c r="O151" s="388">
        <v>14</v>
      </c>
      <c r="P151" s="387" t="s">
        <v>538</v>
      </c>
      <c r="Q151" s="387" t="s">
        <v>539</v>
      </c>
      <c r="R151" s="387" t="s">
        <v>2561</v>
      </c>
      <c r="S151" s="387" t="s">
        <v>171</v>
      </c>
      <c r="T151" s="387" t="s">
        <v>542</v>
      </c>
      <c r="U151" s="388">
        <v>63180</v>
      </c>
      <c r="V151" s="387">
        <v>6001127043691</v>
      </c>
      <c r="W151" s="387">
        <v>6001127043691</v>
      </c>
      <c r="X151" s="387" t="s">
        <v>543</v>
      </c>
      <c r="Y151" s="387" t="s">
        <v>543</v>
      </c>
      <c r="Z151" s="387" t="s">
        <v>543</v>
      </c>
      <c r="AA151" s="388" t="s">
        <v>543</v>
      </c>
      <c r="AB151" s="388" t="s">
        <v>543</v>
      </c>
      <c r="AC151" s="387">
        <v>701505001</v>
      </c>
      <c r="AD151" s="389">
        <v>5</v>
      </c>
      <c r="AE151" s="390">
        <v>44317</v>
      </c>
      <c r="AF151" s="390">
        <v>45412</v>
      </c>
      <c r="AG151" s="391" t="s">
        <v>545</v>
      </c>
      <c r="AH151" s="391" t="s">
        <v>2562</v>
      </c>
      <c r="AI151" s="391" t="s">
        <v>2563</v>
      </c>
      <c r="AJ151" s="391">
        <v>0</v>
      </c>
      <c r="AK151" s="390">
        <v>44317</v>
      </c>
      <c r="AL151" s="389">
        <v>100</v>
      </c>
      <c r="AM151" s="391" t="s">
        <v>548</v>
      </c>
      <c r="AN151" s="391" t="s">
        <v>549</v>
      </c>
      <c r="AO151" s="391" t="s">
        <v>2564</v>
      </c>
    </row>
    <row r="152" spans="1:41" ht="16" thickBot="1">
      <c r="A152" s="387" t="s">
        <v>2177</v>
      </c>
      <c r="B152" s="387" t="s">
        <v>965</v>
      </c>
      <c r="C152" s="387" t="s">
        <v>2565</v>
      </c>
      <c r="D152" s="387" t="s">
        <v>2566</v>
      </c>
      <c r="E152" s="387">
        <v>10</v>
      </c>
      <c r="F152" s="387" t="s">
        <v>2567</v>
      </c>
      <c r="G152" s="387">
        <v>10</v>
      </c>
      <c r="H152" s="387" t="s">
        <v>2567</v>
      </c>
      <c r="I152" s="387" t="s">
        <v>2568</v>
      </c>
      <c r="J152" s="387" t="s">
        <v>2569</v>
      </c>
      <c r="K152" s="387" t="s">
        <v>2570</v>
      </c>
      <c r="L152" s="387" t="s">
        <v>2571</v>
      </c>
      <c r="M152" s="387" t="s">
        <v>2572</v>
      </c>
      <c r="N152" s="388">
        <v>30.22</v>
      </c>
      <c r="O152" s="388">
        <v>14</v>
      </c>
      <c r="P152" s="387" t="s">
        <v>538</v>
      </c>
      <c r="Q152" s="387" t="s">
        <v>539</v>
      </c>
      <c r="R152" s="387" t="s">
        <v>2573</v>
      </c>
      <c r="S152" s="387" t="s">
        <v>171</v>
      </c>
      <c r="T152" s="387" t="s">
        <v>757</v>
      </c>
      <c r="U152" s="388">
        <v>109800</v>
      </c>
      <c r="V152" s="387">
        <v>6009609473417</v>
      </c>
      <c r="W152" s="387" t="s">
        <v>543</v>
      </c>
      <c r="X152" s="387" t="s">
        <v>543</v>
      </c>
      <c r="Y152" s="387">
        <v>26009609473411</v>
      </c>
      <c r="Z152" s="387" t="s">
        <v>543</v>
      </c>
      <c r="AA152" s="388" t="s">
        <v>543</v>
      </c>
      <c r="AB152" s="388" t="s">
        <v>543</v>
      </c>
      <c r="AC152" s="387">
        <v>721522009</v>
      </c>
      <c r="AD152" s="389">
        <v>120</v>
      </c>
      <c r="AE152" s="390">
        <v>44013</v>
      </c>
      <c r="AF152" s="390">
        <v>45107</v>
      </c>
      <c r="AG152" s="390">
        <v>45107</v>
      </c>
      <c r="AH152" s="391" t="s">
        <v>2574</v>
      </c>
      <c r="AI152" s="391" t="s">
        <v>2575</v>
      </c>
      <c r="AJ152" s="391">
        <v>56</v>
      </c>
      <c r="AK152" s="390">
        <v>45047</v>
      </c>
      <c r="AL152" s="389">
        <v>100</v>
      </c>
      <c r="AM152" s="391" t="s">
        <v>548</v>
      </c>
      <c r="AN152" s="391" t="s">
        <v>545</v>
      </c>
      <c r="AO152" s="391" t="s">
        <v>2576</v>
      </c>
    </row>
    <row r="153" spans="1:41" ht="16" thickBot="1">
      <c r="A153" s="387" t="s">
        <v>1717</v>
      </c>
      <c r="B153" s="387" t="s">
        <v>2577</v>
      </c>
      <c r="C153" s="387" t="s">
        <v>2578</v>
      </c>
      <c r="D153" s="387" t="s">
        <v>2579</v>
      </c>
      <c r="E153" s="387">
        <v>10</v>
      </c>
      <c r="F153" s="387" t="s">
        <v>559</v>
      </c>
      <c r="G153" s="387">
        <v>10</v>
      </c>
      <c r="H153" s="387" t="s">
        <v>559</v>
      </c>
      <c r="I153" s="387" t="s">
        <v>560</v>
      </c>
      <c r="J153" s="387" t="s">
        <v>2569</v>
      </c>
      <c r="K153" s="387" t="s">
        <v>2580</v>
      </c>
      <c r="L153" s="387" t="s">
        <v>535</v>
      </c>
      <c r="M153" s="387" t="s">
        <v>536</v>
      </c>
      <c r="N153" s="388">
        <v>9.7799999999999994</v>
      </c>
      <c r="O153" s="388">
        <v>14</v>
      </c>
      <c r="P153" s="387" t="s">
        <v>611</v>
      </c>
      <c r="Q153" s="387" t="s">
        <v>612</v>
      </c>
      <c r="R153" s="387" t="s">
        <v>2573</v>
      </c>
      <c r="S153" s="387" t="s">
        <v>614</v>
      </c>
      <c r="T153" s="387" t="s">
        <v>160</v>
      </c>
      <c r="U153" s="388">
        <v>19000</v>
      </c>
      <c r="V153" s="387">
        <v>6001390121393</v>
      </c>
      <c r="W153" s="387">
        <v>6001390121409</v>
      </c>
      <c r="X153" s="387" t="s">
        <v>543</v>
      </c>
      <c r="Y153" s="387">
        <v>16001390121406</v>
      </c>
      <c r="Z153" s="387" t="s">
        <v>543</v>
      </c>
      <c r="AA153" s="388" t="s">
        <v>543</v>
      </c>
      <c r="AB153" s="388" t="s">
        <v>543</v>
      </c>
      <c r="AC153" s="387">
        <v>708008003</v>
      </c>
      <c r="AD153" s="389">
        <v>50</v>
      </c>
      <c r="AE153" s="390">
        <v>45047</v>
      </c>
      <c r="AF153" s="390">
        <v>46142</v>
      </c>
      <c r="AG153" s="391" t="s">
        <v>545</v>
      </c>
      <c r="AH153" s="391" t="s">
        <v>2581</v>
      </c>
      <c r="AI153" s="391" t="s">
        <v>547</v>
      </c>
      <c r="AJ153" s="391">
        <v>0</v>
      </c>
      <c r="AK153" s="390">
        <v>45047</v>
      </c>
      <c r="AL153" s="389">
        <v>100</v>
      </c>
      <c r="AM153" s="391" t="s">
        <v>548</v>
      </c>
      <c r="AN153" s="391" t="s">
        <v>549</v>
      </c>
      <c r="AO153" s="391" t="s">
        <v>2582</v>
      </c>
    </row>
    <row r="154" spans="1:41" ht="16" thickBot="1">
      <c r="A154" s="387" t="s">
        <v>2583</v>
      </c>
      <c r="B154" s="387" t="s">
        <v>581</v>
      </c>
      <c r="C154" s="387" t="s">
        <v>2584</v>
      </c>
      <c r="D154" s="387" t="s">
        <v>2585</v>
      </c>
      <c r="E154" s="387">
        <v>1</v>
      </c>
      <c r="F154" s="387" t="s">
        <v>1780</v>
      </c>
      <c r="G154" s="387">
        <v>1</v>
      </c>
      <c r="H154" s="387" t="s">
        <v>1780</v>
      </c>
      <c r="I154" s="387" t="s">
        <v>1751</v>
      </c>
      <c r="J154" s="387" t="s">
        <v>2586</v>
      </c>
      <c r="K154" s="387" t="s">
        <v>2587</v>
      </c>
      <c r="L154" s="387" t="s">
        <v>2046</v>
      </c>
      <c r="M154" s="387" t="s">
        <v>2047</v>
      </c>
      <c r="N154" s="388">
        <v>692.74</v>
      </c>
      <c r="O154" s="388">
        <v>14</v>
      </c>
      <c r="P154" s="387" t="s">
        <v>538</v>
      </c>
      <c r="Q154" s="387" t="s">
        <v>539</v>
      </c>
      <c r="R154" s="387" t="s">
        <v>2588</v>
      </c>
      <c r="S154" s="387" t="s">
        <v>171</v>
      </c>
      <c r="T154" s="387" t="s">
        <v>757</v>
      </c>
      <c r="U154" s="388">
        <v>20158</v>
      </c>
      <c r="V154" s="387">
        <v>6006352034179</v>
      </c>
      <c r="W154" s="387" t="s">
        <v>543</v>
      </c>
      <c r="X154" s="387" t="s">
        <v>543</v>
      </c>
      <c r="Y154" s="387" t="s">
        <v>543</v>
      </c>
      <c r="Z154" s="387" t="s">
        <v>543</v>
      </c>
      <c r="AA154" s="388" t="s">
        <v>543</v>
      </c>
      <c r="AB154" s="388" t="s">
        <v>543</v>
      </c>
      <c r="AC154" s="387" t="s">
        <v>543</v>
      </c>
      <c r="AD154" s="389">
        <v>5</v>
      </c>
      <c r="AE154" s="390">
        <v>44949</v>
      </c>
      <c r="AF154" s="390">
        <v>45473</v>
      </c>
      <c r="AG154" s="390">
        <v>45473</v>
      </c>
      <c r="AH154" s="391" t="s">
        <v>2589</v>
      </c>
      <c r="AI154" s="391" t="s">
        <v>2050</v>
      </c>
      <c r="AJ154" s="391">
        <v>1</v>
      </c>
      <c r="AK154" s="390">
        <v>45047</v>
      </c>
      <c r="AL154" s="389">
        <v>100</v>
      </c>
      <c r="AM154" s="391" t="s">
        <v>548</v>
      </c>
      <c r="AN154" s="391" t="s">
        <v>549</v>
      </c>
      <c r="AO154" s="391" t="s">
        <v>2590</v>
      </c>
    </row>
    <row r="155" spans="1:41" ht="16" thickBot="1">
      <c r="A155" s="387" t="s">
        <v>2166</v>
      </c>
      <c r="B155" s="387" t="s">
        <v>637</v>
      </c>
      <c r="C155" s="387" t="s">
        <v>2591</v>
      </c>
      <c r="D155" s="387" t="s">
        <v>2592</v>
      </c>
      <c r="E155" s="387">
        <v>10</v>
      </c>
      <c r="F155" s="387" t="s">
        <v>531</v>
      </c>
      <c r="G155" s="387">
        <v>10</v>
      </c>
      <c r="H155" s="387" t="s">
        <v>531</v>
      </c>
      <c r="I155" s="387" t="s">
        <v>1751</v>
      </c>
      <c r="J155" s="387" t="s">
        <v>2593</v>
      </c>
      <c r="K155" s="387" t="s">
        <v>2594</v>
      </c>
      <c r="L155" s="387" t="s">
        <v>2595</v>
      </c>
      <c r="M155" s="387" t="s">
        <v>2596</v>
      </c>
      <c r="N155" s="388">
        <v>592.25</v>
      </c>
      <c r="O155" s="388">
        <v>14</v>
      </c>
      <c r="P155" s="387" t="s">
        <v>538</v>
      </c>
      <c r="Q155" s="387" t="s">
        <v>539</v>
      </c>
      <c r="R155" s="387" t="s">
        <v>2597</v>
      </c>
      <c r="S155" s="387" t="s">
        <v>160</v>
      </c>
      <c r="T155" s="387" t="s">
        <v>160</v>
      </c>
      <c r="U155" s="388">
        <v>720</v>
      </c>
      <c r="V155" s="387" t="s">
        <v>543</v>
      </c>
      <c r="W155" s="387" t="s">
        <v>543</v>
      </c>
      <c r="X155" s="387" t="s">
        <v>543</v>
      </c>
      <c r="Y155" s="387" t="s">
        <v>543</v>
      </c>
      <c r="Z155" s="387" t="s">
        <v>543</v>
      </c>
      <c r="AA155" s="388" t="s">
        <v>543</v>
      </c>
      <c r="AB155" s="388" t="s">
        <v>543</v>
      </c>
      <c r="AC155" s="387">
        <v>722781001</v>
      </c>
      <c r="AD155" s="389">
        <v>20</v>
      </c>
      <c r="AE155" s="390">
        <v>44743</v>
      </c>
      <c r="AF155" s="390">
        <v>45473</v>
      </c>
      <c r="AG155" s="391" t="s">
        <v>545</v>
      </c>
      <c r="AH155" s="391" t="s">
        <v>2598</v>
      </c>
      <c r="AI155" s="391" t="s">
        <v>2599</v>
      </c>
      <c r="AJ155" s="391">
        <v>0</v>
      </c>
      <c r="AK155" s="390">
        <v>44743</v>
      </c>
      <c r="AL155" s="389">
        <v>100</v>
      </c>
      <c r="AM155" s="391" t="s">
        <v>548</v>
      </c>
      <c r="AN155" s="391" t="s">
        <v>549</v>
      </c>
      <c r="AO155" s="391" t="s">
        <v>2600</v>
      </c>
    </row>
    <row r="156" spans="1:41" ht="16" thickBot="1">
      <c r="A156" s="387" t="s">
        <v>2601</v>
      </c>
      <c r="B156" s="387" t="s">
        <v>1027</v>
      </c>
      <c r="C156" s="387" t="s">
        <v>2602</v>
      </c>
      <c r="D156" s="387" t="s">
        <v>2603</v>
      </c>
      <c r="E156" s="387">
        <v>1</v>
      </c>
      <c r="F156" s="387" t="s">
        <v>1780</v>
      </c>
      <c r="G156" s="387">
        <v>1</v>
      </c>
      <c r="H156" s="387" t="s">
        <v>1780</v>
      </c>
      <c r="I156" s="387" t="s">
        <v>1751</v>
      </c>
      <c r="J156" s="387" t="s">
        <v>2604</v>
      </c>
      <c r="K156" s="387" t="s">
        <v>2605</v>
      </c>
      <c r="L156" s="387" t="s">
        <v>2549</v>
      </c>
      <c r="M156" s="387" t="s">
        <v>2550</v>
      </c>
      <c r="N156" s="388">
        <v>1265</v>
      </c>
      <c r="O156" s="388">
        <v>14</v>
      </c>
      <c r="P156" s="387" t="s">
        <v>538</v>
      </c>
      <c r="Q156" s="387" t="s">
        <v>539</v>
      </c>
      <c r="R156" s="387" t="s">
        <v>2606</v>
      </c>
      <c r="S156" s="387" t="s">
        <v>171</v>
      </c>
      <c r="T156" s="387" t="s">
        <v>1908</v>
      </c>
      <c r="U156" s="388">
        <v>4028</v>
      </c>
      <c r="V156" s="387">
        <v>6009701960068</v>
      </c>
      <c r="W156" s="387">
        <v>6009701960068</v>
      </c>
      <c r="X156" s="387" t="s">
        <v>543</v>
      </c>
      <c r="Y156" s="387" t="s">
        <v>543</v>
      </c>
      <c r="Z156" s="387" t="s">
        <v>543</v>
      </c>
      <c r="AA156" s="388" t="s">
        <v>543</v>
      </c>
      <c r="AB156" s="388" t="s">
        <v>543</v>
      </c>
      <c r="AC156" s="387" t="s">
        <v>2607</v>
      </c>
      <c r="AD156" s="389">
        <v>1</v>
      </c>
      <c r="AE156" s="390">
        <v>44927</v>
      </c>
      <c r="AF156" s="390">
        <v>45657</v>
      </c>
      <c r="AG156" s="391" t="s">
        <v>545</v>
      </c>
      <c r="AH156" s="391" t="s">
        <v>2608</v>
      </c>
      <c r="AI156" s="391" t="s">
        <v>2553</v>
      </c>
      <c r="AJ156" s="391">
        <v>0</v>
      </c>
      <c r="AK156" s="390">
        <v>44927</v>
      </c>
      <c r="AL156" s="389">
        <v>100</v>
      </c>
      <c r="AM156" s="391" t="s">
        <v>548</v>
      </c>
      <c r="AN156" s="391" t="s">
        <v>549</v>
      </c>
      <c r="AO156" s="391" t="s">
        <v>2609</v>
      </c>
    </row>
    <row r="157" spans="1:41" ht="16" thickBot="1">
      <c r="A157" s="387" t="s">
        <v>2412</v>
      </c>
      <c r="B157" s="387" t="s">
        <v>637</v>
      </c>
      <c r="C157" s="387" t="s">
        <v>2610</v>
      </c>
      <c r="D157" s="387" t="s">
        <v>2611</v>
      </c>
      <c r="E157" s="387">
        <v>5</v>
      </c>
      <c r="F157" s="387" t="s">
        <v>531</v>
      </c>
      <c r="G157" s="387">
        <v>100</v>
      </c>
      <c r="H157" s="387" t="s">
        <v>2297</v>
      </c>
      <c r="I157" s="387" t="s">
        <v>2298</v>
      </c>
      <c r="J157" s="387" t="s">
        <v>2612</v>
      </c>
      <c r="K157" s="387" t="s">
        <v>2613</v>
      </c>
      <c r="L157" s="387" t="s">
        <v>2549</v>
      </c>
      <c r="M157" s="387" t="s">
        <v>2550</v>
      </c>
      <c r="N157" s="388">
        <v>47.45</v>
      </c>
      <c r="O157" s="388">
        <v>14</v>
      </c>
      <c r="P157" s="387" t="s">
        <v>538</v>
      </c>
      <c r="Q157" s="387" t="s">
        <v>539</v>
      </c>
      <c r="R157" s="387" t="s">
        <v>2614</v>
      </c>
      <c r="S157" s="387" t="s">
        <v>171</v>
      </c>
      <c r="T157" s="387" t="s">
        <v>757</v>
      </c>
      <c r="U157" s="388">
        <v>831330</v>
      </c>
      <c r="V157" s="387">
        <v>6009701960020</v>
      </c>
      <c r="W157" s="387" t="s">
        <v>543</v>
      </c>
      <c r="X157" s="387" t="s">
        <v>543</v>
      </c>
      <c r="Y157" s="387" t="s">
        <v>543</v>
      </c>
      <c r="Z157" s="387" t="s">
        <v>543</v>
      </c>
      <c r="AA157" s="388" t="s">
        <v>543</v>
      </c>
      <c r="AB157" s="388" t="s">
        <v>543</v>
      </c>
      <c r="AC157" s="387" t="s">
        <v>543</v>
      </c>
      <c r="AD157" s="389">
        <v>12</v>
      </c>
      <c r="AE157" s="390">
        <v>44137</v>
      </c>
      <c r="AF157" s="390">
        <v>45107</v>
      </c>
      <c r="AG157" s="390">
        <v>45107</v>
      </c>
      <c r="AH157" s="391" t="s">
        <v>2615</v>
      </c>
      <c r="AI157" s="391" t="s">
        <v>2553</v>
      </c>
      <c r="AJ157" s="391">
        <v>0</v>
      </c>
      <c r="AK157" s="390">
        <v>44137</v>
      </c>
      <c r="AL157" s="389">
        <v>100</v>
      </c>
      <c r="AM157" s="391" t="s">
        <v>548</v>
      </c>
      <c r="AN157" s="391" t="s">
        <v>545</v>
      </c>
      <c r="AO157" s="391" t="s">
        <v>2616</v>
      </c>
    </row>
    <row r="158" spans="1:41" ht="16" thickBot="1">
      <c r="A158" s="387" t="s">
        <v>2294</v>
      </c>
      <c r="B158" s="387" t="s">
        <v>556</v>
      </c>
      <c r="C158" s="387" t="s">
        <v>2617</v>
      </c>
      <c r="D158" s="387" t="s">
        <v>2618</v>
      </c>
      <c r="E158" s="387">
        <v>5</v>
      </c>
      <c r="F158" s="387" t="s">
        <v>531</v>
      </c>
      <c r="G158" s="387">
        <v>100</v>
      </c>
      <c r="H158" s="387" t="s">
        <v>2297</v>
      </c>
      <c r="I158" s="387" t="s">
        <v>2298</v>
      </c>
      <c r="J158" s="387" t="s">
        <v>2612</v>
      </c>
      <c r="K158" s="387" t="s">
        <v>2619</v>
      </c>
      <c r="L158" s="387" t="s">
        <v>2522</v>
      </c>
      <c r="M158" s="387" t="s">
        <v>2523</v>
      </c>
      <c r="N158" s="388">
        <v>63.99</v>
      </c>
      <c r="O158" s="388">
        <v>14</v>
      </c>
      <c r="P158" s="387" t="s">
        <v>538</v>
      </c>
      <c r="Q158" s="387" t="s">
        <v>539</v>
      </c>
      <c r="R158" s="387" t="s">
        <v>2614</v>
      </c>
      <c r="S158" s="387" t="s">
        <v>171</v>
      </c>
      <c r="T158" s="387" t="s">
        <v>757</v>
      </c>
      <c r="U158" s="388">
        <v>6300</v>
      </c>
      <c r="V158" s="387">
        <v>6009802743904</v>
      </c>
      <c r="W158" s="387" t="s">
        <v>543</v>
      </c>
      <c r="X158" s="387" t="s">
        <v>543</v>
      </c>
      <c r="Y158" s="387" t="s">
        <v>543</v>
      </c>
      <c r="Z158" s="387" t="s">
        <v>543</v>
      </c>
      <c r="AA158" s="388" t="s">
        <v>543</v>
      </c>
      <c r="AB158" s="388" t="s">
        <v>543</v>
      </c>
      <c r="AC158" s="387" t="s">
        <v>543</v>
      </c>
      <c r="AD158" s="389">
        <v>20</v>
      </c>
      <c r="AE158" s="390">
        <v>44013</v>
      </c>
      <c r="AF158" s="390">
        <v>45107</v>
      </c>
      <c r="AG158" s="390">
        <v>45107</v>
      </c>
      <c r="AH158" s="391" t="s">
        <v>2620</v>
      </c>
      <c r="AI158" s="391" t="s">
        <v>2525</v>
      </c>
      <c r="AJ158" s="391">
        <v>68</v>
      </c>
      <c r="AK158" s="390">
        <v>45047</v>
      </c>
      <c r="AL158" s="389">
        <v>100</v>
      </c>
      <c r="AM158" s="391" t="s">
        <v>548</v>
      </c>
      <c r="AN158" s="391" t="s">
        <v>545</v>
      </c>
      <c r="AO158" s="391" t="s">
        <v>2621</v>
      </c>
    </row>
    <row r="159" spans="1:41" ht="16" thickBot="1">
      <c r="A159" s="387" t="s">
        <v>1717</v>
      </c>
      <c r="B159" s="387" t="s">
        <v>2622</v>
      </c>
      <c r="C159" s="387" t="s">
        <v>2623</v>
      </c>
      <c r="D159" s="387" t="s">
        <v>2624</v>
      </c>
      <c r="E159" s="387">
        <v>30</v>
      </c>
      <c r="F159" s="387" t="s">
        <v>559</v>
      </c>
      <c r="G159" s="387">
        <v>30</v>
      </c>
      <c r="H159" s="387" t="s">
        <v>559</v>
      </c>
      <c r="I159" s="387" t="s">
        <v>560</v>
      </c>
      <c r="J159" s="387" t="s">
        <v>2625</v>
      </c>
      <c r="K159" s="387" t="s">
        <v>2626</v>
      </c>
      <c r="L159" s="387" t="s">
        <v>535</v>
      </c>
      <c r="M159" s="387" t="s">
        <v>536</v>
      </c>
      <c r="N159" s="388">
        <v>95.45</v>
      </c>
      <c r="O159" s="388">
        <v>14</v>
      </c>
      <c r="P159" s="387" t="s">
        <v>538</v>
      </c>
      <c r="Q159" s="387" t="s">
        <v>539</v>
      </c>
      <c r="R159" s="387" t="s">
        <v>2627</v>
      </c>
      <c r="S159" s="387" t="s">
        <v>171</v>
      </c>
      <c r="T159" s="387" t="s">
        <v>757</v>
      </c>
      <c r="U159" s="388">
        <v>36747</v>
      </c>
      <c r="V159" s="387">
        <v>6001390108318</v>
      </c>
      <c r="W159" s="387">
        <v>6001390108325</v>
      </c>
      <c r="X159" s="387" t="s">
        <v>543</v>
      </c>
      <c r="Y159" s="387">
        <v>16001390108322</v>
      </c>
      <c r="Z159" s="387" t="s">
        <v>543</v>
      </c>
      <c r="AA159" s="388" t="s">
        <v>543</v>
      </c>
      <c r="AB159" s="388" t="s">
        <v>543</v>
      </c>
      <c r="AC159" s="387">
        <v>704593001</v>
      </c>
      <c r="AD159" s="389">
        <v>5</v>
      </c>
      <c r="AE159" s="390">
        <v>45047</v>
      </c>
      <c r="AF159" s="390">
        <v>46142</v>
      </c>
      <c r="AG159" s="391" t="s">
        <v>545</v>
      </c>
      <c r="AH159" s="391" t="s">
        <v>2628</v>
      </c>
      <c r="AI159" s="391" t="s">
        <v>547</v>
      </c>
      <c r="AJ159" s="391">
        <v>0</v>
      </c>
      <c r="AK159" s="390">
        <v>45047</v>
      </c>
      <c r="AL159" s="389">
        <v>100</v>
      </c>
      <c r="AM159" s="391" t="s">
        <v>548</v>
      </c>
      <c r="AN159" s="391" t="s">
        <v>549</v>
      </c>
      <c r="AO159" s="391" t="s">
        <v>2629</v>
      </c>
    </row>
    <row r="160" spans="1:41" ht="16" thickBot="1">
      <c r="A160" s="387" t="s">
        <v>2294</v>
      </c>
      <c r="B160" s="387" t="s">
        <v>2630</v>
      </c>
      <c r="C160" s="387" t="s">
        <v>2631</v>
      </c>
      <c r="D160" s="387" t="s">
        <v>2632</v>
      </c>
      <c r="E160" s="387">
        <v>60</v>
      </c>
      <c r="F160" s="387" t="s">
        <v>2405</v>
      </c>
      <c r="G160" s="387">
        <v>60</v>
      </c>
      <c r="H160" s="387" t="s">
        <v>2405</v>
      </c>
      <c r="I160" s="387" t="s">
        <v>2406</v>
      </c>
      <c r="J160" s="387" t="s">
        <v>2633</v>
      </c>
      <c r="K160" s="387" t="s">
        <v>2634</v>
      </c>
      <c r="L160" s="387" t="s">
        <v>2635</v>
      </c>
      <c r="M160" s="387" t="s">
        <v>2636</v>
      </c>
      <c r="N160" s="388">
        <v>59.47</v>
      </c>
      <c r="O160" s="388">
        <v>10</v>
      </c>
      <c r="P160" s="387" t="s">
        <v>538</v>
      </c>
      <c r="Q160" s="387" t="s">
        <v>539</v>
      </c>
      <c r="R160" s="387" t="s">
        <v>2637</v>
      </c>
      <c r="S160" s="387" t="s">
        <v>171</v>
      </c>
      <c r="T160" s="387" t="s">
        <v>542</v>
      </c>
      <c r="U160" s="388">
        <v>333413</v>
      </c>
      <c r="V160" s="387">
        <v>6001145907647</v>
      </c>
      <c r="W160" s="387" t="s">
        <v>543</v>
      </c>
      <c r="X160" s="387" t="s">
        <v>543</v>
      </c>
      <c r="Y160" s="387" t="s">
        <v>543</v>
      </c>
      <c r="Z160" s="387" t="s">
        <v>543</v>
      </c>
      <c r="AA160" s="388" t="s">
        <v>543</v>
      </c>
      <c r="AB160" s="388" t="s">
        <v>543</v>
      </c>
      <c r="AC160" s="387">
        <v>700172001</v>
      </c>
      <c r="AD160" s="389">
        <v>20</v>
      </c>
      <c r="AE160" s="390">
        <v>44013</v>
      </c>
      <c r="AF160" s="390">
        <v>45107</v>
      </c>
      <c r="AG160" s="390">
        <v>45107</v>
      </c>
      <c r="AH160" s="391" t="s">
        <v>2638</v>
      </c>
      <c r="AI160" s="391" t="s">
        <v>2639</v>
      </c>
      <c r="AJ160" s="391">
        <v>0</v>
      </c>
      <c r="AK160" s="390">
        <v>44013</v>
      </c>
      <c r="AL160" s="389">
        <v>100</v>
      </c>
      <c r="AM160" s="391" t="s">
        <v>548</v>
      </c>
      <c r="AN160" s="391" t="s">
        <v>545</v>
      </c>
      <c r="AO160" s="391" t="s">
        <v>2640</v>
      </c>
    </row>
    <row r="161" spans="1:43" ht="16" thickBot="1">
      <c r="A161" s="387" t="s">
        <v>2294</v>
      </c>
      <c r="B161" s="387" t="s">
        <v>2641</v>
      </c>
      <c r="C161" s="387" t="s">
        <v>2642</v>
      </c>
      <c r="D161" s="387" t="s">
        <v>2643</v>
      </c>
      <c r="E161" s="387">
        <v>60</v>
      </c>
      <c r="F161" s="387" t="s">
        <v>2405</v>
      </c>
      <c r="G161" s="387">
        <v>60</v>
      </c>
      <c r="H161" s="387" t="s">
        <v>2405</v>
      </c>
      <c r="I161" s="387" t="s">
        <v>2406</v>
      </c>
      <c r="J161" s="387" t="s">
        <v>2633</v>
      </c>
      <c r="K161" s="387" t="s">
        <v>2644</v>
      </c>
      <c r="L161" s="387" t="s">
        <v>2635</v>
      </c>
      <c r="M161" s="387" t="s">
        <v>2636</v>
      </c>
      <c r="N161" s="388">
        <v>67.64</v>
      </c>
      <c r="O161" s="388">
        <v>10</v>
      </c>
      <c r="P161" s="387" t="s">
        <v>538</v>
      </c>
      <c r="Q161" s="387" t="s">
        <v>539</v>
      </c>
      <c r="R161" s="387" t="s">
        <v>2637</v>
      </c>
      <c r="S161" s="387" t="s">
        <v>171</v>
      </c>
      <c r="T161" s="387" t="s">
        <v>542</v>
      </c>
      <c r="U161" s="388">
        <v>343054</v>
      </c>
      <c r="V161" s="387">
        <v>6001145907715</v>
      </c>
      <c r="W161" s="387" t="s">
        <v>543</v>
      </c>
      <c r="X161" s="387" t="s">
        <v>543</v>
      </c>
      <c r="Y161" s="387" t="s">
        <v>543</v>
      </c>
      <c r="Z161" s="387" t="s">
        <v>543</v>
      </c>
      <c r="AA161" s="388" t="s">
        <v>543</v>
      </c>
      <c r="AB161" s="388" t="s">
        <v>543</v>
      </c>
      <c r="AC161" s="387">
        <v>705984001</v>
      </c>
      <c r="AD161" s="389">
        <v>20</v>
      </c>
      <c r="AE161" s="390">
        <v>44013</v>
      </c>
      <c r="AF161" s="390">
        <v>45107</v>
      </c>
      <c r="AG161" s="390">
        <v>45107</v>
      </c>
      <c r="AH161" s="391" t="s">
        <v>2645</v>
      </c>
      <c r="AI161" s="391" t="s">
        <v>2639</v>
      </c>
      <c r="AJ161" s="391">
        <v>0</v>
      </c>
      <c r="AK161" s="390">
        <v>44013</v>
      </c>
      <c r="AL161" s="389">
        <v>100</v>
      </c>
      <c r="AM161" s="391" t="s">
        <v>548</v>
      </c>
      <c r="AN161" s="391" t="s">
        <v>545</v>
      </c>
      <c r="AO161" s="391" t="s">
        <v>2646</v>
      </c>
    </row>
    <row r="162" spans="1:43" ht="16" thickBot="1">
      <c r="A162" s="387" t="s">
        <v>1748</v>
      </c>
      <c r="B162" s="387" t="s">
        <v>992</v>
      </c>
      <c r="C162" s="387" t="s">
        <v>2647</v>
      </c>
      <c r="D162" s="387" t="s">
        <v>2648</v>
      </c>
      <c r="E162" s="387">
        <v>20</v>
      </c>
      <c r="F162" s="387" t="s">
        <v>531</v>
      </c>
      <c r="G162" s="387">
        <v>20</v>
      </c>
      <c r="H162" s="387" t="s">
        <v>531</v>
      </c>
      <c r="I162" s="387" t="s">
        <v>1751</v>
      </c>
      <c r="J162" s="387" t="s">
        <v>2649</v>
      </c>
      <c r="K162" s="387" t="s">
        <v>2650</v>
      </c>
      <c r="L162" s="387" t="s">
        <v>1975</v>
      </c>
      <c r="M162" s="387" t="s">
        <v>1976</v>
      </c>
      <c r="N162" s="388">
        <v>31.33</v>
      </c>
      <c r="O162" s="388">
        <v>14</v>
      </c>
      <c r="P162" s="387" t="s">
        <v>538</v>
      </c>
      <c r="Q162" s="387" t="s">
        <v>539</v>
      </c>
      <c r="R162" s="387" t="s">
        <v>2651</v>
      </c>
      <c r="S162" s="387" t="s">
        <v>541</v>
      </c>
      <c r="T162" s="387" t="s">
        <v>757</v>
      </c>
      <c r="U162" s="388">
        <v>292780</v>
      </c>
      <c r="V162" s="387">
        <v>6004405001731</v>
      </c>
      <c r="W162" s="387">
        <v>6004405001731</v>
      </c>
      <c r="X162" s="387" t="s">
        <v>543</v>
      </c>
      <c r="Y162" s="387">
        <v>16004405001731</v>
      </c>
      <c r="Z162" s="387" t="s">
        <v>543</v>
      </c>
      <c r="AA162" s="388" t="s">
        <v>543</v>
      </c>
      <c r="AB162" s="388" t="s">
        <v>543</v>
      </c>
      <c r="AC162" s="387">
        <v>789682001</v>
      </c>
      <c r="AD162" s="389">
        <v>10</v>
      </c>
      <c r="AE162" s="390">
        <v>44317</v>
      </c>
      <c r="AF162" s="390">
        <v>45412</v>
      </c>
      <c r="AG162" s="390">
        <v>45412</v>
      </c>
      <c r="AH162" s="391" t="s">
        <v>2652</v>
      </c>
      <c r="AI162" s="391" t="s">
        <v>1979</v>
      </c>
      <c r="AJ162" s="391">
        <v>9</v>
      </c>
      <c r="AK162" s="390">
        <v>44896</v>
      </c>
      <c r="AL162" s="389">
        <v>100</v>
      </c>
      <c r="AM162" s="391" t="s">
        <v>548</v>
      </c>
      <c r="AN162" s="391" t="s">
        <v>549</v>
      </c>
      <c r="AO162" s="391" t="s">
        <v>2653</v>
      </c>
    </row>
    <row r="163" spans="1:43" ht="16" thickBot="1">
      <c r="A163" s="387" t="s">
        <v>1748</v>
      </c>
      <c r="B163" s="387" t="s">
        <v>544</v>
      </c>
      <c r="C163" s="387" t="s">
        <v>2654</v>
      </c>
      <c r="D163" s="387" t="s">
        <v>2655</v>
      </c>
      <c r="E163" s="387">
        <v>4</v>
      </c>
      <c r="F163" s="387" t="s">
        <v>531</v>
      </c>
      <c r="G163" s="387">
        <v>4</v>
      </c>
      <c r="H163" s="387" t="s">
        <v>531</v>
      </c>
      <c r="I163" s="387" t="s">
        <v>1751</v>
      </c>
      <c r="J163" s="387" t="s">
        <v>2656</v>
      </c>
      <c r="K163" s="387" t="s">
        <v>2657</v>
      </c>
      <c r="L163" s="387" t="s">
        <v>1975</v>
      </c>
      <c r="M163" s="387" t="s">
        <v>1976</v>
      </c>
      <c r="N163" s="388">
        <v>4.6399999999999997</v>
      </c>
      <c r="O163" s="388">
        <v>14</v>
      </c>
      <c r="P163" s="387" t="s">
        <v>538</v>
      </c>
      <c r="Q163" s="387" t="s">
        <v>539</v>
      </c>
      <c r="R163" s="387" t="s">
        <v>2651</v>
      </c>
      <c r="S163" s="387" t="s">
        <v>541</v>
      </c>
      <c r="T163" s="387" t="s">
        <v>757</v>
      </c>
      <c r="U163" s="388">
        <v>974370</v>
      </c>
      <c r="V163" s="387" t="s">
        <v>543</v>
      </c>
      <c r="W163" s="387" t="s">
        <v>543</v>
      </c>
      <c r="X163" s="387" t="s">
        <v>543</v>
      </c>
      <c r="Y163" s="387" t="s">
        <v>543</v>
      </c>
      <c r="Z163" s="387" t="s">
        <v>543</v>
      </c>
      <c r="AA163" s="388" t="s">
        <v>543</v>
      </c>
      <c r="AB163" s="388" t="s">
        <v>543</v>
      </c>
      <c r="AC163" s="387" t="s">
        <v>543</v>
      </c>
      <c r="AD163" s="389">
        <v>10</v>
      </c>
      <c r="AE163" s="390">
        <v>44317</v>
      </c>
      <c r="AF163" s="390">
        <v>45412</v>
      </c>
      <c r="AG163" s="390">
        <v>45412</v>
      </c>
      <c r="AH163" s="391" t="s">
        <v>2658</v>
      </c>
      <c r="AI163" s="391" t="s">
        <v>1979</v>
      </c>
      <c r="AJ163" s="391">
        <v>9</v>
      </c>
      <c r="AK163" s="390">
        <v>44896</v>
      </c>
      <c r="AL163" s="389">
        <v>100</v>
      </c>
      <c r="AM163" s="391" t="s">
        <v>548</v>
      </c>
      <c r="AN163" s="391" t="s">
        <v>549</v>
      </c>
      <c r="AO163" s="391" t="s">
        <v>2659</v>
      </c>
    </row>
    <row r="164" spans="1:43" ht="16" thickBot="1">
      <c r="A164" s="387" t="s">
        <v>1748</v>
      </c>
      <c r="B164" s="387" t="s">
        <v>651</v>
      </c>
      <c r="C164" s="387" t="s">
        <v>2660</v>
      </c>
      <c r="D164" s="387" t="s">
        <v>2661</v>
      </c>
      <c r="E164" s="387">
        <v>10</v>
      </c>
      <c r="F164" s="387" t="s">
        <v>531</v>
      </c>
      <c r="G164" s="387">
        <v>10</v>
      </c>
      <c r="H164" s="387" t="s">
        <v>531</v>
      </c>
      <c r="I164" s="387" t="s">
        <v>1751</v>
      </c>
      <c r="J164" s="387" t="s">
        <v>2662</v>
      </c>
      <c r="K164" s="387" t="s">
        <v>2663</v>
      </c>
      <c r="L164" s="387" t="s">
        <v>1975</v>
      </c>
      <c r="M164" s="387" t="s">
        <v>1976</v>
      </c>
      <c r="N164" s="388">
        <v>6.9</v>
      </c>
      <c r="O164" s="388">
        <v>14</v>
      </c>
      <c r="P164" s="387" t="s">
        <v>538</v>
      </c>
      <c r="Q164" s="387" t="s">
        <v>539</v>
      </c>
      <c r="R164" s="387" t="s">
        <v>2664</v>
      </c>
      <c r="S164" s="387" t="s">
        <v>541</v>
      </c>
      <c r="T164" s="387" t="s">
        <v>757</v>
      </c>
      <c r="U164" s="388">
        <v>971660</v>
      </c>
      <c r="V164" s="387" t="s">
        <v>543</v>
      </c>
      <c r="W164" s="387" t="s">
        <v>543</v>
      </c>
      <c r="X164" s="387" t="s">
        <v>543</v>
      </c>
      <c r="Y164" s="387" t="s">
        <v>543</v>
      </c>
      <c r="Z164" s="387" t="s">
        <v>543</v>
      </c>
      <c r="AA164" s="388" t="s">
        <v>543</v>
      </c>
      <c r="AB164" s="388" t="s">
        <v>543</v>
      </c>
      <c r="AC164" s="387" t="s">
        <v>543</v>
      </c>
      <c r="AD164" s="389">
        <v>10</v>
      </c>
      <c r="AE164" s="390">
        <v>44317</v>
      </c>
      <c r="AF164" s="390">
        <v>45412</v>
      </c>
      <c r="AG164" s="391" t="s">
        <v>545</v>
      </c>
      <c r="AH164" s="391" t="s">
        <v>2665</v>
      </c>
      <c r="AI164" s="391" t="s">
        <v>1979</v>
      </c>
      <c r="AJ164" s="391">
        <v>0</v>
      </c>
      <c r="AK164" s="390">
        <v>44317</v>
      </c>
      <c r="AL164" s="389">
        <v>100</v>
      </c>
      <c r="AM164" s="391" t="s">
        <v>548</v>
      </c>
      <c r="AN164" s="391" t="s">
        <v>549</v>
      </c>
      <c r="AO164" s="391" t="s">
        <v>2666</v>
      </c>
    </row>
    <row r="165" spans="1:43" ht="16" thickBot="1">
      <c r="A165" s="387" t="s">
        <v>1748</v>
      </c>
      <c r="B165" s="387" t="s">
        <v>1003</v>
      </c>
      <c r="C165" s="387" t="s">
        <v>2667</v>
      </c>
      <c r="D165" s="387" t="s">
        <v>2668</v>
      </c>
      <c r="E165" s="387">
        <v>4</v>
      </c>
      <c r="F165" s="387" t="s">
        <v>531</v>
      </c>
      <c r="G165" s="387">
        <v>4</v>
      </c>
      <c r="H165" s="387" t="s">
        <v>531</v>
      </c>
      <c r="I165" s="387" t="s">
        <v>1751</v>
      </c>
      <c r="J165" s="387" t="s">
        <v>2662</v>
      </c>
      <c r="K165" s="387" t="s">
        <v>2669</v>
      </c>
      <c r="L165" s="387" t="s">
        <v>1975</v>
      </c>
      <c r="M165" s="387" t="s">
        <v>1976</v>
      </c>
      <c r="N165" s="388">
        <v>16.68</v>
      </c>
      <c r="O165" s="388">
        <v>14</v>
      </c>
      <c r="P165" s="387" t="s">
        <v>538</v>
      </c>
      <c r="Q165" s="387" t="s">
        <v>539</v>
      </c>
      <c r="R165" s="387" t="s">
        <v>2664</v>
      </c>
      <c r="S165" s="387" t="s">
        <v>541</v>
      </c>
      <c r="T165" s="387" t="s">
        <v>757</v>
      </c>
      <c r="U165" s="388">
        <v>206140</v>
      </c>
      <c r="V165" s="387">
        <v>6003252057840</v>
      </c>
      <c r="W165" s="387">
        <v>6003252057840</v>
      </c>
      <c r="X165" s="387" t="s">
        <v>543</v>
      </c>
      <c r="Y165" s="387">
        <v>16003252057847</v>
      </c>
      <c r="Z165" s="387" t="s">
        <v>543</v>
      </c>
      <c r="AA165" s="388" t="s">
        <v>543</v>
      </c>
      <c r="AB165" s="388" t="s">
        <v>543</v>
      </c>
      <c r="AC165" s="387">
        <v>740292005</v>
      </c>
      <c r="AD165" s="389">
        <v>10</v>
      </c>
      <c r="AE165" s="390">
        <v>44317</v>
      </c>
      <c r="AF165" s="390">
        <v>45412</v>
      </c>
      <c r="AG165" s="391" t="s">
        <v>545</v>
      </c>
      <c r="AH165" s="391" t="s">
        <v>2670</v>
      </c>
      <c r="AI165" s="391" t="s">
        <v>1979</v>
      </c>
      <c r="AJ165" s="391">
        <v>0</v>
      </c>
      <c r="AK165" s="390">
        <v>44317</v>
      </c>
      <c r="AL165" s="389">
        <v>100</v>
      </c>
      <c r="AM165" s="391" t="s">
        <v>548</v>
      </c>
      <c r="AN165" s="391" t="s">
        <v>549</v>
      </c>
      <c r="AO165" s="391" t="s">
        <v>2666</v>
      </c>
    </row>
    <row r="166" spans="1:43" ht="16" thickBot="1">
      <c r="A166" s="387" t="s">
        <v>1717</v>
      </c>
      <c r="B166" s="387" t="s">
        <v>2671</v>
      </c>
      <c r="C166" s="387" t="s">
        <v>2672</v>
      </c>
      <c r="D166" s="387" t="s">
        <v>2673</v>
      </c>
      <c r="E166" s="387">
        <v>30</v>
      </c>
      <c r="F166" s="387" t="s">
        <v>559</v>
      </c>
      <c r="G166" s="387">
        <v>30</v>
      </c>
      <c r="H166" s="387" t="s">
        <v>559</v>
      </c>
      <c r="I166" s="387" t="s">
        <v>560</v>
      </c>
      <c r="J166" s="387" t="s">
        <v>2674</v>
      </c>
      <c r="K166" s="387" t="s">
        <v>2675</v>
      </c>
      <c r="L166" s="387" t="s">
        <v>1771</v>
      </c>
      <c r="M166" s="387" t="s">
        <v>1772</v>
      </c>
      <c r="N166" s="388">
        <v>90.85</v>
      </c>
      <c r="O166" s="388">
        <v>14</v>
      </c>
      <c r="P166" s="387" t="s">
        <v>538</v>
      </c>
      <c r="Q166" s="387" t="s">
        <v>539</v>
      </c>
      <c r="R166" s="387" t="s">
        <v>2676</v>
      </c>
      <c r="S166" s="387" t="s">
        <v>171</v>
      </c>
      <c r="T166" s="387" t="s">
        <v>757</v>
      </c>
      <c r="U166" s="388">
        <v>12700</v>
      </c>
      <c r="V166" s="387" t="s">
        <v>543</v>
      </c>
      <c r="W166" s="387" t="s">
        <v>543</v>
      </c>
      <c r="X166" s="387" t="s">
        <v>543</v>
      </c>
      <c r="Y166" s="387" t="s">
        <v>543</v>
      </c>
      <c r="Z166" s="387" t="s">
        <v>543</v>
      </c>
      <c r="AA166" s="388" t="s">
        <v>543</v>
      </c>
      <c r="AB166" s="388" t="s">
        <v>543</v>
      </c>
      <c r="AC166" s="387" t="s">
        <v>543</v>
      </c>
      <c r="AD166" s="389">
        <v>48</v>
      </c>
      <c r="AE166" s="390">
        <v>45047</v>
      </c>
      <c r="AF166" s="390">
        <v>46142</v>
      </c>
      <c r="AG166" s="391" t="s">
        <v>545</v>
      </c>
      <c r="AH166" s="391" t="s">
        <v>2677</v>
      </c>
      <c r="AI166" s="391" t="s">
        <v>1776</v>
      </c>
      <c r="AJ166" s="391">
        <v>0</v>
      </c>
      <c r="AK166" s="390">
        <v>45047</v>
      </c>
      <c r="AL166" s="389">
        <v>100</v>
      </c>
      <c r="AM166" s="391" t="s">
        <v>548</v>
      </c>
      <c r="AN166" s="391" t="s">
        <v>549</v>
      </c>
      <c r="AO166" s="391" t="s">
        <v>2678</v>
      </c>
    </row>
    <row r="167" spans="1:43" ht="16" thickBot="1">
      <c r="A167" s="387" t="s">
        <v>1717</v>
      </c>
      <c r="B167" s="387" t="s">
        <v>2679</v>
      </c>
      <c r="C167" s="387" t="s">
        <v>2680</v>
      </c>
      <c r="D167" s="387" t="s">
        <v>2681</v>
      </c>
      <c r="E167" s="387">
        <v>30</v>
      </c>
      <c r="F167" s="387" t="s">
        <v>559</v>
      </c>
      <c r="G167" s="387">
        <v>30</v>
      </c>
      <c r="H167" s="387" t="s">
        <v>559</v>
      </c>
      <c r="I167" s="387" t="s">
        <v>560</v>
      </c>
      <c r="J167" s="387" t="s">
        <v>2674</v>
      </c>
      <c r="K167" s="387" t="s">
        <v>2682</v>
      </c>
      <c r="L167" s="387" t="s">
        <v>1771</v>
      </c>
      <c r="M167" s="387" t="s">
        <v>1772</v>
      </c>
      <c r="N167" s="388">
        <v>97.75</v>
      </c>
      <c r="O167" s="388">
        <v>14</v>
      </c>
      <c r="P167" s="387" t="s">
        <v>538</v>
      </c>
      <c r="Q167" s="387" t="s">
        <v>539</v>
      </c>
      <c r="R167" s="387" t="s">
        <v>2676</v>
      </c>
      <c r="S167" s="387" t="s">
        <v>171</v>
      </c>
      <c r="T167" s="387" t="s">
        <v>757</v>
      </c>
      <c r="U167" s="388">
        <v>12500</v>
      </c>
      <c r="V167" s="387" t="s">
        <v>543</v>
      </c>
      <c r="W167" s="387" t="s">
        <v>543</v>
      </c>
      <c r="X167" s="387" t="s">
        <v>543</v>
      </c>
      <c r="Y167" s="387" t="s">
        <v>543</v>
      </c>
      <c r="Z167" s="387" t="s">
        <v>543</v>
      </c>
      <c r="AA167" s="388" t="s">
        <v>543</v>
      </c>
      <c r="AB167" s="388" t="s">
        <v>543</v>
      </c>
      <c r="AC167" s="387" t="s">
        <v>543</v>
      </c>
      <c r="AD167" s="389">
        <v>48</v>
      </c>
      <c r="AE167" s="390">
        <v>45047</v>
      </c>
      <c r="AF167" s="390">
        <v>46142</v>
      </c>
      <c r="AG167" s="391" t="s">
        <v>545</v>
      </c>
      <c r="AH167" s="391" t="s">
        <v>2683</v>
      </c>
      <c r="AI167" s="391" t="s">
        <v>1776</v>
      </c>
      <c r="AJ167" s="391">
        <v>0</v>
      </c>
      <c r="AK167" s="390">
        <v>45047</v>
      </c>
      <c r="AL167" s="389">
        <v>100</v>
      </c>
      <c r="AM167" s="391" t="s">
        <v>548</v>
      </c>
      <c r="AN167" s="391" t="s">
        <v>549</v>
      </c>
      <c r="AO167" s="391" t="s">
        <v>2684</v>
      </c>
    </row>
    <row r="168" spans="1:43" ht="16" thickBot="1">
      <c r="A168" s="387" t="s">
        <v>2166</v>
      </c>
      <c r="B168" s="387" t="s">
        <v>784</v>
      </c>
      <c r="C168" s="387" t="s">
        <v>2685</v>
      </c>
      <c r="D168" s="387" t="s">
        <v>2686</v>
      </c>
      <c r="E168" s="387">
        <v>100</v>
      </c>
      <c r="F168" s="387" t="s">
        <v>559</v>
      </c>
      <c r="G168" s="387">
        <v>100</v>
      </c>
      <c r="H168" s="387" t="s">
        <v>559</v>
      </c>
      <c r="I168" s="387" t="s">
        <v>560</v>
      </c>
      <c r="J168" s="387" t="s">
        <v>2687</v>
      </c>
      <c r="K168" s="387" t="s">
        <v>2688</v>
      </c>
      <c r="L168" s="387" t="s">
        <v>535</v>
      </c>
      <c r="M168" s="387" t="s">
        <v>536</v>
      </c>
      <c r="N168" s="388">
        <v>1248.68</v>
      </c>
      <c r="O168" s="388">
        <v>14</v>
      </c>
      <c r="P168" s="387" t="s">
        <v>611</v>
      </c>
      <c r="Q168" s="387" t="s">
        <v>668</v>
      </c>
      <c r="R168" s="387" t="s">
        <v>2689</v>
      </c>
      <c r="S168" s="387" t="s">
        <v>614</v>
      </c>
      <c r="T168" s="387" t="s">
        <v>160</v>
      </c>
      <c r="U168" s="388">
        <v>264</v>
      </c>
      <c r="V168" s="387">
        <v>6001390135796</v>
      </c>
      <c r="W168" s="387">
        <v>6001390135796</v>
      </c>
      <c r="X168" s="387" t="s">
        <v>543</v>
      </c>
      <c r="Y168" s="387">
        <v>16001390135796</v>
      </c>
      <c r="Z168" s="387" t="s">
        <v>543</v>
      </c>
      <c r="AA168" s="388" t="s">
        <v>543</v>
      </c>
      <c r="AB168" s="388" t="s">
        <v>543</v>
      </c>
      <c r="AC168" s="387">
        <v>745413005</v>
      </c>
      <c r="AD168" s="389">
        <v>1</v>
      </c>
      <c r="AE168" s="390">
        <v>44743</v>
      </c>
      <c r="AF168" s="390">
        <v>45473</v>
      </c>
      <c r="AG168" s="391" t="s">
        <v>545</v>
      </c>
      <c r="AH168" s="391" t="s">
        <v>2690</v>
      </c>
      <c r="AI168" s="391" t="s">
        <v>547</v>
      </c>
      <c r="AJ168" s="391">
        <v>0</v>
      </c>
      <c r="AK168" s="390">
        <v>44743</v>
      </c>
      <c r="AL168" s="389">
        <v>100</v>
      </c>
      <c r="AM168" s="391" t="s">
        <v>548</v>
      </c>
      <c r="AN168" s="391" t="s">
        <v>549</v>
      </c>
      <c r="AO168" s="391" t="s">
        <v>2691</v>
      </c>
    </row>
    <row r="169" spans="1:43" ht="16" thickBot="1">
      <c r="A169" s="387" t="s">
        <v>1717</v>
      </c>
      <c r="B169" s="387" t="s">
        <v>2692</v>
      </c>
      <c r="C169" s="387" t="s">
        <v>2693</v>
      </c>
      <c r="D169" s="387" t="s">
        <v>2694</v>
      </c>
      <c r="E169" s="387">
        <v>4</v>
      </c>
      <c r="F169" s="387" t="s">
        <v>559</v>
      </c>
      <c r="G169" s="387">
        <v>4</v>
      </c>
      <c r="H169" s="387" t="s">
        <v>559</v>
      </c>
      <c r="I169" s="387" t="s">
        <v>560</v>
      </c>
      <c r="J169" s="387" t="s">
        <v>2695</v>
      </c>
      <c r="K169" s="387" t="s">
        <v>2696</v>
      </c>
      <c r="L169" s="387" t="s">
        <v>1916</v>
      </c>
      <c r="M169" s="387" t="s">
        <v>1917</v>
      </c>
      <c r="N169" s="388">
        <v>255.89</v>
      </c>
      <c r="O169" s="388">
        <v>14</v>
      </c>
      <c r="P169" s="387" t="s">
        <v>611</v>
      </c>
      <c r="Q169" s="387" t="s">
        <v>612</v>
      </c>
      <c r="R169" s="387" t="s">
        <v>2697</v>
      </c>
      <c r="S169" s="387" t="s">
        <v>614</v>
      </c>
      <c r="T169" s="387" t="s">
        <v>160</v>
      </c>
      <c r="U169" s="388">
        <v>54138</v>
      </c>
      <c r="V169" s="387">
        <v>6005561000531</v>
      </c>
      <c r="W169" s="387">
        <v>6005561000531</v>
      </c>
      <c r="X169" s="387" t="s">
        <v>543</v>
      </c>
      <c r="Y169" s="387" t="s">
        <v>543</v>
      </c>
      <c r="Z169" s="387" t="s">
        <v>543</v>
      </c>
      <c r="AA169" s="388" t="s">
        <v>543</v>
      </c>
      <c r="AB169" s="388" t="s">
        <v>543</v>
      </c>
      <c r="AC169" s="387">
        <v>842109013</v>
      </c>
      <c r="AD169" s="389">
        <v>1</v>
      </c>
      <c r="AE169" s="390">
        <v>45047</v>
      </c>
      <c r="AF169" s="390">
        <v>46142</v>
      </c>
      <c r="AG169" s="391" t="s">
        <v>545</v>
      </c>
      <c r="AH169" s="391" t="s">
        <v>2698</v>
      </c>
      <c r="AI169" s="391" t="s">
        <v>1920</v>
      </c>
      <c r="AJ169" s="391">
        <v>0</v>
      </c>
      <c r="AK169" s="390">
        <v>45047</v>
      </c>
      <c r="AL169" s="389">
        <v>100</v>
      </c>
      <c r="AM169" s="391" t="s">
        <v>548</v>
      </c>
      <c r="AN169" s="391" t="s">
        <v>549</v>
      </c>
      <c r="AO169" s="391" t="s">
        <v>2699</v>
      </c>
    </row>
    <row r="170" spans="1:43" ht="16" thickBot="1">
      <c r="A170" s="387" t="s">
        <v>1748</v>
      </c>
      <c r="B170" s="387" t="s">
        <v>989</v>
      </c>
      <c r="C170" s="387" t="s">
        <v>2700</v>
      </c>
      <c r="D170" s="387" t="s">
        <v>2701</v>
      </c>
      <c r="E170" s="387">
        <v>1</v>
      </c>
      <c r="F170" s="387" t="s">
        <v>531</v>
      </c>
      <c r="G170" s="387">
        <v>1</v>
      </c>
      <c r="H170" s="387" t="s">
        <v>531</v>
      </c>
      <c r="I170" s="387" t="s">
        <v>1751</v>
      </c>
      <c r="J170" s="387" t="s">
        <v>2702</v>
      </c>
      <c r="K170" s="387" t="s">
        <v>2703</v>
      </c>
      <c r="L170" s="387" t="s">
        <v>2704</v>
      </c>
      <c r="M170" s="387" t="s">
        <v>2705</v>
      </c>
      <c r="N170" s="388">
        <v>380.73</v>
      </c>
      <c r="O170" s="388">
        <v>14</v>
      </c>
      <c r="P170" s="387" t="s">
        <v>538</v>
      </c>
      <c r="Q170" s="387" t="s">
        <v>539</v>
      </c>
      <c r="R170" s="387" t="s">
        <v>2706</v>
      </c>
      <c r="S170" s="387" t="s">
        <v>541</v>
      </c>
      <c r="T170" s="387" t="s">
        <v>757</v>
      </c>
      <c r="U170" s="388">
        <v>185250</v>
      </c>
      <c r="V170" s="387">
        <v>8025153001744</v>
      </c>
      <c r="W170" s="387">
        <v>8025153001744</v>
      </c>
      <c r="X170" s="387" t="s">
        <v>543</v>
      </c>
      <c r="Y170" s="387">
        <v>606119013683</v>
      </c>
      <c r="Z170" s="387" t="s">
        <v>543</v>
      </c>
      <c r="AA170" s="388" t="s">
        <v>543</v>
      </c>
      <c r="AB170" s="388" t="s">
        <v>543</v>
      </c>
      <c r="AC170" s="387">
        <v>720951002</v>
      </c>
      <c r="AD170" s="389">
        <v>100</v>
      </c>
      <c r="AE170" s="390">
        <v>44317</v>
      </c>
      <c r="AF170" s="390">
        <v>45412</v>
      </c>
      <c r="AG170" s="391" t="s">
        <v>545</v>
      </c>
      <c r="AH170" s="391" t="s">
        <v>2707</v>
      </c>
      <c r="AI170" s="391" t="s">
        <v>2708</v>
      </c>
      <c r="AJ170" s="391">
        <v>0</v>
      </c>
      <c r="AK170" s="390">
        <v>44317</v>
      </c>
      <c r="AL170" s="389">
        <v>100</v>
      </c>
      <c r="AM170" s="391" t="s">
        <v>548</v>
      </c>
      <c r="AN170" s="391" t="s">
        <v>549</v>
      </c>
      <c r="AO170" s="391" t="s">
        <v>2709</v>
      </c>
    </row>
    <row r="171" spans="1:43" ht="16" thickBot="1">
      <c r="A171" s="387" t="s">
        <v>1729</v>
      </c>
      <c r="B171" s="387" t="s">
        <v>784</v>
      </c>
      <c r="C171" s="387" t="s">
        <v>2710</v>
      </c>
      <c r="D171" s="387" t="s">
        <v>2711</v>
      </c>
      <c r="E171" s="387">
        <v>100</v>
      </c>
      <c r="F171" s="387" t="s">
        <v>531</v>
      </c>
      <c r="G171" s="387">
        <v>100</v>
      </c>
      <c r="H171" s="387" t="s">
        <v>531</v>
      </c>
      <c r="I171" s="387" t="s">
        <v>2712</v>
      </c>
      <c r="J171" s="387" t="s">
        <v>2713</v>
      </c>
      <c r="K171" s="387" t="s">
        <v>2714</v>
      </c>
      <c r="L171" s="387" t="s">
        <v>1855</v>
      </c>
      <c r="M171" s="387" t="s">
        <v>1856</v>
      </c>
      <c r="N171" s="388">
        <v>4.22</v>
      </c>
      <c r="O171" s="388">
        <v>14</v>
      </c>
      <c r="P171" s="387" t="s">
        <v>538</v>
      </c>
      <c r="Q171" s="387" t="s">
        <v>539</v>
      </c>
      <c r="R171" s="387" t="s">
        <v>2715</v>
      </c>
      <c r="S171" s="387" t="s">
        <v>614</v>
      </c>
      <c r="T171" s="387" t="s">
        <v>542</v>
      </c>
      <c r="U171" s="388">
        <v>2312172</v>
      </c>
      <c r="V171" s="387">
        <v>6001668005059</v>
      </c>
      <c r="W171" s="387" t="s">
        <v>543</v>
      </c>
      <c r="X171" s="387" t="s">
        <v>543</v>
      </c>
      <c r="Y171" s="387">
        <v>16001668005056</v>
      </c>
      <c r="Z171" s="387" t="s">
        <v>543</v>
      </c>
      <c r="AA171" s="388" t="s">
        <v>543</v>
      </c>
      <c r="AB171" s="388" t="s">
        <v>543</v>
      </c>
      <c r="AC171" s="387" t="s">
        <v>543</v>
      </c>
      <c r="AD171" s="389">
        <v>120</v>
      </c>
      <c r="AE171" s="390">
        <v>44105</v>
      </c>
      <c r="AF171" s="390">
        <v>45199</v>
      </c>
      <c r="AG171" s="390">
        <v>45199</v>
      </c>
      <c r="AH171" s="391" t="s">
        <v>2716</v>
      </c>
      <c r="AI171" s="391" t="s">
        <v>1859</v>
      </c>
      <c r="AJ171" s="391">
        <v>6</v>
      </c>
      <c r="AK171" s="390">
        <v>44317</v>
      </c>
      <c r="AL171" s="389">
        <v>100</v>
      </c>
      <c r="AM171" s="391" t="s">
        <v>548</v>
      </c>
      <c r="AN171" s="391" t="s">
        <v>545</v>
      </c>
      <c r="AO171" s="391" t="s">
        <v>2717</v>
      </c>
      <c r="AP171" s="372">
        <f>N171/E171</f>
        <v>4.2199999999999994E-2</v>
      </c>
      <c r="AQ171" s="372">
        <f>AP171</f>
        <v>4.2199999999999994E-2</v>
      </c>
    </row>
    <row r="172" spans="1:43" ht="16" thickBot="1">
      <c r="A172" s="387" t="s">
        <v>2177</v>
      </c>
      <c r="B172" s="387" t="s">
        <v>1003</v>
      </c>
      <c r="C172" s="387" t="s">
        <v>2718</v>
      </c>
      <c r="D172" s="387" t="s">
        <v>2719</v>
      </c>
      <c r="E172" s="387">
        <v>30</v>
      </c>
      <c r="F172" s="387" t="s">
        <v>2180</v>
      </c>
      <c r="G172" s="387">
        <v>30</v>
      </c>
      <c r="H172" s="387" t="s">
        <v>2180</v>
      </c>
      <c r="I172" s="387" t="s">
        <v>2720</v>
      </c>
      <c r="J172" s="387" t="s">
        <v>2721</v>
      </c>
      <c r="K172" s="387" t="s">
        <v>2722</v>
      </c>
      <c r="L172" s="387" t="s">
        <v>654</v>
      </c>
      <c r="M172" s="387" t="s">
        <v>655</v>
      </c>
      <c r="N172" s="388">
        <v>429.1</v>
      </c>
      <c r="O172" s="388">
        <v>14</v>
      </c>
      <c r="P172" s="387" t="s">
        <v>611</v>
      </c>
      <c r="Q172" s="387" t="s">
        <v>612</v>
      </c>
      <c r="R172" s="387" t="s">
        <v>2723</v>
      </c>
      <c r="S172" s="387" t="s">
        <v>614</v>
      </c>
      <c r="T172" s="387" t="s">
        <v>160</v>
      </c>
      <c r="U172" s="388">
        <v>53500</v>
      </c>
      <c r="V172" s="387">
        <v>6004405004384</v>
      </c>
      <c r="W172" s="387" t="s">
        <v>543</v>
      </c>
      <c r="X172" s="387" t="s">
        <v>543</v>
      </c>
      <c r="Y172" s="387">
        <v>16004405004381</v>
      </c>
      <c r="Z172" s="387" t="s">
        <v>543</v>
      </c>
      <c r="AA172" s="388" t="s">
        <v>543</v>
      </c>
      <c r="AB172" s="388" t="s">
        <v>543</v>
      </c>
      <c r="AC172" s="387" t="s">
        <v>543</v>
      </c>
      <c r="AD172" s="389">
        <v>200</v>
      </c>
      <c r="AE172" s="390">
        <v>44013</v>
      </c>
      <c r="AF172" s="390">
        <v>45107</v>
      </c>
      <c r="AG172" s="390">
        <v>45107</v>
      </c>
      <c r="AH172" s="391" t="s">
        <v>2724</v>
      </c>
      <c r="AI172" s="391" t="s">
        <v>658</v>
      </c>
      <c r="AJ172" s="391">
        <v>55</v>
      </c>
      <c r="AK172" s="390">
        <v>45047</v>
      </c>
      <c r="AL172" s="389">
        <v>100</v>
      </c>
      <c r="AM172" s="391" t="s">
        <v>548</v>
      </c>
      <c r="AN172" s="391" t="s">
        <v>545</v>
      </c>
      <c r="AO172" s="391" t="s">
        <v>2725</v>
      </c>
    </row>
    <row r="173" spans="1:43" ht="16" thickBot="1">
      <c r="A173" s="387" t="s">
        <v>1717</v>
      </c>
      <c r="B173" s="387" t="s">
        <v>2726</v>
      </c>
      <c r="C173" s="387" t="s">
        <v>2727</v>
      </c>
      <c r="D173" s="387" t="s">
        <v>2728</v>
      </c>
      <c r="E173" s="387">
        <v>10</v>
      </c>
      <c r="F173" s="387" t="s">
        <v>559</v>
      </c>
      <c r="G173" s="387" t="s">
        <v>543</v>
      </c>
      <c r="H173" s="387" t="s">
        <v>559</v>
      </c>
      <c r="I173" s="387" t="s">
        <v>560</v>
      </c>
      <c r="J173" s="387" t="s">
        <v>2729</v>
      </c>
      <c r="K173" s="387" t="s">
        <v>2730</v>
      </c>
      <c r="L173" s="387" t="s">
        <v>2062</v>
      </c>
      <c r="M173" s="387" t="s">
        <v>2063</v>
      </c>
      <c r="N173" s="388">
        <v>7.06</v>
      </c>
      <c r="O173" s="388">
        <v>14</v>
      </c>
      <c r="P173" s="387" t="s">
        <v>538</v>
      </c>
      <c r="Q173" s="387" t="s">
        <v>539</v>
      </c>
      <c r="R173" s="387" t="s">
        <v>2731</v>
      </c>
      <c r="S173" s="387" t="s">
        <v>171</v>
      </c>
      <c r="T173" s="387" t="s">
        <v>542</v>
      </c>
      <c r="U173" s="388">
        <v>5849708</v>
      </c>
      <c r="V173" s="387">
        <v>6009881036188</v>
      </c>
      <c r="W173" s="387" t="s">
        <v>543</v>
      </c>
      <c r="X173" s="387" t="s">
        <v>543</v>
      </c>
      <c r="Y173" s="387">
        <v>16009881036185</v>
      </c>
      <c r="Z173" s="387" t="s">
        <v>543</v>
      </c>
      <c r="AA173" s="388" t="s">
        <v>543</v>
      </c>
      <c r="AB173" s="388" t="s">
        <v>543</v>
      </c>
      <c r="AC173" s="387" t="s">
        <v>543</v>
      </c>
      <c r="AD173" s="389">
        <v>300</v>
      </c>
      <c r="AE173" s="390">
        <v>45047</v>
      </c>
      <c r="AF173" s="390">
        <v>46142</v>
      </c>
      <c r="AG173" s="391" t="s">
        <v>545</v>
      </c>
      <c r="AH173" s="391" t="s">
        <v>2732</v>
      </c>
      <c r="AI173" s="391" t="s">
        <v>2064</v>
      </c>
      <c r="AJ173" s="391">
        <v>0</v>
      </c>
      <c r="AK173" s="390">
        <v>45047</v>
      </c>
      <c r="AL173" s="389">
        <v>40</v>
      </c>
      <c r="AM173" s="391" t="s">
        <v>548</v>
      </c>
      <c r="AN173" s="391" t="s">
        <v>549</v>
      </c>
      <c r="AO173" s="391" t="s">
        <v>2733</v>
      </c>
      <c r="AP173" s="372">
        <f>N173/E173</f>
        <v>0.70599999999999996</v>
      </c>
      <c r="AQ173" s="372">
        <f>SUMPRODUCT(AP173:AP174,U173:U174)/SUM(U173:U174)</f>
        <v>0.68440000098466458</v>
      </c>
    </row>
    <row r="174" spans="1:43" ht="16" thickBot="1">
      <c r="A174" s="387" t="s">
        <v>1717</v>
      </c>
      <c r="B174" s="387" t="s">
        <v>2726</v>
      </c>
      <c r="C174" s="387" t="s">
        <v>2727</v>
      </c>
      <c r="D174" s="387" t="s">
        <v>2728</v>
      </c>
      <c r="E174" s="387">
        <v>10</v>
      </c>
      <c r="F174" s="387" t="s">
        <v>559</v>
      </c>
      <c r="G174" s="387" t="s">
        <v>543</v>
      </c>
      <c r="H174" s="387" t="s">
        <v>559</v>
      </c>
      <c r="I174" s="387" t="s">
        <v>560</v>
      </c>
      <c r="J174" s="387" t="s">
        <v>2729</v>
      </c>
      <c r="K174" s="387" t="s">
        <v>2734</v>
      </c>
      <c r="L174" s="387" t="s">
        <v>2735</v>
      </c>
      <c r="M174" s="387" t="s">
        <v>2736</v>
      </c>
      <c r="N174" s="388">
        <v>6.7</v>
      </c>
      <c r="O174" s="388">
        <v>14</v>
      </c>
      <c r="P174" s="387" t="s">
        <v>538</v>
      </c>
      <c r="Q174" s="387" t="s">
        <v>539</v>
      </c>
      <c r="R174" s="387" t="s">
        <v>2731</v>
      </c>
      <c r="S174" s="387" t="s">
        <v>171</v>
      </c>
      <c r="T174" s="387" t="s">
        <v>542</v>
      </c>
      <c r="U174" s="388">
        <v>8774561</v>
      </c>
      <c r="V174" s="387">
        <v>6009900091662</v>
      </c>
      <c r="W174" s="387">
        <v>6009900091662</v>
      </c>
      <c r="X174" s="387" t="s">
        <v>543</v>
      </c>
      <c r="Y174" s="387">
        <v>16009900091669</v>
      </c>
      <c r="Z174" s="387" t="s">
        <v>543</v>
      </c>
      <c r="AA174" s="388" t="s">
        <v>543</v>
      </c>
      <c r="AB174" s="388" t="s">
        <v>543</v>
      </c>
      <c r="AC174" s="387">
        <v>3002143001</v>
      </c>
      <c r="AD174" s="389">
        <v>700</v>
      </c>
      <c r="AE174" s="390">
        <v>45047</v>
      </c>
      <c r="AF174" s="390">
        <v>46142</v>
      </c>
      <c r="AG174" s="391" t="s">
        <v>545</v>
      </c>
      <c r="AH174" s="391" t="s">
        <v>2732</v>
      </c>
      <c r="AI174" s="391" t="s">
        <v>2737</v>
      </c>
      <c r="AJ174" s="391">
        <v>0</v>
      </c>
      <c r="AK174" s="390">
        <v>45047</v>
      </c>
      <c r="AL174" s="389">
        <v>60</v>
      </c>
      <c r="AM174" s="391" t="s">
        <v>548</v>
      </c>
      <c r="AN174" s="391" t="s">
        <v>549</v>
      </c>
      <c r="AO174" s="391" t="s">
        <v>2733</v>
      </c>
      <c r="AP174" s="372">
        <f>N174/E174</f>
        <v>0.67</v>
      </c>
    </row>
    <row r="175" spans="1:43" ht="16" thickBot="1">
      <c r="A175" s="387" t="s">
        <v>1717</v>
      </c>
      <c r="B175" s="387" t="s">
        <v>2738</v>
      </c>
      <c r="C175" s="387" t="s">
        <v>2739</v>
      </c>
      <c r="D175" s="387" t="s">
        <v>2740</v>
      </c>
      <c r="E175" s="387">
        <v>30</v>
      </c>
      <c r="F175" s="387" t="s">
        <v>559</v>
      </c>
      <c r="G175" s="387" t="s">
        <v>543</v>
      </c>
      <c r="H175" s="387" t="s">
        <v>559</v>
      </c>
      <c r="I175" s="387" t="s">
        <v>560</v>
      </c>
      <c r="J175" s="387" t="s">
        <v>2729</v>
      </c>
      <c r="K175" s="387" t="s">
        <v>2741</v>
      </c>
      <c r="L175" s="387" t="s">
        <v>2735</v>
      </c>
      <c r="M175" s="387" t="s">
        <v>2736</v>
      </c>
      <c r="N175" s="388">
        <v>11.5</v>
      </c>
      <c r="O175" s="388">
        <v>14</v>
      </c>
      <c r="P175" s="387" t="s">
        <v>538</v>
      </c>
      <c r="Q175" s="387" t="s">
        <v>539</v>
      </c>
      <c r="R175" s="387" t="s">
        <v>2731</v>
      </c>
      <c r="S175" s="387" t="s">
        <v>171</v>
      </c>
      <c r="T175" s="387" t="s">
        <v>542</v>
      </c>
      <c r="U175" s="388">
        <v>4852444</v>
      </c>
      <c r="V175" s="387">
        <v>6009888674147</v>
      </c>
      <c r="W175" s="387">
        <v>6009888674147</v>
      </c>
      <c r="X175" s="387" t="s">
        <v>543</v>
      </c>
      <c r="Y175" s="387">
        <v>16009888674144</v>
      </c>
      <c r="Z175" s="387" t="s">
        <v>543</v>
      </c>
      <c r="AA175" s="388" t="s">
        <v>543</v>
      </c>
      <c r="AB175" s="388" t="s">
        <v>543</v>
      </c>
      <c r="AC175" s="387">
        <v>3002143002</v>
      </c>
      <c r="AD175" s="389">
        <v>800</v>
      </c>
      <c r="AE175" s="390">
        <v>45047</v>
      </c>
      <c r="AF175" s="390">
        <v>46142</v>
      </c>
      <c r="AG175" s="391" t="s">
        <v>545</v>
      </c>
      <c r="AH175" s="391" t="s">
        <v>2742</v>
      </c>
      <c r="AI175" s="391" t="s">
        <v>2737</v>
      </c>
      <c r="AJ175" s="391">
        <v>0</v>
      </c>
      <c r="AK175" s="390">
        <v>45047</v>
      </c>
      <c r="AL175" s="389">
        <v>70</v>
      </c>
      <c r="AM175" s="391" t="s">
        <v>548</v>
      </c>
      <c r="AN175" s="391" t="s">
        <v>549</v>
      </c>
      <c r="AO175" s="391" t="s">
        <v>2733</v>
      </c>
      <c r="AP175" s="372">
        <f>N175/E175</f>
        <v>0.38333333333333336</v>
      </c>
      <c r="AQ175" s="372">
        <f>SUMPRODUCT(AP175:AP176,U175:U176)/SUM(U175:U176)</f>
        <v>0.39033333366993345</v>
      </c>
    </row>
    <row r="176" spans="1:43" ht="16" thickBot="1">
      <c r="A176" s="387" t="s">
        <v>1717</v>
      </c>
      <c r="B176" s="387" t="s">
        <v>2738</v>
      </c>
      <c r="C176" s="387" t="s">
        <v>2739</v>
      </c>
      <c r="D176" s="387" t="s">
        <v>2740</v>
      </c>
      <c r="E176" s="387">
        <v>30</v>
      </c>
      <c r="F176" s="387" t="s">
        <v>559</v>
      </c>
      <c r="G176" s="387" t="s">
        <v>543</v>
      </c>
      <c r="H176" s="387" t="s">
        <v>559</v>
      </c>
      <c r="I176" s="387" t="s">
        <v>560</v>
      </c>
      <c r="J176" s="387" t="s">
        <v>2729</v>
      </c>
      <c r="K176" s="387" t="s">
        <v>2730</v>
      </c>
      <c r="L176" s="387" t="s">
        <v>2062</v>
      </c>
      <c r="M176" s="387" t="s">
        <v>2063</v>
      </c>
      <c r="N176" s="388">
        <v>12.2</v>
      </c>
      <c r="O176" s="388">
        <v>14</v>
      </c>
      <c r="P176" s="387" t="s">
        <v>538</v>
      </c>
      <c r="Q176" s="387" t="s">
        <v>539</v>
      </c>
      <c r="R176" s="387" t="s">
        <v>2731</v>
      </c>
      <c r="S176" s="387" t="s">
        <v>171</v>
      </c>
      <c r="T176" s="387" t="s">
        <v>542</v>
      </c>
      <c r="U176" s="388">
        <v>2079619</v>
      </c>
      <c r="V176" s="387">
        <v>6009802260524</v>
      </c>
      <c r="W176" s="387" t="s">
        <v>543</v>
      </c>
      <c r="X176" s="387" t="s">
        <v>543</v>
      </c>
      <c r="Y176" s="387">
        <v>16007654398742</v>
      </c>
      <c r="Z176" s="387" t="s">
        <v>543</v>
      </c>
      <c r="AA176" s="388" t="s">
        <v>543</v>
      </c>
      <c r="AB176" s="388" t="s">
        <v>543</v>
      </c>
      <c r="AC176" s="387" t="s">
        <v>543</v>
      </c>
      <c r="AD176" s="389">
        <v>50</v>
      </c>
      <c r="AE176" s="390">
        <v>45047</v>
      </c>
      <c r="AF176" s="390">
        <v>46142</v>
      </c>
      <c r="AG176" s="391" t="s">
        <v>545</v>
      </c>
      <c r="AH176" s="391" t="s">
        <v>2742</v>
      </c>
      <c r="AI176" s="391" t="s">
        <v>2064</v>
      </c>
      <c r="AJ176" s="391">
        <v>0</v>
      </c>
      <c r="AK176" s="390">
        <v>45047</v>
      </c>
      <c r="AL176" s="389">
        <v>30</v>
      </c>
      <c r="AM176" s="391" t="s">
        <v>548</v>
      </c>
      <c r="AN176" s="391" t="s">
        <v>549</v>
      </c>
      <c r="AO176" s="391" t="s">
        <v>2733</v>
      </c>
      <c r="AP176" s="372">
        <f>N176/E176</f>
        <v>0.40666666666666662</v>
      </c>
    </row>
    <row r="177" spans="1:43" ht="16" thickBot="1">
      <c r="A177" s="387" t="s">
        <v>2743</v>
      </c>
      <c r="B177" s="387" t="s">
        <v>615</v>
      </c>
      <c r="C177" s="387" t="s">
        <v>2744</v>
      </c>
      <c r="D177" s="387" t="s">
        <v>2745</v>
      </c>
      <c r="E177" s="387">
        <v>1</v>
      </c>
      <c r="F177" s="387" t="s">
        <v>2746</v>
      </c>
      <c r="G177" s="387">
        <v>1000</v>
      </c>
      <c r="H177" s="387" t="s">
        <v>531</v>
      </c>
      <c r="I177" s="387" t="s">
        <v>532</v>
      </c>
      <c r="J177" s="387" t="s">
        <v>2747</v>
      </c>
      <c r="K177" s="387" t="s">
        <v>2748</v>
      </c>
      <c r="L177" s="387" t="s">
        <v>1975</v>
      </c>
      <c r="M177" s="387" t="s">
        <v>1976</v>
      </c>
      <c r="N177" s="388">
        <v>342.3</v>
      </c>
      <c r="O177" s="388">
        <v>14</v>
      </c>
      <c r="P177" s="387" t="s">
        <v>611</v>
      </c>
      <c r="Q177" s="387" t="s">
        <v>612</v>
      </c>
      <c r="R177" s="387" t="s">
        <v>2749</v>
      </c>
      <c r="S177" s="387" t="s">
        <v>614</v>
      </c>
      <c r="T177" s="387" t="s">
        <v>160</v>
      </c>
      <c r="U177" s="388">
        <v>4800</v>
      </c>
      <c r="V177" s="387">
        <v>6003252005315</v>
      </c>
      <c r="W177" s="387">
        <v>6003252005315</v>
      </c>
      <c r="X177" s="387" t="s">
        <v>543</v>
      </c>
      <c r="Y177" s="387">
        <v>16003252005312</v>
      </c>
      <c r="Z177" s="387" t="s">
        <v>543</v>
      </c>
      <c r="AA177" s="388" t="s">
        <v>543</v>
      </c>
      <c r="AB177" s="388" t="s">
        <v>543</v>
      </c>
      <c r="AC177" s="387">
        <v>804371008</v>
      </c>
      <c r="AD177" s="389">
        <v>6</v>
      </c>
      <c r="AE177" s="390">
        <v>44105</v>
      </c>
      <c r="AF177" s="390">
        <v>45199</v>
      </c>
      <c r="AG177" s="390">
        <v>45199</v>
      </c>
      <c r="AH177" s="391" t="s">
        <v>2750</v>
      </c>
      <c r="AI177" s="391" t="s">
        <v>1979</v>
      </c>
      <c r="AJ177" s="391">
        <v>11</v>
      </c>
      <c r="AK177" s="390">
        <v>45037</v>
      </c>
      <c r="AL177" s="389">
        <v>100</v>
      </c>
      <c r="AM177" s="391" t="s">
        <v>548</v>
      </c>
      <c r="AN177" s="391" t="s">
        <v>545</v>
      </c>
      <c r="AO177" s="391" t="s">
        <v>2751</v>
      </c>
    </row>
    <row r="178" spans="1:43" ht="16" thickBot="1">
      <c r="A178" s="387" t="s">
        <v>2166</v>
      </c>
      <c r="B178" s="387" t="s">
        <v>554</v>
      </c>
      <c r="C178" s="387" t="s">
        <v>2752</v>
      </c>
      <c r="D178" s="387" t="s">
        <v>2753</v>
      </c>
      <c r="E178" s="387">
        <v>1</v>
      </c>
      <c r="F178" s="387" t="s">
        <v>1780</v>
      </c>
      <c r="G178" s="387">
        <v>1</v>
      </c>
      <c r="H178" s="387" t="s">
        <v>1780</v>
      </c>
      <c r="I178" s="387" t="s">
        <v>1751</v>
      </c>
      <c r="J178" s="387" t="s">
        <v>2754</v>
      </c>
      <c r="K178" s="387" t="s">
        <v>2755</v>
      </c>
      <c r="L178" s="387" t="s">
        <v>1793</v>
      </c>
      <c r="M178" s="387" t="s">
        <v>1794</v>
      </c>
      <c r="N178" s="388">
        <v>265.22000000000003</v>
      </c>
      <c r="O178" s="388">
        <v>14</v>
      </c>
      <c r="P178" s="387" t="s">
        <v>538</v>
      </c>
      <c r="Q178" s="387" t="s">
        <v>539</v>
      </c>
      <c r="R178" s="387" t="s">
        <v>2756</v>
      </c>
      <c r="S178" s="387" t="s">
        <v>541</v>
      </c>
      <c r="T178" s="387" t="s">
        <v>1908</v>
      </c>
      <c r="U178" s="388">
        <v>12950</v>
      </c>
      <c r="V178" s="387">
        <v>6009646070259</v>
      </c>
      <c r="W178" s="387" t="s">
        <v>543</v>
      </c>
      <c r="X178" s="387" t="s">
        <v>543</v>
      </c>
      <c r="Y178" s="387" t="s">
        <v>543</v>
      </c>
      <c r="Z178" s="387" t="s">
        <v>543</v>
      </c>
      <c r="AA178" s="388" t="s">
        <v>543</v>
      </c>
      <c r="AB178" s="388" t="s">
        <v>543</v>
      </c>
      <c r="AC178" s="387">
        <v>704608001</v>
      </c>
      <c r="AD178" s="389">
        <v>10</v>
      </c>
      <c r="AE178" s="390">
        <v>44743</v>
      </c>
      <c r="AF178" s="390">
        <v>45473</v>
      </c>
      <c r="AG178" s="390">
        <v>45473</v>
      </c>
      <c r="AH178" s="391" t="s">
        <v>2757</v>
      </c>
      <c r="AI178" s="391" t="s">
        <v>1797</v>
      </c>
      <c r="AJ178" s="391">
        <v>8</v>
      </c>
      <c r="AK178" s="390">
        <v>44958</v>
      </c>
      <c r="AL178" s="389">
        <v>100</v>
      </c>
      <c r="AM178" s="391" t="s">
        <v>548</v>
      </c>
      <c r="AN178" s="391" t="s">
        <v>549</v>
      </c>
      <c r="AO178" s="391" t="s">
        <v>2758</v>
      </c>
    </row>
    <row r="179" spans="1:43" ht="16" thickBot="1">
      <c r="A179" s="387" t="s">
        <v>2166</v>
      </c>
      <c r="B179" s="387" t="s">
        <v>2127</v>
      </c>
      <c r="C179" s="387" t="s">
        <v>2759</v>
      </c>
      <c r="D179" s="387" t="s">
        <v>2760</v>
      </c>
      <c r="E179" s="387">
        <v>10</v>
      </c>
      <c r="F179" s="387" t="s">
        <v>559</v>
      </c>
      <c r="G179" s="387">
        <v>15</v>
      </c>
      <c r="H179" s="387" t="s">
        <v>559</v>
      </c>
      <c r="I179" s="387" t="s">
        <v>560</v>
      </c>
      <c r="J179" s="387" t="s">
        <v>2754</v>
      </c>
      <c r="K179" s="387" t="s">
        <v>2761</v>
      </c>
      <c r="L179" s="387" t="s">
        <v>1793</v>
      </c>
      <c r="M179" s="387" t="s">
        <v>1794</v>
      </c>
      <c r="N179" s="388">
        <v>282.88</v>
      </c>
      <c r="O179" s="388">
        <v>14</v>
      </c>
      <c r="P179" s="387" t="s">
        <v>538</v>
      </c>
      <c r="Q179" s="387" t="s">
        <v>539</v>
      </c>
      <c r="R179" s="387" t="s">
        <v>2756</v>
      </c>
      <c r="S179" s="387" t="s">
        <v>541</v>
      </c>
      <c r="T179" s="387" t="s">
        <v>1908</v>
      </c>
      <c r="U179" s="388">
        <v>4007</v>
      </c>
      <c r="V179" s="387">
        <v>6009646070754</v>
      </c>
      <c r="W179" s="387">
        <v>6009646070754</v>
      </c>
      <c r="X179" s="387" t="s">
        <v>543</v>
      </c>
      <c r="Y179" s="387">
        <v>6009646070754</v>
      </c>
      <c r="Z179" s="387" t="s">
        <v>543</v>
      </c>
      <c r="AA179" s="388" t="s">
        <v>543</v>
      </c>
      <c r="AB179" s="388" t="s">
        <v>543</v>
      </c>
      <c r="AC179" s="387">
        <v>788503006</v>
      </c>
      <c r="AD179" s="389">
        <v>10</v>
      </c>
      <c r="AE179" s="390">
        <v>44743</v>
      </c>
      <c r="AF179" s="390">
        <v>45473</v>
      </c>
      <c r="AG179" s="390">
        <v>45473</v>
      </c>
      <c r="AH179" s="391" t="s">
        <v>2762</v>
      </c>
      <c r="AI179" s="391" t="s">
        <v>1797</v>
      </c>
      <c r="AJ179" s="391">
        <v>8</v>
      </c>
      <c r="AK179" s="390">
        <v>44958</v>
      </c>
      <c r="AL179" s="389">
        <v>100</v>
      </c>
      <c r="AM179" s="391" t="s">
        <v>548</v>
      </c>
      <c r="AN179" s="391" t="s">
        <v>549</v>
      </c>
      <c r="AO179" s="391" t="s">
        <v>2763</v>
      </c>
    </row>
    <row r="180" spans="1:43" ht="16" thickBot="1">
      <c r="A180" s="387" t="s">
        <v>2166</v>
      </c>
      <c r="B180" s="387" t="s">
        <v>965</v>
      </c>
      <c r="C180" s="387" t="s">
        <v>2764</v>
      </c>
      <c r="D180" s="387" t="s">
        <v>2765</v>
      </c>
      <c r="E180" s="387">
        <v>1</v>
      </c>
      <c r="F180" s="387" t="s">
        <v>1780</v>
      </c>
      <c r="G180" s="387">
        <v>1</v>
      </c>
      <c r="H180" s="387" t="s">
        <v>1780</v>
      </c>
      <c r="I180" s="387" t="s">
        <v>1751</v>
      </c>
      <c r="J180" s="387" t="s">
        <v>2754</v>
      </c>
      <c r="K180" s="387" t="s">
        <v>2766</v>
      </c>
      <c r="L180" s="387" t="s">
        <v>1793</v>
      </c>
      <c r="M180" s="387" t="s">
        <v>1794</v>
      </c>
      <c r="N180" s="388">
        <v>795.73</v>
      </c>
      <c r="O180" s="388">
        <v>14</v>
      </c>
      <c r="P180" s="387" t="s">
        <v>538</v>
      </c>
      <c r="Q180" s="387" t="s">
        <v>539</v>
      </c>
      <c r="R180" s="387" t="s">
        <v>2756</v>
      </c>
      <c r="S180" s="387" t="s">
        <v>541</v>
      </c>
      <c r="T180" s="387" t="s">
        <v>1908</v>
      </c>
      <c r="U180" s="388">
        <v>1502</v>
      </c>
      <c r="V180" s="387">
        <v>6009646070273</v>
      </c>
      <c r="W180" s="387" t="s">
        <v>543</v>
      </c>
      <c r="X180" s="387" t="s">
        <v>543</v>
      </c>
      <c r="Y180" s="387" t="s">
        <v>543</v>
      </c>
      <c r="Z180" s="387" t="s">
        <v>543</v>
      </c>
      <c r="AA180" s="388" t="s">
        <v>543</v>
      </c>
      <c r="AB180" s="388" t="s">
        <v>543</v>
      </c>
      <c r="AC180" s="387">
        <v>704610001</v>
      </c>
      <c r="AD180" s="389">
        <v>5</v>
      </c>
      <c r="AE180" s="390">
        <v>44743</v>
      </c>
      <c r="AF180" s="390">
        <v>45473</v>
      </c>
      <c r="AG180" s="390">
        <v>45473</v>
      </c>
      <c r="AH180" s="391" t="s">
        <v>2767</v>
      </c>
      <c r="AI180" s="391" t="s">
        <v>1797</v>
      </c>
      <c r="AJ180" s="391">
        <v>8</v>
      </c>
      <c r="AK180" s="390">
        <v>44958</v>
      </c>
      <c r="AL180" s="389">
        <v>100</v>
      </c>
      <c r="AM180" s="391" t="s">
        <v>548</v>
      </c>
      <c r="AN180" s="391" t="s">
        <v>549</v>
      </c>
      <c r="AO180" s="391" t="s">
        <v>2768</v>
      </c>
    </row>
    <row r="181" spans="1:43" ht="16" thickBot="1">
      <c r="A181" s="387" t="s">
        <v>1748</v>
      </c>
      <c r="B181" s="387" t="s">
        <v>999</v>
      </c>
      <c r="C181" s="387" t="s">
        <v>2769</v>
      </c>
      <c r="D181" s="387" t="s">
        <v>2770</v>
      </c>
      <c r="E181" s="387">
        <v>10</v>
      </c>
      <c r="F181" s="387" t="s">
        <v>531</v>
      </c>
      <c r="G181" s="387">
        <v>10</v>
      </c>
      <c r="H181" s="387" t="s">
        <v>531</v>
      </c>
      <c r="I181" s="387" t="s">
        <v>1751</v>
      </c>
      <c r="J181" s="387" t="s">
        <v>2771</v>
      </c>
      <c r="K181" s="387" t="s">
        <v>2772</v>
      </c>
      <c r="L181" s="387" t="s">
        <v>1955</v>
      </c>
      <c r="M181" s="387" t="s">
        <v>1956</v>
      </c>
      <c r="N181" s="388">
        <v>12.65</v>
      </c>
      <c r="O181" s="388">
        <v>14</v>
      </c>
      <c r="P181" s="387" t="s">
        <v>538</v>
      </c>
      <c r="Q181" s="387" t="s">
        <v>539</v>
      </c>
      <c r="R181" s="387" t="s">
        <v>2773</v>
      </c>
      <c r="S181" s="387" t="s">
        <v>541</v>
      </c>
      <c r="T181" s="387" t="s">
        <v>542</v>
      </c>
      <c r="U181" s="388">
        <v>754340</v>
      </c>
      <c r="V181" s="387">
        <v>6006267000351</v>
      </c>
      <c r="W181" s="387">
        <v>6006267000351</v>
      </c>
      <c r="X181" s="387" t="s">
        <v>543</v>
      </c>
      <c r="Y181" s="387">
        <v>16006267000358</v>
      </c>
      <c r="Z181" s="387" t="s">
        <v>543</v>
      </c>
      <c r="AA181" s="388" t="s">
        <v>543</v>
      </c>
      <c r="AB181" s="388" t="s">
        <v>543</v>
      </c>
      <c r="AC181" s="387">
        <v>711748004</v>
      </c>
      <c r="AD181" s="389" t="s">
        <v>2308</v>
      </c>
      <c r="AE181" s="390">
        <v>44317</v>
      </c>
      <c r="AF181" s="390">
        <v>45412</v>
      </c>
      <c r="AG181" s="391" t="s">
        <v>545</v>
      </c>
      <c r="AH181" s="391" t="s">
        <v>2774</v>
      </c>
      <c r="AI181" s="391" t="s">
        <v>1959</v>
      </c>
      <c r="AJ181" s="391">
        <v>0</v>
      </c>
      <c r="AK181" s="390">
        <v>44317</v>
      </c>
      <c r="AL181" s="389">
        <v>100</v>
      </c>
      <c r="AM181" s="391" t="s">
        <v>548</v>
      </c>
      <c r="AN181" s="391" t="s">
        <v>549</v>
      </c>
      <c r="AO181" s="391" t="s">
        <v>2775</v>
      </c>
      <c r="AP181" s="372">
        <f>N181</f>
        <v>12.65</v>
      </c>
      <c r="AQ181" s="372">
        <f>AP181</f>
        <v>12.65</v>
      </c>
    </row>
    <row r="182" spans="1:43" ht="16" thickBot="1">
      <c r="A182" s="387" t="s">
        <v>1717</v>
      </c>
      <c r="B182" s="387" t="s">
        <v>2776</v>
      </c>
      <c r="C182" s="387" t="s">
        <v>2777</v>
      </c>
      <c r="D182" s="387" t="s">
        <v>2778</v>
      </c>
      <c r="E182" s="387">
        <v>168</v>
      </c>
      <c r="F182" s="387" t="s">
        <v>559</v>
      </c>
      <c r="G182" s="387">
        <v>168</v>
      </c>
      <c r="H182" s="387" t="s">
        <v>559</v>
      </c>
      <c r="I182" s="387" t="s">
        <v>560</v>
      </c>
      <c r="J182" s="387" t="s">
        <v>2779</v>
      </c>
      <c r="K182" s="387" t="s">
        <v>2780</v>
      </c>
      <c r="L182" s="387" t="s">
        <v>2735</v>
      </c>
      <c r="M182" s="387" t="s">
        <v>2736</v>
      </c>
      <c r="N182" s="388">
        <v>14.62</v>
      </c>
      <c r="O182" s="388">
        <v>14</v>
      </c>
      <c r="P182" s="387" t="s">
        <v>538</v>
      </c>
      <c r="Q182" s="387" t="s">
        <v>539</v>
      </c>
      <c r="R182" s="387" t="s">
        <v>2781</v>
      </c>
      <c r="S182" s="387" t="s">
        <v>171</v>
      </c>
      <c r="T182" s="387" t="s">
        <v>542</v>
      </c>
      <c r="U182" s="388">
        <v>346009</v>
      </c>
      <c r="V182" s="387" t="s">
        <v>543</v>
      </c>
      <c r="W182" s="387" t="s">
        <v>543</v>
      </c>
      <c r="X182" s="387" t="s">
        <v>543</v>
      </c>
      <c r="Y182" s="387" t="s">
        <v>543</v>
      </c>
      <c r="Z182" s="387" t="s">
        <v>543</v>
      </c>
      <c r="AA182" s="388" t="s">
        <v>543</v>
      </c>
      <c r="AB182" s="388" t="s">
        <v>543</v>
      </c>
      <c r="AC182" s="387" t="s">
        <v>543</v>
      </c>
      <c r="AD182" s="389">
        <v>240</v>
      </c>
      <c r="AE182" s="390">
        <v>45047</v>
      </c>
      <c r="AF182" s="390">
        <v>46142</v>
      </c>
      <c r="AG182" s="391" t="s">
        <v>545</v>
      </c>
      <c r="AH182" s="391" t="s">
        <v>2782</v>
      </c>
      <c r="AI182" s="391" t="s">
        <v>2737</v>
      </c>
      <c r="AJ182" s="391">
        <v>0</v>
      </c>
      <c r="AK182" s="390">
        <v>45047</v>
      </c>
      <c r="AL182" s="389">
        <v>10</v>
      </c>
      <c r="AM182" s="391" t="s">
        <v>548</v>
      </c>
      <c r="AN182" s="391" t="s">
        <v>549</v>
      </c>
      <c r="AO182" s="391" t="s">
        <v>2783</v>
      </c>
      <c r="AP182" s="372">
        <f>N182/E182</f>
        <v>8.7023809523809517E-2</v>
      </c>
      <c r="AQ182" s="372">
        <f>SUMPRODUCT(AP182:AP183,U182:U183)/SUM(U182:U183)</f>
        <v>7.0309523809523822E-2</v>
      </c>
    </row>
    <row r="183" spans="1:43" ht="16" thickBot="1">
      <c r="A183" s="387" t="s">
        <v>1717</v>
      </c>
      <c r="B183" s="387" t="s">
        <v>2776</v>
      </c>
      <c r="C183" s="387" t="s">
        <v>2777</v>
      </c>
      <c r="D183" s="387" t="s">
        <v>2778</v>
      </c>
      <c r="E183" s="387">
        <v>168</v>
      </c>
      <c r="F183" s="387" t="s">
        <v>559</v>
      </c>
      <c r="G183" s="387">
        <v>168</v>
      </c>
      <c r="H183" s="387" t="s">
        <v>559</v>
      </c>
      <c r="I183" s="387" t="s">
        <v>560</v>
      </c>
      <c r="J183" s="387" t="s">
        <v>2779</v>
      </c>
      <c r="K183" s="387" t="s">
        <v>2784</v>
      </c>
      <c r="L183" s="387" t="s">
        <v>1809</v>
      </c>
      <c r="M183" s="387" t="s">
        <v>1810</v>
      </c>
      <c r="N183" s="388">
        <v>11.5</v>
      </c>
      <c r="O183" s="388">
        <v>14</v>
      </c>
      <c r="P183" s="387" t="s">
        <v>538</v>
      </c>
      <c r="Q183" s="387" t="s">
        <v>539</v>
      </c>
      <c r="R183" s="387" t="s">
        <v>2781</v>
      </c>
      <c r="S183" s="387" t="s">
        <v>171</v>
      </c>
      <c r="T183" s="387" t="s">
        <v>542</v>
      </c>
      <c r="U183" s="388">
        <v>3114081</v>
      </c>
      <c r="V183" s="387" t="s">
        <v>543</v>
      </c>
      <c r="W183" s="387" t="s">
        <v>543</v>
      </c>
      <c r="X183" s="387" t="s">
        <v>543</v>
      </c>
      <c r="Y183" s="387" t="s">
        <v>543</v>
      </c>
      <c r="Z183" s="387" t="s">
        <v>543</v>
      </c>
      <c r="AA183" s="388" t="s">
        <v>543</v>
      </c>
      <c r="AB183" s="388" t="s">
        <v>543</v>
      </c>
      <c r="AC183" s="387" t="s">
        <v>543</v>
      </c>
      <c r="AD183" s="389">
        <v>50</v>
      </c>
      <c r="AE183" s="390">
        <v>45047</v>
      </c>
      <c r="AF183" s="390">
        <v>46142</v>
      </c>
      <c r="AG183" s="391" t="s">
        <v>545</v>
      </c>
      <c r="AH183" s="391" t="s">
        <v>2782</v>
      </c>
      <c r="AI183" s="391" t="s">
        <v>1813</v>
      </c>
      <c r="AJ183" s="391">
        <v>0</v>
      </c>
      <c r="AK183" s="390">
        <v>45047</v>
      </c>
      <c r="AL183" s="389">
        <v>90</v>
      </c>
      <c r="AM183" s="391" t="s">
        <v>548</v>
      </c>
      <c r="AN183" s="391" t="s">
        <v>549</v>
      </c>
      <c r="AO183" s="391" t="s">
        <v>2783</v>
      </c>
      <c r="AP183" s="372">
        <f>N183/E183</f>
        <v>6.8452380952380959E-2</v>
      </c>
    </row>
    <row r="184" spans="1:43" ht="16" thickBot="1">
      <c r="A184" s="387" t="s">
        <v>2166</v>
      </c>
      <c r="B184" s="387" t="s">
        <v>537</v>
      </c>
      <c r="C184" s="387" t="s">
        <v>2785</v>
      </c>
      <c r="D184" s="387" t="s">
        <v>2786</v>
      </c>
      <c r="E184" s="387">
        <v>60</v>
      </c>
      <c r="F184" s="387" t="s">
        <v>559</v>
      </c>
      <c r="G184" s="387">
        <v>60</v>
      </c>
      <c r="H184" s="387" t="s">
        <v>559</v>
      </c>
      <c r="I184" s="387" t="s">
        <v>560</v>
      </c>
      <c r="J184" s="387" t="s">
        <v>2787</v>
      </c>
      <c r="K184" s="387" t="s">
        <v>2788</v>
      </c>
      <c r="L184" s="387" t="s">
        <v>2595</v>
      </c>
      <c r="M184" s="387" t="s">
        <v>2596</v>
      </c>
      <c r="N184" s="388">
        <v>138</v>
      </c>
      <c r="O184" s="388">
        <v>14</v>
      </c>
      <c r="P184" s="387" t="s">
        <v>538</v>
      </c>
      <c r="Q184" s="387" t="s">
        <v>539</v>
      </c>
      <c r="R184" s="387" t="s">
        <v>2789</v>
      </c>
      <c r="S184" s="387" t="s">
        <v>171</v>
      </c>
      <c r="T184" s="387" t="s">
        <v>1908</v>
      </c>
      <c r="U184" s="388">
        <v>13974</v>
      </c>
      <c r="V184" s="387">
        <v>6009880039197</v>
      </c>
      <c r="W184" s="387" t="s">
        <v>543</v>
      </c>
      <c r="X184" s="387" t="s">
        <v>543</v>
      </c>
      <c r="Y184" s="387" t="s">
        <v>543</v>
      </c>
      <c r="Z184" s="387" t="s">
        <v>543</v>
      </c>
      <c r="AA184" s="388" t="s">
        <v>543</v>
      </c>
      <c r="AB184" s="388" t="s">
        <v>543</v>
      </c>
      <c r="AC184" s="387" t="s">
        <v>2790</v>
      </c>
      <c r="AD184" s="389">
        <v>20</v>
      </c>
      <c r="AE184" s="390">
        <v>44743</v>
      </c>
      <c r="AF184" s="390">
        <v>45473</v>
      </c>
      <c r="AG184" s="391" t="s">
        <v>545</v>
      </c>
      <c r="AH184" s="391" t="s">
        <v>2791</v>
      </c>
      <c r="AI184" s="391" t="s">
        <v>2599</v>
      </c>
      <c r="AJ184" s="391">
        <v>0</v>
      </c>
      <c r="AK184" s="390">
        <v>44743</v>
      </c>
      <c r="AL184" s="389">
        <v>100</v>
      </c>
      <c r="AM184" s="391" t="s">
        <v>548</v>
      </c>
      <c r="AN184" s="391" t="s">
        <v>549</v>
      </c>
      <c r="AO184" s="391" t="s">
        <v>2792</v>
      </c>
    </row>
    <row r="185" spans="1:43" ht="16" thickBot="1">
      <c r="A185" s="387" t="s">
        <v>2166</v>
      </c>
      <c r="B185" s="387" t="s">
        <v>1890</v>
      </c>
      <c r="C185" s="387" t="s">
        <v>2793</v>
      </c>
      <c r="D185" s="387" t="s">
        <v>2794</v>
      </c>
      <c r="E185" s="387">
        <v>120</v>
      </c>
      <c r="F185" s="387" t="s">
        <v>559</v>
      </c>
      <c r="G185" s="387">
        <v>120</v>
      </c>
      <c r="H185" s="387" t="s">
        <v>559</v>
      </c>
      <c r="I185" s="387" t="s">
        <v>560</v>
      </c>
      <c r="J185" s="387" t="s">
        <v>2787</v>
      </c>
      <c r="K185" s="387" t="s">
        <v>2795</v>
      </c>
      <c r="L185" s="387" t="s">
        <v>2595</v>
      </c>
      <c r="M185" s="387" t="s">
        <v>2596</v>
      </c>
      <c r="N185" s="388">
        <v>736</v>
      </c>
      <c r="O185" s="388">
        <v>14</v>
      </c>
      <c r="P185" s="387" t="s">
        <v>538</v>
      </c>
      <c r="Q185" s="387" t="s">
        <v>539</v>
      </c>
      <c r="R185" s="387" t="s">
        <v>2789</v>
      </c>
      <c r="S185" s="387" t="s">
        <v>171</v>
      </c>
      <c r="T185" s="387" t="s">
        <v>1908</v>
      </c>
      <c r="U185" s="388">
        <v>19868</v>
      </c>
      <c r="V185" s="387">
        <v>6009880039203</v>
      </c>
      <c r="W185" s="387" t="s">
        <v>543</v>
      </c>
      <c r="X185" s="387" t="s">
        <v>543</v>
      </c>
      <c r="Y185" s="387" t="s">
        <v>543</v>
      </c>
      <c r="Z185" s="387" t="s">
        <v>543</v>
      </c>
      <c r="AA185" s="388" t="s">
        <v>543</v>
      </c>
      <c r="AB185" s="388" t="s">
        <v>543</v>
      </c>
      <c r="AC185" s="387" t="s">
        <v>2796</v>
      </c>
      <c r="AD185" s="389">
        <v>20</v>
      </c>
      <c r="AE185" s="390">
        <v>44743</v>
      </c>
      <c r="AF185" s="390">
        <v>45473</v>
      </c>
      <c r="AG185" s="391" t="s">
        <v>545</v>
      </c>
      <c r="AH185" s="391" t="s">
        <v>2797</v>
      </c>
      <c r="AI185" s="391" t="s">
        <v>2599</v>
      </c>
      <c r="AJ185" s="391">
        <v>0</v>
      </c>
      <c r="AK185" s="390">
        <v>44743</v>
      </c>
      <c r="AL185" s="389">
        <v>100</v>
      </c>
      <c r="AM185" s="391" t="s">
        <v>548</v>
      </c>
      <c r="AN185" s="391" t="s">
        <v>549</v>
      </c>
      <c r="AO185" s="391" t="s">
        <v>2798</v>
      </c>
    </row>
    <row r="186" spans="1:43" ht="16" thickBot="1">
      <c r="A186" s="387" t="s">
        <v>1717</v>
      </c>
      <c r="B186" s="387" t="s">
        <v>2799</v>
      </c>
      <c r="C186" s="387" t="s">
        <v>2800</v>
      </c>
      <c r="D186" s="387" t="s">
        <v>2801</v>
      </c>
      <c r="E186" s="387">
        <v>60</v>
      </c>
      <c r="F186" s="387" t="s">
        <v>559</v>
      </c>
      <c r="G186" s="387">
        <v>60</v>
      </c>
      <c r="H186" s="387" t="s">
        <v>559</v>
      </c>
      <c r="I186" s="387" t="s">
        <v>560</v>
      </c>
      <c r="J186" s="387" t="s">
        <v>2802</v>
      </c>
      <c r="K186" s="387" t="s">
        <v>2803</v>
      </c>
      <c r="L186" s="387" t="s">
        <v>1905</v>
      </c>
      <c r="M186" s="387" t="s">
        <v>1906</v>
      </c>
      <c r="N186" s="388">
        <v>13.28</v>
      </c>
      <c r="O186" s="388">
        <v>14</v>
      </c>
      <c r="P186" s="387" t="s">
        <v>538</v>
      </c>
      <c r="Q186" s="387" t="s">
        <v>539</v>
      </c>
      <c r="R186" s="387" t="s">
        <v>2804</v>
      </c>
      <c r="S186" s="387" t="s">
        <v>171</v>
      </c>
      <c r="T186" s="387" t="s">
        <v>757</v>
      </c>
      <c r="U186" s="388">
        <v>48889</v>
      </c>
      <c r="V186" s="387">
        <v>6006823000849</v>
      </c>
      <c r="W186" s="387">
        <v>6006823000849</v>
      </c>
      <c r="X186" s="387" t="s">
        <v>543</v>
      </c>
      <c r="Y186" s="387">
        <v>16006823000853</v>
      </c>
      <c r="Z186" s="387" t="s">
        <v>543</v>
      </c>
      <c r="AA186" s="388" t="s">
        <v>543</v>
      </c>
      <c r="AB186" s="388" t="s">
        <v>543</v>
      </c>
      <c r="AC186" s="387">
        <v>852333005</v>
      </c>
      <c r="AD186" s="389">
        <v>10</v>
      </c>
      <c r="AE186" s="390">
        <v>45047</v>
      </c>
      <c r="AF186" s="390">
        <v>46142</v>
      </c>
      <c r="AG186" s="391" t="s">
        <v>545</v>
      </c>
      <c r="AH186" s="391" t="s">
        <v>2805</v>
      </c>
      <c r="AI186" s="391" t="s">
        <v>1910</v>
      </c>
      <c r="AJ186" s="391">
        <v>0</v>
      </c>
      <c r="AK186" s="390">
        <v>45047</v>
      </c>
      <c r="AL186" s="389">
        <v>100</v>
      </c>
      <c r="AM186" s="391" t="s">
        <v>548</v>
      </c>
      <c r="AN186" s="391" t="s">
        <v>549</v>
      </c>
      <c r="AO186" s="391" t="s">
        <v>2806</v>
      </c>
    </row>
    <row r="187" spans="1:43" ht="16" thickBot="1">
      <c r="A187" s="387" t="s">
        <v>1729</v>
      </c>
      <c r="B187" s="387" t="s">
        <v>2127</v>
      </c>
      <c r="C187" s="387" t="s">
        <v>2807</v>
      </c>
      <c r="D187" s="387" t="s">
        <v>2808</v>
      </c>
      <c r="E187" s="387">
        <v>250</v>
      </c>
      <c r="F187" s="387" t="s">
        <v>531</v>
      </c>
      <c r="G187" s="387">
        <v>250</v>
      </c>
      <c r="H187" s="387" t="s">
        <v>531</v>
      </c>
      <c r="I187" s="387" t="s">
        <v>744</v>
      </c>
      <c r="J187" s="387" t="s">
        <v>2809</v>
      </c>
      <c r="K187" s="387" t="s">
        <v>2810</v>
      </c>
      <c r="L187" s="387" t="s">
        <v>1945</v>
      </c>
      <c r="M187" s="387" t="s">
        <v>1946</v>
      </c>
      <c r="N187" s="388">
        <v>126.79</v>
      </c>
      <c r="O187" s="388">
        <v>7</v>
      </c>
      <c r="P187" s="387" t="s">
        <v>538</v>
      </c>
      <c r="Q187" s="387" t="s">
        <v>539</v>
      </c>
      <c r="R187" s="387" t="s">
        <v>2811</v>
      </c>
      <c r="S187" s="387" t="s">
        <v>171</v>
      </c>
      <c r="T187" s="387" t="s">
        <v>542</v>
      </c>
      <c r="U187" s="388">
        <v>141476</v>
      </c>
      <c r="V187" s="387">
        <v>6005534000612</v>
      </c>
      <c r="W187" s="387" t="s">
        <v>543</v>
      </c>
      <c r="X187" s="387" t="s">
        <v>543</v>
      </c>
      <c r="Y187" s="387" t="s">
        <v>543</v>
      </c>
      <c r="Z187" s="387" t="s">
        <v>543</v>
      </c>
      <c r="AA187" s="388" t="s">
        <v>543</v>
      </c>
      <c r="AB187" s="388" t="s">
        <v>543</v>
      </c>
      <c r="AC187" s="387">
        <v>769401007</v>
      </c>
      <c r="AD187" s="389">
        <v>1</v>
      </c>
      <c r="AE187" s="390">
        <v>44105</v>
      </c>
      <c r="AF187" s="390">
        <v>45199</v>
      </c>
      <c r="AG187" s="390">
        <v>45199</v>
      </c>
      <c r="AH187" s="391" t="s">
        <v>2812</v>
      </c>
      <c r="AI187" s="391" t="s">
        <v>1949</v>
      </c>
      <c r="AJ187" s="391">
        <v>0</v>
      </c>
      <c r="AK187" s="390">
        <v>44105</v>
      </c>
      <c r="AL187" s="389">
        <v>100</v>
      </c>
      <c r="AM187" s="391" t="s">
        <v>548</v>
      </c>
      <c r="AN187" s="391" t="s">
        <v>545</v>
      </c>
      <c r="AO187" s="391" t="s">
        <v>2813</v>
      </c>
    </row>
    <row r="188" spans="1:43" ht="16" thickBot="1">
      <c r="A188" s="387" t="s">
        <v>1717</v>
      </c>
      <c r="B188" s="387" t="s">
        <v>2814</v>
      </c>
      <c r="C188" s="387" t="s">
        <v>2815</v>
      </c>
      <c r="D188" s="387" t="s">
        <v>2816</v>
      </c>
      <c r="E188" s="387">
        <v>28</v>
      </c>
      <c r="F188" s="387" t="s">
        <v>559</v>
      </c>
      <c r="G188" s="387">
        <v>28</v>
      </c>
      <c r="H188" s="387" t="s">
        <v>559</v>
      </c>
      <c r="I188" s="387" t="s">
        <v>560</v>
      </c>
      <c r="J188" s="387" t="s">
        <v>2809</v>
      </c>
      <c r="K188" s="387" t="s">
        <v>2817</v>
      </c>
      <c r="L188" s="387" t="s">
        <v>2141</v>
      </c>
      <c r="M188" s="387" t="s">
        <v>2142</v>
      </c>
      <c r="N188" s="388">
        <v>13.46</v>
      </c>
      <c r="O188" s="388">
        <v>14</v>
      </c>
      <c r="P188" s="387" t="s">
        <v>538</v>
      </c>
      <c r="Q188" s="387" t="s">
        <v>539</v>
      </c>
      <c r="R188" s="387" t="s">
        <v>2811</v>
      </c>
      <c r="S188" s="387" t="s">
        <v>171</v>
      </c>
      <c r="T188" s="387" t="s">
        <v>542</v>
      </c>
      <c r="U188" s="388">
        <v>1583492</v>
      </c>
      <c r="V188" s="387" t="s">
        <v>543</v>
      </c>
      <c r="W188" s="387" t="s">
        <v>543</v>
      </c>
      <c r="X188" s="387" t="s">
        <v>543</v>
      </c>
      <c r="Y188" s="387" t="s">
        <v>543</v>
      </c>
      <c r="Z188" s="387" t="s">
        <v>543</v>
      </c>
      <c r="AA188" s="388" t="s">
        <v>543</v>
      </c>
      <c r="AB188" s="388" t="s">
        <v>543</v>
      </c>
      <c r="AC188" s="387" t="s">
        <v>543</v>
      </c>
      <c r="AD188" s="389">
        <v>100</v>
      </c>
      <c r="AE188" s="390">
        <v>45047</v>
      </c>
      <c r="AF188" s="390">
        <v>46142</v>
      </c>
      <c r="AG188" s="391" t="s">
        <v>545</v>
      </c>
      <c r="AH188" s="391" t="s">
        <v>2818</v>
      </c>
      <c r="AI188" s="391" t="s">
        <v>2144</v>
      </c>
      <c r="AJ188" s="391">
        <v>0</v>
      </c>
      <c r="AK188" s="390">
        <v>45047</v>
      </c>
      <c r="AL188" s="389">
        <v>100</v>
      </c>
      <c r="AM188" s="391" t="s">
        <v>548</v>
      </c>
      <c r="AN188" s="391" t="s">
        <v>549</v>
      </c>
      <c r="AO188" s="391" t="s">
        <v>2819</v>
      </c>
    </row>
    <row r="189" spans="1:43" ht="16" thickBot="1">
      <c r="A189" s="387" t="s">
        <v>1717</v>
      </c>
      <c r="B189" s="387" t="s">
        <v>2820</v>
      </c>
      <c r="C189" s="387" t="s">
        <v>2821</v>
      </c>
      <c r="D189" s="387" t="s">
        <v>2822</v>
      </c>
      <c r="E189" s="387">
        <v>56</v>
      </c>
      <c r="F189" s="387" t="s">
        <v>559</v>
      </c>
      <c r="G189" s="387">
        <v>56</v>
      </c>
      <c r="H189" s="387" t="s">
        <v>559</v>
      </c>
      <c r="I189" s="387" t="s">
        <v>560</v>
      </c>
      <c r="J189" s="387" t="s">
        <v>2809</v>
      </c>
      <c r="K189" s="387" t="s">
        <v>2817</v>
      </c>
      <c r="L189" s="387" t="s">
        <v>2141</v>
      </c>
      <c r="M189" s="387" t="s">
        <v>2142</v>
      </c>
      <c r="N189" s="388">
        <v>30.76</v>
      </c>
      <c r="O189" s="388">
        <v>14</v>
      </c>
      <c r="P189" s="387" t="s">
        <v>538</v>
      </c>
      <c r="Q189" s="387" t="s">
        <v>539</v>
      </c>
      <c r="R189" s="387" t="s">
        <v>2811</v>
      </c>
      <c r="S189" s="387" t="s">
        <v>171</v>
      </c>
      <c r="T189" s="387" t="s">
        <v>542</v>
      </c>
      <c r="U189" s="388">
        <v>805366</v>
      </c>
      <c r="V189" s="387" t="s">
        <v>543</v>
      </c>
      <c r="W189" s="387" t="s">
        <v>543</v>
      </c>
      <c r="X189" s="387" t="s">
        <v>543</v>
      </c>
      <c r="Y189" s="387" t="s">
        <v>543</v>
      </c>
      <c r="Z189" s="387" t="s">
        <v>543</v>
      </c>
      <c r="AA189" s="388" t="s">
        <v>543</v>
      </c>
      <c r="AB189" s="388" t="s">
        <v>543</v>
      </c>
      <c r="AC189" s="387" t="s">
        <v>543</v>
      </c>
      <c r="AD189" s="389">
        <v>70</v>
      </c>
      <c r="AE189" s="390">
        <v>45047</v>
      </c>
      <c r="AF189" s="390">
        <v>46142</v>
      </c>
      <c r="AG189" s="391" t="s">
        <v>545</v>
      </c>
      <c r="AH189" s="391" t="s">
        <v>2823</v>
      </c>
      <c r="AI189" s="391" t="s">
        <v>2144</v>
      </c>
      <c r="AJ189" s="391">
        <v>0</v>
      </c>
      <c r="AK189" s="390">
        <v>45047</v>
      </c>
      <c r="AL189" s="389">
        <v>25</v>
      </c>
      <c r="AM189" s="391" t="s">
        <v>548</v>
      </c>
      <c r="AN189" s="391" t="s">
        <v>549</v>
      </c>
      <c r="AO189" s="391" t="s">
        <v>2819</v>
      </c>
    </row>
    <row r="190" spans="1:43" ht="16" thickBot="1">
      <c r="A190" s="387" t="s">
        <v>1717</v>
      </c>
      <c r="B190" s="387" t="s">
        <v>2820</v>
      </c>
      <c r="C190" s="387" t="s">
        <v>2821</v>
      </c>
      <c r="D190" s="387" t="s">
        <v>2822</v>
      </c>
      <c r="E190" s="387">
        <v>56</v>
      </c>
      <c r="F190" s="387" t="s">
        <v>559</v>
      </c>
      <c r="G190" s="387">
        <v>56</v>
      </c>
      <c r="H190" s="387" t="s">
        <v>559</v>
      </c>
      <c r="I190" s="387" t="s">
        <v>560</v>
      </c>
      <c r="J190" s="387" t="s">
        <v>2809</v>
      </c>
      <c r="K190" s="387" t="s">
        <v>2824</v>
      </c>
      <c r="L190" s="387" t="s">
        <v>535</v>
      </c>
      <c r="M190" s="387" t="s">
        <v>536</v>
      </c>
      <c r="N190" s="388">
        <v>29.24</v>
      </c>
      <c r="O190" s="388">
        <v>14</v>
      </c>
      <c r="P190" s="387" t="s">
        <v>538</v>
      </c>
      <c r="Q190" s="387" t="s">
        <v>539</v>
      </c>
      <c r="R190" s="387" t="s">
        <v>2811</v>
      </c>
      <c r="S190" s="387" t="s">
        <v>171</v>
      </c>
      <c r="T190" s="387" t="s">
        <v>542</v>
      </c>
      <c r="U190" s="388">
        <v>2416097</v>
      </c>
      <c r="V190" s="387">
        <v>6001390978928</v>
      </c>
      <c r="W190" s="387">
        <v>6001390978997</v>
      </c>
      <c r="X190" s="387" t="s">
        <v>543</v>
      </c>
      <c r="Y190" s="387">
        <v>26001390978991</v>
      </c>
      <c r="Z190" s="387" t="s">
        <v>543</v>
      </c>
      <c r="AA190" s="388" t="s">
        <v>543</v>
      </c>
      <c r="AB190" s="388" t="s">
        <v>543</v>
      </c>
      <c r="AC190" s="387" t="s">
        <v>543</v>
      </c>
      <c r="AD190" s="389">
        <v>40</v>
      </c>
      <c r="AE190" s="390">
        <v>45047</v>
      </c>
      <c r="AF190" s="390">
        <v>46142</v>
      </c>
      <c r="AG190" s="391" t="s">
        <v>545</v>
      </c>
      <c r="AH190" s="391" t="s">
        <v>2823</v>
      </c>
      <c r="AI190" s="391" t="s">
        <v>547</v>
      </c>
      <c r="AJ190" s="391">
        <v>0</v>
      </c>
      <c r="AK190" s="390">
        <v>45047</v>
      </c>
      <c r="AL190" s="389">
        <v>75</v>
      </c>
      <c r="AM190" s="391" t="s">
        <v>548</v>
      </c>
      <c r="AN190" s="391" t="s">
        <v>549</v>
      </c>
      <c r="AO190" s="391" t="s">
        <v>2819</v>
      </c>
    </row>
    <row r="191" spans="1:43" ht="16" thickBot="1">
      <c r="A191" s="387" t="s">
        <v>1717</v>
      </c>
      <c r="B191" s="387" t="s">
        <v>2825</v>
      </c>
      <c r="C191" s="387" t="s">
        <v>2826</v>
      </c>
      <c r="D191" s="387" t="s">
        <v>2827</v>
      </c>
      <c r="E191" s="387">
        <v>84</v>
      </c>
      <c r="F191" s="387" t="s">
        <v>559</v>
      </c>
      <c r="G191" s="387">
        <v>84</v>
      </c>
      <c r="H191" s="387" t="s">
        <v>559</v>
      </c>
      <c r="I191" s="387" t="s">
        <v>560</v>
      </c>
      <c r="J191" s="387" t="s">
        <v>2809</v>
      </c>
      <c r="K191" s="387" t="s">
        <v>2828</v>
      </c>
      <c r="L191" s="387" t="s">
        <v>2312</v>
      </c>
      <c r="M191" s="387" t="s">
        <v>2313</v>
      </c>
      <c r="N191" s="388">
        <v>43.15</v>
      </c>
      <c r="O191" s="388">
        <v>14</v>
      </c>
      <c r="P191" s="387" t="s">
        <v>538</v>
      </c>
      <c r="Q191" s="387" t="s">
        <v>539</v>
      </c>
      <c r="R191" s="387" t="s">
        <v>2811</v>
      </c>
      <c r="S191" s="387" t="s">
        <v>171</v>
      </c>
      <c r="T191" s="387" t="s">
        <v>542</v>
      </c>
      <c r="U191" s="388">
        <v>1145004</v>
      </c>
      <c r="V191" s="387" t="s">
        <v>543</v>
      </c>
      <c r="W191" s="387" t="s">
        <v>543</v>
      </c>
      <c r="X191" s="387" t="s">
        <v>543</v>
      </c>
      <c r="Y191" s="387" t="s">
        <v>543</v>
      </c>
      <c r="Z191" s="387" t="s">
        <v>543</v>
      </c>
      <c r="AA191" s="388" t="s">
        <v>543</v>
      </c>
      <c r="AB191" s="388" t="s">
        <v>543</v>
      </c>
      <c r="AC191" s="387" t="s">
        <v>543</v>
      </c>
      <c r="AD191" s="389">
        <v>45</v>
      </c>
      <c r="AE191" s="390">
        <v>45047</v>
      </c>
      <c r="AF191" s="390">
        <v>46142</v>
      </c>
      <c r="AG191" s="390">
        <v>46142</v>
      </c>
      <c r="AH191" s="391" t="s">
        <v>2829</v>
      </c>
      <c r="AI191" s="391" t="s">
        <v>2314</v>
      </c>
      <c r="AJ191" s="391">
        <v>0</v>
      </c>
      <c r="AK191" s="390">
        <v>45047</v>
      </c>
      <c r="AL191" s="389">
        <v>40</v>
      </c>
      <c r="AM191" s="391" t="s">
        <v>548</v>
      </c>
      <c r="AN191" s="391" t="s">
        <v>549</v>
      </c>
      <c r="AO191" s="391" t="s">
        <v>2819</v>
      </c>
    </row>
    <row r="192" spans="1:43" ht="16" thickBot="1">
      <c r="A192" s="387" t="s">
        <v>1717</v>
      </c>
      <c r="B192" s="387" t="s">
        <v>2825</v>
      </c>
      <c r="C192" s="387" t="s">
        <v>2826</v>
      </c>
      <c r="D192" s="387" t="s">
        <v>2827</v>
      </c>
      <c r="E192" s="387">
        <v>84</v>
      </c>
      <c r="F192" s="387" t="s">
        <v>559</v>
      </c>
      <c r="G192" s="387">
        <v>84</v>
      </c>
      <c r="H192" s="387" t="s">
        <v>559</v>
      </c>
      <c r="I192" s="387" t="s">
        <v>560</v>
      </c>
      <c r="J192" s="387" t="s">
        <v>2809</v>
      </c>
      <c r="K192" s="387" t="s">
        <v>2817</v>
      </c>
      <c r="L192" s="387" t="s">
        <v>2141</v>
      </c>
      <c r="M192" s="387" t="s">
        <v>2142</v>
      </c>
      <c r="N192" s="388">
        <v>44.51</v>
      </c>
      <c r="O192" s="388">
        <v>14</v>
      </c>
      <c r="P192" s="387" t="s">
        <v>538</v>
      </c>
      <c r="Q192" s="387" t="s">
        <v>539</v>
      </c>
      <c r="R192" s="387" t="s">
        <v>2811</v>
      </c>
      <c r="S192" s="387" t="s">
        <v>171</v>
      </c>
      <c r="T192" s="387" t="s">
        <v>542</v>
      </c>
      <c r="U192" s="388">
        <v>1717505</v>
      </c>
      <c r="V192" s="387" t="s">
        <v>543</v>
      </c>
      <c r="W192" s="387" t="s">
        <v>543</v>
      </c>
      <c r="X192" s="387" t="s">
        <v>543</v>
      </c>
      <c r="Y192" s="387" t="s">
        <v>543</v>
      </c>
      <c r="Z192" s="387" t="s">
        <v>543</v>
      </c>
      <c r="AA192" s="388" t="s">
        <v>543</v>
      </c>
      <c r="AB192" s="388" t="s">
        <v>543</v>
      </c>
      <c r="AC192" s="387" t="s">
        <v>543</v>
      </c>
      <c r="AD192" s="389">
        <v>50</v>
      </c>
      <c r="AE192" s="390">
        <v>45047</v>
      </c>
      <c r="AF192" s="390">
        <v>46142</v>
      </c>
      <c r="AG192" s="390">
        <v>46142</v>
      </c>
      <c r="AH192" s="391" t="s">
        <v>2829</v>
      </c>
      <c r="AI192" s="391" t="s">
        <v>2144</v>
      </c>
      <c r="AJ192" s="391">
        <v>0</v>
      </c>
      <c r="AK192" s="390">
        <v>45047</v>
      </c>
      <c r="AL192" s="389">
        <v>60</v>
      </c>
      <c r="AM192" s="391" t="s">
        <v>548</v>
      </c>
      <c r="AN192" s="391" t="s">
        <v>549</v>
      </c>
      <c r="AO192" s="391" t="s">
        <v>2819</v>
      </c>
    </row>
    <row r="193" spans="1:41" ht="16" thickBot="1">
      <c r="A193" s="387" t="s">
        <v>1717</v>
      </c>
      <c r="B193" s="387" t="s">
        <v>2830</v>
      </c>
      <c r="C193" s="387" t="s">
        <v>2831</v>
      </c>
      <c r="D193" s="387" t="s">
        <v>2832</v>
      </c>
      <c r="E193" s="387">
        <v>28</v>
      </c>
      <c r="F193" s="387" t="s">
        <v>559</v>
      </c>
      <c r="G193" s="387">
        <v>28</v>
      </c>
      <c r="H193" s="387" t="s">
        <v>559</v>
      </c>
      <c r="I193" s="387" t="s">
        <v>2833</v>
      </c>
      <c r="J193" s="387" t="s">
        <v>2809</v>
      </c>
      <c r="K193" s="387" t="s">
        <v>2834</v>
      </c>
      <c r="L193" s="387" t="s">
        <v>1945</v>
      </c>
      <c r="M193" s="387" t="s">
        <v>1946</v>
      </c>
      <c r="N193" s="388">
        <v>52.5</v>
      </c>
      <c r="O193" s="388">
        <v>14</v>
      </c>
      <c r="P193" s="387" t="s">
        <v>538</v>
      </c>
      <c r="Q193" s="387" t="s">
        <v>539</v>
      </c>
      <c r="R193" s="387" t="s">
        <v>2811</v>
      </c>
      <c r="S193" s="387" t="s">
        <v>171</v>
      </c>
      <c r="T193" s="387" t="s">
        <v>542</v>
      </c>
      <c r="U193" s="388">
        <v>692969</v>
      </c>
      <c r="V193" s="387" t="s">
        <v>543</v>
      </c>
      <c r="W193" s="387" t="s">
        <v>543</v>
      </c>
      <c r="X193" s="387" t="s">
        <v>543</v>
      </c>
      <c r="Y193" s="387" t="s">
        <v>543</v>
      </c>
      <c r="Z193" s="387" t="s">
        <v>543</v>
      </c>
      <c r="AA193" s="388" t="s">
        <v>543</v>
      </c>
      <c r="AB193" s="388" t="s">
        <v>543</v>
      </c>
      <c r="AC193" s="387" t="s">
        <v>543</v>
      </c>
      <c r="AD193" s="389">
        <v>1</v>
      </c>
      <c r="AE193" s="390">
        <v>45047</v>
      </c>
      <c r="AF193" s="390">
        <v>46142</v>
      </c>
      <c r="AG193" s="391" t="s">
        <v>545</v>
      </c>
      <c r="AH193" s="391" t="s">
        <v>2835</v>
      </c>
      <c r="AI193" s="391" t="s">
        <v>1949</v>
      </c>
      <c r="AJ193" s="391">
        <v>0</v>
      </c>
      <c r="AK193" s="390">
        <v>45047</v>
      </c>
      <c r="AL193" s="389">
        <v>100</v>
      </c>
      <c r="AM193" s="391" t="s">
        <v>548</v>
      </c>
      <c r="AN193" s="391" t="s">
        <v>549</v>
      </c>
      <c r="AO193" s="391" t="s">
        <v>2836</v>
      </c>
    </row>
    <row r="194" spans="1:41" ht="16" thickBot="1">
      <c r="A194" s="387" t="s">
        <v>1717</v>
      </c>
      <c r="B194" s="387" t="s">
        <v>2837</v>
      </c>
      <c r="C194" s="387" t="s">
        <v>2838</v>
      </c>
      <c r="D194" s="387" t="s">
        <v>2839</v>
      </c>
      <c r="E194" s="387">
        <v>100</v>
      </c>
      <c r="F194" s="387" t="s">
        <v>559</v>
      </c>
      <c r="G194" s="387">
        <v>28</v>
      </c>
      <c r="H194" s="387" t="s">
        <v>559</v>
      </c>
      <c r="I194" s="387" t="s">
        <v>560</v>
      </c>
      <c r="J194" s="387" t="s">
        <v>2840</v>
      </c>
      <c r="K194" s="387" t="s">
        <v>2841</v>
      </c>
      <c r="L194" s="387" t="s">
        <v>535</v>
      </c>
      <c r="M194" s="387" t="s">
        <v>536</v>
      </c>
      <c r="N194" s="388">
        <v>486.42</v>
      </c>
      <c r="O194" s="388">
        <v>14</v>
      </c>
      <c r="P194" s="387" t="s">
        <v>538</v>
      </c>
      <c r="Q194" s="387" t="s">
        <v>539</v>
      </c>
      <c r="R194" s="387" t="s">
        <v>2842</v>
      </c>
      <c r="S194" s="387" t="s">
        <v>541</v>
      </c>
      <c r="T194" s="387" t="s">
        <v>757</v>
      </c>
      <c r="U194" s="388">
        <v>261884</v>
      </c>
      <c r="V194" s="387">
        <v>6001390106338</v>
      </c>
      <c r="W194" s="387" t="s">
        <v>543</v>
      </c>
      <c r="X194" s="387" t="s">
        <v>543</v>
      </c>
      <c r="Y194" s="387" t="s">
        <v>543</v>
      </c>
      <c r="Z194" s="387" t="s">
        <v>543</v>
      </c>
      <c r="AA194" s="388" t="s">
        <v>543</v>
      </c>
      <c r="AB194" s="388" t="s">
        <v>543</v>
      </c>
      <c r="AC194" s="387">
        <v>746398018</v>
      </c>
      <c r="AD194" s="389">
        <v>5</v>
      </c>
      <c r="AE194" s="390">
        <v>45047</v>
      </c>
      <c r="AF194" s="390">
        <v>46142</v>
      </c>
      <c r="AG194" s="391" t="s">
        <v>545</v>
      </c>
      <c r="AH194" s="391" t="s">
        <v>2843</v>
      </c>
      <c r="AI194" s="391" t="s">
        <v>547</v>
      </c>
      <c r="AJ194" s="391">
        <v>0</v>
      </c>
      <c r="AK194" s="390">
        <v>45047</v>
      </c>
      <c r="AL194" s="389">
        <v>100</v>
      </c>
      <c r="AM194" s="391" t="s">
        <v>548</v>
      </c>
      <c r="AN194" s="391" t="s">
        <v>549</v>
      </c>
      <c r="AO194" s="391" t="s">
        <v>2844</v>
      </c>
    </row>
    <row r="195" spans="1:41" ht="16" thickBot="1">
      <c r="A195" s="387" t="s">
        <v>2166</v>
      </c>
      <c r="B195" s="387" t="s">
        <v>1704</v>
      </c>
      <c r="C195" s="387" t="s">
        <v>2845</v>
      </c>
      <c r="D195" s="387" t="s">
        <v>2846</v>
      </c>
      <c r="E195" s="387">
        <v>15</v>
      </c>
      <c r="F195" s="387" t="s">
        <v>531</v>
      </c>
      <c r="G195" s="387">
        <v>15</v>
      </c>
      <c r="H195" s="387" t="s">
        <v>531</v>
      </c>
      <c r="I195" s="387" t="s">
        <v>1751</v>
      </c>
      <c r="J195" s="387" t="s">
        <v>2847</v>
      </c>
      <c r="K195" s="387" t="s">
        <v>2848</v>
      </c>
      <c r="L195" s="387" t="s">
        <v>2595</v>
      </c>
      <c r="M195" s="387" t="s">
        <v>2596</v>
      </c>
      <c r="N195" s="388">
        <v>174.8</v>
      </c>
      <c r="O195" s="388">
        <v>14</v>
      </c>
      <c r="P195" s="387" t="s">
        <v>538</v>
      </c>
      <c r="Q195" s="387" t="s">
        <v>539</v>
      </c>
      <c r="R195" s="387" t="s">
        <v>2849</v>
      </c>
      <c r="S195" s="387" t="s">
        <v>171</v>
      </c>
      <c r="T195" s="387" t="s">
        <v>1908</v>
      </c>
      <c r="U195" s="388">
        <v>8580</v>
      </c>
      <c r="V195" s="387">
        <v>6009801985930</v>
      </c>
      <c r="W195" s="387" t="s">
        <v>543</v>
      </c>
      <c r="X195" s="387" t="s">
        <v>543</v>
      </c>
      <c r="Y195" s="387" t="s">
        <v>543</v>
      </c>
      <c r="Z195" s="387" t="s">
        <v>543</v>
      </c>
      <c r="AA195" s="388" t="s">
        <v>543</v>
      </c>
      <c r="AB195" s="388" t="s">
        <v>543</v>
      </c>
      <c r="AC195" s="387">
        <v>711367001</v>
      </c>
      <c r="AD195" s="389">
        <v>20</v>
      </c>
      <c r="AE195" s="390">
        <v>44743</v>
      </c>
      <c r="AF195" s="390">
        <v>45473</v>
      </c>
      <c r="AG195" s="391" t="s">
        <v>545</v>
      </c>
      <c r="AH195" s="391" t="s">
        <v>2850</v>
      </c>
      <c r="AI195" s="391" t="s">
        <v>2599</v>
      </c>
      <c r="AJ195" s="391">
        <v>0</v>
      </c>
      <c r="AK195" s="390">
        <v>44743</v>
      </c>
      <c r="AL195" s="389">
        <v>100</v>
      </c>
      <c r="AM195" s="391" t="s">
        <v>548</v>
      </c>
      <c r="AN195" s="391" t="s">
        <v>549</v>
      </c>
      <c r="AO195" s="391" t="s">
        <v>2851</v>
      </c>
    </row>
    <row r="196" spans="1:41" ht="16" thickBot="1">
      <c r="A196" s="387" t="s">
        <v>2166</v>
      </c>
      <c r="B196" s="387" t="s">
        <v>992</v>
      </c>
      <c r="C196" s="387" t="s">
        <v>2852</v>
      </c>
      <c r="D196" s="387" t="s">
        <v>2853</v>
      </c>
      <c r="E196" s="387">
        <v>45</v>
      </c>
      <c r="F196" s="387" t="s">
        <v>531</v>
      </c>
      <c r="G196" s="387">
        <v>45</v>
      </c>
      <c r="H196" s="387" t="s">
        <v>531</v>
      </c>
      <c r="I196" s="387" t="s">
        <v>1751</v>
      </c>
      <c r="J196" s="387" t="s">
        <v>2847</v>
      </c>
      <c r="K196" s="387" t="s">
        <v>2854</v>
      </c>
      <c r="L196" s="387" t="s">
        <v>2595</v>
      </c>
      <c r="M196" s="387" t="s">
        <v>2596</v>
      </c>
      <c r="N196" s="388">
        <v>391</v>
      </c>
      <c r="O196" s="388">
        <v>14</v>
      </c>
      <c r="P196" s="387" t="s">
        <v>538</v>
      </c>
      <c r="Q196" s="387" t="s">
        <v>539</v>
      </c>
      <c r="R196" s="387" t="s">
        <v>2849</v>
      </c>
      <c r="S196" s="387" t="s">
        <v>171</v>
      </c>
      <c r="T196" s="387" t="s">
        <v>1908</v>
      </c>
      <c r="U196" s="388">
        <v>32711</v>
      </c>
      <c r="V196" s="387">
        <v>6009801985947</v>
      </c>
      <c r="W196" s="387" t="s">
        <v>543</v>
      </c>
      <c r="X196" s="387" t="s">
        <v>543</v>
      </c>
      <c r="Y196" s="387" t="s">
        <v>543</v>
      </c>
      <c r="Z196" s="387" t="s">
        <v>543</v>
      </c>
      <c r="AA196" s="388" t="s">
        <v>543</v>
      </c>
      <c r="AB196" s="388" t="s">
        <v>543</v>
      </c>
      <c r="AC196" s="387">
        <v>711368001</v>
      </c>
      <c r="AD196" s="389">
        <v>20</v>
      </c>
      <c r="AE196" s="390">
        <v>44743</v>
      </c>
      <c r="AF196" s="390">
        <v>45473</v>
      </c>
      <c r="AG196" s="391" t="s">
        <v>545</v>
      </c>
      <c r="AH196" s="391" t="s">
        <v>2855</v>
      </c>
      <c r="AI196" s="391" t="s">
        <v>2599</v>
      </c>
      <c r="AJ196" s="391">
        <v>0</v>
      </c>
      <c r="AK196" s="390">
        <v>44743</v>
      </c>
      <c r="AL196" s="389">
        <v>100</v>
      </c>
      <c r="AM196" s="391" t="s">
        <v>548</v>
      </c>
      <c r="AN196" s="391" t="s">
        <v>549</v>
      </c>
      <c r="AO196" s="391" t="s">
        <v>2856</v>
      </c>
    </row>
    <row r="197" spans="1:41" ht="16" thickBot="1">
      <c r="A197" s="387" t="s">
        <v>2412</v>
      </c>
      <c r="B197" s="387" t="s">
        <v>2857</v>
      </c>
      <c r="C197" s="387" t="s">
        <v>2858</v>
      </c>
      <c r="D197" s="387" t="s">
        <v>2859</v>
      </c>
      <c r="E197" s="387">
        <v>15</v>
      </c>
      <c r="F197" s="387" t="s">
        <v>531</v>
      </c>
      <c r="G197" s="387">
        <v>15</v>
      </c>
      <c r="H197" s="387" t="s">
        <v>531</v>
      </c>
      <c r="I197" s="387" t="s">
        <v>2298</v>
      </c>
      <c r="J197" s="387" t="s">
        <v>2860</v>
      </c>
      <c r="K197" s="387" t="s">
        <v>2861</v>
      </c>
      <c r="L197" s="387" t="s">
        <v>2549</v>
      </c>
      <c r="M197" s="387" t="s">
        <v>2550</v>
      </c>
      <c r="N197" s="388">
        <v>35.31</v>
      </c>
      <c r="O197" s="388">
        <v>14</v>
      </c>
      <c r="P197" s="387" t="s">
        <v>611</v>
      </c>
      <c r="Q197" s="387" t="s">
        <v>539</v>
      </c>
      <c r="R197" s="387" t="s">
        <v>2862</v>
      </c>
      <c r="S197" s="387" t="s">
        <v>171</v>
      </c>
      <c r="T197" s="387" t="s">
        <v>757</v>
      </c>
      <c r="U197" s="388">
        <v>285340</v>
      </c>
      <c r="V197" s="387">
        <v>6009701960358</v>
      </c>
      <c r="W197" s="387">
        <v>6009701960358</v>
      </c>
      <c r="X197" s="387" t="s">
        <v>543</v>
      </c>
      <c r="Y197" s="387" t="s">
        <v>543</v>
      </c>
      <c r="Z197" s="387" t="s">
        <v>543</v>
      </c>
      <c r="AA197" s="388" t="s">
        <v>543</v>
      </c>
      <c r="AB197" s="388" t="s">
        <v>543</v>
      </c>
      <c r="AC197" s="387" t="s">
        <v>2863</v>
      </c>
      <c r="AD197" s="389">
        <v>12</v>
      </c>
      <c r="AE197" s="390">
        <v>44137</v>
      </c>
      <c r="AF197" s="390">
        <v>45107</v>
      </c>
      <c r="AG197" s="390">
        <v>45107</v>
      </c>
      <c r="AH197" s="391" t="s">
        <v>2864</v>
      </c>
      <c r="AI197" s="391" t="s">
        <v>2553</v>
      </c>
      <c r="AJ197" s="391">
        <v>0</v>
      </c>
      <c r="AK197" s="390">
        <v>44137</v>
      </c>
      <c r="AL197" s="389">
        <v>100</v>
      </c>
      <c r="AM197" s="391" t="s">
        <v>548</v>
      </c>
      <c r="AN197" s="391" t="s">
        <v>545</v>
      </c>
      <c r="AO197" s="391" t="s">
        <v>2865</v>
      </c>
    </row>
    <row r="198" spans="1:41" ht="16" thickBot="1">
      <c r="A198" s="387" t="s">
        <v>1717</v>
      </c>
      <c r="B198" s="387" t="s">
        <v>2866</v>
      </c>
      <c r="C198" s="387" t="s">
        <v>2867</v>
      </c>
      <c r="D198" s="387" t="s">
        <v>2868</v>
      </c>
      <c r="E198" s="387">
        <v>28</v>
      </c>
      <c r="F198" s="387" t="s">
        <v>559</v>
      </c>
      <c r="G198" s="387">
        <v>28</v>
      </c>
      <c r="H198" s="387" t="s">
        <v>559</v>
      </c>
      <c r="I198" s="387" t="s">
        <v>560</v>
      </c>
      <c r="J198" s="387" t="s">
        <v>2869</v>
      </c>
      <c r="K198" s="387" t="s">
        <v>2870</v>
      </c>
      <c r="L198" s="387" t="s">
        <v>2141</v>
      </c>
      <c r="M198" s="387" t="s">
        <v>2142</v>
      </c>
      <c r="N198" s="388">
        <v>8.5</v>
      </c>
      <c r="O198" s="388">
        <v>14</v>
      </c>
      <c r="P198" s="387" t="s">
        <v>538</v>
      </c>
      <c r="Q198" s="387" t="s">
        <v>539</v>
      </c>
      <c r="R198" s="387" t="s">
        <v>2871</v>
      </c>
      <c r="S198" s="387" t="s">
        <v>171</v>
      </c>
      <c r="T198" s="387" t="s">
        <v>542</v>
      </c>
      <c r="U198" s="388">
        <v>683256</v>
      </c>
      <c r="V198" s="387">
        <v>614143105685</v>
      </c>
      <c r="W198" s="387" t="s">
        <v>543</v>
      </c>
      <c r="X198" s="387" t="s">
        <v>543</v>
      </c>
      <c r="Y198" s="387">
        <v>6141431056851</v>
      </c>
      <c r="Z198" s="387" t="s">
        <v>543</v>
      </c>
      <c r="AA198" s="388" t="s">
        <v>543</v>
      </c>
      <c r="AB198" s="388" t="s">
        <v>543</v>
      </c>
      <c r="AC198" s="387">
        <v>3000330001</v>
      </c>
      <c r="AD198" s="389">
        <v>50</v>
      </c>
      <c r="AE198" s="390">
        <v>45047</v>
      </c>
      <c r="AF198" s="390">
        <v>46142</v>
      </c>
      <c r="AG198" s="391" t="s">
        <v>545</v>
      </c>
      <c r="AH198" s="391" t="s">
        <v>2872</v>
      </c>
      <c r="AI198" s="391" t="s">
        <v>2144</v>
      </c>
      <c r="AJ198" s="391">
        <v>0</v>
      </c>
      <c r="AK198" s="390">
        <v>45047</v>
      </c>
      <c r="AL198" s="389">
        <v>40</v>
      </c>
      <c r="AM198" s="391" t="s">
        <v>548</v>
      </c>
      <c r="AN198" s="391" t="s">
        <v>549</v>
      </c>
      <c r="AO198" s="391" t="s">
        <v>2873</v>
      </c>
    </row>
    <row r="199" spans="1:41" ht="16" thickBot="1">
      <c r="A199" s="387" t="s">
        <v>1717</v>
      </c>
      <c r="B199" s="387" t="s">
        <v>2402</v>
      </c>
      <c r="C199" s="387" t="s">
        <v>2874</v>
      </c>
      <c r="D199" s="387" t="s">
        <v>2875</v>
      </c>
      <c r="E199" s="387">
        <v>30</v>
      </c>
      <c r="F199" s="387" t="s">
        <v>559</v>
      </c>
      <c r="G199" s="387">
        <v>30</v>
      </c>
      <c r="H199" s="387" t="s">
        <v>559</v>
      </c>
      <c r="I199" s="387" t="s">
        <v>560</v>
      </c>
      <c r="J199" s="387" t="s">
        <v>2869</v>
      </c>
      <c r="K199" s="387" t="s">
        <v>2876</v>
      </c>
      <c r="L199" s="387" t="s">
        <v>2046</v>
      </c>
      <c r="M199" s="387" t="s">
        <v>2047</v>
      </c>
      <c r="N199" s="388">
        <v>15.53</v>
      </c>
      <c r="O199" s="388">
        <v>14</v>
      </c>
      <c r="P199" s="387" t="s">
        <v>538</v>
      </c>
      <c r="Q199" s="387" t="s">
        <v>539</v>
      </c>
      <c r="R199" s="387" t="s">
        <v>2871</v>
      </c>
      <c r="S199" s="387" t="s">
        <v>171</v>
      </c>
      <c r="T199" s="387" t="s">
        <v>542</v>
      </c>
      <c r="U199" s="388">
        <v>774950</v>
      </c>
      <c r="V199" s="387">
        <v>6006352002673</v>
      </c>
      <c r="W199" s="387">
        <v>6006352002680</v>
      </c>
      <c r="X199" s="387" t="s">
        <v>543</v>
      </c>
      <c r="Y199" s="387">
        <v>6006352015871</v>
      </c>
      <c r="Z199" s="387" t="s">
        <v>543</v>
      </c>
      <c r="AA199" s="388" t="s">
        <v>543</v>
      </c>
      <c r="AB199" s="388" t="s">
        <v>543</v>
      </c>
      <c r="AC199" s="387">
        <v>897117006</v>
      </c>
      <c r="AD199" s="389">
        <v>50</v>
      </c>
      <c r="AE199" s="390">
        <v>45047</v>
      </c>
      <c r="AF199" s="390">
        <v>46142</v>
      </c>
      <c r="AG199" s="391" t="s">
        <v>545</v>
      </c>
      <c r="AH199" s="391" t="s">
        <v>2877</v>
      </c>
      <c r="AI199" s="391" t="s">
        <v>2050</v>
      </c>
      <c r="AJ199" s="391">
        <v>0</v>
      </c>
      <c r="AK199" s="390">
        <v>45047</v>
      </c>
      <c r="AL199" s="389">
        <v>40</v>
      </c>
      <c r="AM199" s="391" t="s">
        <v>548</v>
      </c>
      <c r="AN199" s="391" t="s">
        <v>549</v>
      </c>
      <c r="AO199" s="391" t="s">
        <v>2878</v>
      </c>
    </row>
    <row r="200" spans="1:41" ht="16" thickBot="1">
      <c r="A200" s="387" t="s">
        <v>1717</v>
      </c>
      <c r="B200" s="387" t="s">
        <v>2879</v>
      </c>
      <c r="C200" s="387" t="s">
        <v>2880</v>
      </c>
      <c r="D200" s="387" t="s">
        <v>2881</v>
      </c>
      <c r="E200" s="387">
        <v>30</v>
      </c>
      <c r="F200" s="387" t="s">
        <v>559</v>
      </c>
      <c r="G200" s="387">
        <v>30</v>
      </c>
      <c r="H200" s="387" t="s">
        <v>559</v>
      </c>
      <c r="I200" s="387" t="s">
        <v>560</v>
      </c>
      <c r="J200" s="387" t="s">
        <v>2869</v>
      </c>
      <c r="K200" s="387" t="s">
        <v>2882</v>
      </c>
      <c r="L200" s="387" t="s">
        <v>2046</v>
      </c>
      <c r="M200" s="387" t="s">
        <v>2047</v>
      </c>
      <c r="N200" s="388">
        <v>5.75</v>
      </c>
      <c r="O200" s="388">
        <v>14</v>
      </c>
      <c r="P200" s="387" t="s">
        <v>538</v>
      </c>
      <c r="Q200" s="387" t="s">
        <v>539</v>
      </c>
      <c r="R200" s="387" t="s">
        <v>2871</v>
      </c>
      <c r="S200" s="387" t="s">
        <v>171</v>
      </c>
      <c r="T200" s="387" t="s">
        <v>542</v>
      </c>
      <c r="U200" s="388">
        <v>1208484</v>
      </c>
      <c r="V200" s="387">
        <v>6006352005933</v>
      </c>
      <c r="W200" s="387">
        <v>6006352005940</v>
      </c>
      <c r="X200" s="387" t="s">
        <v>543</v>
      </c>
      <c r="Y200" s="387">
        <v>6006352015833</v>
      </c>
      <c r="Z200" s="387" t="s">
        <v>543</v>
      </c>
      <c r="AA200" s="388" t="s">
        <v>543</v>
      </c>
      <c r="AB200" s="388" t="s">
        <v>543</v>
      </c>
      <c r="AC200" s="387">
        <v>705459001</v>
      </c>
      <c r="AD200" s="389">
        <v>480</v>
      </c>
      <c r="AE200" s="390">
        <v>45047</v>
      </c>
      <c r="AF200" s="390">
        <v>46142</v>
      </c>
      <c r="AG200" s="391" t="s">
        <v>545</v>
      </c>
      <c r="AH200" s="391" t="s">
        <v>2883</v>
      </c>
      <c r="AI200" s="391" t="s">
        <v>2050</v>
      </c>
      <c r="AJ200" s="391">
        <v>0</v>
      </c>
      <c r="AK200" s="390">
        <v>45047</v>
      </c>
      <c r="AL200" s="389">
        <v>80</v>
      </c>
      <c r="AM200" s="391" t="s">
        <v>548</v>
      </c>
      <c r="AN200" s="391" t="s">
        <v>549</v>
      </c>
      <c r="AO200" s="391" t="s">
        <v>2884</v>
      </c>
    </row>
    <row r="201" spans="1:41" ht="16" thickBot="1">
      <c r="A201" s="387" t="s">
        <v>1766</v>
      </c>
      <c r="B201" s="387" t="s">
        <v>1009</v>
      </c>
      <c r="C201" s="387" t="s">
        <v>2885</v>
      </c>
      <c r="D201" s="387" t="s">
        <v>2886</v>
      </c>
      <c r="E201" s="387">
        <v>100</v>
      </c>
      <c r="F201" s="387" t="s">
        <v>531</v>
      </c>
      <c r="G201" s="387">
        <v>100</v>
      </c>
      <c r="H201" s="387" t="s">
        <v>531</v>
      </c>
      <c r="I201" s="387" t="s">
        <v>744</v>
      </c>
      <c r="J201" s="387" t="s">
        <v>2887</v>
      </c>
      <c r="K201" s="387" t="s">
        <v>2888</v>
      </c>
      <c r="L201" s="387" t="s">
        <v>1771</v>
      </c>
      <c r="M201" s="387" t="s">
        <v>1772</v>
      </c>
      <c r="N201" s="388">
        <v>14.17</v>
      </c>
      <c r="O201" s="388">
        <v>14</v>
      </c>
      <c r="P201" s="387" t="s">
        <v>538</v>
      </c>
      <c r="Q201" s="387" t="s">
        <v>539</v>
      </c>
      <c r="R201" s="387" t="s">
        <v>2889</v>
      </c>
      <c r="S201" s="387" t="s">
        <v>171</v>
      </c>
      <c r="T201" s="387" t="s">
        <v>542</v>
      </c>
      <c r="U201" s="388">
        <v>802700</v>
      </c>
      <c r="V201" s="387" t="s">
        <v>543</v>
      </c>
      <c r="W201" s="387" t="s">
        <v>543</v>
      </c>
      <c r="X201" s="387" t="s">
        <v>543</v>
      </c>
      <c r="Y201" s="387" t="s">
        <v>2890</v>
      </c>
      <c r="Z201" s="387" t="s">
        <v>543</v>
      </c>
      <c r="AA201" s="388" t="s">
        <v>543</v>
      </c>
      <c r="AB201" s="388" t="s">
        <v>543</v>
      </c>
      <c r="AC201" s="387">
        <v>860603008</v>
      </c>
      <c r="AD201" s="389">
        <v>80</v>
      </c>
      <c r="AE201" s="390">
        <v>44470</v>
      </c>
      <c r="AF201" s="390">
        <v>45199</v>
      </c>
      <c r="AG201" s="390">
        <v>45199</v>
      </c>
      <c r="AH201" s="391" t="s">
        <v>2891</v>
      </c>
      <c r="AI201" s="391" t="s">
        <v>1776</v>
      </c>
      <c r="AJ201" s="391">
        <v>23</v>
      </c>
      <c r="AK201" s="390">
        <v>45047</v>
      </c>
      <c r="AL201" s="389">
        <v>100</v>
      </c>
      <c r="AM201" s="391" t="s">
        <v>548</v>
      </c>
      <c r="AN201" s="391" t="s">
        <v>549</v>
      </c>
      <c r="AO201" s="391" t="s">
        <v>2892</v>
      </c>
    </row>
    <row r="202" spans="1:41" ht="16" thickBot="1">
      <c r="A202" s="387" t="s">
        <v>1766</v>
      </c>
      <c r="B202" s="387" t="s">
        <v>634</v>
      </c>
      <c r="C202" s="387" t="s">
        <v>2893</v>
      </c>
      <c r="D202" s="387" t="s">
        <v>2894</v>
      </c>
      <c r="E202" s="387">
        <v>100</v>
      </c>
      <c r="F202" s="387" t="s">
        <v>531</v>
      </c>
      <c r="G202" s="387">
        <v>100</v>
      </c>
      <c r="H202" s="387" t="s">
        <v>531</v>
      </c>
      <c r="I202" s="387" t="s">
        <v>744</v>
      </c>
      <c r="J202" s="387" t="s">
        <v>2887</v>
      </c>
      <c r="K202" s="387" t="s">
        <v>2895</v>
      </c>
      <c r="L202" s="387" t="s">
        <v>1771</v>
      </c>
      <c r="M202" s="387" t="s">
        <v>1772</v>
      </c>
      <c r="N202" s="388">
        <v>23.48</v>
      </c>
      <c r="O202" s="388">
        <v>14</v>
      </c>
      <c r="P202" s="387" t="s">
        <v>538</v>
      </c>
      <c r="Q202" s="387" t="s">
        <v>539</v>
      </c>
      <c r="R202" s="387" t="s">
        <v>2889</v>
      </c>
      <c r="S202" s="387" t="s">
        <v>171</v>
      </c>
      <c r="T202" s="387" t="s">
        <v>542</v>
      </c>
      <c r="U202" s="388">
        <v>25450</v>
      </c>
      <c r="V202" s="387">
        <v>6008288000198</v>
      </c>
      <c r="W202" s="387">
        <v>6008288000198</v>
      </c>
      <c r="X202" s="387" t="s">
        <v>543</v>
      </c>
      <c r="Y202" s="387">
        <v>16008288000195</v>
      </c>
      <c r="Z202" s="387" t="s">
        <v>543</v>
      </c>
      <c r="AA202" s="388" t="s">
        <v>543</v>
      </c>
      <c r="AB202" s="388" t="s">
        <v>543</v>
      </c>
      <c r="AC202" s="387">
        <v>830909001</v>
      </c>
      <c r="AD202" s="389">
        <v>80</v>
      </c>
      <c r="AE202" s="390">
        <v>44470</v>
      </c>
      <c r="AF202" s="390">
        <v>45199</v>
      </c>
      <c r="AG202" s="390">
        <v>45199</v>
      </c>
      <c r="AH202" s="391" t="s">
        <v>2896</v>
      </c>
      <c r="AI202" s="391" t="s">
        <v>1776</v>
      </c>
      <c r="AJ202" s="391">
        <v>23</v>
      </c>
      <c r="AK202" s="390">
        <v>45047</v>
      </c>
      <c r="AL202" s="389">
        <v>100</v>
      </c>
      <c r="AM202" s="391" t="s">
        <v>548</v>
      </c>
      <c r="AN202" s="391" t="s">
        <v>549</v>
      </c>
      <c r="AO202" s="391" t="s">
        <v>2897</v>
      </c>
    </row>
    <row r="203" spans="1:41" ht="16" thickBot="1">
      <c r="A203" s="387" t="s">
        <v>1766</v>
      </c>
      <c r="B203" s="387" t="s">
        <v>987</v>
      </c>
      <c r="C203" s="387" t="s">
        <v>2898</v>
      </c>
      <c r="D203" s="387" t="s">
        <v>2899</v>
      </c>
      <c r="E203" s="387">
        <v>20</v>
      </c>
      <c r="F203" s="387" t="s">
        <v>584</v>
      </c>
      <c r="G203" s="387">
        <v>20</v>
      </c>
      <c r="H203" s="387" t="s">
        <v>584</v>
      </c>
      <c r="I203" s="387" t="s">
        <v>585</v>
      </c>
      <c r="J203" s="387" t="s">
        <v>2887</v>
      </c>
      <c r="K203" s="387" t="s">
        <v>2900</v>
      </c>
      <c r="L203" s="387" t="s">
        <v>1771</v>
      </c>
      <c r="M203" s="387" t="s">
        <v>1772</v>
      </c>
      <c r="N203" s="388">
        <v>15.48</v>
      </c>
      <c r="O203" s="388">
        <v>14</v>
      </c>
      <c r="P203" s="387" t="s">
        <v>538</v>
      </c>
      <c r="Q203" s="387" t="s">
        <v>539</v>
      </c>
      <c r="R203" s="387" t="s">
        <v>2889</v>
      </c>
      <c r="S203" s="387" t="s">
        <v>171</v>
      </c>
      <c r="T203" s="387" t="s">
        <v>542</v>
      </c>
      <c r="U203" s="388">
        <v>117400</v>
      </c>
      <c r="V203" s="387" t="s">
        <v>543</v>
      </c>
      <c r="W203" s="387" t="s">
        <v>543</v>
      </c>
      <c r="X203" s="387" t="s">
        <v>543</v>
      </c>
      <c r="Y203" s="387" t="s">
        <v>543</v>
      </c>
      <c r="Z203" s="387" t="s">
        <v>543</v>
      </c>
      <c r="AA203" s="388" t="s">
        <v>543</v>
      </c>
      <c r="AB203" s="388" t="s">
        <v>543</v>
      </c>
      <c r="AC203" s="387" t="s">
        <v>543</v>
      </c>
      <c r="AD203" s="389">
        <v>120</v>
      </c>
      <c r="AE203" s="390">
        <v>44470</v>
      </c>
      <c r="AF203" s="390">
        <v>45199</v>
      </c>
      <c r="AG203" s="390">
        <v>45199</v>
      </c>
      <c r="AH203" s="391" t="s">
        <v>2901</v>
      </c>
      <c r="AI203" s="391" t="s">
        <v>1776</v>
      </c>
      <c r="AJ203" s="391">
        <v>23</v>
      </c>
      <c r="AK203" s="390">
        <v>45047</v>
      </c>
      <c r="AL203" s="389">
        <v>100</v>
      </c>
      <c r="AM203" s="391" t="s">
        <v>548</v>
      </c>
      <c r="AN203" s="391" t="s">
        <v>549</v>
      </c>
      <c r="AO203" s="391" t="s">
        <v>2902</v>
      </c>
    </row>
    <row r="204" spans="1:41" ht="16" thickBot="1">
      <c r="A204" s="387" t="s">
        <v>1766</v>
      </c>
      <c r="B204" s="387" t="s">
        <v>1013</v>
      </c>
      <c r="C204" s="387" t="s">
        <v>2903</v>
      </c>
      <c r="D204" s="387" t="s">
        <v>2904</v>
      </c>
      <c r="E204" s="387">
        <v>20</v>
      </c>
      <c r="F204" s="387" t="s">
        <v>584</v>
      </c>
      <c r="G204" s="387">
        <v>20</v>
      </c>
      <c r="H204" s="387" t="s">
        <v>584</v>
      </c>
      <c r="I204" s="387" t="s">
        <v>585</v>
      </c>
      <c r="J204" s="387" t="s">
        <v>2887</v>
      </c>
      <c r="K204" s="387" t="s">
        <v>2905</v>
      </c>
      <c r="L204" s="387" t="s">
        <v>1771</v>
      </c>
      <c r="M204" s="387" t="s">
        <v>1772</v>
      </c>
      <c r="N204" s="388">
        <v>26.8</v>
      </c>
      <c r="O204" s="388">
        <v>14</v>
      </c>
      <c r="P204" s="387" t="s">
        <v>538</v>
      </c>
      <c r="Q204" s="387" t="s">
        <v>539</v>
      </c>
      <c r="R204" s="387" t="s">
        <v>2889</v>
      </c>
      <c r="S204" s="387" t="s">
        <v>171</v>
      </c>
      <c r="T204" s="387" t="s">
        <v>542</v>
      </c>
      <c r="U204" s="388">
        <v>31270</v>
      </c>
      <c r="V204" s="387" t="s">
        <v>543</v>
      </c>
      <c r="W204" s="387" t="s">
        <v>543</v>
      </c>
      <c r="X204" s="387" t="s">
        <v>543</v>
      </c>
      <c r="Y204" s="387" t="s">
        <v>543</v>
      </c>
      <c r="Z204" s="387" t="s">
        <v>543</v>
      </c>
      <c r="AA204" s="388" t="s">
        <v>543</v>
      </c>
      <c r="AB204" s="388" t="s">
        <v>543</v>
      </c>
      <c r="AC204" s="387" t="s">
        <v>543</v>
      </c>
      <c r="AD204" s="389">
        <v>160</v>
      </c>
      <c r="AE204" s="390">
        <v>44470</v>
      </c>
      <c r="AF204" s="390">
        <v>45199</v>
      </c>
      <c r="AG204" s="390">
        <v>45199</v>
      </c>
      <c r="AH204" s="391" t="s">
        <v>2906</v>
      </c>
      <c r="AI204" s="391" t="s">
        <v>1776</v>
      </c>
      <c r="AJ204" s="391">
        <v>23</v>
      </c>
      <c r="AK204" s="390">
        <v>45047</v>
      </c>
      <c r="AL204" s="389">
        <v>100</v>
      </c>
      <c r="AM204" s="391" t="s">
        <v>548</v>
      </c>
      <c r="AN204" s="391" t="s">
        <v>549</v>
      </c>
      <c r="AO204" s="391" t="s">
        <v>2907</v>
      </c>
    </row>
    <row r="205" spans="1:41" ht="16" thickBot="1">
      <c r="A205" s="387" t="s">
        <v>1766</v>
      </c>
      <c r="B205" s="387" t="s">
        <v>1026</v>
      </c>
      <c r="C205" s="387" t="s">
        <v>2908</v>
      </c>
      <c r="D205" s="387" t="s">
        <v>2909</v>
      </c>
      <c r="E205" s="387">
        <v>1</v>
      </c>
      <c r="F205" s="387" t="s">
        <v>1780</v>
      </c>
      <c r="G205" s="387">
        <v>1</v>
      </c>
      <c r="H205" s="387" t="s">
        <v>1780</v>
      </c>
      <c r="I205" s="387" t="s">
        <v>1751</v>
      </c>
      <c r="J205" s="387" t="s">
        <v>2910</v>
      </c>
      <c r="K205" s="387" t="s">
        <v>2911</v>
      </c>
      <c r="L205" s="387" t="s">
        <v>2326</v>
      </c>
      <c r="M205" s="387" t="s">
        <v>2327</v>
      </c>
      <c r="N205" s="388">
        <v>7.96</v>
      </c>
      <c r="O205" s="388">
        <v>14</v>
      </c>
      <c r="P205" s="387" t="s">
        <v>538</v>
      </c>
      <c r="Q205" s="387" t="s">
        <v>539</v>
      </c>
      <c r="R205" s="387" t="s">
        <v>2912</v>
      </c>
      <c r="S205" s="387" t="s">
        <v>171</v>
      </c>
      <c r="T205" s="387" t="s">
        <v>757</v>
      </c>
      <c r="U205" s="388">
        <v>2979501</v>
      </c>
      <c r="V205" s="387">
        <v>6006750001902</v>
      </c>
      <c r="W205" s="387" t="s">
        <v>543</v>
      </c>
      <c r="X205" s="387" t="s">
        <v>543</v>
      </c>
      <c r="Y205" s="387" t="s">
        <v>543</v>
      </c>
      <c r="Z205" s="387" t="s">
        <v>543</v>
      </c>
      <c r="AA205" s="388" t="s">
        <v>543</v>
      </c>
      <c r="AB205" s="388" t="s">
        <v>543</v>
      </c>
      <c r="AC205" s="387">
        <v>718071001</v>
      </c>
      <c r="AD205" s="389">
        <v>10</v>
      </c>
      <c r="AE205" s="390">
        <v>44470</v>
      </c>
      <c r="AF205" s="390">
        <v>45199</v>
      </c>
      <c r="AG205" s="391" t="s">
        <v>545</v>
      </c>
      <c r="AH205" s="391" t="s">
        <v>2913</v>
      </c>
      <c r="AI205" s="391" t="s">
        <v>2330</v>
      </c>
      <c r="AJ205" s="391">
        <v>0</v>
      </c>
      <c r="AK205" s="390">
        <v>44470</v>
      </c>
      <c r="AL205" s="389">
        <v>70</v>
      </c>
      <c r="AM205" s="391" t="s">
        <v>548</v>
      </c>
      <c r="AN205" s="391" t="s">
        <v>549</v>
      </c>
      <c r="AO205" s="391" t="s">
        <v>2914</v>
      </c>
    </row>
    <row r="206" spans="1:41" ht="16" thickBot="1">
      <c r="A206" s="387" t="s">
        <v>1766</v>
      </c>
      <c r="B206" s="387" t="s">
        <v>1026</v>
      </c>
      <c r="C206" s="387" t="s">
        <v>2908</v>
      </c>
      <c r="D206" s="387" t="s">
        <v>2909</v>
      </c>
      <c r="E206" s="387">
        <v>1</v>
      </c>
      <c r="F206" s="387" t="s">
        <v>1780</v>
      </c>
      <c r="G206" s="387">
        <v>1</v>
      </c>
      <c r="H206" s="387" t="s">
        <v>1780</v>
      </c>
      <c r="I206" s="387" t="s">
        <v>1751</v>
      </c>
      <c r="J206" s="387" t="s">
        <v>2910</v>
      </c>
      <c r="K206" s="387" t="s">
        <v>2915</v>
      </c>
      <c r="L206" s="387" t="s">
        <v>2141</v>
      </c>
      <c r="M206" s="387" t="s">
        <v>2142</v>
      </c>
      <c r="N206" s="388">
        <v>9.01</v>
      </c>
      <c r="O206" s="388">
        <v>14</v>
      </c>
      <c r="P206" s="387" t="s">
        <v>538</v>
      </c>
      <c r="Q206" s="387" t="s">
        <v>539</v>
      </c>
      <c r="R206" s="387" t="s">
        <v>2912</v>
      </c>
      <c r="S206" s="387" t="s">
        <v>171</v>
      </c>
      <c r="T206" s="387" t="s">
        <v>757</v>
      </c>
      <c r="U206" s="388">
        <v>1276929</v>
      </c>
      <c r="V206" s="387">
        <v>614143127267</v>
      </c>
      <c r="W206" s="387">
        <v>614143127267</v>
      </c>
      <c r="X206" s="387" t="s">
        <v>543</v>
      </c>
      <c r="Y206" s="387">
        <v>6141431272671</v>
      </c>
      <c r="Z206" s="387" t="s">
        <v>543</v>
      </c>
      <c r="AA206" s="388" t="s">
        <v>543</v>
      </c>
      <c r="AB206" s="388" t="s">
        <v>543</v>
      </c>
      <c r="AC206" s="387" t="s">
        <v>543</v>
      </c>
      <c r="AD206" s="389">
        <v>20</v>
      </c>
      <c r="AE206" s="390">
        <v>44470</v>
      </c>
      <c r="AF206" s="390">
        <v>45199</v>
      </c>
      <c r="AG206" s="390">
        <v>45199</v>
      </c>
      <c r="AH206" s="391" t="s">
        <v>2913</v>
      </c>
      <c r="AI206" s="391" t="s">
        <v>2144</v>
      </c>
      <c r="AJ206" s="391">
        <v>20</v>
      </c>
      <c r="AK206" s="390">
        <v>45047</v>
      </c>
      <c r="AL206" s="389">
        <v>30</v>
      </c>
      <c r="AM206" s="391" t="s">
        <v>548</v>
      </c>
      <c r="AN206" s="391" t="s">
        <v>549</v>
      </c>
      <c r="AO206" s="391" t="s">
        <v>2914</v>
      </c>
    </row>
    <row r="207" spans="1:41" ht="16" thickBot="1">
      <c r="A207" s="387" t="s">
        <v>1766</v>
      </c>
      <c r="B207" s="387" t="s">
        <v>996</v>
      </c>
      <c r="C207" s="387" t="s">
        <v>2916</v>
      </c>
      <c r="D207" s="387" t="s">
        <v>2917</v>
      </c>
      <c r="E207" s="387">
        <v>1</v>
      </c>
      <c r="F207" s="387" t="s">
        <v>1780</v>
      </c>
      <c r="G207" s="387">
        <v>1</v>
      </c>
      <c r="H207" s="387" t="s">
        <v>1780</v>
      </c>
      <c r="I207" s="387" t="s">
        <v>1751</v>
      </c>
      <c r="J207" s="387" t="s">
        <v>2910</v>
      </c>
      <c r="K207" s="387" t="s">
        <v>2918</v>
      </c>
      <c r="L207" s="387" t="s">
        <v>2326</v>
      </c>
      <c r="M207" s="387" t="s">
        <v>2327</v>
      </c>
      <c r="N207" s="388">
        <v>6.38</v>
      </c>
      <c r="O207" s="388">
        <v>14</v>
      </c>
      <c r="P207" s="387" t="s">
        <v>538</v>
      </c>
      <c r="Q207" s="387" t="s">
        <v>539</v>
      </c>
      <c r="R207" s="387" t="s">
        <v>2912</v>
      </c>
      <c r="S207" s="387" t="s">
        <v>171</v>
      </c>
      <c r="T207" s="387" t="s">
        <v>757</v>
      </c>
      <c r="U207" s="388">
        <v>408957</v>
      </c>
      <c r="V207" s="387">
        <v>6006750001919</v>
      </c>
      <c r="W207" s="387" t="s">
        <v>543</v>
      </c>
      <c r="X207" s="387" t="s">
        <v>543</v>
      </c>
      <c r="Y207" s="387" t="s">
        <v>543</v>
      </c>
      <c r="Z207" s="387" t="s">
        <v>543</v>
      </c>
      <c r="AA207" s="388" t="s">
        <v>543</v>
      </c>
      <c r="AB207" s="388" t="s">
        <v>543</v>
      </c>
      <c r="AC207" s="387">
        <v>718070001</v>
      </c>
      <c r="AD207" s="389">
        <v>10</v>
      </c>
      <c r="AE207" s="390">
        <v>44470</v>
      </c>
      <c r="AF207" s="390">
        <v>45199</v>
      </c>
      <c r="AG207" s="391" t="s">
        <v>545</v>
      </c>
      <c r="AH207" s="391" t="s">
        <v>2919</v>
      </c>
      <c r="AI207" s="391" t="s">
        <v>2330</v>
      </c>
      <c r="AJ207" s="391">
        <v>0</v>
      </c>
      <c r="AK207" s="390">
        <v>44470</v>
      </c>
      <c r="AL207" s="389">
        <v>30</v>
      </c>
      <c r="AM207" s="391" t="s">
        <v>548</v>
      </c>
      <c r="AN207" s="391" t="s">
        <v>549</v>
      </c>
      <c r="AO207" s="391" t="s">
        <v>2920</v>
      </c>
    </row>
    <row r="208" spans="1:41" ht="16" thickBot="1">
      <c r="A208" s="387" t="s">
        <v>1766</v>
      </c>
      <c r="B208" s="387" t="s">
        <v>996</v>
      </c>
      <c r="C208" s="387" t="s">
        <v>2916</v>
      </c>
      <c r="D208" s="387" t="s">
        <v>2917</v>
      </c>
      <c r="E208" s="387">
        <v>1</v>
      </c>
      <c r="F208" s="387" t="s">
        <v>1780</v>
      </c>
      <c r="G208" s="387">
        <v>1</v>
      </c>
      <c r="H208" s="387" t="s">
        <v>1780</v>
      </c>
      <c r="I208" s="387" t="s">
        <v>1751</v>
      </c>
      <c r="J208" s="387" t="s">
        <v>2910</v>
      </c>
      <c r="K208" s="387" t="s">
        <v>2921</v>
      </c>
      <c r="L208" s="387" t="s">
        <v>2141</v>
      </c>
      <c r="M208" s="387" t="s">
        <v>2142</v>
      </c>
      <c r="N208" s="388">
        <v>6.15</v>
      </c>
      <c r="O208" s="388">
        <v>14</v>
      </c>
      <c r="P208" s="387" t="s">
        <v>538</v>
      </c>
      <c r="Q208" s="387" t="s">
        <v>539</v>
      </c>
      <c r="R208" s="387" t="s">
        <v>2912</v>
      </c>
      <c r="S208" s="387" t="s">
        <v>171</v>
      </c>
      <c r="T208" s="387" t="s">
        <v>757</v>
      </c>
      <c r="U208" s="388">
        <v>954233</v>
      </c>
      <c r="V208" s="387">
        <v>614143127274</v>
      </c>
      <c r="W208" s="387">
        <v>614143127274</v>
      </c>
      <c r="X208" s="387" t="s">
        <v>543</v>
      </c>
      <c r="Y208" s="387">
        <v>6141431272741</v>
      </c>
      <c r="Z208" s="387" t="s">
        <v>543</v>
      </c>
      <c r="AA208" s="388" t="s">
        <v>543</v>
      </c>
      <c r="AB208" s="388" t="s">
        <v>543</v>
      </c>
      <c r="AC208" s="387" t="s">
        <v>543</v>
      </c>
      <c r="AD208" s="389">
        <v>20</v>
      </c>
      <c r="AE208" s="390">
        <v>44470</v>
      </c>
      <c r="AF208" s="390">
        <v>45199</v>
      </c>
      <c r="AG208" s="390">
        <v>45199</v>
      </c>
      <c r="AH208" s="391" t="s">
        <v>2919</v>
      </c>
      <c r="AI208" s="391" t="s">
        <v>2144</v>
      </c>
      <c r="AJ208" s="391">
        <v>20</v>
      </c>
      <c r="AK208" s="390">
        <v>45047</v>
      </c>
      <c r="AL208" s="389">
        <v>70</v>
      </c>
      <c r="AM208" s="391" t="s">
        <v>548</v>
      </c>
      <c r="AN208" s="391" t="s">
        <v>549</v>
      </c>
      <c r="AO208" s="391" t="s">
        <v>2920</v>
      </c>
    </row>
    <row r="209" spans="1:43" ht="16" thickBot="1">
      <c r="A209" s="387" t="s">
        <v>1766</v>
      </c>
      <c r="B209" s="387" t="s">
        <v>590</v>
      </c>
      <c r="C209" s="387" t="s">
        <v>2922</v>
      </c>
      <c r="D209" s="387" t="s">
        <v>2923</v>
      </c>
      <c r="E209" s="387">
        <v>1</v>
      </c>
      <c r="F209" s="387" t="s">
        <v>1780</v>
      </c>
      <c r="G209" s="387">
        <v>1</v>
      </c>
      <c r="H209" s="387" t="s">
        <v>1780</v>
      </c>
      <c r="I209" s="387" t="s">
        <v>1751</v>
      </c>
      <c r="J209" s="387" t="s">
        <v>2924</v>
      </c>
      <c r="K209" s="387" t="s">
        <v>2925</v>
      </c>
      <c r="L209" s="387" t="s">
        <v>588</v>
      </c>
      <c r="M209" s="387" t="s">
        <v>589</v>
      </c>
      <c r="N209" s="388">
        <v>49</v>
      </c>
      <c r="O209" s="388">
        <v>14</v>
      </c>
      <c r="P209" s="387" t="s">
        <v>538</v>
      </c>
      <c r="Q209" s="387" t="s">
        <v>539</v>
      </c>
      <c r="R209" s="387" t="s">
        <v>2926</v>
      </c>
      <c r="S209" s="387" t="s">
        <v>171</v>
      </c>
      <c r="T209" s="387" t="s">
        <v>757</v>
      </c>
      <c r="U209" s="388">
        <v>34080</v>
      </c>
      <c r="V209" s="387">
        <v>6009695242027</v>
      </c>
      <c r="W209" s="387" t="s">
        <v>543</v>
      </c>
      <c r="X209" s="387" t="s">
        <v>543</v>
      </c>
      <c r="Y209" s="387">
        <v>26009695242021</v>
      </c>
      <c r="Z209" s="387" t="s">
        <v>543</v>
      </c>
      <c r="AA209" s="388" t="s">
        <v>543</v>
      </c>
      <c r="AB209" s="388" t="s">
        <v>543</v>
      </c>
      <c r="AC209" s="387" t="s">
        <v>2927</v>
      </c>
      <c r="AD209" s="389">
        <v>1</v>
      </c>
      <c r="AE209" s="390">
        <v>44470</v>
      </c>
      <c r="AF209" s="390">
        <v>45199</v>
      </c>
      <c r="AG209" s="391" t="s">
        <v>545</v>
      </c>
      <c r="AH209" s="391" t="s">
        <v>2928</v>
      </c>
      <c r="AI209" s="391" t="s">
        <v>592</v>
      </c>
      <c r="AJ209" s="391">
        <v>0</v>
      </c>
      <c r="AK209" s="390">
        <v>44470</v>
      </c>
      <c r="AL209" s="389">
        <v>100</v>
      </c>
      <c r="AM209" s="391" t="s">
        <v>548</v>
      </c>
      <c r="AN209" s="391" t="s">
        <v>549</v>
      </c>
      <c r="AO209" s="391" t="s">
        <v>2929</v>
      </c>
    </row>
    <row r="210" spans="1:43" ht="16" thickBot="1">
      <c r="A210" s="387" t="s">
        <v>1766</v>
      </c>
      <c r="B210" s="387" t="s">
        <v>2418</v>
      </c>
      <c r="C210" s="387" t="s">
        <v>2930</v>
      </c>
      <c r="D210" s="387" t="s">
        <v>2931</v>
      </c>
      <c r="E210" s="387">
        <v>1</v>
      </c>
      <c r="F210" s="387" t="s">
        <v>1780</v>
      </c>
      <c r="G210" s="387">
        <v>1</v>
      </c>
      <c r="H210" s="387" t="s">
        <v>1780</v>
      </c>
      <c r="I210" s="387" t="s">
        <v>1751</v>
      </c>
      <c r="J210" s="387" t="s">
        <v>2924</v>
      </c>
      <c r="K210" s="387" t="s">
        <v>2932</v>
      </c>
      <c r="L210" s="387" t="s">
        <v>588</v>
      </c>
      <c r="M210" s="387" t="s">
        <v>589</v>
      </c>
      <c r="N210" s="388">
        <v>99</v>
      </c>
      <c r="O210" s="388">
        <v>14</v>
      </c>
      <c r="P210" s="387" t="s">
        <v>538</v>
      </c>
      <c r="Q210" s="387" t="s">
        <v>539</v>
      </c>
      <c r="R210" s="387" t="s">
        <v>2926</v>
      </c>
      <c r="S210" s="387" t="s">
        <v>171</v>
      </c>
      <c r="T210" s="387" t="s">
        <v>757</v>
      </c>
      <c r="U210" s="388">
        <v>59350</v>
      </c>
      <c r="V210" s="387">
        <v>6009695242034</v>
      </c>
      <c r="W210" s="387" t="s">
        <v>543</v>
      </c>
      <c r="X210" s="387" t="s">
        <v>543</v>
      </c>
      <c r="Y210" s="387">
        <v>26009695242038</v>
      </c>
      <c r="Z210" s="387" t="s">
        <v>543</v>
      </c>
      <c r="AA210" s="388" t="s">
        <v>543</v>
      </c>
      <c r="AB210" s="388" t="s">
        <v>543</v>
      </c>
      <c r="AC210" s="387" t="s">
        <v>2933</v>
      </c>
      <c r="AD210" s="389">
        <v>1</v>
      </c>
      <c r="AE210" s="390">
        <v>44470</v>
      </c>
      <c r="AF210" s="390">
        <v>45199</v>
      </c>
      <c r="AG210" s="391" t="s">
        <v>545</v>
      </c>
      <c r="AH210" s="391" t="s">
        <v>2934</v>
      </c>
      <c r="AI210" s="391" t="s">
        <v>592</v>
      </c>
      <c r="AJ210" s="391">
        <v>0</v>
      </c>
      <c r="AK210" s="390">
        <v>44470</v>
      </c>
      <c r="AL210" s="389">
        <v>100</v>
      </c>
      <c r="AM210" s="391" t="s">
        <v>548</v>
      </c>
      <c r="AN210" s="391" t="s">
        <v>549</v>
      </c>
      <c r="AO210" s="391" t="s">
        <v>2935</v>
      </c>
    </row>
    <row r="211" spans="1:43" ht="16" thickBot="1">
      <c r="A211" s="387" t="s">
        <v>1766</v>
      </c>
      <c r="B211" s="387" t="s">
        <v>2577</v>
      </c>
      <c r="C211" s="387" t="s">
        <v>2936</v>
      </c>
      <c r="D211" s="387" t="s">
        <v>2937</v>
      </c>
      <c r="E211" s="387">
        <v>1</v>
      </c>
      <c r="F211" s="387" t="s">
        <v>1780</v>
      </c>
      <c r="G211" s="387">
        <v>1</v>
      </c>
      <c r="H211" s="387" t="s">
        <v>1780</v>
      </c>
      <c r="I211" s="387" t="s">
        <v>1751</v>
      </c>
      <c r="J211" s="387" t="s">
        <v>2938</v>
      </c>
      <c r="K211" s="387" t="s">
        <v>2939</v>
      </c>
      <c r="L211" s="387" t="s">
        <v>576</v>
      </c>
      <c r="M211" s="387" t="s">
        <v>577</v>
      </c>
      <c r="N211" s="388">
        <v>6.33</v>
      </c>
      <c r="O211" s="388">
        <v>14</v>
      </c>
      <c r="P211" s="387" t="s">
        <v>538</v>
      </c>
      <c r="Q211" s="387" t="s">
        <v>539</v>
      </c>
      <c r="R211" s="387" t="s">
        <v>2940</v>
      </c>
      <c r="S211" s="387" t="s">
        <v>171</v>
      </c>
      <c r="T211" s="387" t="s">
        <v>757</v>
      </c>
      <c r="U211" s="388">
        <v>295450</v>
      </c>
      <c r="V211" s="387">
        <v>6009688290837</v>
      </c>
      <c r="W211" s="387">
        <v>6009688290837</v>
      </c>
      <c r="X211" s="387" t="s">
        <v>543</v>
      </c>
      <c r="Y211" s="387" t="s">
        <v>543</v>
      </c>
      <c r="Z211" s="387">
        <v>16009688290834</v>
      </c>
      <c r="AA211" s="388" t="s">
        <v>543</v>
      </c>
      <c r="AB211" s="388" t="s">
        <v>543</v>
      </c>
      <c r="AC211" s="387" t="s">
        <v>543</v>
      </c>
      <c r="AD211" s="389">
        <v>100</v>
      </c>
      <c r="AE211" s="390">
        <v>44470</v>
      </c>
      <c r="AF211" s="390">
        <v>45199</v>
      </c>
      <c r="AG211" s="391" t="s">
        <v>545</v>
      </c>
      <c r="AH211" s="391" t="s">
        <v>2941</v>
      </c>
      <c r="AI211" s="391" t="s">
        <v>580</v>
      </c>
      <c r="AJ211" s="391">
        <v>0</v>
      </c>
      <c r="AK211" s="390">
        <v>44470</v>
      </c>
      <c r="AL211" s="389">
        <v>100</v>
      </c>
      <c r="AM211" s="391" t="s">
        <v>548</v>
      </c>
      <c r="AN211" s="391" t="s">
        <v>549</v>
      </c>
      <c r="AO211" s="391" t="s">
        <v>2942</v>
      </c>
    </row>
    <row r="212" spans="1:43" ht="16" thickBot="1">
      <c r="A212" s="387" t="s">
        <v>1766</v>
      </c>
      <c r="B212" s="387" t="s">
        <v>2943</v>
      </c>
      <c r="C212" s="387" t="s">
        <v>2944</v>
      </c>
      <c r="D212" s="387" t="s">
        <v>2945</v>
      </c>
      <c r="E212" s="387">
        <v>1</v>
      </c>
      <c r="F212" s="387" t="s">
        <v>1780</v>
      </c>
      <c r="G212" s="387">
        <v>1</v>
      </c>
      <c r="H212" s="387" t="s">
        <v>1780</v>
      </c>
      <c r="I212" s="387" t="s">
        <v>1751</v>
      </c>
      <c r="J212" s="387" t="s">
        <v>2938</v>
      </c>
      <c r="K212" s="387" t="s">
        <v>2946</v>
      </c>
      <c r="L212" s="387" t="s">
        <v>2141</v>
      </c>
      <c r="M212" s="387" t="s">
        <v>2142</v>
      </c>
      <c r="N212" s="388">
        <v>5.12</v>
      </c>
      <c r="O212" s="388">
        <v>14</v>
      </c>
      <c r="P212" s="387" t="s">
        <v>538</v>
      </c>
      <c r="Q212" s="387" t="s">
        <v>539</v>
      </c>
      <c r="R212" s="387" t="s">
        <v>2940</v>
      </c>
      <c r="S212" s="387" t="s">
        <v>171</v>
      </c>
      <c r="T212" s="387" t="s">
        <v>757</v>
      </c>
      <c r="U212" s="388">
        <v>188080</v>
      </c>
      <c r="V212" s="387">
        <v>614143127298</v>
      </c>
      <c r="W212" s="387">
        <v>614143127298</v>
      </c>
      <c r="X212" s="387" t="s">
        <v>543</v>
      </c>
      <c r="Y212" s="387">
        <v>6141431272981</v>
      </c>
      <c r="Z212" s="387" t="s">
        <v>543</v>
      </c>
      <c r="AA212" s="388" t="s">
        <v>543</v>
      </c>
      <c r="AB212" s="388" t="s">
        <v>543</v>
      </c>
      <c r="AC212" s="387" t="s">
        <v>543</v>
      </c>
      <c r="AD212" s="389">
        <v>20</v>
      </c>
      <c r="AE212" s="390">
        <v>44470</v>
      </c>
      <c r="AF212" s="390">
        <v>45199</v>
      </c>
      <c r="AG212" s="390">
        <v>45199</v>
      </c>
      <c r="AH212" s="391" t="s">
        <v>2947</v>
      </c>
      <c r="AI212" s="391" t="s">
        <v>2144</v>
      </c>
      <c r="AJ212" s="391">
        <v>20</v>
      </c>
      <c r="AK212" s="390">
        <v>45047</v>
      </c>
      <c r="AL212" s="389">
        <v>100</v>
      </c>
      <c r="AM212" s="391" t="s">
        <v>548</v>
      </c>
      <c r="AN212" s="391" t="s">
        <v>549</v>
      </c>
      <c r="AO212" s="391" t="s">
        <v>2948</v>
      </c>
    </row>
    <row r="213" spans="1:43" ht="16" thickBot="1">
      <c r="A213" s="387" t="s">
        <v>1766</v>
      </c>
      <c r="B213" s="387" t="s">
        <v>2949</v>
      </c>
      <c r="C213" s="387" t="s">
        <v>2950</v>
      </c>
      <c r="D213" s="387" t="s">
        <v>2951</v>
      </c>
      <c r="E213" s="387">
        <v>1</v>
      </c>
      <c r="F213" s="387" t="s">
        <v>1780</v>
      </c>
      <c r="G213" s="387">
        <v>1</v>
      </c>
      <c r="H213" s="387" t="s">
        <v>1780</v>
      </c>
      <c r="I213" s="387" t="s">
        <v>1751</v>
      </c>
      <c r="J213" s="387" t="s">
        <v>2952</v>
      </c>
      <c r="K213" s="387" t="s">
        <v>2953</v>
      </c>
      <c r="L213" s="387" t="s">
        <v>2326</v>
      </c>
      <c r="M213" s="387" t="s">
        <v>2327</v>
      </c>
      <c r="N213" s="388">
        <v>25.19</v>
      </c>
      <c r="O213" s="388">
        <v>14</v>
      </c>
      <c r="P213" s="387" t="s">
        <v>538</v>
      </c>
      <c r="Q213" s="387" t="s">
        <v>539</v>
      </c>
      <c r="R213" s="387" t="s">
        <v>2954</v>
      </c>
      <c r="S213" s="387" t="s">
        <v>171</v>
      </c>
      <c r="T213" s="387" t="s">
        <v>757</v>
      </c>
      <c r="U213" s="388">
        <v>64600</v>
      </c>
      <c r="V213" s="387">
        <v>6006750002121</v>
      </c>
      <c r="W213" s="387" t="s">
        <v>543</v>
      </c>
      <c r="X213" s="387" t="s">
        <v>543</v>
      </c>
      <c r="Y213" s="387" t="s">
        <v>543</v>
      </c>
      <c r="Z213" s="387" t="s">
        <v>543</v>
      </c>
      <c r="AA213" s="388" t="s">
        <v>543</v>
      </c>
      <c r="AB213" s="388" t="s">
        <v>543</v>
      </c>
      <c r="AC213" s="387">
        <v>705570001</v>
      </c>
      <c r="AD213" s="389">
        <v>10</v>
      </c>
      <c r="AE213" s="390">
        <v>44470</v>
      </c>
      <c r="AF213" s="390">
        <v>45199</v>
      </c>
      <c r="AG213" s="391" t="s">
        <v>545</v>
      </c>
      <c r="AH213" s="391" t="s">
        <v>2955</v>
      </c>
      <c r="AI213" s="391" t="s">
        <v>2330</v>
      </c>
      <c r="AJ213" s="391">
        <v>0</v>
      </c>
      <c r="AK213" s="390">
        <v>44470</v>
      </c>
      <c r="AL213" s="389">
        <v>100</v>
      </c>
      <c r="AM213" s="391" t="s">
        <v>548</v>
      </c>
      <c r="AN213" s="391" t="s">
        <v>549</v>
      </c>
      <c r="AO213" s="391" t="s">
        <v>2956</v>
      </c>
    </row>
    <row r="214" spans="1:43" ht="16" thickBot="1">
      <c r="A214" s="387" t="s">
        <v>1766</v>
      </c>
      <c r="B214" s="387" t="s">
        <v>2622</v>
      </c>
      <c r="C214" s="387" t="s">
        <v>2957</v>
      </c>
      <c r="D214" s="387" t="s">
        <v>2958</v>
      </c>
      <c r="E214" s="387">
        <v>1</v>
      </c>
      <c r="F214" s="387" t="s">
        <v>1780</v>
      </c>
      <c r="G214" s="387">
        <v>1</v>
      </c>
      <c r="H214" s="387" t="s">
        <v>1780</v>
      </c>
      <c r="I214" s="387" t="s">
        <v>1751</v>
      </c>
      <c r="J214" s="387" t="s">
        <v>2952</v>
      </c>
      <c r="K214" s="387" t="s">
        <v>2959</v>
      </c>
      <c r="L214" s="387" t="s">
        <v>2326</v>
      </c>
      <c r="M214" s="387" t="s">
        <v>2327</v>
      </c>
      <c r="N214" s="388">
        <v>51.78</v>
      </c>
      <c r="O214" s="388">
        <v>14</v>
      </c>
      <c r="P214" s="387" t="s">
        <v>538</v>
      </c>
      <c r="Q214" s="387" t="s">
        <v>539</v>
      </c>
      <c r="R214" s="387" t="s">
        <v>2954</v>
      </c>
      <c r="S214" s="387" t="s">
        <v>171</v>
      </c>
      <c r="T214" s="387" t="s">
        <v>757</v>
      </c>
      <c r="U214" s="388">
        <v>19395</v>
      </c>
      <c r="V214" s="387">
        <v>6006750002114</v>
      </c>
      <c r="W214" s="387" t="s">
        <v>543</v>
      </c>
      <c r="X214" s="387" t="s">
        <v>543</v>
      </c>
      <c r="Y214" s="387" t="s">
        <v>543</v>
      </c>
      <c r="Z214" s="387" t="s">
        <v>543</v>
      </c>
      <c r="AA214" s="388" t="s">
        <v>543</v>
      </c>
      <c r="AB214" s="388" t="s">
        <v>543</v>
      </c>
      <c r="AC214" s="387">
        <v>705572001</v>
      </c>
      <c r="AD214" s="389">
        <v>10</v>
      </c>
      <c r="AE214" s="390">
        <v>44470</v>
      </c>
      <c r="AF214" s="390">
        <v>45199</v>
      </c>
      <c r="AG214" s="391" t="s">
        <v>545</v>
      </c>
      <c r="AH214" s="391" t="s">
        <v>2960</v>
      </c>
      <c r="AI214" s="391" t="s">
        <v>2330</v>
      </c>
      <c r="AJ214" s="391">
        <v>0</v>
      </c>
      <c r="AK214" s="390">
        <v>44470</v>
      </c>
      <c r="AL214" s="389">
        <v>100</v>
      </c>
      <c r="AM214" s="391" t="s">
        <v>548</v>
      </c>
      <c r="AN214" s="391" t="s">
        <v>549</v>
      </c>
      <c r="AO214" s="391" t="s">
        <v>2961</v>
      </c>
    </row>
    <row r="215" spans="1:43" ht="16" thickBot="1">
      <c r="A215" s="387" t="s">
        <v>1766</v>
      </c>
      <c r="B215" s="387" t="s">
        <v>2671</v>
      </c>
      <c r="C215" s="387" t="s">
        <v>2962</v>
      </c>
      <c r="D215" s="387" t="s">
        <v>2963</v>
      </c>
      <c r="E215" s="387">
        <v>1</v>
      </c>
      <c r="F215" s="387" t="s">
        <v>1780</v>
      </c>
      <c r="G215" s="387">
        <v>1</v>
      </c>
      <c r="H215" s="387" t="s">
        <v>1780</v>
      </c>
      <c r="I215" s="387" t="s">
        <v>1751</v>
      </c>
      <c r="J215" s="387" t="s">
        <v>2964</v>
      </c>
      <c r="K215" s="387" t="s">
        <v>2965</v>
      </c>
      <c r="L215" s="387" t="s">
        <v>576</v>
      </c>
      <c r="M215" s="387" t="s">
        <v>577</v>
      </c>
      <c r="N215" s="388">
        <v>5.98</v>
      </c>
      <c r="O215" s="388">
        <v>14</v>
      </c>
      <c r="P215" s="387" t="s">
        <v>538</v>
      </c>
      <c r="Q215" s="387" t="s">
        <v>539</v>
      </c>
      <c r="R215" s="387" t="s">
        <v>2966</v>
      </c>
      <c r="S215" s="387" t="s">
        <v>171</v>
      </c>
      <c r="T215" s="387" t="s">
        <v>542</v>
      </c>
      <c r="U215" s="388">
        <v>3601305</v>
      </c>
      <c r="V215" s="387">
        <v>6009688290486</v>
      </c>
      <c r="W215" s="387" t="s">
        <v>543</v>
      </c>
      <c r="X215" s="387" t="s">
        <v>543</v>
      </c>
      <c r="Y215" s="387" t="s">
        <v>543</v>
      </c>
      <c r="Z215" s="387" t="s">
        <v>543</v>
      </c>
      <c r="AA215" s="388" t="s">
        <v>543</v>
      </c>
      <c r="AB215" s="388" t="s">
        <v>543</v>
      </c>
      <c r="AC215" s="387" t="s">
        <v>543</v>
      </c>
      <c r="AD215" s="389">
        <v>50</v>
      </c>
      <c r="AE215" s="390">
        <v>44470</v>
      </c>
      <c r="AF215" s="390">
        <v>45199</v>
      </c>
      <c r="AG215" s="391" t="s">
        <v>545</v>
      </c>
      <c r="AH215" s="391" t="s">
        <v>2967</v>
      </c>
      <c r="AI215" s="391" t="s">
        <v>580</v>
      </c>
      <c r="AJ215" s="391">
        <v>0</v>
      </c>
      <c r="AK215" s="390">
        <v>44470</v>
      </c>
      <c r="AL215" s="389">
        <v>37.43</v>
      </c>
      <c r="AM215" s="391" t="s">
        <v>548</v>
      </c>
      <c r="AN215" s="391" t="s">
        <v>549</v>
      </c>
      <c r="AO215" s="391" t="s">
        <v>2968</v>
      </c>
      <c r="AP215" s="372">
        <f>N215/E215</f>
        <v>5.98</v>
      </c>
      <c r="AQ215" s="372">
        <f>SUMPRODUCT(AP215:AP217,U215:U217)/SUM(U215:U217)</f>
        <v>6.7068644322852524</v>
      </c>
    </row>
    <row r="216" spans="1:43" ht="16" thickBot="1">
      <c r="A216" s="387" t="s">
        <v>1766</v>
      </c>
      <c r="B216" s="387" t="s">
        <v>2671</v>
      </c>
      <c r="C216" s="387" t="s">
        <v>2962</v>
      </c>
      <c r="D216" s="387" t="s">
        <v>2963</v>
      </c>
      <c r="E216" s="387">
        <v>1</v>
      </c>
      <c r="F216" s="387" t="s">
        <v>1780</v>
      </c>
      <c r="G216" s="387">
        <v>1</v>
      </c>
      <c r="H216" s="387" t="s">
        <v>1780</v>
      </c>
      <c r="I216" s="387" t="s">
        <v>1751</v>
      </c>
      <c r="J216" s="387" t="s">
        <v>2964</v>
      </c>
      <c r="K216" s="387" t="s">
        <v>2969</v>
      </c>
      <c r="L216" s="387" t="s">
        <v>2326</v>
      </c>
      <c r="M216" s="387" t="s">
        <v>2327</v>
      </c>
      <c r="N216" s="388">
        <v>7.59</v>
      </c>
      <c r="O216" s="388">
        <v>14</v>
      </c>
      <c r="P216" s="387" t="s">
        <v>538</v>
      </c>
      <c r="Q216" s="387" t="s">
        <v>539</v>
      </c>
      <c r="R216" s="387" t="s">
        <v>2966</v>
      </c>
      <c r="S216" s="387" t="s">
        <v>171</v>
      </c>
      <c r="T216" s="387" t="s">
        <v>542</v>
      </c>
      <c r="U216" s="388">
        <v>2728681</v>
      </c>
      <c r="V216" s="387">
        <v>6006750002701</v>
      </c>
      <c r="W216" s="387" t="s">
        <v>543</v>
      </c>
      <c r="X216" s="387" t="s">
        <v>543</v>
      </c>
      <c r="Y216" s="387" t="s">
        <v>543</v>
      </c>
      <c r="Z216" s="387" t="s">
        <v>543</v>
      </c>
      <c r="AA216" s="388" t="s">
        <v>543</v>
      </c>
      <c r="AB216" s="388" t="s">
        <v>543</v>
      </c>
      <c r="AC216" s="387">
        <v>702483003</v>
      </c>
      <c r="AD216" s="389">
        <v>10</v>
      </c>
      <c r="AE216" s="390">
        <v>44470</v>
      </c>
      <c r="AF216" s="390">
        <v>45199</v>
      </c>
      <c r="AG216" s="391" t="s">
        <v>545</v>
      </c>
      <c r="AH216" s="391" t="s">
        <v>2967</v>
      </c>
      <c r="AI216" s="391" t="s">
        <v>2330</v>
      </c>
      <c r="AJ216" s="391">
        <v>0</v>
      </c>
      <c r="AK216" s="390">
        <v>44470</v>
      </c>
      <c r="AL216" s="389">
        <v>28.36</v>
      </c>
      <c r="AM216" s="391" t="s">
        <v>548</v>
      </c>
      <c r="AN216" s="391" t="s">
        <v>549</v>
      </c>
      <c r="AO216" s="391" t="s">
        <v>2968</v>
      </c>
      <c r="AP216" s="372">
        <f t="shared" ref="AP216:AP217" si="6">N216/E216</f>
        <v>7.59</v>
      </c>
    </row>
    <row r="217" spans="1:43" ht="16" thickBot="1">
      <c r="A217" s="387" t="s">
        <v>1766</v>
      </c>
      <c r="B217" s="387" t="s">
        <v>2671</v>
      </c>
      <c r="C217" s="387" t="s">
        <v>2962</v>
      </c>
      <c r="D217" s="387" t="s">
        <v>2963</v>
      </c>
      <c r="E217" s="387">
        <v>1</v>
      </c>
      <c r="F217" s="387" t="s">
        <v>1780</v>
      </c>
      <c r="G217" s="387">
        <v>1</v>
      </c>
      <c r="H217" s="387" t="s">
        <v>1780</v>
      </c>
      <c r="I217" s="387" t="s">
        <v>1751</v>
      </c>
      <c r="J217" s="387" t="s">
        <v>2964</v>
      </c>
      <c r="K217" s="387" t="s">
        <v>2970</v>
      </c>
      <c r="L217" s="387" t="s">
        <v>2141</v>
      </c>
      <c r="M217" s="387" t="s">
        <v>2142</v>
      </c>
      <c r="N217" s="388">
        <v>6.77</v>
      </c>
      <c r="O217" s="388">
        <v>14</v>
      </c>
      <c r="P217" s="387" t="s">
        <v>538</v>
      </c>
      <c r="Q217" s="387" t="s">
        <v>539</v>
      </c>
      <c r="R217" s="387" t="s">
        <v>2966</v>
      </c>
      <c r="S217" s="387" t="s">
        <v>171</v>
      </c>
      <c r="T217" s="387" t="s">
        <v>542</v>
      </c>
      <c r="U217" s="388">
        <v>3292364</v>
      </c>
      <c r="V217" s="387" t="s">
        <v>543</v>
      </c>
      <c r="W217" s="387" t="s">
        <v>543</v>
      </c>
      <c r="X217" s="387" t="s">
        <v>543</v>
      </c>
      <c r="Y217" s="387" t="s">
        <v>543</v>
      </c>
      <c r="Z217" s="387" t="s">
        <v>543</v>
      </c>
      <c r="AA217" s="388" t="s">
        <v>543</v>
      </c>
      <c r="AB217" s="388" t="s">
        <v>543</v>
      </c>
      <c r="AC217" s="387" t="s">
        <v>543</v>
      </c>
      <c r="AD217" s="389">
        <v>20</v>
      </c>
      <c r="AE217" s="390">
        <v>44470</v>
      </c>
      <c r="AF217" s="390">
        <v>45199</v>
      </c>
      <c r="AG217" s="390">
        <v>45199</v>
      </c>
      <c r="AH217" s="391" t="s">
        <v>2967</v>
      </c>
      <c r="AI217" s="391" t="s">
        <v>2144</v>
      </c>
      <c r="AJ217" s="391">
        <v>20</v>
      </c>
      <c r="AK217" s="390">
        <v>45047</v>
      </c>
      <c r="AL217" s="389">
        <v>34.22</v>
      </c>
      <c r="AM217" s="391" t="s">
        <v>548</v>
      </c>
      <c r="AN217" s="391" t="s">
        <v>549</v>
      </c>
      <c r="AO217" s="391" t="s">
        <v>2968</v>
      </c>
      <c r="AP217" s="372">
        <f t="shared" si="6"/>
        <v>6.77</v>
      </c>
    </row>
    <row r="218" spans="1:43" ht="16" thickBot="1">
      <c r="A218" s="387" t="s">
        <v>1766</v>
      </c>
      <c r="B218" s="387" t="s">
        <v>2679</v>
      </c>
      <c r="C218" s="387" t="s">
        <v>2971</v>
      </c>
      <c r="D218" s="387" t="s">
        <v>2972</v>
      </c>
      <c r="E218" s="387">
        <v>1</v>
      </c>
      <c r="F218" s="387" t="s">
        <v>1780</v>
      </c>
      <c r="G218" s="387">
        <v>1</v>
      </c>
      <c r="H218" s="387" t="s">
        <v>1780</v>
      </c>
      <c r="I218" s="387" t="s">
        <v>1751</v>
      </c>
      <c r="J218" s="387" t="s">
        <v>2964</v>
      </c>
      <c r="K218" s="387" t="s">
        <v>2973</v>
      </c>
      <c r="L218" s="387" t="s">
        <v>576</v>
      </c>
      <c r="M218" s="387" t="s">
        <v>577</v>
      </c>
      <c r="N218" s="388">
        <v>4.03</v>
      </c>
      <c r="O218" s="388">
        <v>14</v>
      </c>
      <c r="P218" s="387" t="s">
        <v>538</v>
      </c>
      <c r="Q218" s="387" t="s">
        <v>539</v>
      </c>
      <c r="R218" s="387" t="s">
        <v>2966</v>
      </c>
      <c r="S218" s="387" t="s">
        <v>171</v>
      </c>
      <c r="T218" s="387" t="s">
        <v>542</v>
      </c>
      <c r="U218" s="388">
        <v>4230904</v>
      </c>
      <c r="V218" s="387">
        <v>6009688290462</v>
      </c>
      <c r="W218" s="387">
        <v>6009688290462</v>
      </c>
      <c r="X218" s="387" t="s">
        <v>543</v>
      </c>
      <c r="Y218" s="387">
        <v>16009688290469</v>
      </c>
      <c r="Z218" s="387" t="s">
        <v>543</v>
      </c>
      <c r="AA218" s="388" t="s">
        <v>543</v>
      </c>
      <c r="AB218" s="388" t="s">
        <v>543</v>
      </c>
      <c r="AC218" s="387" t="s">
        <v>543</v>
      </c>
      <c r="AD218" s="389">
        <v>400</v>
      </c>
      <c r="AE218" s="390">
        <v>44470</v>
      </c>
      <c r="AF218" s="390">
        <v>45199</v>
      </c>
      <c r="AG218" s="391" t="s">
        <v>545</v>
      </c>
      <c r="AH218" s="391" t="s">
        <v>2974</v>
      </c>
      <c r="AI218" s="391" t="s">
        <v>580</v>
      </c>
      <c r="AJ218" s="391">
        <v>0</v>
      </c>
      <c r="AK218" s="390">
        <v>44470</v>
      </c>
      <c r="AL218" s="389">
        <v>80</v>
      </c>
      <c r="AM218" s="391" t="s">
        <v>548</v>
      </c>
      <c r="AN218" s="391" t="s">
        <v>549</v>
      </c>
      <c r="AO218" s="391" t="s">
        <v>2975</v>
      </c>
      <c r="AP218" s="372">
        <f>N218/E218</f>
        <v>4.03</v>
      </c>
      <c r="AQ218" s="372">
        <f>SUMPRODUCT(AP218:AP219,U218:U219)/SUM(U218:U219)</f>
        <v>4.2040000000000006</v>
      </c>
    </row>
    <row r="219" spans="1:43" ht="16" thickBot="1">
      <c r="A219" s="387" t="s">
        <v>1766</v>
      </c>
      <c r="B219" s="387" t="s">
        <v>2679</v>
      </c>
      <c r="C219" s="387" t="s">
        <v>2971</v>
      </c>
      <c r="D219" s="387" t="s">
        <v>2972</v>
      </c>
      <c r="E219" s="387">
        <v>1</v>
      </c>
      <c r="F219" s="387" t="s">
        <v>1780</v>
      </c>
      <c r="G219" s="387">
        <v>1</v>
      </c>
      <c r="H219" s="387" t="s">
        <v>1780</v>
      </c>
      <c r="I219" s="387" t="s">
        <v>1751</v>
      </c>
      <c r="J219" s="387" t="s">
        <v>2964</v>
      </c>
      <c r="K219" s="387" t="s">
        <v>2976</v>
      </c>
      <c r="L219" s="387" t="s">
        <v>1809</v>
      </c>
      <c r="M219" s="387" t="s">
        <v>1810</v>
      </c>
      <c r="N219" s="388">
        <v>4.9000000000000004</v>
      </c>
      <c r="O219" s="388">
        <v>14</v>
      </c>
      <c r="P219" s="387" t="s">
        <v>538</v>
      </c>
      <c r="Q219" s="387" t="s">
        <v>539</v>
      </c>
      <c r="R219" s="387" t="s">
        <v>2966</v>
      </c>
      <c r="S219" s="387" t="s">
        <v>171</v>
      </c>
      <c r="T219" s="387" t="s">
        <v>542</v>
      </c>
      <c r="U219" s="388">
        <v>1057726</v>
      </c>
      <c r="V219" s="387">
        <v>6006845003149</v>
      </c>
      <c r="W219" s="387">
        <v>6006845003149</v>
      </c>
      <c r="X219" s="387" t="s">
        <v>543</v>
      </c>
      <c r="Y219" s="387" t="s">
        <v>543</v>
      </c>
      <c r="Z219" s="387" t="s">
        <v>543</v>
      </c>
      <c r="AA219" s="388" t="s">
        <v>543</v>
      </c>
      <c r="AB219" s="388" t="s">
        <v>543</v>
      </c>
      <c r="AC219" s="387" t="s">
        <v>543</v>
      </c>
      <c r="AD219" s="389">
        <v>400</v>
      </c>
      <c r="AE219" s="390">
        <v>44470</v>
      </c>
      <c r="AF219" s="390">
        <v>45199</v>
      </c>
      <c r="AG219" s="391" t="s">
        <v>545</v>
      </c>
      <c r="AH219" s="391" t="s">
        <v>2974</v>
      </c>
      <c r="AI219" s="391" t="s">
        <v>1813</v>
      </c>
      <c r="AJ219" s="391">
        <v>0</v>
      </c>
      <c r="AK219" s="390">
        <v>44470</v>
      </c>
      <c r="AL219" s="389">
        <v>20</v>
      </c>
      <c r="AM219" s="391" t="s">
        <v>548</v>
      </c>
      <c r="AN219" s="391" t="s">
        <v>549</v>
      </c>
      <c r="AO219" s="391" t="s">
        <v>2975</v>
      </c>
      <c r="AP219" s="372">
        <f t="shared" ref="AP219" si="7">N219/E219</f>
        <v>4.9000000000000004</v>
      </c>
    </row>
    <row r="220" spans="1:43" ht="16" thickBot="1">
      <c r="A220" s="387" t="s">
        <v>1766</v>
      </c>
      <c r="B220" s="387" t="s">
        <v>2692</v>
      </c>
      <c r="C220" s="387" t="s">
        <v>2977</v>
      </c>
      <c r="D220" s="387" t="s">
        <v>2978</v>
      </c>
      <c r="E220" s="387">
        <v>1</v>
      </c>
      <c r="F220" s="387" t="s">
        <v>1780</v>
      </c>
      <c r="G220" s="387">
        <v>1</v>
      </c>
      <c r="H220" s="387" t="s">
        <v>1780</v>
      </c>
      <c r="I220" s="387" t="s">
        <v>1751</v>
      </c>
      <c r="J220" s="387" t="s">
        <v>2964</v>
      </c>
      <c r="K220" s="387" t="s">
        <v>2979</v>
      </c>
      <c r="L220" s="387" t="s">
        <v>2326</v>
      </c>
      <c r="M220" s="387" t="s">
        <v>2327</v>
      </c>
      <c r="N220" s="388">
        <v>5.69</v>
      </c>
      <c r="O220" s="388">
        <v>14</v>
      </c>
      <c r="P220" s="387" t="s">
        <v>538</v>
      </c>
      <c r="Q220" s="387" t="s">
        <v>539</v>
      </c>
      <c r="R220" s="387" t="s">
        <v>2966</v>
      </c>
      <c r="S220" s="387" t="s">
        <v>171</v>
      </c>
      <c r="T220" s="387" t="s">
        <v>542</v>
      </c>
      <c r="U220" s="388">
        <v>643588</v>
      </c>
      <c r="V220" s="387">
        <v>6006750002695</v>
      </c>
      <c r="W220" s="387" t="s">
        <v>543</v>
      </c>
      <c r="X220" s="387" t="s">
        <v>543</v>
      </c>
      <c r="Y220" s="387" t="s">
        <v>543</v>
      </c>
      <c r="Z220" s="387" t="s">
        <v>543</v>
      </c>
      <c r="AA220" s="388" t="s">
        <v>543</v>
      </c>
      <c r="AB220" s="388" t="s">
        <v>543</v>
      </c>
      <c r="AC220" s="387" t="s">
        <v>2980</v>
      </c>
      <c r="AD220" s="389">
        <v>10</v>
      </c>
      <c r="AE220" s="390">
        <v>44470</v>
      </c>
      <c r="AF220" s="390">
        <v>45199</v>
      </c>
      <c r="AG220" s="391" t="s">
        <v>545</v>
      </c>
      <c r="AH220" s="391" t="s">
        <v>2981</v>
      </c>
      <c r="AI220" s="391" t="s">
        <v>2330</v>
      </c>
      <c r="AJ220" s="391">
        <v>0</v>
      </c>
      <c r="AK220" s="390">
        <v>44470</v>
      </c>
      <c r="AL220" s="389">
        <v>20</v>
      </c>
      <c r="AM220" s="391" t="s">
        <v>548</v>
      </c>
      <c r="AN220" s="391" t="s">
        <v>549</v>
      </c>
      <c r="AO220" s="391" t="s">
        <v>2982</v>
      </c>
      <c r="AP220" s="372">
        <f>N220/E220</f>
        <v>5.69</v>
      </c>
      <c r="AQ220" s="372">
        <f>SUMPRODUCT(AP220:AP221,U220:U221)/SUM(U220:U221)</f>
        <v>5.1779999999999999</v>
      </c>
    </row>
    <row r="221" spans="1:43" ht="16" thickBot="1">
      <c r="A221" s="387" t="s">
        <v>1766</v>
      </c>
      <c r="B221" s="387" t="s">
        <v>2692</v>
      </c>
      <c r="C221" s="387" t="s">
        <v>2977</v>
      </c>
      <c r="D221" s="387" t="s">
        <v>2978</v>
      </c>
      <c r="E221" s="387">
        <v>1</v>
      </c>
      <c r="F221" s="387" t="s">
        <v>1780</v>
      </c>
      <c r="G221" s="387">
        <v>1</v>
      </c>
      <c r="H221" s="387" t="s">
        <v>1780</v>
      </c>
      <c r="I221" s="387" t="s">
        <v>1751</v>
      </c>
      <c r="J221" s="387" t="s">
        <v>2964</v>
      </c>
      <c r="K221" s="387" t="s">
        <v>2983</v>
      </c>
      <c r="L221" s="387" t="s">
        <v>2141</v>
      </c>
      <c r="M221" s="387" t="s">
        <v>2142</v>
      </c>
      <c r="N221" s="388">
        <v>5.05</v>
      </c>
      <c r="O221" s="388">
        <v>14</v>
      </c>
      <c r="P221" s="387" t="s">
        <v>538</v>
      </c>
      <c r="Q221" s="387" t="s">
        <v>539</v>
      </c>
      <c r="R221" s="387" t="s">
        <v>2966</v>
      </c>
      <c r="S221" s="387" t="s">
        <v>171</v>
      </c>
      <c r="T221" s="387" t="s">
        <v>542</v>
      </c>
      <c r="U221" s="388">
        <v>2574352</v>
      </c>
      <c r="V221" s="387">
        <v>781718734127</v>
      </c>
      <c r="W221" s="387">
        <v>614143127335</v>
      </c>
      <c r="X221" s="387" t="s">
        <v>543</v>
      </c>
      <c r="Y221" s="387">
        <v>6141431273351</v>
      </c>
      <c r="Z221" s="387" t="s">
        <v>543</v>
      </c>
      <c r="AA221" s="388" t="s">
        <v>543</v>
      </c>
      <c r="AB221" s="388" t="s">
        <v>543</v>
      </c>
      <c r="AC221" s="387">
        <v>3001244001</v>
      </c>
      <c r="AD221" s="389">
        <v>20</v>
      </c>
      <c r="AE221" s="390">
        <v>44470</v>
      </c>
      <c r="AF221" s="390">
        <v>45199</v>
      </c>
      <c r="AG221" s="390">
        <v>45199</v>
      </c>
      <c r="AH221" s="391" t="s">
        <v>2981</v>
      </c>
      <c r="AI221" s="391" t="s">
        <v>2144</v>
      </c>
      <c r="AJ221" s="391">
        <v>20</v>
      </c>
      <c r="AK221" s="390">
        <v>45047</v>
      </c>
      <c r="AL221" s="389">
        <v>80</v>
      </c>
      <c r="AM221" s="391" t="s">
        <v>548</v>
      </c>
      <c r="AN221" s="391" t="s">
        <v>549</v>
      </c>
      <c r="AO221" s="391" t="s">
        <v>2982</v>
      </c>
      <c r="AP221" s="372">
        <f t="shared" ref="AP221" si="8">N221/E221</f>
        <v>5.05</v>
      </c>
    </row>
    <row r="222" spans="1:43" ht="16" thickBot="1">
      <c r="A222" s="387" t="s">
        <v>1717</v>
      </c>
      <c r="B222" s="387" t="s">
        <v>2424</v>
      </c>
      <c r="C222" s="387" t="s">
        <v>2984</v>
      </c>
      <c r="D222" s="387" t="s">
        <v>2985</v>
      </c>
      <c r="E222" s="387">
        <v>28</v>
      </c>
      <c r="F222" s="387" t="s">
        <v>559</v>
      </c>
      <c r="G222" s="387">
        <v>28</v>
      </c>
      <c r="H222" s="387" t="s">
        <v>559</v>
      </c>
      <c r="I222" s="387" t="s">
        <v>560</v>
      </c>
      <c r="J222" s="387" t="s">
        <v>2986</v>
      </c>
      <c r="K222" s="387" t="s">
        <v>2987</v>
      </c>
      <c r="L222" s="387" t="s">
        <v>1905</v>
      </c>
      <c r="M222" s="387" t="s">
        <v>1906</v>
      </c>
      <c r="N222" s="388">
        <v>3.86</v>
      </c>
      <c r="O222" s="388">
        <v>14</v>
      </c>
      <c r="P222" s="387" t="s">
        <v>538</v>
      </c>
      <c r="Q222" s="387" t="s">
        <v>539</v>
      </c>
      <c r="R222" s="387" t="s">
        <v>2988</v>
      </c>
      <c r="S222" s="387" t="s">
        <v>171</v>
      </c>
      <c r="T222" s="387" t="s">
        <v>542</v>
      </c>
      <c r="U222" s="388">
        <v>2934882</v>
      </c>
      <c r="V222" s="387">
        <v>6006823004007</v>
      </c>
      <c r="W222" s="387" t="s">
        <v>543</v>
      </c>
      <c r="X222" s="387" t="s">
        <v>543</v>
      </c>
      <c r="Y222" s="387">
        <v>16006823002802</v>
      </c>
      <c r="Z222" s="387" t="s">
        <v>543</v>
      </c>
      <c r="AA222" s="388" t="s">
        <v>543</v>
      </c>
      <c r="AB222" s="388" t="s">
        <v>543</v>
      </c>
      <c r="AC222" s="387" t="s">
        <v>543</v>
      </c>
      <c r="AD222" s="389">
        <v>100</v>
      </c>
      <c r="AE222" s="390">
        <v>45047</v>
      </c>
      <c r="AF222" s="390">
        <v>46142</v>
      </c>
      <c r="AG222" s="391" t="s">
        <v>545</v>
      </c>
      <c r="AH222" s="391" t="s">
        <v>2989</v>
      </c>
      <c r="AI222" s="391" t="s">
        <v>1910</v>
      </c>
      <c r="AJ222" s="391">
        <v>0</v>
      </c>
      <c r="AK222" s="390">
        <v>45047</v>
      </c>
      <c r="AL222" s="389">
        <v>40</v>
      </c>
      <c r="AM222" s="391" t="s">
        <v>548</v>
      </c>
      <c r="AN222" s="391" t="s">
        <v>549</v>
      </c>
      <c r="AO222" s="391" t="s">
        <v>2990</v>
      </c>
      <c r="AP222" s="372">
        <f>N222/E222</f>
        <v>0.13785714285714284</v>
      </c>
      <c r="AQ222" s="372">
        <f>SUMPRODUCT(AP222:AP223,U222:U223)/SUM(U222:U223)</f>
        <v>0.14128571459723807</v>
      </c>
    </row>
    <row r="223" spans="1:43" ht="16" thickBot="1">
      <c r="A223" s="387" t="s">
        <v>1717</v>
      </c>
      <c r="B223" s="387" t="s">
        <v>2424</v>
      </c>
      <c r="C223" s="387" t="s">
        <v>2984</v>
      </c>
      <c r="D223" s="387" t="s">
        <v>2985</v>
      </c>
      <c r="E223" s="387">
        <v>28</v>
      </c>
      <c r="F223" s="387" t="s">
        <v>559</v>
      </c>
      <c r="G223" s="387">
        <v>28</v>
      </c>
      <c r="H223" s="387" t="s">
        <v>559</v>
      </c>
      <c r="I223" s="387" t="s">
        <v>560</v>
      </c>
      <c r="J223" s="387" t="s">
        <v>2986</v>
      </c>
      <c r="K223" s="387" t="s">
        <v>2991</v>
      </c>
      <c r="L223" s="387" t="s">
        <v>1886</v>
      </c>
      <c r="M223" s="387" t="s">
        <v>1887</v>
      </c>
      <c r="N223" s="388">
        <v>4.0199999999999996</v>
      </c>
      <c r="O223" s="388">
        <v>14</v>
      </c>
      <c r="P223" s="387" t="s">
        <v>538</v>
      </c>
      <c r="Q223" s="387" t="s">
        <v>539</v>
      </c>
      <c r="R223" s="387" t="s">
        <v>2988</v>
      </c>
      <c r="S223" s="387" t="s">
        <v>171</v>
      </c>
      <c r="T223" s="387" t="s">
        <v>542</v>
      </c>
      <c r="U223" s="388">
        <v>4402324</v>
      </c>
      <c r="V223" s="387">
        <v>6009691114229</v>
      </c>
      <c r="W223" s="387">
        <v>6009691114229</v>
      </c>
      <c r="X223" s="387" t="s">
        <v>543</v>
      </c>
      <c r="Y223" s="387">
        <v>16009691114226</v>
      </c>
      <c r="Z223" s="387" t="s">
        <v>543</v>
      </c>
      <c r="AA223" s="388" t="s">
        <v>543</v>
      </c>
      <c r="AB223" s="388" t="s">
        <v>543</v>
      </c>
      <c r="AC223" s="387">
        <v>704359</v>
      </c>
      <c r="AD223" s="389">
        <v>10</v>
      </c>
      <c r="AE223" s="390">
        <v>45047</v>
      </c>
      <c r="AF223" s="390">
        <v>46142</v>
      </c>
      <c r="AG223" s="391" t="s">
        <v>545</v>
      </c>
      <c r="AH223" s="391" t="s">
        <v>2989</v>
      </c>
      <c r="AI223" s="391" t="s">
        <v>1889</v>
      </c>
      <c r="AJ223" s="391">
        <v>0</v>
      </c>
      <c r="AK223" s="390">
        <v>45047</v>
      </c>
      <c r="AL223" s="389">
        <v>60</v>
      </c>
      <c r="AM223" s="391" t="s">
        <v>548</v>
      </c>
      <c r="AN223" s="391" t="s">
        <v>549</v>
      </c>
      <c r="AO223" s="391" t="s">
        <v>2990</v>
      </c>
      <c r="AP223" s="372">
        <f t="shared" ref="AP223" si="9">N223/E223</f>
        <v>0.14357142857142854</v>
      </c>
    </row>
    <row r="224" spans="1:43" ht="16" thickBot="1">
      <c r="A224" s="387" t="s">
        <v>1729</v>
      </c>
      <c r="B224" s="387" t="s">
        <v>965</v>
      </c>
      <c r="C224" s="387" t="s">
        <v>2992</v>
      </c>
      <c r="D224" s="387" t="s">
        <v>2993</v>
      </c>
      <c r="E224" s="387">
        <v>150</v>
      </c>
      <c r="F224" s="387" t="s">
        <v>531</v>
      </c>
      <c r="G224" s="387">
        <v>150</v>
      </c>
      <c r="H224" s="387" t="s">
        <v>531</v>
      </c>
      <c r="I224" s="387" t="s">
        <v>848</v>
      </c>
      <c r="J224" s="387" t="s">
        <v>2986</v>
      </c>
      <c r="K224" s="387" t="s">
        <v>2994</v>
      </c>
      <c r="L224" s="387" t="s">
        <v>675</v>
      </c>
      <c r="M224" s="387" t="s">
        <v>676</v>
      </c>
      <c r="N224" s="388">
        <v>12.71</v>
      </c>
      <c r="O224" s="388">
        <v>14</v>
      </c>
      <c r="P224" s="387" t="s">
        <v>538</v>
      </c>
      <c r="Q224" s="387" t="s">
        <v>539</v>
      </c>
      <c r="R224" s="387" t="s">
        <v>2988</v>
      </c>
      <c r="S224" s="387" t="s">
        <v>171</v>
      </c>
      <c r="T224" s="387" t="s">
        <v>542</v>
      </c>
      <c r="U224" s="388">
        <v>472392</v>
      </c>
      <c r="V224" s="387">
        <v>6006352003892</v>
      </c>
      <c r="W224" s="387" t="s">
        <v>543</v>
      </c>
      <c r="X224" s="387" t="s">
        <v>543</v>
      </c>
      <c r="Y224" s="387">
        <v>6006352003908</v>
      </c>
      <c r="Z224" s="387" t="s">
        <v>543</v>
      </c>
      <c r="AA224" s="388" t="s">
        <v>543</v>
      </c>
      <c r="AB224" s="388" t="s">
        <v>543</v>
      </c>
      <c r="AC224" s="387">
        <v>703313001</v>
      </c>
      <c r="AD224" s="389">
        <v>60</v>
      </c>
      <c r="AE224" s="390">
        <v>44105</v>
      </c>
      <c r="AF224" s="390">
        <v>45199</v>
      </c>
      <c r="AG224" s="390">
        <v>45199</v>
      </c>
      <c r="AH224" s="391" t="s">
        <v>2995</v>
      </c>
      <c r="AI224" s="391" t="s">
        <v>679</v>
      </c>
      <c r="AJ224" s="391">
        <v>19</v>
      </c>
      <c r="AK224" s="390">
        <v>45047</v>
      </c>
      <c r="AL224" s="389">
        <v>100</v>
      </c>
      <c r="AM224" s="391" t="s">
        <v>548</v>
      </c>
      <c r="AN224" s="391" t="s">
        <v>545</v>
      </c>
      <c r="AO224" s="391" t="s">
        <v>2996</v>
      </c>
    </row>
    <row r="225" spans="1:43" ht="16" thickBot="1">
      <c r="A225" s="387" t="s">
        <v>2177</v>
      </c>
      <c r="B225" s="387" t="s">
        <v>989</v>
      </c>
      <c r="C225" s="387" t="s">
        <v>2997</v>
      </c>
      <c r="D225" s="387" t="s">
        <v>2998</v>
      </c>
      <c r="E225" s="387">
        <v>500</v>
      </c>
      <c r="F225" s="387" t="s">
        <v>2180</v>
      </c>
      <c r="G225" s="387">
        <v>500</v>
      </c>
      <c r="H225" s="387" t="s">
        <v>2180</v>
      </c>
      <c r="I225" s="387" t="s">
        <v>2181</v>
      </c>
      <c r="J225" s="387" t="s">
        <v>2999</v>
      </c>
      <c r="K225" s="387" t="s">
        <v>3000</v>
      </c>
      <c r="L225" s="387" t="s">
        <v>1905</v>
      </c>
      <c r="M225" s="387" t="s">
        <v>1906</v>
      </c>
      <c r="N225" s="388">
        <v>14.59</v>
      </c>
      <c r="O225" s="388">
        <v>14</v>
      </c>
      <c r="P225" s="387" t="s">
        <v>611</v>
      </c>
      <c r="Q225" s="387" t="s">
        <v>612</v>
      </c>
      <c r="R225" s="387" t="s">
        <v>2184</v>
      </c>
      <c r="S225" s="387" t="s">
        <v>614</v>
      </c>
      <c r="T225" s="387" t="s">
        <v>160</v>
      </c>
      <c r="U225" s="388">
        <v>195904</v>
      </c>
      <c r="V225" s="387">
        <v>6009673880623</v>
      </c>
      <c r="W225" s="387" t="s">
        <v>543</v>
      </c>
      <c r="X225" s="387" t="s">
        <v>543</v>
      </c>
      <c r="Y225" s="387" t="s">
        <v>543</v>
      </c>
      <c r="Z225" s="387" t="s">
        <v>543</v>
      </c>
      <c r="AA225" s="388" t="s">
        <v>543</v>
      </c>
      <c r="AB225" s="388" t="s">
        <v>543</v>
      </c>
      <c r="AC225" s="387" t="s">
        <v>543</v>
      </c>
      <c r="AD225" s="389">
        <v>10</v>
      </c>
      <c r="AE225" s="390">
        <v>44013</v>
      </c>
      <c r="AF225" s="390">
        <v>45107</v>
      </c>
      <c r="AG225" s="390">
        <v>45107</v>
      </c>
      <c r="AH225" s="391" t="s">
        <v>3001</v>
      </c>
      <c r="AI225" s="391" t="s">
        <v>1910</v>
      </c>
      <c r="AJ225" s="391">
        <v>0</v>
      </c>
      <c r="AK225" s="390">
        <v>44013</v>
      </c>
      <c r="AL225" s="389">
        <v>100</v>
      </c>
      <c r="AM225" s="391" t="s">
        <v>548</v>
      </c>
      <c r="AN225" s="391" t="s">
        <v>545</v>
      </c>
      <c r="AO225" s="391" t="s">
        <v>3002</v>
      </c>
    </row>
    <row r="226" spans="1:43" ht="16" thickBot="1">
      <c r="A226" s="387" t="s">
        <v>2166</v>
      </c>
      <c r="B226" s="387" t="s">
        <v>544</v>
      </c>
      <c r="C226" s="387" t="s">
        <v>3003</v>
      </c>
      <c r="D226" s="387" t="s">
        <v>3004</v>
      </c>
      <c r="E226" s="387">
        <v>25</v>
      </c>
      <c r="F226" s="387" t="s">
        <v>559</v>
      </c>
      <c r="G226" s="387">
        <v>25</v>
      </c>
      <c r="H226" s="387" t="s">
        <v>559</v>
      </c>
      <c r="I226" s="387" t="s">
        <v>560</v>
      </c>
      <c r="J226" s="387" t="s">
        <v>3005</v>
      </c>
      <c r="K226" s="387" t="s">
        <v>3006</v>
      </c>
      <c r="L226" s="387" t="s">
        <v>535</v>
      </c>
      <c r="M226" s="387" t="s">
        <v>536</v>
      </c>
      <c r="N226" s="388">
        <v>432.02</v>
      </c>
      <c r="O226" s="388">
        <v>14</v>
      </c>
      <c r="P226" s="387" t="s">
        <v>611</v>
      </c>
      <c r="Q226" s="387" t="s">
        <v>668</v>
      </c>
      <c r="R226" s="387" t="s">
        <v>3007</v>
      </c>
      <c r="S226" s="387" t="s">
        <v>614</v>
      </c>
      <c r="T226" s="387" t="s">
        <v>160</v>
      </c>
      <c r="U226" s="388">
        <v>4316</v>
      </c>
      <c r="V226" s="387">
        <v>6091403206018</v>
      </c>
      <c r="W226" s="387">
        <v>6091403206018</v>
      </c>
      <c r="X226" s="387" t="s">
        <v>543</v>
      </c>
      <c r="Y226" s="387">
        <v>16091403206018</v>
      </c>
      <c r="Z226" s="387" t="s">
        <v>543</v>
      </c>
      <c r="AA226" s="388" t="s">
        <v>543</v>
      </c>
      <c r="AB226" s="388" t="s">
        <v>543</v>
      </c>
      <c r="AC226" s="387">
        <v>737887001</v>
      </c>
      <c r="AD226" s="389">
        <v>3</v>
      </c>
      <c r="AE226" s="390">
        <v>44743</v>
      </c>
      <c r="AF226" s="390">
        <v>45473</v>
      </c>
      <c r="AG226" s="391" t="s">
        <v>545</v>
      </c>
      <c r="AH226" s="391" t="s">
        <v>3008</v>
      </c>
      <c r="AI226" s="391" t="s">
        <v>547</v>
      </c>
      <c r="AJ226" s="391">
        <v>0</v>
      </c>
      <c r="AK226" s="390">
        <v>44743</v>
      </c>
      <c r="AL226" s="389">
        <v>100</v>
      </c>
      <c r="AM226" s="391" t="s">
        <v>548</v>
      </c>
      <c r="AN226" s="391" t="s">
        <v>549</v>
      </c>
      <c r="AO226" s="391" t="s">
        <v>3009</v>
      </c>
    </row>
    <row r="227" spans="1:43" ht="16" thickBot="1">
      <c r="A227" s="387" t="s">
        <v>3010</v>
      </c>
      <c r="B227" s="387" t="s">
        <v>2776</v>
      </c>
      <c r="C227" s="387" t="s">
        <v>3011</v>
      </c>
      <c r="D227" s="387" t="s">
        <v>3012</v>
      </c>
      <c r="E227" s="387">
        <v>10</v>
      </c>
      <c r="F227" s="387" t="s">
        <v>531</v>
      </c>
      <c r="G227" s="387">
        <v>10</v>
      </c>
      <c r="H227" s="387" t="s">
        <v>531</v>
      </c>
      <c r="I227" s="387" t="s">
        <v>2298</v>
      </c>
      <c r="J227" s="387" t="s">
        <v>3013</v>
      </c>
      <c r="K227" s="387" t="s">
        <v>3014</v>
      </c>
      <c r="L227" s="387" t="s">
        <v>3015</v>
      </c>
      <c r="M227" s="387" t="s">
        <v>3016</v>
      </c>
      <c r="N227" s="388">
        <v>77.27</v>
      </c>
      <c r="O227" s="388">
        <v>14</v>
      </c>
      <c r="P227" s="387" t="s">
        <v>538</v>
      </c>
      <c r="Q227" s="387" t="s">
        <v>539</v>
      </c>
      <c r="R227" s="387" t="s">
        <v>3017</v>
      </c>
      <c r="S227" s="387" t="s">
        <v>171</v>
      </c>
      <c r="T227" s="387" t="s">
        <v>757</v>
      </c>
      <c r="U227" s="388">
        <v>18770</v>
      </c>
      <c r="V227" s="387">
        <v>6009906308603</v>
      </c>
      <c r="W227" s="387" t="s">
        <v>543</v>
      </c>
      <c r="X227" s="387" t="s">
        <v>543</v>
      </c>
      <c r="Y227" s="387" t="s">
        <v>543</v>
      </c>
      <c r="Z227" s="387" t="s">
        <v>543</v>
      </c>
      <c r="AA227" s="388" t="s">
        <v>543</v>
      </c>
      <c r="AB227" s="388" t="s">
        <v>543</v>
      </c>
      <c r="AC227" s="387" t="s">
        <v>543</v>
      </c>
      <c r="AD227" s="389">
        <v>50</v>
      </c>
      <c r="AE227" s="390">
        <v>44620</v>
      </c>
      <c r="AF227" s="390">
        <v>45199</v>
      </c>
      <c r="AG227" s="390">
        <v>45199</v>
      </c>
      <c r="AH227" s="391" t="s">
        <v>3018</v>
      </c>
      <c r="AI227" s="391" t="s">
        <v>3019</v>
      </c>
      <c r="AJ227" s="391">
        <v>4</v>
      </c>
      <c r="AK227" s="390">
        <v>45047</v>
      </c>
      <c r="AL227" s="389">
        <v>100</v>
      </c>
      <c r="AM227" s="391" t="s">
        <v>548</v>
      </c>
      <c r="AN227" s="391" t="s">
        <v>549</v>
      </c>
      <c r="AO227" s="391" t="s">
        <v>3020</v>
      </c>
    </row>
    <row r="228" spans="1:43" ht="16" thickBot="1">
      <c r="A228" s="387" t="s">
        <v>1766</v>
      </c>
      <c r="B228" s="387" t="s">
        <v>2726</v>
      </c>
      <c r="C228" s="387" t="s">
        <v>3021</v>
      </c>
      <c r="D228" s="387" t="s">
        <v>3022</v>
      </c>
      <c r="E228" s="387">
        <v>3.5</v>
      </c>
      <c r="F228" s="387" t="s">
        <v>2180</v>
      </c>
      <c r="G228" s="387">
        <v>3.5</v>
      </c>
      <c r="H228" s="387" t="s">
        <v>2180</v>
      </c>
      <c r="I228" s="387" t="s">
        <v>3023</v>
      </c>
      <c r="J228" s="387" t="s">
        <v>3013</v>
      </c>
      <c r="K228" s="387" t="s">
        <v>3024</v>
      </c>
      <c r="L228" s="387" t="s">
        <v>535</v>
      </c>
      <c r="M228" s="387" t="s">
        <v>536</v>
      </c>
      <c r="N228" s="388">
        <v>9.74</v>
      </c>
      <c r="O228" s="388">
        <v>14</v>
      </c>
      <c r="P228" s="387" t="s">
        <v>538</v>
      </c>
      <c r="Q228" s="387" t="s">
        <v>539</v>
      </c>
      <c r="R228" s="387" t="s">
        <v>3017</v>
      </c>
      <c r="S228" s="387" t="s">
        <v>171</v>
      </c>
      <c r="T228" s="387" t="s">
        <v>542</v>
      </c>
      <c r="U228" s="388">
        <v>6057610</v>
      </c>
      <c r="V228" s="387">
        <v>6006891007672</v>
      </c>
      <c r="W228" s="387">
        <v>6006891007672</v>
      </c>
      <c r="X228" s="387" t="s">
        <v>543</v>
      </c>
      <c r="Y228" s="387">
        <v>16006891007672</v>
      </c>
      <c r="Z228" s="387" t="s">
        <v>543</v>
      </c>
      <c r="AA228" s="388" t="s">
        <v>543</v>
      </c>
      <c r="AB228" s="388" t="s">
        <v>543</v>
      </c>
      <c r="AC228" s="387">
        <v>713724005</v>
      </c>
      <c r="AD228" s="389">
        <v>102</v>
      </c>
      <c r="AE228" s="390">
        <v>44470</v>
      </c>
      <c r="AF228" s="390">
        <v>45199</v>
      </c>
      <c r="AG228" s="391" t="s">
        <v>545</v>
      </c>
      <c r="AH228" s="391" t="s">
        <v>3025</v>
      </c>
      <c r="AI228" s="391" t="s">
        <v>547</v>
      </c>
      <c r="AJ228" s="391">
        <v>0</v>
      </c>
      <c r="AK228" s="390">
        <v>44470</v>
      </c>
      <c r="AL228" s="389">
        <v>100</v>
      </c>
      <c r="AM228" s="391" t="s">
        <v>548</v>
      </c>
      <c r="AN228" s="391" t="s">
        <v>549</v>
      </c>
      <c r="AO228" s="391" t="s">
        <v>3026</v>
      </c>
      <c r="AP228" s="372">
        <f>N228</f>
        <v>9.74</v>
      </c>
      <c r="AQ228" s="372">
        <f>AP228</f>
        <v>9.74</v>
      </c>
    </row>
    <row r="229" spans="1:43" ht="16" thickBot="1">
      <c r="A229" s="387" t="s">
        <v>1729</v>
      </c>
      <c r="B229" s="387" t="s">
        <v>1890</v>
      </c>
      <c r="C229" s="387" t="s">
        <v>3027</v>
      </c>
      <c r="D229" s="387" t="s">
        <v>3028</v>
      </c>
      <c r="E229" s="387">
        <v>500</v>
      </c>
      <c r="F229" s="387" t="s">
        <v>531</v>
      </c>
      <c r="G229" s="387">
        <v>500</v>
      </c>
      <c r="H229" s="387" t="s">
        <v>531</v>
      </c>
      <c r="I229" s="387" t="s">
        <v>532</v>
      </c>
      <c r="J229" s="387" t="s">
        <v>3029</v>
      </c>
      <c r="K229" s="387" t="s">
        <v>3030</v>
      </c>
      <c r="L229" s="387" t="s">
        <v>1855</v>
      </c>
      <c r="M229" s="387" t="s">
        <v>1856</v>
      </c>
      <c r="N229" s="388">
        <v>15.44</v>
      </c>
      <c r="O229" s="388">
        <v>14</v>
      </c>
      <c r="P229" s="387" t="s">
        <v>538</v>
      </c>
      <c r="Q229" s="387" t="s">
        <v>539</v>
      </c>
      <c r="R229" s="387" t="s">
        <v>3031</v>
      </c>
      <c r="S229" s="387" t="s">
        <v>541</v>
      </c>
      <c r="T229" s="387" t="s">
        <v>542</v>
      </c>
      <c r="U229" s="388">
        <v>1709780</v>
      </c>
      <c r="V229" s="387">
        <v>6001668010732</v>
      </c>
      <c r="W229" s="387" t="s">
        <v>543</v>
      </c>
      <c r="X229" s="387" t="s">
        <v>543</v>
      </c>
      <c r="Y229" s="387">
        <v>16001668011064</v>
      </c>
      <c r="Z229" s="387" t="s">
        <v>543</v>
      </c>
      <c r="AA229" s="388" t="s">
        <v>543</v>
      </c>
      <c r="AB229" s="388" t="s">
        <v>543</v>
      </c>
      <c r="AC229" s="387" t="s">
        <v>543</v>
      </c>
      <c r="AD229" s="389">
        <v>20</v>
      </c>
      <c r="AE229" s="390">
        <v>44105</v>
      </c>
      <c r="AF229" s="390">
        <v>45199</v>
      </c>
      <c r="AG229" s="390">
        <v>45199</v>
      </c>
      <c r="AH229" s="391" t="s">
        <v>3032</v>
      </c>
      <c r="AI229" s="391" t="s">
        <v>1859</v>
      </c>
      <c r="AJ229" s="391">
        <v>10</v>
      </c>
      <c r="AK229" s="390">
        <v>44531</v>
      </c>
      <c r="AL229" s="389">
        <v>100</v>
      </c>
      <c r="AM229" s="391" t="s">
        <v>548</v>
      </c>
      <c r="AN229" s="391" t="s">
        <v>545</v>
      </c>
      <c r="AO229" s="391" t="s">
        <v>3033</v>
      </c>
    </row>
    <row r="230" spans="1:43" ht="16" thickBot="1">
      <c r="A230" s="387" t="s">
        <v>1729</v>
      </c>
      <c r="B230" s="387" t="s">
        <v>680</v>
      </c>
      <c r="C230" s="387" t="s">
        <v>3034</v>
      </c>
      <c r="D230" s="387" t="s">
        <v>3035</v>
      </c>
      <c r="E230" s="387">
        <v>50</v>
      </c>
      <c r="F230" s="387" t="s">
        <v>531</v>
      </c>
      <c r="G230" s="387">
        <v>50</v>
      </c>
      <c r="H230" s="387" t="s">
        <v>531</v>
      </c>
      <c r="I230" s="387" t="s">
        <v>532</v>
      </c>
      <c r="J230" s="387" t="s">
        <v>3029</v>
      </c>
      <c r="K230" s="387" t="s">
        <v>1854</v>
      </c>
      <c r="L230" s="387" t="s">
        <v>1855</v>
      </c>
      <c r="M230" s="387" t="s">
        <v>1856</v>
      </c>
      <c r="N230" s="388">
        <v>6.77</v>
      </c>
      <c r="O230" s="388">
        <v>14</v>
      </c>
      <c r="P230" s="387" t="s">
        <v>538</v>
      </c>
      <c r="Q230" s="387" t="s">
        <v>539</v>
      </c>
      <c r="R230" s="387" t="s">
        <v>3031</v>
      </c>
      <c r="S230" s="387" t="s">
        <v>541</v>
      </c>
      <c r="T230" s="387" t="s">
        <v>542</v>
      </c>
      <c r="U230" s="388">
        <v>375690</v>
      </c>
      <c r="V230" s="387">
        <v>6001668011043</v>
      </c>
      <c r="W230" s="387" t="s">
        <v>543</v>
      </c>
      <c r="X230" s="387" t="s">
        <v>543</v>
      </c>
      <c r="Y230" s="387">
        <v>16001668011057</v>
      </c>
      <c r="Z230" s="387" t="s">
        <v>543</v>
      </c>
      <c r="AA230" s="388" t="s">
        <v>543</v>
      </c>
      <c r="AB230" s="388" t="s">
        <v>543</v>
      </c>
      <c r="AC230" s="387" t="s">
        <v>543</v>
      </c>
      <c r="AD230" s="389">
        <v>120</v>
      </c>
      <c r="AE230" s="390">
        <v>44105</v>
      </c>
      <c r="AF230" s="390">
        <v>45199</v>
      </c>
      <c r="AG230" s="390">
        <v>45199</v>
      </c>
      <c r="AH230" s="391" t="s">
        <v>3036</v>
      </c>
      <c r="AI230" s="391" t="s">
        <v>1859</v>
      </c>
      <c r="AJ230" s="391">
        <v>10</v>
      </c>
      <c r="AK230" s="390">
        <v>44531</v>
      </c>
      <c r="AL230" s="389">
        <v>100</v>
      </c>
      <c r="AM230" s="391" t="s">
        <v>548</v>
      </c>
      <c r="AN230" s="391" t="s">
        <v>545</v>
      </c>
      <c r="AO230" s="391" t="s">
        <v>3037</v>
      </c>
    </row>
    <row r="231" spans="1:43" ht="16" thickBot="1">
      <c r="A231" s="387" t="s">
        <v>3038</v>
      </c>
      <c r="B231" s="387" t="s">
        <v>554</v>
      </c>
      <c r="C231" s="387" t="s">
        <v>3039</v>
      </c>
      <c r="D231" s="387" t="s">
        <v>3040</v>
      </c>
      <c r="E231" s="387">
        <v>5</v>
      </c>
      <c r="F231" s="387" t="s">
        <v>2746</v>
      </c>
      <c r="G231" s="387">
        <v>5000</v>
      </c>
      <c r="H231" s="387" t="s">
        <v>531</v>
      </c>
      <c r="I231" s="387" t="s">
        <v>1732</v>
      </c>
      <c r="J231" s="387" t="s">
        <v>3041</v>
      </c>
      <c r="K231" s="387" t="s">
        <v>3042</v>
      </c>
      <c r="L231" s="387" t="s">
        <v>3043</v>
      </c>
      <c r="M231" s="387" t="s">
        <v>3044</v>
      </c>
      <c r="N231" s="388">
        <v>271.2</v>
      </c>
      <c r="O231" s="388">
        <v>3</v>
      </c>
      <c r="P231" s="387" t="s">
        <v>611</v>
      </c>
      <c r="Q231" s="387" t="s">
        <v>612</v>
      </c>
      <c r="R231" s="387" t="s">
        <v>3031</v>
      </c>
      <c r="S231" s="387" t="s">
        <v>614</v>
      </c>
      <c r="T231" s="387" t="s">
        <v>160</v>
      </c>
      <c r="U231" s="388">
        <v>17665</v>
      </c>
      <c r="V231" s="387">
        <v>4046964959721</v>
      </c>
      <c r="W231" s="387">
        <v>4046964959714</v>
      </c>
      <c r="X231" s="387" t="s">
        <v>543</v>
      </c>
      <c r="Y231" s="387" t="s">
        <v>543</v>
      </c>
      <c r="Z231" s="387" t="s">
        <v>543</v>
      </c>
      <c r="AA231" s="388" t="s">
        <v>543</v>
      </c>
      <c r="AB231" s="388" t="s">
        <v>543</v>
      </c>
      <c r="AC231" s="387" t="s">
        <v>3045</v>
      </c>
      <c r="AD231" s="389">
        <v>4</v>
      </c>
      <c r="AE231" s="390">
        <v>44246</v>
      </c>
      <c r="AF231" s="390">
        <v>45199</v>
      </c>
      <c r="AG231" s="390">
        <v>45199</v>
      </c>
      <c r="AH231" s="391" t="s">
        <v>3046</v>
      </c>
      <c r="AI231" s="391" t="s">
        <v>3047</v>
      </c>
      <c r="AJ231" s="391">
        <v>0</v>
      </c>
      <c r="AK231" s="390">
        <v>44246</v>
      </c>
      <c r="AL231" s="389">
        <v>100</v>
      </c>
      <c r="AM231" s="391" t="s">
        <v>548</v>
      </c>
      <c r="AN231" s="391" t="s">
        <v>545</v>
      </c>
      <c r="AO231" s="391" t="s">
        <v>3048</v>
      </c>
    </row>
    <row r="232" spans="1:43" ht="16" thickBot="1">
      <c r="A232" s="387" t="s">
        <v>1729</v>
      </c>
      <c r="B232" s="387" t="s">
        <v>537</v>
      </c>
      <c r="C232" s="387" t="s">
        <v>3049</v>
      </c>
      <c r="D232" s="387" t="s">
        <v>3050</v>
      </c>
      <c r="E232" s="387">
        <v>200</v>
      </c>
      <c r="F232" s="387" t="s">
        <v>531</v>
      </c>
      <c r="G232" s="387">
        <v>200</v>
      </c>
      <c r="H232" s="387" t="s">
        <v>531</v>
      </c>
      <c r="I232" s="387" t="s">
        <v>2464</v>
      </c>
      <c r="J232" s="387" t="s">
        <v>3051</v>
      </c>
      <c r="K232" s="387" t="s">
        <v>3052</v>
      </c>
      <c r="L232" s="387" t="s">
        <v>1809</v>
      </c>
      <c r="M232" s="387" t="s">
        <v>1810</v>
      </c>
      <c r="N232" s="388">
        <v>6.45</v>
      </c>
      <c r="O232" s="388">
        <v>14</v>
      </c>
      <c r="P232" s="387" t="s">
        <v>538</v>
      </c>
      <c r="Q232" s="387" t="s">
        <v>539</v>
      </c>
      <c r="R232" s="387" t="s">
        <v>3053</v>
      </c>
      <c r="S232" s="387" t="s">
        <v>171</v>
      </c>
      <c r="T232" s="387" t="s">
        <v>542</v>
      </c>
      <c r="U232" s="388">
        <v>1626332</v>
      </c>
      <c r="V232" s="387">
        <v>6006845003453</v>
      </c>
      <c r="W232" s="387">
        <v>6006845003453</v>
      </c>
      <c r="X232" s="387" t="s">
        <v>543</v>
      </c>
      <c r="Y232" s="387">
        <v>16006845003450</v>
      </c>
      <c r="Z232" s="387" t="s">
        <v>543</v>
      </c>
      <c r="AA232" s="388" t="s">
        <v>543</v>
      </c>
      <c r="AB232" s="388" t="s">
        <v>543</v>
      </c>
      <c r="AC232" s="387" t="s">
        <v>543</v>
      </c>
      <c r="AD232" s="389">
        <v>50</v>
      </c>
      <c r="AE232" s="390">
        <v>44105</v>
      </c>
      <c r="AF232" s="390">
        <v>45199</v>
      </c>
      <c r="AG232" s="390">
        <v>45199</v>
      </c>
      <c r="AH232" s="391" t="s">
        <v>3054</v>
      </c>
      <c r="AI232" s="391" t="s">
        <v>1813</v>
      </c>
      <c r="AJ232" s="391">
        <v>0</v>
      </c>
      <c r="AK232" s="390">
        <v>44105</v>
      </c>
      <c r="AL232" s="389">
        <v>100</v>
      </c>
      <c r="AM232" s="391" t="s">
        <v>548</v>
      </c>
      <c r="AN232" s="391" t="s">
        <v>545</v>
      </c>
      <c r="AO232" s="391" t="s">
        <v>3055</v>
      </c>
      <c r="AP232" s="372">
        <f>N232/E232</f>
        <v>3.2250000000000001E-2</v>
      </c>
      <c r="AQ232" s="372">
        <f>AP232</f>
        <v>3.2250000000000001E-2</v>
      </c>
    </row>
    <row r="233" spans="1:43" ht="16" thickBot="1">
      <c r="A233" s="387" t="s">
        <v>1729</v>
      </c>
      <c r="B233" s="387" t="s">
        <v>1704</v>
      </c>
      <c r="C233" s="387" t="s">
        <v>3056</v>
      </c>
      <c r="D233" s="387" t="s">
        <v>3057</v>
      </c>
      <c r="E233" s="387">
        <v>500</v>
      </c>
      <c r="F233" s="387" t="s">
        <v>531</v>
      </c>
      <c r="G233" s="387">
        <v>500</v>
      </c>
      <c r="H233" s="387" t="s">
        <v>531</v>
      </c>
      <c r="I233" s="387" t="s">
        <v>532</v>
      </c>
      <c r="J233" s="387" t="s">
        <v>3051</v>
      </c>
      <c r="K233" s="387" t="s">
        <v>3058</v>
      </c>
      <c r="L233" s="387" t="s">
        <v>1855</v>
      </c>
      <c r="M233" s="387" t="s">
        <v>1856</v>
      </c>
      <c r="N233" s="388">
        <v>33.590000000000003</v>
      </c>
      <c r="O233" s="388">
        <v>14</v>
      </c>
      <c r="P233" s="387" t="s">
        <v>538</v>
      </c>
      <c r="Q233" s="387" t="s">
        <v>539</v>
      </c>
      <c r="R233" s="387" t="s">
        <v>3053</v>
      </c>
      <c r="S233" s="387" t="s">
        <v>541</v>
      </c>
      <c r="T233" s="387" t="s">
        <v>542</v>
      </c>
      <c r="U233" s="388">
        <v>3569668</v>
      </c>
      <c r="V233" s="387">
        <v>6001668009934</v>
      </c>
      <c r="W233" s="387" t="s">
        <v>543</v>
      </c>
      <c r="X233" s="387" t="s">
        <v>543</v>
      </c>
      <c r="Y233" s="387">
        <v>16001668009948</v>
      </c>
      <c r="Z233" s="387" t="s">
        <v>543</v>
      </c>
      <c r="AA233" s="388" t="s">
        <v>543</v>
      </c>
      <c r="AB233" s="388" t="s">
        <v>543</v>
      </c>
      <c r="AC233" s="387" t="s">
        <v>543</v>
      </c>
      <c r="AD233" s="389">
        <v>20</v>
      </c>
      <c r="AE233" s="390">
        <v>44105</v>
      </c>
      <c r="AF233" s="390">
        <v>45199</v>
      </c>
      <c r="AG233" s="390">
        <v>45199</v>
      </c>
      <c r="AH233" s="391" t="s">
        <v>3059</v>
      </c>
      <c r="AI233" s="391" t="s">
        <v>1859</v>
      </c>
      <c r="AJ233" s="391">
        <v>10</v>
      </c>
      <c r="AK233" s="390">
        <v>44531</v>
      </c>
      <c r="AL233" s="389">
        <v>100</v>
      </c>
      <c r="AM233" s="391" t="s">
        <v>548</v>
      </c>
      <c r="AN233" s="391" t="s">
        <v>545</v>
      </c>
      <c r="AO233" s="391" t="s">
        <v>3060</v>
      </c>
    </row>
    <row r="234" spans="1:43" ht="16" thickBot="1">
      <c r="A234" s="387" t="s">
        <v>1729</v>
      </c>
      <c r="B234" s="387" t="s">
        <v>651</v>
      </c>
      <c r="C234" s="387" t="s">
        <v>3061</v>
      </c>
      <c r="D234" s="387" t="s">
        <v>3062</v>
      </c>
      <c r="E234" s="387">
        <v>50</v>
      </c>
      <c r="F234" s="387" t="s">
        <v>531</v>
      </c>
      <c r="G234" s="387">
        <v>50</v>
      </c>
      <c r="H234" s="387" t="s">
        <v>531</v>
      </c>
      <c r="I234" s="387" t="s">
        <v>848</v>
      </c>
      <c r="J234" s="387" t="s">
        <v>3063</v>
      </c>
      <c r="K234" s="387" t="s">
        <v>3064</v>
      </c>
      <c r="L234" s="387" t="s">
        <v>654</v>
      </c>
      <c r="M234" s="387" t="s">
        <v>655</v>
      </c>
      <c r="N234" s="388">
        <v>5</v>
      </c>
      <c r="O234" s="388">
        <v>14</v>
      </c>
      <c r="P234" s="387" t="s">
        <v>538</v>
      </c>
      <c r="Q234" s="387" t="s">
        <v>539</v>
      </c>
      <c r="R234" s="387" t="s">
        <v>3065</v>
      </c>
      <c r="S234" s="387" t="s">
        <v>171</v>
      </c>
      <c r="T234" s="387" t="s">
        <v>542</v>
      </c>
      <c r="U234" s="388">
        <v>1721808</v>
      </c>
      <c r="V234" s="387" t="s">
        <v>543</v>
      </c>
      <c r="W234" s="387" t="s">
        <v>543</v>
      </c>
      <c r="X234" s="387" t="s">
        <v>543</v>
      </c>
      <c r="Y234" s="387" t="s">
        <v>543</v>
      </c>
      <c r="Z234" s="387" t="s">
        <v>543</v>
      </c>
      <c r="AA234" s="388" t="s">
        <v>543</v>
      </c>
      <c r="AB234" s="388" t="s">
        <v>543</v>
      </c>
      <c r="AC234" s="387" t="s">
        <v>543</v>
      </c>
      <c r="AD234" s="389" t="s">
        <v>3066</v>
      </c>
      <c r="AE234" s="390">
        <v>44105</v>
      </c>
      <c r="AF234" s="390">
        <v>45199</v>
      </c>
      <c r="AG234" s="390">
        <v>45199</v>
      </c>
      <c r="AH234" s="391" t="s">
        <v>3067</v>
      </c>
      <c r="AI234" s="391" t="s">
        <v>658</v>
      </c>
      <c r="AJ234" s="391">
        <v>0</v>
      </c>
      <c r="AK234" s="390">
        <v>44105</v>
      </c>
      <c r="AL234" s="389">
        <v>10</v>
      </c>
      <c r="AM234" s="391" t="s">
        <v>548</v>
      </c>
      <c r="AN234" s="391" t="s">
        <v>545</v>
      </c>
      <c r="AO234" s="391" t="s">
        <v>3068</v>
      </c>
      <c r="AP234" s="372">
        <f>N234/E234</f>
        <v>0.1</v>
      </c>
      <c r="AQ234" s="372">
        <f>SUMPRODUCT(AP234:AP235,U234:U235)/SUM(U234:U235)</f>
        <v>7.1200000371702349E-2</v>
      </c>
    </row>
    <row r="235" spans="1:43" ht="16" thickBot="1">
      <c r="A235" s="387" t="s">
        <v>1729</v>
      </c>
      <c r="B235" s="387" t="s">
        <v>651</v>
      </c>
      <c r="C235" s="387" t="s">
        <v>3061</v>
      </c>
      <c r="D235" s="387" t="s">
        <v>3062</v>
      </c>
      <c r="E235" s="387">
        <v>50</v>
      </c>
      <c r="F235" s="387" t="s">
        <v>531</v>
      </c>
      <c r="G235" s="387">
        <v>50</v>
      </c>
      <c r="H235" s="387" t="s">
        <v>531</v>
      </c>
      <c r="I235" s="387" t="s">
        <v>848</v>
      </c>
      <c r="J235" s="387" t="s">
        <v>3063</v>
      </c>
      <c r="K235" s="387" t="s">
        <v>3069</v>
      </c>
      <c r="L235" s="387" t="s">
        <v>1809</v>
      </c>
      <c r="M235" s="387" t="s">
        <v>1810</v>
      </c>
      <c r="N235" s="388">
        <v>3.4</v>
      </c>
      <c r="O235" s="388">
        <v>14</v>
      </c>
      <c r="P235" s="387" t="s">
        <v>538</v>
      </c>
      <c r="Q235" s="387" t="s">
        <v>539</v>
      </c>
      <c r="R235" s="387" t="s">
        <v>3065</v>
      </c>
      <c r="S235" s="387" t="s">
        <v>171</v>
      </c>
      <c r="T235" s="387" t="s">
        <v>542</v>
      </c>
      <c r="U235" s="388">
        <v>15496270</v>
      </c>
      <c r="V235" s="387">
        <v>6006845002159</v>
      </c>
      <c r="W235" s="387">
        <v>6006845002159</v>
      </c>
      <c r="X235" s="387" t="s">
        <v>543</v>
      </c>
      <c r="Y235" s="387">
        <v>16006845002156</v>
      </c>
      <c r="Z235" s="387" t="s">
        <v>543</v>
      </c>
      <c r="AA235" s="388" t="s">
        <v>543</v>
      </c>
      <c r="AB235" s="388" t="s">
        <v>543</v>
      </c>
      <c r="AC235" s="387" t="s">
        <v>543</v>
      </c>
      <c r="AD235" s="389">
        <v>100</v>
      </c>
      <c r="AE235" s="390">
        <v>44105</v>
      </c>
      <c r="AF235" s="390">
        <v>45199</v>
      </c>
      <c r="AG235" s="390">
        <v>45199</v>
      </c>
      <c r="AH235" s="391" t="s">
        <v>3067</v>
      </c>
      <c r="AI235" s="391" t="s">
        <v>1813</v>
      </c>
      <c r="AJ235" s="391">
        <v>0</v>
      </c>
      <c r="AK235" s="390">
        <v>44105</v>
      </c>
      <c r="AL235" s="389">
        <v>90</v>
      </c>
      <c r="AM235" s="391" t="s">
        <v>548</v>
      </c>
      <c r="AN235" s="391" t="s">
        <v>545</v>
      </c>
      <c r="AO235" s="391" t="s">
        <v>3068</v>
      </c>
      <c r="AP235" s="372">
        <f t="shared" ref="AP235" si="10">N235/E235</f>
        <v>6.8000000000000005E-2</v>
      </c>
    </row>
    <row r="236" spans="1:43" ht="16" thickBot="1">
      <c r="A236" s="387" t="s">
        <v>1717</v>
      </c>
      <c r="B236" s="387" t="s">
        <v>3070</v>
      </c>
      <c r="C236" s="387" t="s">
        <v>3071</v>
      </c>
      <c r="D236" s="387" t="s">
        <v>3072</v>
      </c>
      <c r="E236" s="387">
        <v>10</v>
      </c>
      <c r="F236" s="387" t="s">
        <v>559</v>
      </c>
      <c r="G236" s="387">
        <v>10</v>
      </c>
      <c r="H236" s="387" t="s">
        <v>559</v>
      </c>
      <c r="I236" s="387" t="s">
        <v>560</v>
      </c>
      <c r="J236" s="387" t="s">
        <v>3063</v>
      </c>
      <c r="K236" s="387" t="s">
        <v>3073</v>
      </c>
      <c r="L236" s="387" t="s">
        <v>654</v>
      </c>
      <c r="M236" s="387" t="s">
        <v>655</v>
      </c>
      <c r="N236" s="388">
        <v>1.26</v>
      </c>
      <c r="O236" s="388">
        <v>14</v>
      </c>
      <c r="P236" s="387" t="s">
        <v>538</v>
      </c>
      <c r="Q236" s="387" t="s">
        <v>539</v>
      </c>
      <c r="R236" s="387" t="s">
        <v>3065</v>
      </c>
      <c r="S236" s="387" t="s">
        <v>171</v>
      </c>
      <c r="T236" s="387" t="s">
        <v>542</v>
      </c>
      <c r="U236" s="388">
        <v>16923243</v>
      </c>
      <c r="V236" s="387">
        <v>6004405008993</v>
      </c>
      <c r="W236" s="387">
        <v>6004405008993</v>
      </c>
      <c r="X236" s="387" t="s">
        <v>543</v>
      </c>
      <c r="Y236" s="387">
        <v>16004405008990</v>
      </c>
      <c r="Z236" s="387" t="s">
        <v>543</v>
      </c>
      <c r="AA236" s="388" t="s">
        <v>543</v>
      </c>
      <c r="AB236" s="388" t="s">
        <v>543</v>
      </c>
      <c r="AC236" s="387" t="s">
        <v>543</v>
      </c>
      <c r="AD236" s="389">
        <v>450</v>
      </c>
      <c r="AE236" s="390">
        <v>45047</v>
      </c>
      <c r="AF236" s="390">
        <v>46142</v>
      </c>
      <c r="AG236" s="391" t="s">
        <v>545</v>
      </c>
      <c r="AH236" s="391" t="s">
        <v>3074</v>
      </c>
      <c r="AI236" s="391" t="s">
        <v>658</v>
      </c>
      <c r="AJ236" s="391">
        <v>0</v>
      </c>
      <c r="AK236" s="390">
        <v>45047</v>
      </c>
      <c r="AL236" s="389">
        <v>100</v>
      </c>
      <c r="AM236" s="391" t="s">
        <v>548</v>
      </c>
      <c r="AN236" s="391" t="s">
        <v>549</v>
      </c>
      <c r="AO236" s="391" t="s">
        <v>3075</v>
      </c>
      <c r="AP236" s="372">
        <f>N236/E236</f>
        <v>0.126</v>
      </c>
      <c r="AQ236" s="372">
        <f>AP236</f>
        <v>0.126</v>
      </c>
    </row>
    <row r="237" spans="1:43" ht="16" thickBot="1">
      <c r="A237" s="387" t="s">
        <v>1717</v>
      </c>
      <c r="B237" s="387" t="s">
        <v>3076</v>
      </c>
      <c r="C237" s="387" t="s">
        <v>3077</v>
      </c>
      <c r="D237" s="387" t="s">
        <v>3078</v>
      </c>
      <c r="E237" s="387">
        <v>30</v>
      </c>
      <c r="F237" s="387" t="s">
        <v>559</v>
      </c>
      <c r="G237" s="387">
        <v>30</v>
      </c>
      <c r="H237" s="387" t="s">
        <v>559</v>
      </c>
      <c r="I237" s="387" t="s">
        <v>560</v>
      </c>
      <c r="J237" s="387" t="s">
        <v>3063</v>
      </c>
      <c r="K237" s="387" t="s">
        <v>3079</v>
      </c>
      <c r="L237" s="387" t="s">
        <v>654</v>
      </c>
      <c r="M237" s="387" t="s">
        <v>655</v>
      </c>
      <c r="N237" s="388">
        <v>2.0299999999999998</v>
      </c>
      <c r="O237" s="388">
        <v>14</v>
      </c>
      <c r="P237" s="387" t="s">
        <v>538</v>
      </c>
      <c r="Q237" s="387" t="s">
        <v>539</v>
      </c>
      <c r="R237" s="387" t="s">
        <v>3065</v>
      </c>
      <c r="S237" s="387" t="s">
        <v>171</v>
      </c>
      <c r="T237" s="387" t="s">
        <v>542</v>
      </c>
      <c r="U237" s="388">
        <v>5821446</v>
      </c>
      <c r="V237" s="387">
        <v>6004405009006</v>
      </c>
      <c r="W237" s="387">
        <v>6004405009006</v>
      </c>
      <c r="X237" s="387" t="s">
        <v>543</v>
      </c>
      <c r="Y237" s="387">
        <v>16004405009003</v>
      </c>
      <c r="Z237" s="387" t="s">
        <v>543</v>
      </c>
      <c r="AA237" s="388" t="s">
        <v>543</v>
      </c>
      <c r="AB237" s="388" t="s">
        <v>543</v>
      </c>
      <c r="AC237" s="387" t="s">
        <v>543</v>
      </c>
      <c r="AD237" s="389">
        <v>390</v>
      </c>
      <c r="AE237" s="390">
        <v>45047</v>
      </c>
      <c r="AF237" s="390">
        <v>46142</v>
      </c>
      <c r="AG237" s="391" t="s">
        <v>545</v>
      </c>
      <c r="AH237" s="391" t="s">
        <v>3080</v>
      </c>
      <c r="AI237" s="391" t="s">
        <v>658</v>
      </c>
      <c r="AJ237" s="391">
        <v>0</v>
      </c>
      <c r="AK237" s="390">
        <v>45047</v>
      </c>
      <c r="AL237" s="389">
        <v>100</v>
      </c>
      <c r="AM237" s="391" t="s">
        <v>548</v>
      </c>
      <c r="AN237" s="391" t="s">
        <v>549</v>
      </c>
      <c r="AO237" s="391" t="s">
        <v>3075</v>
      </c>
      <c r="AP237" s="372">
        <f>N237/E237</f>
        <v>6.7666666666666667E-2</v>
      </c>
      <c r="AQ237" s="372">
        <f>AP237</f>
        <v>6.7666666666666667E-2</v>
      </c>
    </row>
    <row r="238" spans="1:43" ht="16" thickBot="1">
      <c r="A238" s="387" t="s">
        <v>1717</v>
      </c>
      <c r="B238" s="387" t="s">
        <v>3081</v>
      </c>
      <c r="C238" s="387" t="s">
        <v>3082</v>
      </c>
      <c r="D238" s="387" t="s">
        <v>3083</v>
      </c>
      <c r="E238" s="387">
        <v>56</v>
      </c>
      <c r="F238" s="387" t="s">
        <v>559</v>
      </c>
      <c r="G238" s="387">
        <v>56</v>
      </c>
      <c r="H238" s="387" t="s">
        <v>559</v>
      </c>
      <c r="I238" s="387" t="s">
        <v>560</v>
      </c>
      <c r="J238" s="387" t="s">
        <v>3084</v>
      </c>
      <c r="K238" s="387" t="s">
        <v>3085</v>
      </c>
      <c r="L238" s="387" t="s">
        <v>1819</v>
      </c>
      <c r="M238" s="387" t="s">
        <v>1820</v>
      </c>
      <c r="N238" s="388">
        <v>109.6</v>
      </c>
      <c r="O238" s="388">
        <v>14</v>
      </c>
      <c r="P238" s="387" t="s">
        <v>538</v>
      </c>
      <c r="Q238" s="387" t="s">
        <v>539</v>
      </c>
      <c r="R238" s="387" t="s">
        <v>3086</v>
      </c>
      <c r="S238" s="387" t="s">
        <v>171</v>
      </c>
      <c r="T238" s="387" t="s">
        <v>542</v>
      </c>
      <c r="U238" s="388">
        <v>270313</v>
      </c>
      <c r="V238" s="387">
        <v>6005317016403</v>
      </c>
      <c r="W238" s="387">
        <v>6005317016403</v>
      </c>
      <c r="X238" s="387" t="s">
        <v>543</v>
      </c>
      <c r="Y238" s="387">
        <v>26005317016407</v>
      </c>
      <c r="Z238" s="387" t="s">
        <v>543</v>
      </c>
      <c r="AA238" s="388" t="s">
        <v>543</v>
      </c>
      <c r="AB238" s="388" t="s">
        <v>543</v>
      </c>
      <c r="AC238" s="387">
        <v>735884006</v>
      </c>
      <c r="AD238" s="389">
        <v>147</v>
      </c>
      <c r="AE238" s="390">
        <v>45047</v>
      </c>
      <c r="AF238" s="390">
        <v>46142</v>
      </c>
      <c r="AG238" s="391" t="s">
        <v>545</v>
      </c>
      <c r="AH238" s="391" t="s">
        <v>3087</v>
      </c>
      <c r="AI238" s="391" t="s">
        <v>1823</v>
      </c>
      <c r="AJ238" s="391">
        <v>0</v>
      </c>
      <c r="AK238" s="390">
        <v>45047</v>
      </c>
      <c r="AL238" s="389">
        <v>100</v>
      </c>
      <c r="AM238" s="391" t="s">
        <v>548</v>
      </c>
      <c r="AN238" s="391" t="s">
        <v>549</v>
      </c>
      <c r="AO238" s="391" t="s">
        <v>3088</v>
      </c>
    </row>
    <row r="239" spans="1:43" ht="16" thickBot="1">
      <c r="A239" s="387" t="s">
        <v>1717</v>
      </c>
      <c r="B239" s="387" t="s">
        <v>3089</v>
      </c>
      <c r="C239" s="387" t="s">
        <v>3090</v>
      </c>
      <c r="D239" s="387" t="s">
        <v>3091</v>
      </c>
      <c r="E239" s="387">
        <v>56</v>
      </c>
      <c r="F239" s="387" t="s">
        <v>559</v>
      </c>
      <c r="G239" s="387">
        <v>56</v>
      </c>
      <c r="H239" s="387" t="s">
        <v>559</v>
      </c>
      <c r="I239" s="387" t="s">
        <v>560</v>
      </c>
      <c r="J239" s="387" t="s">
        <v>3084</v>
      </c>
      <c r="K239" s="387" t="s">
        <v>3092</v>
      </c>
      <c r="L239" s="387" t="s">
        <v>1819</v>
      </c>
      <c r="M239" s="387" t="s">
        <v>1820</v>
      </c>
      <c r="N239" s="388">
        <v>41.17</v>
      </c>
      <c r="O239" s="388">
        <v>14</v>
      </c>
      <c r="P239" s="387" t="s">
        <v>538</v>
      </c>
      <c r="Q239" s="387" t="s">
        <v>539</v>
      </c>
      <c r="R239" s="387" t="s">
        <v>3086</v>
      </c>
      <c r="S239" s="387" t="s">
        <v>171</v>
      </c>
      <c r="T239" s="387" t="s">
        <v>542</v>
      </c>
      <c r="U239" s="388">
        <v>279999</v>
      </c>
      <c r="V239" s="387">
        <v>6005317016557</v>
      </c>
      <c r="W239" s="387">
        <v>6005317016557</v>
      </c>
      <c r="X239" s="387" t="s">
        <v>543</v>
      </c>
      <c r="Y239" s="387">
        <v>26005317016551</v>
      </c>
      <c r="Z239" s="387" t="s">
        <v>543</v>
      </c>
      <c r="AA239" s="388" t="s">
        <v>543</v>
      </c>
      <c r="AB239" s="388" t="s">
        <v>543</v>
      </c>
      <c r="AC239" s="387">
        <v>735868019</v>
      </c>
      <c r="AD239" s="389">
        <v>147</v>
      </c>
      <c r="AE239" s="390">
        <v>45047</v>
      </c>
      <c r="AF239" s="390">
        <v>46142</v>
      </c>
      <c r="AG239" s="391" t="s">
        <v>545</v>
      </c>
      <c r="AH239" s="391" t="s">
        <v>3093</v>
      </c>
      <c r="AI239" s="391" t="s">
        <v>1823</v>
      </c>
      <c r="AJ239" s="391">
        <v>0</v>
      </c>
      <c r="AK239" s="390">
        <v>45047</v>
      </c>
      <c r="AL239" s="389">
        <v>100</v>
      </c>
      <c r="AM239" s="391" t="s">
        <v>548</v>
      </c>
      <c r="AN239" s="391" t="s">
        <v>549</v>
      </c>
      <c r="AO239" s="391" t="s">
        <v>3094</v>
      </c>
    </row>
    <row r="240" spans="1:43" ht="16" thickBot="1">
      <c r="A240" s="387" t="s">
        <v>2166</v>
      </c>
      <c r="B240" s="387" t="s">
        <v>651</v>
      </c>
      <c r="C240" s="387" t="s">
        <v>3095</v>
      </c>
      <c r="D240" s="387" t="s">
        <v>3096</v>
      </c>
      <c r="E240" s="387">
        <v>50</v>
      </c>
      <c r="F240" s="387" t="s">
        <v>531</v>
      </c>
      <c r="G240" s="387">
        <v>50</v>
      </c>
      <c r="H240" s="387" t="s">
        <v>531</v>
      </c>
      <c r="I240" s="387" t="s">
        <v>532</v>
      </c>
      <c r="J240" s="387" t="s">
        <v>3097</v>
      </c>
      <c r="K240" s="387" t="s">
        <v>3098</v>
      </c>
      <c r="L240" s="387" t="s">
        <v>1945</v>
      </c>
      <c r="M240" s="387" t="s">
        <v>1946</v>
      </c>
      <c r="N240" s="388">
        <v>955.02</v>
      </c>
      <c r="O240" s="388">
        <v>14</v>
      </c>
      <c r="P240" s="387" t="s">
        <v>538</v>
      </c>
      <c r="Q240" s="387" t="s">
        <v>539</v>
      </c>
      <c r="R240" s="387" t="s">
        <v>3099</v>
      </c>
      <c r="S240" s="387" t="s">
        <v>541</v>
      </c>
      <c r="T240" s="387" t="s">
        <v>1908</v>
      </c>
      <c r="U240" s="388">
        <v>497</v>
      </c>
      <c r="V240" s="387">
        <v>6005866000632</v>
      </c>
      <c r="W240" s="387">
        <v>6005866000632</v>
      </c>
      <c r="X240" s="387" t="s">
        <v>543</v>
      </c>
      <c r="Y240" s="387" t="s">
        <v>543</v>
      </c>
      <c r="Z240" s="387" t="s">
        <v>543</v>
      </c>
      <c r="AA240" s="388" t="s">
        <v>543</v>
      </c>
      <c r="AB240" s="388" t="s">
        <v>543</v>
      </c>
      <c r="AC240" s="387">
        <v>815896018</v>
      </c>
      <c r="AD240" s="389">
        <v>1</v>
      </c>
      <c r="AE240" s="390">
        <v>44743</v>
      </c>
      <c r="AF240" s="390">
        <v>45473</v>
      </c>
      <c r="AG240" s="391" t="s">
        <v>545</v>
      </c>
      <c r="AH240" s="391" t="s">
        <v>3100</v>
      </c>
      <c r="AI240" s="391" t="s">
        <v>1949</v>
      </c>
      <c r="AJ240" s="391">
        <v>0</v>
      </c>
      <c r="AK240" s="390">
        <v>44743</v>
      </c>
      <c r="AL240" s="389">
        <v>100</v>
      </c>
      <c r="AM240" s="391" t="s">
        <v>548</v>
      </c>
      <c r="AN240" s="391" t="s">
        <v>549</v>
      </c>
      <c r="AO240" s="391" t="s">
        <v>3101</v>
      </c>
    </row>
    <row r="241" spans="1:43" ht="16" thickBot="1">
      <c r="A241" s="387" t="s">
        <v>2166</v>
      </c>
      <c r="B241" s="387" t="s">
        <v>1003</v>
      </c>
      <c r="C241" s="387" t="s">
        <v>3102</v>
      </c>
      <c r="D241" s="387" t="s">
        <v>3103</v>
      </c>
      <c r="E241" s="387">
        <v>50</v>
      </c>
      <c r="F241" s="387" t="s">
        <v>584</v>
      </c>
      <c r="G241" s="387">
        <v>50</v>
      </c>
      <c r="H241" s="387" t="s">
        <v>584</v>
      </c>
      <c r="I241" s="387" t="s">
        <v>585</v>
      </c>
      <c r="J241" s="387" t="s">
        <v>3097</v>
      </c>
      <c r="K241" s="387" t="s">
        <v>3104</v>
      </c>
      <c r="L241" s="387" t="s">
        <v>1945</v>
      </c>
      <c r="M241" s="387" t="s">
        <v>1946</v>
      </c>
      <c r="N241" s="388">
        <v>798.77</v>
      </c>
      <c r="O241" s="388">
        <v>14</v>
      </c>
      <c r="P241" s="387" t="s">
        <v>538</v>
      </c>
      <c r="Q241" s="387" t="s">
        <v>539</v>
      </c>
      <c r="R241" s="387" t="s">
        <v>3099</v>
      </c>
      <c r="S241" s="387" t="s">
        <v>541</v>
      </c>
      <c r="T241" s="387" t="s">
        <v>1908</v>
      </c>
      <c r="U241" s="388">
        <v>19154</v>
      </c>
      <c r="V241" s="387">
        <v>6005866000595</v>
      </c>
      <c r="W241" s="387">
        <v>6005866000595</v>
      </c>
      <c r="X241" s="387" t="s">
        <v>543</v>
      </c>
      <c r="Y241" s="387" t="s">
        <v>543</v>
      </c>
      <c r="Z241" s="387" t="s">
        <v>543</v>
      </c>
      <c r="AA241" s="388" t="s">
        <v>543</v>
      </c>
      <c r="AB241" s="388" t="s">
        <v>543</v>
      </c>
      <c r="AC241" s="387">
        <v>815918003</v>
      </c>
      <c r="AD241" s="389">
        <v>1</v>
      </c>
      <c r="AE241" s="390">
        <v>44743</v>
      </c>
      <c r="AF241" s="390">
        <v>45473</v>
      </c>
      <c r="AG241" s="391" t="s">
        <v>545</v>
      </c>
      <c r="AH241" s="391" t="s">
        <v>3105</v>
      </c>
      <c r="AI241" s="391" t="s">
        <v>1949</v>
      </c>
      <c r="AJ241" s="391">
        <v>0</v>
      </c>
      <c r="AK241" s="390">
        <v>44743</v>
      </c>
      <c r="AL241" s="389">
        <v>100</v>
      </c>
      <c r="AM241" s="391" t="s">
        <v>548</v>
      </c>
      <c r="AN241" s="391" t="s">
        <v>549</v>
      </c>
      <c r="AO241" s="391" t="s">
        <v>3106</v>
      </c>
    </row>
    <row r="242" spans="1:43" ht="16" thickBot="1">
      <c r="A242" s="387" t="s">
        <v>2166</v>
      </c>
      <c r="B242" s="387" t="s">
        <v>989</v>
      </c>
      <c r="C242" s="387" t="s">
        <v>3107</v>
      </c>
      <c r="D242" s="387" t="s">
        <v>3108</v>
      </c>
      <c r="E242" s="387">
        <v>50</v>
      </c>
      <c r="F242" s="387" t="s">
        <v>584</v>
      </c>
      <c r="G242" s="387">
        <v>50</v>
      </c>
      <c r="H242" s="387" t="s">
        <v>584</v>
      </c>
      <c r="I242" s="387" t="s">
        <v>585</v>
      </c>
      <c r="J242" s="387" t="s">
        <v>3097</v>
      </c>
      <c r="K242" s="387" t="s">
        <v>3109</v>
      </c>
      <c r="L242" s="387" t="s">
        <v>1945</v>
      </c>
      <c r="M242" s="387" t="s">
        <v>1946</v>
      </c>
      <c r="N242" s="388">
        <v>199.85</v>
      </c>
      <c r="O242" s="388">
        <v>14</v>
      </c>
      <c r="P242" s="387" t="s">
        <v>538</v>
      </c>
      <c r="Q242" s="387" t="s">
        <v>539</v>
      </c>
      <c r="R242" s="387" t="s">
        <v>3099</v>
      </c>
      <c r="S242" s="387" t="s">
        <v>541</v>
      </c>
      <c r="T242" s="387" t="s">
        <v>1908</v>
      </c>
      <c r="U242" s="388">
        <v>37323</v>
      </c>
      <c r="V242" s="387">
        <v>6005866001004</v>
      </c>
      <c r="W242" s="387" t="s">
        <v>543</v>
      </c>
      <c r="X242" s="387" t="s">
        <v>543</v>
      </c>
      <c r="Y242" s="387">
        <v>6005866001004</v>
      </c>
      <c r="Z242" s="387" t="s">
        <v>543</v>
      </c>
      <c r="AA242" s="388" t="s">
        <v>543</v>
      </c>
      <c r="AB242" s="388" t="s">
        <v>543</v>
      </c>
      <c r="AC242" s="387">
        <v>815926006</v>
      </c>
      <c r="AD242" s="389">
        <v>1</v>
      </c>
      <c r="AE242" s="390">
        <v>44743</v>
      </c>
      <c r="AF242" s="390">
        <v>45473</v>
      </c>
      <c r="AG242" s="391" t="s">
        <v>545</v>
      </c>
      <c r="AH242" s="391" t="s">
        <v>3110</v>
      </c>
      <c r="AI242" s="391" t="s">
        <v>1949</v>
      </c>
      <c r="AJ242" s="391">
        <v>0</v>
      </c>
      <c r="AK242" s="390">
        <v>44743</v>
      </c>
      <c r="AL242" s="389">
        <v>100</v>
      </c>
      <c r="AM242" s="391" t="s">
        <v>548</v>
      </c>
      <c r="AN242" s="391" t="s">
        <v>549</v>
      </c>
      <c r="AO242" s="391" t="s">
        <v>3111</v>
      </c>
    </row>
    <row r="243" spans="1:43" ht="16" thickBot="1">
      <c r="A243" s="387" t="s">
        <v>2166</v>
      </c>
      <c r="B243" s="387" t="s">
        <v>999</v>
      </c>
      <c r="C243" s="387" t="s">
        <v>3112</v>
      </c>
      <c r="D243" s="387" t="s">
        <v>3113</v>
      </c>
      <c r="E243" s="387">
        <v>1</v>
      </c>
      <c r="F243" s="387" t="s">
        <v>1780</v>
      </c>
      <c r="G243" s="387">
        <v>60</v>
      </c>
      <c r="H243" s="387" t="s">
        <v>1780</v>
      </c>
      <c r="I243" s="387" t="s">
        <v>1751</v>
      </c>
      <c r="J243" s="387" t="s">
        <v>3097</v>
      </c>
      <c r="K243" s="387" t="s">
        <v>3114</v>
      </c>
      <c r="L243" s="387" t="s">
        <v>1945</v>
      </c>
      <c r="M243" s="387" t="s">
        <v>1946</v>
      </c>
      <c r="N243" s="388">
        <v>63.99</v>
      </c>
      <c r="O243" s="388">
        <v>14</v>
      </c>
      <c r="P243" s="387" t="s">
        <v>538</v>
      </c>
      <c r="Q243" s="387" t="s">
        <v>539</v>
      </c>
      <c r="R243" s="387" t="s">
        <v>3099</v>
      </c>
      <c r="S243" s="387" t="s">
        <v>541</v>
      </c>
      <c r="T243" s="387" t="s">
        <v>1908</v>
      </c>
      <c r="U243" s="388">
        <v>14940</v>
      </c>
      <c r="V243" s="387">
        <v>6005866000625</v>
      </c>
      <c r="W243" s="387" t="s">
        <v>543</v>
      </c>
      <c r="X243" s="387" t="s">
        <v>543</v>
      </c>
      <c r="Y243" s="387" t="s">
        <v>543</v>
      </c>
      <c r="Z243" s="387" t="s">
        <v>543</v>
      </c>
      <c r="AA243" s="388" t="s">
        <v>543</v>
      </c>
      <c r="AB243" s="388" t="s">
        <v>543</v>
      </c>
      <c r="AC243" s="387">
        <v>762296003</v>
      </c>
      <c r="AD243" s="389">
        <v>1</v>
      </c>
      <c r="AE243" s="390">
        <v>44743</v>
      </c>
      <c r="AF243" s="390">
        <v>45473</v>
      </c>
      <c r="AG243" s="391" t="s">
        <v>545</v>
      </c>
      <c r="AH243" s="391" t="s">
        <v>3115</v>
      </c>
      <c r="AI243" s="391" t="s">
        <v>1949</v>
      </c>
      <c r="AJ243" s="391">
        <v>0</v>
      </c>
      <c r="AK243" s="390">
        <v>44743</v>
      </c>
      <c r="AL243" s="389">
        <v>100</v>
      </c>
      <c r="AM243" s="391" t="s">
        <v>548</v>
      </c>
      <c r="AN243" s="391" t="s">
        <v>549</v>
      </c>
      <c r="AO243" s="391" t="s">
        <v>3116</v>
      </c>
    </row>
    <row r="244" spans="1:43" ht="16" thickBot="1">
      <c r="A244" s="387" t="s">
        <v>1766</v>
      </c>
      <c r="B244" s="387" t="s">
        <v>3117</v>
      </c>
      <c r="C244" s="387" t="s">
        <v>3118</v>
      </c>
      <c r="D244" s="387" t="s">
        <v>3119</v>
      </c>
      <c r="E244" s="387">
        <v>100</v>
      </c>
      <c r="F244" s="387" t="s">
        <v>531</v>
      </c>
      <c r="G244" s="387">
        <v>100</v>
      </c>
      <c r="H244" s="387" t="s">
        <v>531</v>
      </c>
      <c r="I244" s="387" t="s">
        <v>1751</v>
      </c>
      <c r="J244" s="387" t="s">
        <v>3120</v>
      </c>
      <c r="K244" s="387" t="s">
        <v>3121</v>
      </c>
      <c r="L244" s="387" t="s">
        <v>1955</v>
      </c>
      <c r="M244" s="387" t="s">
        <v>1956</v>
      </c>
      <c r="N244" s="388">
        <v>29.9</v>
      </c>
      <c r="O244" s="388">
        <v>14</v>
      </c>
      <c r="P244" s="387" t="s">
        <v>538</v>
      </c>
      <c r="Q244" s="387" t="s">
        <v>539</v>
      </c>
      <c r="R244" s="387" t="s">
        <v>3122</v>
      </c>
      <c r="S244" s="387" t="s">
        <v>160</v>
      </c>
      <c r="T244" s="387" t="s">
        <v>757</v>
      </c>
      <c r="U244" s="388">
        <v>144430</v>
      </c>
      <c r="V244" s="387">
        <v>6009607271671</v>
      </c>
      <c r="W244" s="387">
        <v>6009607271671</v>
      </c>
      <c r="X244" s="387" t="s">
        <v>543</v>
      </c>
      <c r="Y244" s="387">
        <v>6009607271688</v>
      </c>
      <c r="Z244" s="387" t="s">
        <v>543</v>
      </c>
      <c r="AA244" s="388" t="s">
        <v>543</v>
      </c>
      <c r="AB244" s="388" t="s">
        <v>543</v>
      </c>
      <c r="AC244" s="387">
        <v>722868001</v>
      </c>
      <c r="AD244" s="389">
        <v>10</v>
      </c>
      <c r="AE244" s="390">
        <v>44470</v>
      </c>
      <c r="AF244" s="390">
        <v>45199</v>
      </c>
      <c r="AG244" s="391" t="s">
        <v>545</v>
      </c>
      <c r="AH244" s="391" t="s">
        <v>3123</v>
      </c>
      <c r="AI244" s="391" t="s">
        <v>1959</v>
      </c>
      <c r="AJ244" s="391">
        <v>0</v>
      </c>
      <c r="AK244" s="390">
        <v>44470</v>
      </c>
      <c r="AL244" s="389">
        <v>100</v>
      </c>
      <c r="AM244" s="391" t="s">
        <v>548</v>
      </c>
      <c r="AN244" s="391" t="s">
        <v>549</v>
      </c>
      <c r="AO244" s="391" t="s">
        <v>3124</v>
      </c>
    </row>
    <row r="245" spans="1:43" ht="16" thickBot="1">
      <c r="A245" s="387" t="s">
        <v>1766</v>
      </c>
      <c r="B245" s="387" t="s">
        <v>2820</v>
      </c>
      <c r="C245" s="387" t="s">
        <v>3125</v>
      </c>
      <c r="D245" s="387" t="s">
        <v>3126</v>
      </c>
      <c r="E245" s="387">
        <v>100</v>
      </c>
      <c r="F245" s="387" t="s">
        <v>531</v>
      </c>
      <c r="G245" s="387">
        <v>100</v>
      </c>
      <c r="H245" s="387" t="s">
        <v>531</v>
      </c>
      <c r="I245" s="387" t="s">
        <v>744</v>
      </c>
      <c r="J245" s="387" t="s">
        <v>3120</v>
      </c>
      <c r="K245" s="387" t="s">
        <v>3127</v>
      </c>
      <c r="L245" s="387" t="s">
        <v>3128</v>
      </c>
      <c r="M245" s="387" t="s">
        <v>3129</v>
      </c>
      <c r="N245" s="388">
        <v>229.43</v>
      </c>
      <c r="O245" s="388">
        <v>14</v>
      </c>
      <c r="P245" s="387" t="s">
        <v>538</v>
      </c>
      <c r="Q245" s="387" t="s">
        <v>539</v>
      </c>
      <c r="R245" s="387" t="s">
        <v>3122</v>
      </c>
      <c r="S245" s="387" t="s">
        <v>171</v>
      </c>
      <c r="T245" s="387" t="s">
        <v>542</v>
      </c>
      <c r="U245" s="388">
        <v>125424</v>
      </c>
      <c r="V245" s="387">
        <v>6006118000622</v>
      </c>
      <c r="W245" s="387">
        <v>6006118000622</v>
      </c>
      <c r="X245" s="387" t="s">
        <v>543</v>
      </c>
      <c r="Y245" s="387">
        <v>60061180006222</v>
      </c>
      <c r="Z245" s="387" t="s">
        <v>543</v>
      </c>
      <c r="AA245" s="388" t="s">
        <v>543</v>
      </c>
      <c r="AB245" s="388" t="s">
        <v>543</v>
      </c>
      <c r="AC245" s="387">
        <v>829498001</v>
      </c>
      <c r="AD245" s="389">
        <v>1</v>
      </c>
      <c r="AE245" s="390">
        <v>44470</v>
      </c>
      <c r="AF245" s="390">
        <v>45199</v>
      </c>
      <c r="AG245" s="391" t="s">
        <v>545</v>
      </c>
      <c r="AH245" s="391" t="s">
        <v>3130</v>
      </c>
      <c r="AI245" s="391" t="s">
        <v>3131</v>
      </c>
      <c r="AJ245" s="391">
        <v>0</v>
      </c>
      <c r="AK245" s="390">
        <v>44470</v>
      </c>
      <c r="AL245" s="389">
        <v>100</v>
      </c>
      <c r="AM245" s="391" t="s">
        <v>548</v>
      </c>
      <c r="AN245" s="391" t="s">
        <v>549</v>
      </c>
      <c r="AO245" s="391" t="s">
        <v>3132</v>
      </c>
    </row>
    <row r="246" spans="1:43" ht="16" thickBot="1">
      <c r="A246" s="387" t="s">
        <v>1766</v>
      </c>
      <c r="B246" s="387" t="s">
        <v>2738</v>
      </c>
      <c r="C246" s="387" t="s">
        <v>3133</v>
      </c>
      <c r="D246" s="387" t="s">
        <v>3134</v>
      </c>
      <c r="E246" s="387">
        <v>10</v>
      </c>
      <c r="F246" s="387" t="s">
        <v>559</v>
      </c>
      <c r="G246" s="387">
        <v>10</v>
      </c>
      <c r="H246" s="387" t="s">
        <v>559</v>
      </c>
      <c r="I246" s="387" t="s">
        <v>560</v>
      </c>
      <c r="J246" s="387" t="s">
        <v>3120</v>
      </c>
      <c r="K246" s="387" t="s">
        <v>3135</v>
      </c>
      <c r="L246" s="387" t="s">
        <v>1905</v>
      </c>
      <c r="M246" s="387" t="s">
        <v>1906</v>
      </c>
      <c r="N246" s="388">
        <v>4.49</v>
      </c>
      <c r="O246" s="388">
        <v>14</v>
      </c>
      <c r="P246" s="387" t="s">
        <v>538</v>
      </c>
      <c r="Q246" s="387" t="s">
        <v>539</v>
      </c>
      <c r="R246" s="387" t="s">
        <v>3122</v>
      </c>
      <c r="S246" s="387" t="s">
        <v>171</v>
      </c>
      <c r="T246" s="387" t="s">
        <v>542</v>
      </c>
      <c r="U246" s="388">
        <v>463090</v>
      </c>
      <c r="V246" s="387">
        <v>60068230001631</v>
      </c>
      <c r="W246" s="387">
        <v>60068230001631</v>
      </c>
      <c r="X246" s="387" t="s">
        <v>543</v>
      </c>
      <c r="Y246" s="387">
        <v>160068230001416</v>
      </c>
      <c r="Z246" s="387" t="s">
        <v>543</v>
      </c>
      <c r="AA246" s="388" t="s">
        <v>543</v>
      </c>
      <c r="AB246" s="388" t="s">
        <v>543</v>
      </c>
      <c r="AC246" s="387">
        <v>713792001</v>
      </c>
      <c r="AD246" s="389">
        <v>10</v>
      </c>
      <c r="AE246" s="390">
        <v>44470</v>
      </c>
      <c r="AF246" s="390">
        <v>45199</v>
      </c>
      <c r="AG246" s="390">
        <v>45199</v>
      </c>
      <c r="AH246" s="391" t="s">
        <v>3136</v>
      </c>
      <c r="AI246" s="391" t="s">
        <v>1910</v>
      </c>
      <c r="AJ246" s="391">
        <v>15</v>
      </c>
      <c r="AK246" s="390">
        <v>45047</v>
      </c>
      <c r="AL246" s="389">
        <v>100</v>
      </c>
      <c r="AM246" s="391" t="s">
        <v>548</v>
      </c>
      <c r="AN246" s="391" t="s">
        <v>549</v>
      </c>
      <c r="AO246" s="391" t="s">
        <v>3137</v>
      </c>
    </row>
    <row r="247" spans="1:43" ht="16" thickBot="1">
      <c r="A247" s="387" t="s">
        <v>1766</v>
      </c>
      <c r="B247" s="387" t="s">
        <v>2799</v>
      </c>
      <c r="C247" s="387" t="s">
        <v>3138</v>
      </c>
      <c r="D247" s="387" t="s">
        <v>3139</v>
      </c>
      <c r="E247" s="387">
        <v>5</v>
      </c>
      <c r="F247" s="387" t="s">
        <v>531</v>
      </c>
      <c r="G247" s="387">
        <v>100</v>
      </c>
      <c r="H247" s="387" t="s">
        <v>2297</v>
      </c>
      <c r="I247" s="387" t="s">
        <v>2298</v>
      </c>
      <c r="J247" s="387" t="s">
        <v>3120</v>
      </c>
      <c r="K247" s="387" t="s">
        <v>3140</v>
      </c>
      <c r="L247" s="387" t="s">
        <v>1945</v>
      </c>
      <c r="M247" s="387" t="s">
        <v>1946</v>
      </c>
      <c r="N247" s="388">
        <v>17.25</v>
      </c>
      <c r="O247" s="388">
        <v>14</v>
      </c>
      <c r="P247" s="387" t="s">
        <v>538</v>
      </c>
      <c r="Q247" s="387" t="s">
        <v>539</v>
      </c>
      <c r="R247" s="387" t="s">
        <v>3141</v>
      </c>
      <c r="S247" s="387" t="s">
        <v>171</v>
      </c>
      <c r="T247" s="387" t="s">
        <v>757</v>
      </c>
      <c r="U247" s="388">
        <v>255400</v>
      </c>
      <c r="V247" s="387">
        <v>6005534003583</v>
      </c>
      <c r="W247" s="387">
        <v>6005534003583</v>
      </c>
      <c r="X247" s="387" t="s">
        <v>543</v>
      </c>
      <c r="Y247" s="387" t="s">
        <v>543</v>
      </c>
      <c r="Z247" s="387" t="s">
        <v>543</v>
      </c>
      <c r="AA247" s="388" t="s">
        <v>543</v>
      </c>
      <c r="AB247" s="388" t="s">
        <v>543</v>
      </c>
      <c r="AC247" s="387">
        <v>701064001</v>
      </c>
      <c r="AD247" s="389">
        <v>1</v>
      </c>
      <c r="AE247" s="390">
        <v>44470</v>
      </c>
      <c r="AF247" s="390">
        <v>45199</v>
      </c>
      <c r="AG247" s="391" t="s">
        <v>545</v>
      </c>
      <c r="AH247" s="391" t="s">
        <v>3142</v>
      </c>
      <c r="AI247" s="391" t="s">
        <v>1949</v>
      </c>
      <c r="AJ247" s="391">
        <v>0</v>
      </c>
      <c r="AK247" s="390">
        <v>44470</v>
      </c>
      <c r="AL247" s="389">
        <v>100</v>
      </c>
      <c r="AM247" s="391" t="s">
        <v>548</v>
      </c>
      <c r="AN247" s="391" t="s">
        <v>549</v>
      </c>
      <c r="AO247" s="391" t="s">
        <v>3143</v>
      </c>
    </row>
    <row r="248" spans="1:43" ht="16" thickBot="1">
      <c r="A248" s="387" t="s">
        <v>1766</v>
      </c>
      <c r="B248" s="387" t="s">
        <v>3144</v>
      </c>
      <c r="C248" s="387" t="s">
        <v>3145</v>
      </c>
      <c r="D248" s="387" t="s">
        <v>3146</v>
      </c>
      <c r="E248" s="387">
        <v>200</v>
      </c>
      <c r="F248" s="387" t="s">
        <v>531</v>
      </c>
      <c r="G248" s="387">
        <v>200</v>
      </c>
      <c r="H248" s="387" t="s">
        <v>531</v>
      </c>
      <c r="I248" s="387" t="s">
        <v>1838</v>
      </c>
      <c r="J248" s="387" t="s">
        <v>3120</v>
      </c>
      <c r="K248" s="387" t="s">
        <v>3147</v>
      </c>
      <c r="L248" s="387" t="s">
        <v>1955</v>
      </c>
      <c r="M248" s="387" t="s">
        <v>1956</v>
      </c>
      <c r="N248" s="388">
        <v>37.950000000000003</v>
      </c>
      <c r="O248" s="388">
        <v>14</v>
      </c>
      <c r="P248" s="387" t="s">
        <v>538</v>
      </c>
      <c r="Q248" s="387" t="s">
        <v>539</v>
      </c>
      <c r="R248" s="387" t="s">
        <v>3122</v>
      </c>
      <c r="S248" s="387" t="s">
        <v>171</v>
      </c>
      <c r="T248" s="387" t="s">
        <v>757</v>
      </c>
      <c r="U248" s="388">
        <v>86320</v>
      </c>
      <c r="V248" s="387">
        <v>6009607271695</v>
      </c>
      <c r="W248" s="387">
        <v>6009607271701</v>
      </c>
      <c r="X248" s="387" t="s">
        <v>543</v>
      </c>
      <c r="Y248" s="387">
        <v>6009607271701</v>
      </c>
      <c r="Z248" s="387" t="s">
        <v>543</v>
      </c>
      <c r="AA248" s="388" t="s">
        <v>543</v>
      </c>
      <c r="AB248" s="388" t="s">
        <v>543</v>
      </c>
      <c r="AC248" s="387">
        <v>722869001</v>
      </c>
      <c r="AD248" s="389">
        <v>10</v>
      </c>
      <c r="AE248" s="390">
        <v>44470</v>
      </c>
      <c r="AF248" s="390">
        <v>45199</v>
      </c>
      <c r="AG248" s="391" t="s">
        <v>545</v>
      </c>
      <c r="AH248" s="391" t="s">
        <v>3148</v>
      </c>
      <c r="AI248" s="391" t="s">
        <v>1959</v>
      </c>
      <c r="AJ248" s="391">
        <v>0</v>
      </c>
      <c r="AK248" s="390">
        <v>44470</v>
      </c>
      <c r="AL248" s="389">
        <v>100</v>
      </c>
      <c r="AM248" s="391" t="s">
        <v>548</v>
      </c>
      <c r="AN248" s="391" t="s">
        <v>549</v>
      </c>
      <c r="AO248" s="391" t="s">
        <v>3149</v>
      </c>
    </row>
    <row r="249" spans="1:43" ht="16" thickBot="1">
      <c r="A249" s="387" t="s">
        <v>1766</v>
      </c>
      <c r="B249" s="387" t="s">
        <v>2814</v>
      </c>
      <c r="C249" s="387" t="s">
        <v>3150</v>
      </c>
      <c r="D249" s="387" t="s">
        <v>3151</v>
      </c>
      <c r="E249" s="387">
        <v>10</v>
      </c>
      <c r="F249" s="387" t="s">
        <v>559</v>
      </c>
      <c r="G249" s="387">
        <v>10</v>
      </c>
      <c r="H249" s="387" t="s">
        <v>559</v>
      </c>
      <c r="I249" s="387" t="s">
        <v>560</v>
      </c>
      <c r="J249" s="387" t="s">
        <v>3120</v>
      </c>
      <c r="K249" s="387" t="s">
        <v>3152</v>
      </c>
      <c r="L249" s="387" t="s">
        <v>1905</v>
      </c>
      <c r="M249" s="387" t="s">
        <v>1906</v>
      </c>
      <c r="N249" s="388">
        <v>7.19</v>
      </c>
      <c r="O249" s="388">
        <v>14</v>
      </c>
      <c r="P249" s="387" t="s">
        <v>538</v>
      </c>
      <c r="Q249" s="387" t="s">
        <v>539</v>
      </c>
      <c r="R249" s="387" t="s">
        <v>3122</v>
      </c>
      <c r="S249" s="387" t="s">
        <v>171</v>
      </c>
      <c r="T249" s="387" t="s">
        <v>542</v>
      </c>
      <c r="U249" s="388">
        <v>1438892</v>
      </c>
      <c r="V249" s="387">
        <v>60068230001648</v>
      </c>
      <c r="W249" s="387">
        <v>60068230001648</v>
      </c>
      <c r="X249" s="387" t="s">
        <v>543</v>
      </c>
      <c r="Y249" s="387">
        <v>160068230001423</v>
      </c>
      <c r="Z249" s="387" t="s">
        <v>543</v>
      </c>
      <c r="AA249" s="388" t="s">
        <v>543</v>
      </c>
      <c r="AB249" s="388" t="s">
        <v>543</v>
      </c>
      <c r="AC249" s="387">
        <v>713793001</v>
      </c>
      <c r="AD249" s="389">
        <v>400</v>
      </c>
      <c r="AE249" s="390">
        <v>44470</v>
      </c>
      <c r="AF249" s="390">
        <v>45199</v>
      </c>
      <c r="AG249" s="390">
        <v>45199</v>
      </c>
      <c r="AH249" s="391" t="s">
        <v>3153</v>
      </c>
      <c r="AI249" s="391" t="s">
        <v>1910</v>
      </c>
      <c r="AJ249" s="391">
        <v>15</v>
      </c>
      <c r="AK249" s="390">
        <v>45047</v>
      </c>
      <c r="AL249" s="389">
        <v>70</v>
      </c>
      <c r="AM249" s="391" t="s">
        <v>548</v>
      </c>
      <c r="AN249" s="391" t="s">
        <v>549</v>
      </c>
      <c r="AO249" s="391" t="s">
        <v>3154</v>
      </c>
      <c r="AP249" s="372">
        <f>N249/E249</f>
        <v>0.71900000000000008</v>
      </c>
      <c r="AQ249" s="372">
        <f>SUMPRODUCT(AP249:AP250,U249:U250)/SUM(U249:U250)</f>
        <v>0.75050000000000017</v>
      </c>
    </row>
    <row r="250" spans="1:43" ht="16" thickBot="1">
      <c r="A250" s="387" t="s">
        <v>1766</v>
      </c>
      <c r="B250" s="387" t="s">
        <v>2814</v>
      </c>
      <c r="C250" s="387" t="s">
        <v>3150</v>
      </c>
      <c r="D250" s="387" t="s">
        <v>3151</v>
      </c>
      <c r="E250" s="387">
        <v>10</v>
      </c>
      <c r="F250" s="387" t="s">
        <v>559</v>
      </c>
      <c r="G250" s="387">
        <v>10</v>
      </c>
      <c r="H250" s="387" t="s">
        <v>559</v>
      </c>
      <c r="I250" s="387" t="s">
        <v>560</v>
      </c>
      <c r="J250" s="387" t="s">
        <v>3120</v>
      </c>
      <c r="K250" s="387" t="s">
        <v>3155</v>
      </c>
      <c r="L250" s="387" t="s">
        <v>1886</v>
      </c>
      <c r="M250" s="387" t="s">
        <v>1887</v>
      </c>
      <c r="N250" s="388">
        <v>8.24</v>
      </c>
      <c r="O250" s="388">
        <v>14</v>
      </c>
      <c r="P250" s="387" t="s">
        <v>538</v>
      </c>
      <c r="Q250" s="387" t="s">
        <v>539</v>
      </c>
      <c r="R250" s="387" t="s">
        <v>3122</v>
      </c>
      <c r="S250" s="387" t="s">
        <v>171</v>
      </c>
      <c r="T250" s="387" t="s">
        <v>542</v>
      </c>
      <c r="U250" s="388">
        <v>616668</v>
      </c>
      <c r="V250" s="387">
        <v>6009691110092</v>
      </c>
      <c r="W250" s="387" t="s">
        <v>543</v>
      </c>
      <c r="X250" s="387" t="s">
        <v>543</v>
      </c>
      <c r="Y250" s="387">
        <v>16009691110099</v>
      </c>
      <c r="Z250" s="387" t="s">
        <v>543</v>
      </c>
      <c r="AA250" s="388" t="s">
        <v>543</v>
      </c>
      <c r="AB250" s="388" t="s">
        <v>543</v>
      </c>
      <c r="AC250" s="387">
        <v>704351001</v>
      </c>
      <c r="AD250" s="389">
        <v>400</v>
      </c>
      <c r="AE250" s="390">
        <v>44470</v>
      </c>
      <c r="AF250" s="390">
        <v>45199</v>
      </c>
      <c r="AG250" s="390">
        <v>45199</v>
      </c>
      <c r="AH250" s="391" t="s">
        <v>3153</v>
      </c>
      <c r="AI250" s="391" t="s">
        <v>1889</v>
      </c>
      <c r="AJ250" s="391">
        <v>14</v>
      </c>
      <c r="AK250" s="390">
        <v>45047</v>
      </c>
      <c r="AL250" s="389">
        <v>30</v>
      </c>
      <c r="AM250" s="391" t="s">
        <v>548</v>
      </c>
      <c r="AN250" s="391" t="s">
        <v>549</v>
      </c>
      <c r="AO250" s="391" t="s">
        <v>3154</v>
      </c>
      <c r="AP250" s="372">
        <f t="shared" ref="AP250" si="11">N250/E250</f>
        <v>0.82400000000000007</v>
      </c>
    </row>
    <row r="251" spans="1:43" ht="16" thickBot="1">
      <c r="A251" s="387" t="s">
        <v>1748</v>
      </c>
      <c r="B251" s="387" t="s">
        <v>603</v>
      </c>
      <c r="C251" s="387" t="s">
        <v>3156</v>
      </c>
      <c r="D251" s="387" t="s">
        <v>3157</v>
      </c>
      <c r="E251" s="387">
        <v>5</v>
      </c>
      <c r="F251" s="387" t="s">
        <v>531</v>
      </c>
      <c r="G251" s="387">
        <v>5</v>
      </c>
      <c r="H251" s="387" t="s">
        <v>531</v>
      </c>
      <c r="I251" s="387" t="s">
        <v>1751</v>
      </c>
      <c r="J251" s="387" t="s">
        <v>3158</v>
      </c>
      <c r="K251" s="387" t="s">
        <v>3159</v>
      </c>
      <c r="L251" s="387" t="s">
        <v>2595</v>
      </c>
      <c r="M251" s="387" t="s">
        <v>2596</v>
      </c>
      <c r="N251" s="388">
        <v>37.950000000000003</v>
      </c>
      <c r="O251" s="388">
        <v>14</v>
      </c>
      <c r="P251" s="387" t="s">
        <v>538</v>
      </c>
      <c r="Q251" s="387" t="s">
        <v>539</v>
      </c>
      <c r="R251" s="387" t="s">
        <v>3160</v>
      </c>
      <c r="S251" s="387" t="s">
        <v>541</v>
      </c>
      <c r="T251" s="387" t="s">
        <v>757</v>
      </c>
      <c r="U251" s="388">
        <v>166173</v>
      </c>
      <c r="V251" s="387" t="s">
        <v>543</v>
      </c>
      <c r="W251" s="387" t="s">
        <v>543</v>
      </c>
      <c r="X251" s="387" t="s">
        <v>543</v>
      </c>
      <c r="Y251" s="387" t="s">
        <v>543</v>
      </c>
      <c r="Z251" s="387" t="s">
        <v>543</v>
      </c>
      <c r="AA251" s="388" t="s">
        <v>543</v>
      </c>
      <c r="AB251" s="388" t="s">
        <v>543</v>
      </c>
      <c r="AC251" s="387" t="s">
        <v>543</v>
      </c>
      <c r="AD251" s="389">
        <v>20</v>
      </c>
      <c r="AE251" s="390">
        <v>44317</v>
      </c>
      <c r="AF251" s="390">
        <v>45412</v>
      </c>
      <c r="AG251" s="391" t="s">
        <v>545</v>
      </c>
      <c r="AH251" s="391" t="s">
        <v>3161</v>
      </c>
      <c r="AI251" s="391" t="s">
        <v>2599</v>
      </c>
      <c r="AJ251" s="391">
        <v>0</v>
      </c>
      <c r="AK251" s="390">
        <v>44317</v>
      </c>
      <c r="AL251" s="389">
        <v>70</v>
      </c>
      <c r="AM251" s="391" t="s">
        <v>548</v>
      </c>
      <c r="AN251" s="391" t="s">
        <v>549</v>
      </c>
      <c r="AO251" s="391" t="s">
        <v>3162</v>
      </c>
    </row>
    <row r="252" spans="1:43" ht="16" thickBot="1">
      <c r="A252" s="387" t="s">
        <v>1748</v>
      </c>
      <c r="B252" s="387" t="s">
        <v>993</v>
      </c>
      <c r="C252" s="387" t="s">
        <v>3163</v>
      </c>
      <c r="D252" s="387" t="s">
        <v>3164</v>
      </c>
      <c r="E252" s="387">
        <v>2.5</v>
      </c>
      <c r="F252" s="387" t="s">
        <v>531</v>
      </c>
      <c r="G252" s="387">
        <v>2.5</v>
      </c>
      <c r="H252" s="387" t="s">
        <v>531</v>
      </c>
      <c r="I252" s="387" t="s">
        <v>1751</v>
      </c>
      <c r="J252" s="387" t="s">
        <v>3158</v>
      </c>
      <c r="K252" s="387" t="s">
        <v>3165</v>
      </c>
      <c r="L252" s="387" t="s">
        <v>2595</v>
      </c>
      <c r="M252" s="387" t="s">
        <v>2596</v>
      </c>
      <c r="N252" s="388">
        <v>25.3</v>
      </c>
      <c r="O252" s="388">
        <v>14</v>
      </c>
      <c r="P252" s="387" t="s">
        <v>538</v>
      </c>
      <c r="Q252" s="387" t="s">
        <v>539</v>
      </c>
      <c r="R252" s="387" t="s">
        <v>3160</v>
      </c>
      <c r="S252" s="387" t="s">
        <v>541</v>
      </c>
      <c r="T252" s="387" t="s">
        <v>757</v>
      </c>
      <c r="U252" s="388">
        <v>239985</v>
      </c>
      <c r="V252" s="387" t="s">
        <v>543</v>
      </c>
      <c r="W252" s="387" t="s">
        <v>543</v>
      </c>
      <c r="X252" s="387" t="s">
        <v>543</v>
      </c>
      <c r="Y252" s="387" t="s">
        <v>543</v>
      </c>
      <c r="Z252" s="387" t="s">
        <v>543</v>
      </c>
      <c r="AA252" s="388" t="s">
        <v>543</v>
      </c>
      <c r="AB252" s="388" t="s">
        <v>543</v>
      </c>
      <c r="AC252" s="387" t="s">
        <v>543</v>
      </c>
      <c r="AD252" s="389">
        <v>20</v>
      </c>
      <c r="AE252" s="390">
        <v>44317</v>
      </c>
      <c r="AF252" s="390">
        <v>45412</v>
      </c>
      <c r="AG252" s="391" t="s">
        <v>545</v>
      </c>
      <c r="AH252" s="391" t="s">
        <v>3166</v>
      </c>
      <c r="AI252" s="391" t="s">
        <v>2599</v>
      </c>
      <c r="AJ252" s="391">
        <v>0</v>
      </c>
      <c r="AK252" s="390">
        <v>44317</v>
      </c>
      <c r="AL252" s="389">
        <v>90</v>
      </c>
      <c r="AM252" s="391" t="s">
        <v>548</v>
      </c>
      <c r="AN252" s="391" t="s">
        <v>549</v>
      </c>
      <c r="AO252" s="391" t="s">
        <v>3167</v>
      </c>
    </row>
    <row r="253" spans="1:43" ht="16" thickBot="1">
      <c r="A253" s="387" t="s">
        <v>2166</v>
      </c>
      <c r="B253" s="387" t="s">
        <v>993</v>
      </c>
      <c r="C253" s="387" t="s">
        <v>3168</v>
      </c>
      <c r="D253" s="387" t="s">
        <v>3169</v>
      </c>
      <c r="E253" s="387">
        <v>10</v>
      </c>
      <c r="F253" s="387" t="s">
        <v>531</v>
      </c>
      <c r="G253" s="387">
        <v>10</v>
      </c>
      <c r="H253" s="387" t="s">
        <v>531</v>
      </c>
      <c r="I253" s="387" t="s">
        <v>1751</v>
      </c>
      <c r="J253" s="387" t="s">
        <v>3170</v>
      </c>
      <c r="K253" s="387" t="s">
        <v>3171</v>
      </c>
      <c r="L253" s="387" t="s">
        <v>2141</v>
      </c>
      <c r="M253" s="387" t="s">
        <v>2142</v>
      </c>
      <c r="N253" s="388">
        <v>50.28</v>
      </c>
      <c r="O253" s="388">
        <v>14</v>
      </c>
      <c r="P253" s="387" t="s">
        <v>538</v>
      </c>
      <c r="Q253" s="387" t="s">
        <v>539</v>
      </c>
      <c r="R253" s="387" t="s">
        <v>3172</v>
      </c>
      <c r="S253" s="387" t="s">
        <v>171</v>
      </c>
      <c r="T253" s="387" t="s">
        <v>1908</v>
      </c>
      <c r="U253" s="388">
        <v>6660</v>
      </c>
      <c r="V253" s="387">
        <v>781718734301</v>
      </c>
      <c r="W253" s="387">
        <v>781718734370</v>
      </c>
      <c r="X253" s="387" t="s">
        <v>543</v>
      </c>
      <c r="Y253" s="387">
        <v>7817187343701</v>
      </c>
      <c r="Z253" s="387" t="s">
        <v>543</v>
      </c>
      <c r="AA253" s="388" t="s">
        <v>543</v>
      </c>
      <c r="AB253" s="388" t="s">
        <v>543</v>
      </c>
      <c r="AC253" s="387" t="s">
        <v>543</v>
      </c>
      <c r="AD253" s="389">
        <v>20</v>
      </c>
      <c r="AE253" s="390">
        <v>44743</v>
      </c>
      <c r="AF253" s="390">
        <v>45473</v>
      </c>
      <c r="AG253" s="390">
        <v>45473</v>
      </c>
      <c r="AH253" s="391" t="s">
        <v>3173</v>
      </c>
      <c r="AI253" s="391" t="s">
        <v>2144</v>
      </c>
      <c r="AJ253" s="391">
        <v>12</v>
      </c>
      <c r="AK253" s="390">
        <v>45047</v>
      </c>
      <c r="AL253" s="389">
        <v>100</v>
      </c>
      <c r="AM253" s="391" t="s">
        <v>548</v>
      </c>
      <c r="AN253" s="391" t="s">
        <v>549</v>
      </c>
      <c r="AO253" s="391" t="s">
        <v>3174</v>
      </c>
    </row>
    <row r="254" spans="1:43" ht="16" thickBot="1">
      <c r="A254" s="387" t="s">
        <v>2166</v>
      </c>
      <c r="B254" s="387" t="s">
        <v>603</v>
      </c>
      <c r="C254" s="387" t="s">
        <v>3175</v>
      </c>
      <c r="D254" s="387" t="s">
        <v>3176</v>
      </c>
      <c r="E254" s="387">
        <v>50</v>
      </c>
      <c r="F254" s="387" t="s">
        <v>531</v>
      </c>
      <c r="G254" s="387">
        <v>50</v>
      </c>
      <c r="H254" s="387" t="s">
        <v>531</v>
      </c>
      <c r="I254" s="387" t="s">
        <v>1751</v>
      </c>
      <c r="J254" s="387" t="s">
        <v>3170</v>
      </c>
      <c r="K254" s="387" t="s">
        <v>3177</v>
      </c>
      <c r="L254" s="387" t="s">
        <v>2141</v>
      </c>
      <c r="M254" s="387" t="s">
        <v>2142</v>
      </c>
      <c r="N254" s="388">
        <v>127.84</v>
      </c>
      <c r="O254" s="388">
        <v>14</v>
      </c>
      <c r="P254" s="387" t="s">
        <v>538</v>
      </c>
      <c r="Q254" s="387" t="s">
        <v>539</v>
      </c>
      <c r="R254" s="387" t="s">
        <v>3172</v>
      </c>
      <c r="S254" s="387" t="s">
        <v>171</v>
      </c>
      <c r="T254" s="387" t="s">
        <v>1908</v>
      </c>
      <c r="U254" s="388">
        <v>67800</v>
      </c>
      <c r="V254" s="387" t="s">
        <v>543</v>
      </c>
      <c r="W254" s="387" t="s">
        <v>543</v>
      </c>
      <c r="X254" s="387" t="s">
        <v>543</v>
      </c>
      <c r="Y254" s="387" t="s">
        <v>543</v>
      </c>
      <c r="Z254" s="387" t="s">
        <v>543</v>
      </c>
      <c r="AA254" s="388" t="s">
        <v>543</v>
      </c>
      <c r="AB254" s="388" t="s">
        <v>543</v>
      </c>
      <c r="AC254" s="387" t="s">
        <v>543</v>
      </c>
      <c r="AD254" s="389">
        <v>20</v>
      </c>
      <c r="AE254" s="390">
        <v>44743</v>
      </c>
      <c r="AF254" s="390">
        <v>45473</v>
      </c>
      <c r="AG254" s="390">
        <v>45473</v>
      </c>
      <c r="AH254" s="391" t="s">
        <v>3178</v>
      </c>
      <c r="AI254" s="391" t="s">
        <v>2144</v>
      </c>
      <c r="AJ254" s="391">
        <v>12</v>
      </c>
      <c r="AK254" s="390">
        <v>45047</v>
      </c>
      <c r="AL254" s="389">
        <v>100</v>
      </c>
      <c r="AM254" s="391" t="s">
        <v>548</v>
      </c>
      <c r="AN254" s="391" t="s">
        <v>549</v>
      </c>
      <c r="AO254" s="391" t="s">
        <v>3179</v>
      </c>
    </row>
    <row r="255" spans="1:43" ht="16" thickBot="1">
      <c r="A255" s="387" t="s">
        <v>1717</v>
      </c>
      <c r="B255" s="387" t="s">
        <v>3180</v>
      </c>
      <c r="C255" s="387" t="s">
        <v>3181</v>
      </c>
      <c r="D255" s="387" t="s">
        <v>3182</v>
      </c>
      <c r="E255" s="387">
        <v>28</v>
      </c>
      <c r="F255" s="387" t="s">
        <v>559</v>
      </c>
      <c r="G255" s="387">
        <v>28</v>
      </c>
      <c r="H255" s="387" t="s">
        <v>559</v>
      </c>
      <c r="I255" s="387" t="s">
        <v>560</v>
      </c>
      <c r="J255" s="387" t="s">
        <v>3183</v>
      </c>
      <c r="K255" s="387" t="s">
        <v>3184</v>
      </c>
      <c r="L255" s="387" t="s">
        <v>1886</v>
      </c>
      <c r="M255" s="387" t="s">
        <v>1887</v>
      </c>
      <c r="N255" s="388">
        <v>11.25</v>
      </c>
      <c r="O255" s="388">
        <v>14</v>
      </c>
      <c r="P255" s="387" t="s">
        <v>538</v>
      </c>
      <c r="Q255" s="387" t="s">
        <v>539</v>
      </c>
      <c r="R255" s="387" t="s">
        <v>3185</v>
      </c>
      <c r="S255" s="387" t="s">
        <v>171</v>
      </c>
      <c r="T255" s="387" t="s">
        <v>542</v>
      </c>
      <c r="U255" s="388">
        <v>62215</v>
      </c>
      <c r="V255" s="387">
        <v>6009691114816</v>
      </c>
      <c r="W255" s="387">
        <v>6009691114816</v>
      </c>
      <c r="X255" s="387" t="s">
        <v>543</v>
      </c>
      <c r="Y255" s="387">
        <v>16009691114813</v>
      </c>
      <c r="Z255" s="387" t="s">
        <v>543</v>
      </c>
      <c r="AA255" s="388" t="s">
        <v>543</v>
      </c>
      <c r="AB255" s="388" t="s">
        <v>543</v>
      </c>
      <c r="AC255" s="387">
        <v>707396</v>
      </c>
      <c r="AD255" s="389">
        <v>10</v>
      </c>
      <c r="AE255" s="390">
        <v>45047</v>
      </c>
      <c r="AF255" s="390">
        <v>46142</v>
      </c>
      <c r="AG255" s="391" t="s">
        <v>545</v>
      </c>
      <c r="AH255" s="391" t="s">
        <v>3186</v>
      </c>
      <c r="AI255" s="391" t="s">
        <v>1889</v>
      </c>
      <c r="AJ255" s="391">
        <v>0</v>
      </c>
      <c r="AK255" s="390">
        <v>45047</v>
      </c>
      <c r="AL255" s="389">
        <v>100</v>
      </c>
      <c r="AM255" s="391" t="s">
        <v>548</v>
      </c>
      <c r="AN255" s="391" t="s">
        <v>549</v>
      </c>
      <c r="AO255" s="391" t="s">
        <v>3187</v>
      </c>
    </row>
    <row r="256" spans="1:43" ht="16" thickBot="1">
      <c r="A256" s="387" t="s">
        <v>1717</v>
      </c>
      <c r="B256" s="387" t="s">
        <v>3188</v>
      </c>
      <c r="C256" s="387" t="s">
        <v>3189</v>
      </c>
      <c r="D256" s="387" t="s">
        <v>3190</v>
      </c>
      <c r="E256" s="387">
        <v>28</v>
      </c>
      <c r="F256" s="387" t="s">
        <v>559</v>
      </c>
      <c r="G256" s="387">
        <v>28</v>
      </c>
      <c r="H256" s="387" t="s">
        <v>559</v>
      </c>
      <c r="I256" s="387" t="s">
        <v>560</v>
      </c>
      <c r="J256" s="387" t="s">
        <v>3183</v>
      </c>
      <c r="K256" s="387" t="s">
        <v>3191</v>
      </c>
      <c r="L256" s="387" t="s">
        <v>1886</v>
      </c>
      <c r="M256" s="387" t="s">
        <v>1887</v>
      </c>
      <c r="N256" s="388">
        <v>7.88</v>
      </c>
      <c r="O256" s="388">
        <v>14</v>
      </c>
      <c r="P256" s="387" t="s">
        <v>538</v>
      </c>
      <c r="Q256" s="387" t="s">
        <v>539</v>
      </c>
      <c r="R256" s="387" t="s">
        <v>3185</v>
      </c>
      <c r="S256" s="387" t="s">
        <v>171</v>
      </c>
      <c r="T256" s="387" t="s">
        <v>542</v>
      </c>
      <c r="U256" s="388">
        <v>1219700</v>
      </c>
      <c r="V256" s="387">
        <v>6009691110962</v>
      </c>
      <c r="W256" s="387" t="s">
        <v>543</v>
      </c>
      <c r="X256" s="387" t="s">
        <v>543</v>
      </c>
      <c r="Y256" s="387">
        <v>16009691110969</v>
      </c>
      <c r="Z256" s="387" t="s">
        <v>543</v>
      </c>
      <c r="AA256" s="388" t="s">
        <v>543</v>
      </c>
      <c r="AB256" s="388" t="s">
        <v>543</v>
      </c>
      <c r="AC256" s="387">
        <v>707398001</v>
      </c>
      <c r="AD256" s="389">
        <v>10</v>
      </c>
      <c r="AE256" s="390">
        <v>45047</v>
      </c>
      <c r="AF256" s="390">
        <v>46142</v>
      </c>
      <c r="AG256" s="391" t="s">
        <v>545</v>
      </c>
      <c r="AH256" s="391" t="s">
        <v>3192</v>
      </c>
      <c r="AI256" s="391" t="s">
        <v>1889</v>
      </c>
      <c r="AJ256" s="391">
        <v>0</v>
      </c>
      <c r="AK256" s="390">
        <v>45047</v>
      </c>
      <c r="AL256" s="389">
        <v>30</v>
      </c>
      <c r="AM256" s="391" t="s">
        <v>548</v>
      </c>
      <c r="AN256" s="391" t="s">
        <v>549</v>
      </c>
      <c r="AO256" s="391" t="s">
        <v>3193</v>
      </c>
    </row>
    <row r="257" spans="1:41" ht="16" thickBot="1">
      <c r="A257" s="387" t="s">
        <v>1717</v>
      </c>
      <c r="B257" s="387" t="s">
        <v>3188</v>
      </c>
      <c r="C257" s="387" t="s">
        <v>3189</v>
      </c>
      <c r="D257" s="387" t="s">
        <v>3190</v>
      </c>
      <c r="E257" s="387">
        <v>28</v>
      </c>
      <c r="F257" s="387" t="s">
        <v>559</v>
      </c>
      <c r="G257" s="387">
        <v>28</v>
      </c>
      <c r="H257" s="387" t="s">
        <v>559</v>
      </c>
      <c r="I257" s="387" t="s">
        <v>560</v>
      </c>
      <c r="J257" s="387" t="s">
        <v>3183</v>
      </c>
      <c r="K257" s="387" t="s">
        <v>3194</v>
      </c>
      <c r="L257" s="387" t="s">
        <v>2141</v>
      </c>
      <c r="M257" s="387" t="s">
        <v>2142</v>
      </c>
      <c r="N257" s="388">
        <v>7.14</v>
      </c>
      <c r="O257" s="388">
        <v>14</v>
      </c>
      <c r="P257" s="387" t="s">
        <v>538</v>
      </c>
      <c r="Q257" s="387" t="s">
        <v>539</v>
      </c>
      <c r="R257" s="387" t="s">
        <v>3185</v>
      </c>
      <c r="S257" s="387" t="s">
        <v>171</v>
      </c>
      <c r="T257" s="387" t="s">
        <v>542</v>
      </c>
      <c r="U257" s="388">
        <v>2845966</v>
      </c>
      <c r="V257" s="387">
        <v>614143105722</v>
      </c>
      <c r="W257" s="387" t="s">
        <v>543</v>
      </c>
      <c r="X257" s="387" t="s">
        <v>543</v>
      </c>
      <c r="Y257" s="387">
        <v>6141431057221</v>
      </c>
      <c r="Z257" s="387" t="s">
        <v>543</v>
      </c>
      <c r="AA257" s="388" t="s">
        <v>543</v>
      </c>
      <c r="AB257" s="388" t="s">
        <v>543</v>
      </c>
      <c r="AC257" s="387">
        <v>3000328001</v>
      </c>
      <c r="AD257" s="389">
        <v>10</v>
      </c>
      <c r="AE257" s="390">
        <v>45047</v>
      </c>
      <c r="AF257" s="390">
        <v>46142</v>
      </c>
      <c r="AG257" s="391" t="s">
        <v>545</v>
      </c>
      <c r="AH257" s="391" t="s">
        <v>3192</v>
      </c>
      <c r="AI257" s="391" t="s">
        <v>2144</v>
      </c>
      <c r="AJ257" s="391">
        <v>0</v>
      </c>
      <c r="AK257" s="390">
        <v>45047</v>
      </c>
      <c r="AL257" s="389">
        <v>70</v>
      </c>
      <c r="AM257" s="391" t="s">
        <v>548</v>
      </c>
      <c r="AN257" s="391" t="s">
        <v>549</v>
      </c>
      <c r="AO257" s="391" t="s">
        <v>3193</v>
      </c>
    </row>
    <row r="258" spans="1:41" ht="16" thickBot="1">
      <c r="A258" s="387" t="s">
        <v>2177</v>
      </c>
      <c r="B258" s="387" t="s">
        <v>985</v>
      </c>
      <c r="C258" s="387" t="s">
        <v>3195</v>
      </c>
      <c r="D258" s="387" t="s">
        <v>3196</v>
      </c>
      <c r="E258" s="387">
        <v>500</v>
      </c>
      <c r="F258" s="387" t="s">
        <v>2180</v>
      </c>
      <c r="G258" s="387" t="s">
        <v>543</v>
      </c>
      <c r="H258" s="387" t="s">
        <v>2180</v>
      </c>
      <c r="I258" s="387" t="s">
        <v>2390</v>
      </c>
      <c r="J258" s="387" t="s">
        <v>3197</v>
      </c>
      <c r="K258" s="387" t="s">
        <v>3198</v>
      </c>
      <c r="L258" s="387" t="s">
        <v>1809</v>
      </c>
      <c r="M258" s="387" t="s">
        <v>1810</v>
      </c>
      <c r="N258" s="388">
        <v>23.97</v>
      </c>
      <c r="O258" s="388">
        <v>14</v>
      </c>
      <c r="P258" s="387" t="s">
        <v>611</v>
      </c>
      <c r="Q258" s="387" t="s">
        <v>160</v>
      </c>
      <c r="R258" s="387" t="s">
        <v>3199</v>
      </c>
      <c r="S258" s="387" t="s">
        <v>160</v>
      </c>
      <c r="T258" s="387" t="s">
        <v>160</v>
      </c>
      <c r="U258" s="388">
        <v>8146</v>
      </c>
      <c r="V258" s="387">
        <v>6006845002975</v>
      </c>
      <c r="W258" s="387" t="s">
        <v>543</v>
      </c>
      <c r="X258" s="387" t="s">
        <v>543</v>
      </c>
      <c r="Y258" s="387">
        <v>16006845002972</v>
      </c>
      <c r="Z258" s="387" t="s">
        <v>543</v>
      </c>
      <c r="AA258" s="388" t="s">
        <v>543</v>
      </c>
      <c r="AB258" s="388" t="s">
        <v>543</v>
      </c>
      <c r="AC258" s="387" t="s">
        <v>543</v>
      </c>
      <c r="AD258" s="389">
        <v>18</v>
      </c>
      <c r="AE258" s="390">
        <v>44013</v>
      </c>
      <c r="AF258" s="390">
        <v>45107</v>
      </c>
      <c r="AG258" s="390">
        <v>45107</v>
      </c>
      <c r="AH258" s="391" t="s">
        <v>3200</v>
      </c>
      <c r="AI258" s="391" t="s">
        <v>1813</v>
      </c>
      <c r="AJ258" s="391">
        <v>37</v>
      </c>
      <c r="AK258" s="390">
        <v>44409</v>
      </c>
      <c r="AL258" s="389">
        <v>100</v>
      </c>
      <c r="AM258" s="391" t="s">
        <v>548</v>
      </c>
      <c r="AN258" s="391" t="s">
        <v>545</v>
      </c>
      <c r="AO258" s="391" t="s">
        <v>3201</v>
      </c>
    </row>
    <row r="259" spans="1:41" ht="16" thickBot="1">
      <c r="A259" s="387" t="s">
        <v>1766</v>
      </c>
      <c r="B259" s="387" t="s">
        <v>2825</v>
      </c>
      <c r="C259" s="387" t="s">
        <v>3202</v>
      </c>
      <c r="D259" s="387" t="s">
        <v>3203</v>
      </c>
      <c r="E259" s="387">
        <v>60</v>
      </c>
      <c r="F259" s="387" t="s">
        <v>531</v>
      </c>
      <c r="G259" s="387">
        <v>60</v>
      </c>
      <c r="H259" s="387" t="s">
        <v>531</v>
      </c>
      <c r="I259" s="387" t="s">
        <v>744</v>
      </c>
      <c r="J259" s="387" t="s">
        <v>3204</v>
      </c>
      <c r="K259" s="387" t="s">
        <v>3205</v>
      </c>
      <c r="L259" s="387" t="s">
        <v>1771</v>
      </c>
      <c r="M259" s="387" t="s">
        <v>1772</v>
      </c>
      <c r="N259" s="388">
        <v>30.95</v>
      </c>
      <c r="O259" s="388">
        <v>14</v>
      </c>
      <c r="P259" s="387" t="s">
        <v>538</v>
      </c>
      <c r="Q259" s="387" t="s">
        <v>539</v>
      </c>
      <c r="R259" s="387" t="s">
        <v>3206</v>
      </c>
      <c r="S259" s="387" t="s">
        <v>171</v>
      </c>
      <c r="T259" s="387" t="s">
        <v>542</v>
      </c>
      <c r="U259" s="388">
        <v>642470</v>
      </c>
      <c r="V259" s="387" t="s">
        <v>543</v>
      </c>
      <c r="W259" s="387" t="s">
        <v>543</v>
      </c>
      <c r="X259" s="387" t="s">
        <v>543</v>
      </c>
      <c r="Y259" s="387" t="s">
        <v>543</v>
      </c>
      <c r="Z259" s="387" t="s">
        <v>543</v>
      </c>
      <c r="AA259" s="388" t="s">
        <v>543</v>
      </c>
      <c r="AB259" s="388" t="s">
        <v>543</v>
      </c>
      <c r="AC259" s="387" t="s">
        <v>543</v>
      </c>
      <c r="AD259" s="389">
        <v>96</v>
      </c>
      <c r="AE259" s="390">
        <v>44470</v>
      </c>
      <c r="AF259" s="390">
        <v>45199</v>
      </c>
      <c r="AG259" s="390">
        <v>45199</v>
      </c>
      <c r="AH259" s="391" t="s">
        <v>3207</v>
      </c>
      <c r="AI259" s="391" t="s">
        <v>1776</v>
      </c>
      <c r="AJ259" s="391">
        <v>23</v>
      </c>
      <c r="AK259" s="390">
        <v>45047</v>
      </c>
      <c r="AL259" s="389">
        <v>100</v>
      </c>
      <c r="AM259" s="391" t="s">
        <v>548</v>
      </c>
      <c r="AN259" s="391" t="s">
        <v>549</v>
      </c>
      <c r="AO259" s="391" t="s">
        <v>3208</v>
      </c>
    </row>
    <row r="260" spans="1:41" ht="16" thickBot="1">
      <c r="A260" s="387" t="s">
        <v>1766</v>
      </c>
      <c r="B260" s="387" t="s">
        <v>2830</v>
      </c>
      <c r="C260" s="387" t="s">
        <v>3209</v>
      </c>
      <c r="D260" s="387" t="s">
        <v>3210</v>
      </c>
      <c r="E260" s="387">
        <v>60</v>
      </c>
      <c r="F260" s="387" t="s">
        <v>531</v>
      </c>
      <c r="G260" s="387">
        <v>60</v>
      </c>
      <c r="H260" s="387" t="s">
        <v>531</v>
      </c>
      <c r="I260" s="387" t="s">
        <v>744</v>
      </c>
      <c r="J260" s="387" t="s">
        <v>3204</v>
      </c>
      <c r="K260" s="387" t="s">
        <v>3211</v>
      </c>
      <c r="L260" s="387" t="s">
        <v>1771</v>
      </c>
      <c r="M260" s="387" t="s">
        <v>1772</v>
      </c>
      <c r="N260" s="388">
        <v>51.8</v>
      </c>
      <c r="O260" s="388">
        <v>14</v>
      </c>
      <c r="P260" s="387" t="s">
        <v>538</v>
      </c>
      <c r="Q260" s="387" t="s">
        <v>539</v>
      </c>
      <c r="R260" s="387" t="s">
        <v>3206</v>
      </c>
      <c r="S260" s="387" t="s">
        <v>171</v>
      </c>
      <c r="T260" s="387" t="s">
        <v>542</v>
      </c>
      <c r="U260" s="388">
        <v>3412</v>
      </c>
      <c r="V260" s="387">
        <v>6006147003458</v>
      </c>
      <c r="W260" s="387" t="s">
        <v>543</v>
      </c>
      <c r="X260" s="387" t="s">
        <v>543</v>
      </c>
      <c r="Y260" s="387" t="s">
        <v>543</v>
      </c>
      <c r="Z260" s="387" t="s">
        <v>543</v>
      </c>
      <c r="AA260" s="388" t="s">
        <v>543</v>
      </c>
      <c r="AB260" s="388" t="s">
        <v>543</v>
      </c>
      <c r="AC260" s="387" t="s">
        <v>543</v>
      </c>
      <c r="AD260" s="389">
        <v>96</v>
      </c>
      <c r="AE260" s="390">
        <v>44470</v>
      </c>
      <c r="AF260" s="390">
        <v>45199</v>
      </c>
      <c r="AG260" s="390">
        <v>45199</v>
      </c>
      <c r="AH260" s="391" t="s">
        <v>3212</v>
      </c>
      <c r="AI260" s="391" t="s">
        <v>1776</v>
      </c>
      <c r="AJ260" s="391">
        <v>23</v>
      </c>
      <c r="AK260" s="390">
        <v>45047</v>
      </c>
      <c r="AL260" s="389">
        <v>100</v>
      </c>
      <c r="AM260" s="391" t="s">
        <v>548</v>
      </c>
      <c r="AN260" s="391" t="s">
        <v>549</v>
      </c>
      <c r="AO260" s="391" t="s">
        <v>3213</v>
      </c>
    </row>
    <row r="261" spans="1:41" ht="16" thickBot="1">
      <c r="A261" s="387" t="s">
        <v>1766</v>
      </c>
      <c r="B261" s="387" t="s">
        <v>3214</v>
      </c>
      <c r="C261" s="387" t="s">
        <v>3215</v>
      </c>
      <c r="D261" s="387" t="s">
        <v>3216</v>
      </c>
      <c r="E261" s="387">
        <v>14</v>
      </c>
      <c r="F261" s="387" t="s">
        <v>559</v>
      </c>
      <c r="G261" s="387">
        <v>14</v>
      </c>
      <c r="H261" s="387" t="s">
        <v>559</v>
      </c>
      <c r="I261" s="387" t="s">
        <v>560</v>
      </c>
      <c r="J261" s="387" t="s">
        <v>3204</v>
      </c>
      <c r="K261" s="387" t="s">
        <v>3217</v>
      </c>
      <c r="L261" s="387" t="s">
        <v>1886</v>
      </c>
      <c r="M261" s="387" t="s">
        <v>1887</v>
      </c>
      <c r="N261" s="388">
        <v>50.33</v>
      </c>
      <c r="O261" s="388">
        <v>14</v>
      </c>
      <c r="P261" s="387" t="s">
        <v>538</v>
      </c>
      <c r="Q261" s="387" t="s">
        <v>539</v>
      </c>
      <c r="R261" s="387" t="s">
        <v>3206</v>
      </c>
      <c r="S261" s="387" t="s">
        <v>171</v>
      </c>
      <c r="T261" s="387" t="s">
        <v>542</v>
      </c>
      <c r="U261" s="388">
        <v>29800</v>
      </c>
      <c r="V261" s="387">
        <v>6009691114052</v>
      </c>
      <c r="W261" s="387" t="s">
        <v>543</v>
      </c>
      <c r="X261" s="387" t="s">
        <v>543</v>
      </c>
      <c r="Y261" s="387">
        <v>16009691114059</v>
      </c>
      <c r="Z261" s="387" t="s">
        <v>543</v>
      </c>
      <c r="AA261" s="388" t="s">
        <v>543</v>
      </c>
      <c r="AB261" s="388" t="s">
        <v>543</v>
      </c>
      <c r="AC261" s="387" t="s">
        <v>543</v>
      </c>
      <c r="AD261" s="389">
        <v>10</v>
      </c>
      <c r="AE261" s="390">
        <v>44470</v>
      </c>
      <c r="AF261" s="390">
        <v>45199</v>
      </c>
      <c r="AG261" s="390">
        <v>45199</v>
      </c>
      <c r="AH261" s="391" t="s">
        <v>3218</v>
      </c>
      <c r="AI261" s="391" t="s">
        <v>1889</v>
      </c>
      <c r="AJ261" s="391">
        <v>14</v>
      </c>
      <c r="AK261" s="390">
        <v>45047</v>
      </c>
      <c r="AL261" s="389">
        <v>100</v>
      </c>
      <c r="AM261" s="391" t="s">
        <v>548</v>
      </c>
      <c r="AN261" s="391" t="s">
        <v>549</v>
      </c>
      <c r="AO261" s="391" t="s">
        <v>3219</v>
      </c>
    </row>
    <row r="262" spans="1:41" ht="16" thickBot="1">
      <c r="A262" s="387" t="s">
        <v>1766</v>
      </c>
      <c r="B262" s="387" t="s">
        <v>2641</v>
      </c>
      <c r="C262" s="387" t="s">
        <v>3220</v>
      </c>
      <c r="D262" s="387" t="s">
        <v>3221</v>
      </c>
      <c r="E262" s="387">
        <v>100</v>
      </c>
      <c r="F262" s="387" t="s">
        <v>584</v>
      </c>
      <c r="G262" s="387">
        <v>100</v>
      </c>
      <c r="H262" s="387" t="s">
        <v>584</v>
      </c>
      <c r="I262" s="387" t="s">
        <v>585</v>
      </c>
      <c r="J262" s="387" t="s">
        <v>3222</v>
      </c>
      <c r="K262" s="387" t="s">
        <v>3223</v>
      </c>
      <c r="L262" s="387" t="s">
        <v>1916</v>
      </c>
      <c r="M262" s="387" t="s">
        <v>1917</v>
      </c>
      <c r="N262" s="388">
        <v>321.63</v>
      </c>
      <c r="O262" s="388">
        <v>14</v>
      </c>
      <c r="P262" s="387" t="s">
        <v>538</v>
      </c>
      <c r="Q262" s="387" t="s">
        <v>539</v>
      </c>
      <c r="R262" s="387" t="s">
        <v>3224</v>
      </c>
      <c r="S262" s="387" t="s">
        <v>171</v>
      </c>
      <c r="T262" s="387" t="s">
        <v>757</v>
      </c>
      <c r="U262" s="388">
        <v>4220</v>
      </c>
      <c r="V262" s="387">
        <v>6005561000098</v>
      </c>
      <c r="W262" s="387">
        <v>6005561000098</v>
      </c>
      <c r="X262" s="387" t="s">
        <v>543</v>
      </c>
      <c r="Y262" s="387" t="s">
        <v>543</v>
      </c>
      <c r="Z262" s="387" t="s">
        <v>543</v>
      </c>
      <c r="AA262" s="388" t="s">
        <v>543</v>
      </c>
      <c r="AB262" s="388" t="s">
        <v>543</v>
      </c>
      <c r="AC262" s="387">
        <v>717347028</v>
      </c>
      <c r="AD262" s="389">
        <v>1</v>
      </c>
      <c r="AE262" s="390">
        <v>44470</v>
      </c>
      <c r="AF262" s="390">
        <v>45199</v>
      </c>
      <c r="AG262" s="391" t="s">
        <v>545</v>
      </c>
      <c r="AH262" s="391" t="s">
        <v>3225</v>
      </c>
      <c r="AI262" s="391" t="s">
        <v>1920</v>
      </c>
      <c r="AJ262" s="391">
        <v>0</v>
      </c>
      <c r="AK262" s="390">
        <v>44470</v>
      </c>
      <c r="AL262" s="389">
        <v>100</v>
      </c>
      <c r="AM262" s="391" t="s">
        <v>548</v>
      </c>
      <c r="AN262" s="391" t="s">
        <v>549</v>
      </c>
      <c r="AO262" s="391" t="s">
        <v>3226</v>
      </c>
    </row>
    <row r="263" spans="1:41" ht="16" thickBot="1">
      <c r="A263" s="387" t="s">
        <v>1766</v>
      </c>
      <c r="B263" s="387" t="s">
        <v>2837</v>
      </c>
      <c r="C263" s="387" t="s">
        <v>3227</v>
      </c>
      <c r="D263" s="387" t="s">
        <v>3228</v>
      </c>
      <c r="E263" s="387">
        <v>20</v>
      </c>
      <c r="F263" s="387" t="s">
        <v>584</v>
      </c>
      <c r="G263" s="387">
        <v>20</v>
      </c>
      <c r="H263" s="387" t="s">
        <v>584</v>
      </c>
      <c r="I263" s="387" t="s">
        <v>585</v>
      </c>
      <c r="J263" s="387" t="s">
        <v>3222</v>
      </c>
      <c r="K263" s="387" t="s">
        <v>3223</v>
      </c>
      <c r="L263" s="387" t="s">
        <v>1916</v>
      </c>
      <c r="M263" s="387" t="s">
        <v>1917</v>
      </c>
      <c r="N263" s="388">
        <v>44.49</v>
      </c>
      <c r="O263" s="388">
        <v>14</v>
      </c>
      <c r="P263" s="387" t="s">
        <v>538</v>
      </c>
      <c r="Q263" s="387" t="s">
        <v>539</v>
      </c>
      <c r="R263" s="387" t="s">
        <v>3224</v>
      </c>
      <c r="S263" s="387" t="s">
        <v>171</v>
      </c>
      <c r="T263" s="387" t="s">
        <v>757</v>
      </c>
      <c r="U263" s="388">
        <v>74740</v>
      </c>
      <c r="V263" s="387">
        <v>6005561000074</v>
      </c>
      <c r="W263" s="387">
        <v>6005561000074</v>
      </c>
      <c r="X263" s="387" t="s">
        <v>543</v>
      </c>
      <c r="Y263" s="387" t="s">
        <v>543</v>
      </c>
      <c r="Z263" s="387" t="s">
        <v>543</v>
      </c>
      <c r="AA263" s="388" t="s">
        <v>543</v>
      </c>
      <c r="AB263" s="388" t="s">
        <v>543</v>
      </c>
      <c r="AC263" s="387">
        <v>717347117</v>
      </c>
      <c r="AD263" s="389">
        <v>1</v>
      </c>
      <c r="AE263" s="390">
        <v>44470</v>
      </c>
      <c r="AF263" s="390">
        <v>45199</v>
      </c>
      <c r="AG263" s="391" t="s">
        <v>545</v>
      </c>
      <c r="AH263" s="391" t="s">
        <v>3229</v>
      </c>
      <c r="AI263" s="391" t="s">
        <v>1920</v>
      </c>
      <c r="AJ263" s="391">
        <v>0</v>
      </c>
      <c r="AK263" s="390">
        <v>44470</v>
      </c>
      <c r="AL263" s="389">
        <v>100</v>
      </c>
      <c r="AM263" s="391" t="s">
        <v>548</v>
      </c>
      <c r="AN263" s="391" t="s">
        <v>549</v>
      </c>
      <c r="AO263" s="391" t="s">
        <v>3226</v>
      </c>
    </row>
    <row r="264" spans="1:41" ht="16" thickBot="1">
      <c r="A264" s="387" t="s">
        <v>1766</v>
      </c>
      <c r="B264" s="387" t="s">
        <v>2866</v>
      </c>
      <c r="C264" s="387" t="s">
        <v>3230</v>
      </c>
      <c r="D264" s="387" t="s">
        <v>3231</v>
      </c>
      <c r="E264" s="387">
        <v>4</v>
      </c>
      <c r="F264" s="387" t="s">
        <v>531</v>
      </c>
      <c r="G264" s="387">
        <v>4</v>
      </c>
      <c r="H264" s="387" t="s">
        <v>531</v>
      </c>
      <c r="I264" s="387" t="s">
        <v>1751</v>
      </c>
      <c r="J264" s="387" t="s">
        <v>3222</v>
      </c>
      <c r="K264" s="387" t="s">
        <v>3232</v>
      </c>
      <c r="L264" s="387" t="s">
        <v>2312</v>
      </c>
      <c r="M264" s="387" t="s">
        <v>2313</v>
      </c>
      <c r="N264" s="388">
        <v>13.81</v>
      </c>
      <c r="O264" s="388">
        <v>14</v>
      </c>
      <c r="P264" s="387" t="s">
        <v>538</v>
      </c>
      <c r="Q264" s="387" t="s">
        <v>539</v>
      </c>
      <c r="R264" s="387" t="s">
        <v>3224</v>
      </c>
      <c r="S264" s="387" t="s">
        <v>171</v>
      </c>
      <c r="T264" s="387" t="s">
        <v>757</v>
      </c>
      <c r="U264" s="388">
        <v>208500</v>
      </c>
      <c r="V264" s="387">
        <v>6005436004657</v>
      </c>
      <c r="W264" s="387">
        <v>6005436004657</v>
      </c>
      <c r="X264" s="387" t="s">
        <v>543</v>
      </c>
      <c r="Y264" s="387">
        <v>16009802416096</v>
      </c>
      <c r="Z264" s="387" t="s">
        <v>543</v>
      </c>
      <c r="AA264" s="388" t="s">
        <v>543</v>
      </c>
      <c r="AB264" s="388" t="s">
        <v>543</v>
      </c>
      <c r="AC264" s="387">
        <v>703672002</v>
      </c>
      <c r="AD264" s="389">
        <v>150</v>
      </c>
      <c r="AE264" s="390">
        <v>44470</v>
      </c>
      <c r="AF264" s="390">
        <v>45199</v>
      </c>
      <c r="AG264" s="390">
        <v>45199</v>
      </c>
      <c r="AH264" s="391" t="s">
        <v>3233</v>
      </c>
      <c r="AI264" s="391" t="s">
        <v>2314</v>
      </c>
      <c r="AJ264" s="391">
        <v>22</v>
      </c>
      <c r="AK264" s="390">
        <v>45047</v>
      </c>
      <c r="AL264" s="389">
        <v>100</v>
      </c>
      <c r="AM264" s="391" t="s">
        <v>548</v>
      </c>
      <c r="AN264" s="391" t="s">
        <v>549</v>
      </c>
      <c r="AO264" s="391" t="s">
        <v>3234</v>
      </c>
    </row>
    <row r="265" spans="1:41" ht="16" thickBot="1">
      <c r="A265" s="387" t="s">
        <v>3235</v>
      </c>
      <c r="B265" s="387" t="s">
        <v>615</v>
      </c>
      <c r="C265" s="387" t="s">
        <v>3236</v>
      </c>
      <c r="D265" s="387" t="s">
        <v>3237</v>
      </c>
      <c r="E265" s="387">
        <v>1</v>
      </c>
      <c r="F265" s="387" t="s">
        <v>3238</v>
      </c>
      <c r="G265" s="387">
        <v>1</v>
      </c>
      <c r="H265" s="387" t="s">
        <v>3238</v>
      </c>
      <c r="I265" s="387" t="s">
        <v>3239</v>
      </c>
      <c r="J265" s="387" t="s">
        <v>3240</v>
      </c>
      <c r="K265" s="387" t="s">
        <v>3241</v>
      </c>
      <c r="L265" s="387" t="s">
        <v>3242</v>
      </c>
      <c r="M265" s="387" t="s">
        <v>3243</v>
      </c>
      <c r="N265" s="388">
        <v>1130.95</v>
      </c>
      <c r="O265" s="388">
        <v>3</v>
      </c>
      <c r="P265" s="387" t="s">
        <v>379</v>
      </c>
      <c r="Q265" s="387" t="s">
        <v>160</v>
      </c>
      <c r="R265" s="387" t="s">
        <v>1745</v>
      </c>
      <c r="S265" s="387" t="s">
        <v>160</v>
      </c>
      <c r="T265" s="387" t="s">
        <v>160</v>
      </c>
      <c r="U265" s="388">
        <v>1600</v>
      </c>
      <c r="V265" s="387">
        <v>6452820000533</v>
      </c>
      <c r="W265" s="387">
        <v>6452820000533</v>
      </c>
      <c r="X265" s="387" t="s">
        <v>543</v>
      </c>
      <c r="Y265" s="387">
        <v>6452820000533</v>
      </c>
      <c r="Z265" s="387" t="s">
        <v>543</v>
      </c>
      <c r="AA265" s="388" t="s">
        <v>543</v>
      </c>
      <c r="AB265" s="388" t="s">
        <v>543</v>
      </c>
      <c r="AC265" s="387" t="s">
        <v>3244</v>
      </c>
      <c r="AD265" s="389" t="s">
        <v>3245</v>
      </c>
      <c r="AE265" s="390">
        <v>44105</v>
      </c>
      <c r="AF265" s="390">
        <v>45199</v>
      </c>
      <c r="AG265" s="390">
        <v>45199</v>
      </c>
      <c r="AH265" s="391" t="s">
        <v>3246</v>
      </c>
      <c r="AI265" s="391" t="s">
        <v>3247</v>
      </c>
      <c r="AJ265" s="391">
        <v>8</v>
      </c>
      <c r="AK265" s="390">
        <v>44501</v>
      </c>
      <c r="AL265" s="389">
        <v>100</v>
      </c>
      <c r="AM265" s="391" t="s">
        <v>548</v>
      </c>
      <c r="AN265" s="391" t="s">
        <v>545</v>
      </c>
      <c r="AO265" s="391" t="s">
        <v>3248</v>
      </c>
    </row>
    <row r="266" spans="1:41" ht="16" thickBot="1">
      <c r="A266" s="387" t="s">
        <v>2177</v>
      </c>
      <c r="B266" s="387" t="s">
        <v>994</v>
      </c>
      <c r="C266" s="387" t="s">
        <v>3249</v>
      </c>
      <c r="D266" s="387" t="s">
        <v>3250</v>
      </c>
      <c r="E266" s="387">
        <v>25</v>
      </c>
      <c r="F266" s="387" t="s">
        <v>2180</v>
      </c>
      <c r="G266" s="387">
        <v>25</v>
      </c>
      <c r="H266" s="387" t="s">
        <v>2180</v>
      </c>
      <c r="I266" s="387" t="s">
        <v>2181</v>
      </c>
      <c r="J266" s="387" t="s">
        <v>3251</v>
      </c>
      <c r="K266" s="387" t="s">
        <v>3252</v>
      </c>
      <c r="L266" s="387" t="s">
        <v>535</v>
      </c>
      <c r="M266" s="387" t="s">
        <v>536</v>
      </c>
      <c r="N266" s="388">
        <v>27.03</v>
      </c>
      <c r="O266" s="388">
        <v>14</v>
      </c>
      <c r="P266" s="387" t="s">
        <v>538</v>
      </c>
      <c r="Q266" s="387" t="s">
        <v>539</v>
      </c>
      <c r="R266" s="387" t="s">
        <v>3253</v>
      </c>
      <c r="S266" s="387" t="s">
        <v>171</v>
      </c>
      <c r="T266" s="387" t="s">
        <v>1908</v>
      </c>
      <c r="U266" s="388">
        <v>411998</v>
      </c>
      <c r="V266" s="387">
        <v>600139096023</v>
      </c>
      <c r="W266" s="387" t="s">
        <v>543</v>
      </c>
      <c r="X266" s="387" t="s">
        <v>543</v>
      </c>
      <c r="Y266" s="387">
        <v>26001390978298</v>
      </c>
      <c r="Z266" s="387" t="s">
        <v>543</v>
      </c>
      <c r="AA266" s="388" t="s">
        <v>543</v>
      </c>
      <c r="AB266" s="388" t="s">
        <v>543</v>
      </c>
      <c r="AC266" s="387" t="s">
        <v>543</v>
      </c>
      <c r="AD266" s="389">
        <v>36</v>
      </c>
      <c r="AE266" s="390">
        <v>44013</v>
      </c>
      <c r="AF266" s="390">
        <v>45107</v>
      </c>
      <c r="AG266" s="390">
        <v>45107</v>
      </c>
      <c r="AH266" s="391" t="s">
        <v>3254</v>
      </c>
      <c r="AI266" s="391" t="s">
        <v>547</v>
      </c>
      <c r="AJ266" s="391">
        <v>57</v>
      </c>
      <c r="AK266" s="390">
        <v>45047</v>
      </c>
      <c r="AL266" s="389">
        <v>100</v>
      </c>
      <c r="AM266" s="391" t="s">
        <v>548</v>
      </c>
      <c r="AN266" s="391" t="s">
        <v>545</v>
      </c>
      <c r="AO266" s="391" t="s">
        <v>3255</v>
      </c>
    </row>
    <row r="267" spans="1:41" ht="16" thickBot="1">
      <c r="A267" s="387" t="s">
        <v>2177</v>
      </c>
      <c r="B267" s="387" t="s">
        <v>1004</v>
      </c>
      <c r="C267" s="387" t="s">
        <v>3256</v>
      </c>
      <c r="D267" s="387" t="s">
        <v>3257</v>
      </c>
      <c r="E267" s="387">
        <v>25</v>
      </c>
      <c r="F267" s="387" t="s">
        <v>2180</v>
      </c>
      <c r="G267" s="387">
        <v>25</v>
      </c>
      <c r="H267" s="387" t="s">
        <v>2180</v>
      </c>
      <c r="I267" s="387" t="s">
        <v>2720</v>
      </c>
      <c r="J267" s="387" t="s">
        <v>3251</v>
      </c>
      <c r="K267" s="387" t="s">
        <v>3258</v>
      </c>
      <c r="L267" s="387" t="s">
        <v>535</v>
      </c>
      <c r="M267" s="387" t="s">
        <v>536</v>
      </c>
      <c r="N267" s="388">
        <v>28.07</v>
      </c>
      <c r="O267" s="388">
        <v>14</v>
      </c>
      <c r="P267" s="387" t="s">
        <v>538</v>
      </c>
      <c r="Q267" s="387" t="s">
        <v>539</v>
      </c>
      <c r="R267" s="387" t="s">
        <v>3253</v>
      </c>
      <c r="S267" s="387" t="s">
        <v>171</v>
      </c>
      <c r="T267" s="387" t="s">
        <v>1908</v>
      </c>
      <c r="U267" s="388">
        <v>659855</v>
      </c>
      <c r="V267" s="387">
        <v>6001390960190</v>
      </c>
      <c r="W267" s="387" t="s">
        <v>543</v>
      </c>
      <c r="X267" s="387" t="s">
        <v>543</v>
      </c>
      <c r="Y267" s="387">
        <v>26001390978359</v>
      </c>
      <c r="Z267" s="387" t="s">
        <v>543</v>
      </c>
      <c r="AA267" s="388" t="s">
        <v>543</v>
      </c>
      <c r="AB267" s="388" t="s">
        <v>543</v>
      </c>
      <c r="AC267" s="387" t="s">
        <v>543</v>
      </c>
      <c r="AD267" s="389">
        <v>36</v>
      </c>
      <c r="AE267" s="390">
        <v>44013</v>
      </c>
      <c r="AF267" s="390">
        <v>45107</v>
      </c>
      <c r="AG267" s="390">
        <v>45107</v>
      </c>
      <c r="AH267" s="391" t="s">
        <v>3259</v>
      </c>
      <c r="AI267" s="391" t="s">
        <v>547</v>
      </c>
      <c r="AJ267" s="391">
        <v>57</v>
      </c>
      <c r="AK267" s="390">
        <v>45047</v>
      </c>
      <c r="AL267" s="389">
        <v>100</v>
      </c>
      <c r="AM267" s="391" t="s">
        <v>548</v>
      </c>
      <c r="AN267" s="391" t="s">
        <v>545</v>
      </c>
      <c r="AO267" s="391" t="s">
        <v>3260</v>
      </c>
    </row>
    <row r="268" spans="1:41" ht="16" thickBot="1">
      <c r="A268" s="387" t="s">
        <v>1703</v>
      </c>
      <c r="B268" s="387" t="s">
        <v>1018</v>
      </c>
      <c r="C268" s="387" t="s">
        <v>3261</v>
      </c>
      <c r="D268" s="387" t="s">
        <v>3262</v>
      </c>
      <c r="E268" s="387">
        <v>100</v>
      </c>
      <c r="F268" s="387" t="s">
        <v>559</v>
      </c>
      <c r="G268" s="387">
        <v>100</v>
      </c>
      <c r="H268" s="387" t="s">
        <v>559</v>
      </c>
      <c r="I268" s="387" t="s">
        <v>560</v>
      </c>
      <c r="J268" s="387" t="s">
        <v>3263</v>
      </c>
      <c r="K268" s="387" t="s">
        <v>3264</v>
      </c>
      <c r="L268" s="387" t="s">
        <v>1945</v>
      </c>
      <c r="M268" s="387" t="s">
        <v>1946</v>
      </c>
      <c r="N268" s="388">
        <v>948.75</v>
      </c>
      <c r="O268" s="388">
        <v>14</v>
      </c>
      <c r="P268" s="387" t="s">
        <v>611</v>
      </c>
      <c r="Q268" s="387" t="s">
        <v>3265</v>
      </c>
      <c r="R268" s="387" t="s">
        <v>3266</v>
      </c>
      <c r="S268" s="387" t="s">
        <v>614</v>
      </c>
      <c r="T268" s="387" t="s">
        <v>160</v>
      </c>
      <c r="U268" s="388">
        <v>70940</v>
      </c>
      <c r="V268" s="387" t="s">
        <v>543</v>
      </c>
      <c r="W268" s="387" t="s">
        <v>543</v>
      </c>
      <c r="X268" s="387" t="s">
        <v>543</v>
      </c>
      <c r="Y268" s="387" t="s">
        <v>543</v>
      </c>
      <c r="Z268" s="387" t="s">
        <v>543</v>
      </c>
      <c r="AA268" s="388" t="s">
        <v>543</v>
      </c>
      <c r="AB268" s="388" t="s">
        <v>543</v>
      </c>
      <c r="AC268" s="387" t="s">
        <v>543</v>
      </c>
      <c r="AD268" s="389">
        <v>1</v>
      </c>
      <c r="AE268" s="390">
        <v>44470</v>
      </c>
      <c r="AF268" s="390">
        <v>45199</v>
      </c>
      <c r="AG268" s="391" t="s">
        <v>545</v>
      </c>
      <c r="AH268" s="391" t="s">
        <v>3267</v>
      </c>
      <c r="AI268" s="391" t="s">
        <v>1949</v>
      </c>
      <c r="AJ268" s="391">
        <v>0</v>
      </c>
      <c r="AK268" s="390">
        <v>44470</v>
      </c>
      <c r="AL268" s="389">
        <v>100</v>
      </c>
      <c r="AM268" s="391" t="s">
        <v>548</v>
      </c>
      <c r="AN268" s="391" t="s">
        <v>549</v>
      </c>
      <c r="AO268" s="391" t="s">
        <v>3268</v>
      </c>
    </row>
    <row r="269" spans="1:41" ht="16" thickBot="1">
      <c r="A269" s="387" t="s">
        <v>3235</v>
      </c>
      <c r="B269" s="387" t="s">
        <v>1018</v>
      </c>
      <c r="C269" s="387" t="s">
        <v>3269</v>
      </c>
      <c r="D269" s="387" t="s">
        <v>3270</v>
      </c>
      <c r="E269" s="387">
        <v>10</v>
      </c>
      <c r="F269" s="387" t="s">
        <v>559</v>
      </c>
      <c r="G269" s="387">
        <v>10</v>
      </c>
      <c r="H269" s="387" t="s">
        <v>559</v>
      </c>
      <c r="I269" s="387" t="s">
        <v>560</v>
      </c>
      <c r="J269" s="387" t="s">
        <v>3271</v>
      </c>
      <c r="K269" s="387" t="s">
        <v>3272</v>
      </c>
      <c r="L269" s="387" t="s">
        <v>675</v>
      </c>
      <c r="M269" s="387" t="s">
        <v>676</v>
      </c>
      <c r="N269" s="388">
        <v>49.49</v>
      </c>
      <c r="O269" s="388">
        <v>14</v>
      </c>
      <c r="P269" s="387" t="s">
        <v>538</v>
      </c>
      <c r="Q269" s="387" t="s">
        <v>539</v>
      </c>
      <c r="R269" s="387" t="s">
        <v>3273</v>
      </c>
      <c r="S269" s="387" t="s">
        <v>614</v>
      </c>
      <c r="T269" s="387" t="s">
        <v>757</v>
      </c>
      <c r="U269" s="388">
        <v>4184</v>
      </c>
      <c r="V269" s="387">
        <v>6006352001201</v>
      </c>
      <c r="W269" s="387">
        <v>6006352001218</v>
      </c>
      <c r="X269" s="387" t="s">
        <v>543</v>
      </c>
      <c r="Y269" s="387">
        <v>6006352017042</v>
      </c>
      <c r="Z269" s="387" t="s">
        <v>543</v>
      </c>
      <c r="AA269" s="388" t="s">
        <v>543</v>
      </c>
      <c r="AB269" s="388" t="s">
        <v>543</v>
      </c>
      <c r="AC269" s="387">
        <v>840270003</v>
      </c>
      <c r="AD269" s="389" t="s">
        <v>3274</v>
      </c>
      <c r="AE269" s="390">
        <v>44105</v>
      </c>
      <c r="AF269" s="390">
        <v>45199</v>
      </c>
      <c r="AG269" s="390">
        <v>45199</v>
      </c>
      <c r="AH269" s="391" t="s">
        <v>3275</v>
      </c>
      <c r="AI269" s="391" t="s">
        <v>679</v>
      </c>
      <c r="AJ269" s="391">
        <v>14</v>
      </c>
      <c r="AK269" s="390">
        <v>45047</v>
      </c>
      <c r="AL269" s="389">
        <v>100</v>
      </c>
      <c r="AM269" s="391" t="s">
        <v>548</v>
      </c>
      <c r="AN269" s="391" t="s">
        <v>545</v>
      </c>
      <c r="AO269" s="391" t="s">
        <v>3276</v>
      </c>
    </row>
    <row r="270" spans="1:41" ht="16" thickBot="1">
      <c r="A270" s="387" t="s">
        <v>1717</v>
      </c>
      <c r="B270" s="387" t="s">
        <v>3277</v>
      </c>
      <c r="C270" s="387" t="s">
        <v>3278</v>
      </c>
      <c r="D270" s="387" t="s">
        <v>3279</v>
      </c>
      <c r="E270" s="387">
        <v>50</v>
      </c>
      <c r="F270" s="387" t="s">
        <v>559</v>
      </c>
      <c r="G270" s="387">
        <v>50</v>
      </c>
      <c r="H270" s="387" t="s">
        <v>559</v>
      </c>
      <c r="I270" s="387" t="s">
        <v>560</v>
      </c>
      <c r="J270" s="387" t="s">
        <v>3280</v>
      </c>
      <c r="K270" s="387" t="s">
        <v>3281</v>
      </c>
      <c r="L270" s="387" t="s">
        <v>1711</v>
      </c>
      <c r="M270" s="387" t="s">
        <v>1712</v>
      </c>
      <c r="N270" s="388">
        <v>103.9</v>
      </c>
      <c r="O270" s="388">
        <v>14</v>
      </c>
      <c r="P270" s="387" t="s">
        <v>538</v>
      </c>
      <c r="Q270" s="387" t="s">
        <v>539</v>
      </c>
      <c r="R270" s="387" t="s">
        <v>3282</v>
      </c>
      <c r="S270" s="387" t="s">
        <v>171</v>
      </c>
      <c r="T270" s="387" t="s">
        <v>757</v>
      </c>
      <c r="U270" s="388">
        <v>37934</v>
      </c>
      <c r="V270" s="387" t="s">
        <v>543</v>
      </c>
      <c r="W270" s="387" t="s">
        <v>543</v>
      </c>
      <c r="X270" s="387" t="s">
        <v>543</v>
      </c>
      <c r="Y270" s="387" t="s">
        <v>543</v>
      </c>
      <c r="Z270" s="387" t="s">
        <v>543</v>
      </c>
      <c r="AA270" s="388" t="s">
        <v>543</v>
      </c>
      <c r="AB270" s="388" t="s">
        <v>543</v>
      </c>
      <c r="AC270" s="387">
        <v>703427009</v>
      </c>
      <c r="AD270" s="389">
        <v>10</v>
      </c>
      <c r="AE270" s="390">
        <v>45047</v>
      </c>
      <c r="AF270" s="390">
        <v>46142</v>
      </c>
      <c r="AG270" s="391" t="s">
        <v>545</v>
      </c>
      <c r="AH270" s="391" t="s">
        <v>3283</v>
      </c>
      <c r="AI270" s="391" t="s">
        <v>1715</v>
      </c>
      <c r="AJ270" s="391">
        <v>0</v>
      </c>
      <c r="AK270" s="390">
        <v>45047</v>
      </c>
      <c r="AL270" s="389">
        <v>100</v>
      </c>
      <c r="AM270" s="391" t="s">
        <v>548</v>
      </c>
      <c r="AN270" s="391" t="s">
        <v>549</v>
      </c>
      <c r="AO270" s="391" t="s">
        <v>3284</v>
      </c>
    </row>
    <row r="271" spans="1:41" ht="16" thickBot="1">
      <c r="A271" s="387" t="s">
        <v>1717</v>
      </c>
      <c r="B271" s="387" t="s">
        <v>3285</v>
      </c>
      <c r="C271" s="387" t="s">
        <v>3286</v>
      </c>
      <c r="D271" s="387" t="s">
        <v>3287</v>
      </c>
      <c r="E271" s="387">
        <v>84</v>
      </c>
      <c r="F271" s="387" t="s">
        <v>559</v>
      </c>
      <c r="G271" s="387">
        <v>84</v>
      </c>
      <c r="H271" s="387" t="s">
        <v>559</v>
      </c>
      <c r="I271" s="387" t="s">
        <v>560</v>
      </c>
      <c r="J271" s="387" t="s">
        <v>3288</v>
      </c>
      <c r="K271" s="387" t="s">
        <v>3289</v>
      </c>
      <c r="L271" s="387" t="s">
        <v>3290</v>
      </c>
      <c r="M271" s="387" t="s">
        <v>3291</v>
      </c>
      <c r="N271" s="388">
        <v>36.799999999999997</v>
      </c>
      <c r="O271" s="388">
        <v>14</v>
      </c>
      <c r="P271" s="387" t="s">
        <v>538</v>
      </c>
      <c r="Q271" s="387" t="s">
        <v>539</v>
      </c>
      <c r="R271" s="387" t="s">
        <v>3292</v>
      </c>
      <c r="S271" s="387" t="s">
        <v>171</v>
      </c>
      <c r="T271" s="387" t="s">
        <v>757</v>
      </c>
      <c r="U271" s="388">
        <v>277101</v>
      </c>
      <c r="V271" s="387">
        <v>6009694782814</v>
      </c>
      <c r="W271" s="387" t="s">
        <v>543</v>
      </c>
      <c r="X271" s="387" t="s">
        <v>543</v>
      </c>
      <c r="Y271" s="387">
        <v>16009694782811</v>
      </c>
      <c r="Z271" s="387" t="s">
        <v>543</v>
      </c>
      <c r="AA271" s="388" t="s">
        <v>543</v>
      </c>
      <c r="AB271" s="388" t="s">
        <v>543</v>
      </c>
      <c r="AC271" s="387">
        <v>721545001</v>
      </c>
      <c r="AD271" s="389">
        <v>10</v>
      </c>
      <c r="AE271" s="390">
        <v>45047</v>
      </c>
      <c r="AF271" s="390">
        <v>46142</v>
      </c>
      <c r="AG271" s="391" t="s">
        <v>545</v>
      </c>
      <c r="AH271" s="391" t="s">
        <v>3293</v>
      </c>
      <c r="AI271" s="391" t="s">
        <v>3294</v>
      </c>
      <c r="AJ271" s="391">
        <v>0</v>
      </c>
      <c r="AK271" s="390">
        <v>45047</v>
      </c>
      <c r="AL271" s="389">
        <v>100</v>
      </c>
      <c r="AM271" s="391" t="s">
        <v>548</v>
      </c>
      <c r="AN271" s="391" t="s">
        <v>549</v>
      </c>
      <c r="AO271" s="391" t="s">
        <v>3295</v>
      </c>
    </row>
    <row r="272" spans="1:41" ht="16" thickBot="1">
      <c r="A272" s="387" t="s">
        <v>1717</v>
      </c>
      <c r="B272" s="387" t="s">
        <v>3296</v>
      </c>
      <c r="C272" s="387" t="s">
        <v>3297</v>
      </c>
      <c r="D272" s="387" t="s">
        <v>3298</v>
      </c>
      <c r="E272" s="387">
        <v>84</v>
      </c>
      <c r="F272" s="387" t="s">
        <v>559</v>
      </c>
      <c r="G272" s="387">
        <v>84</v>
      </c>
      <c r="H272" s="387" t="s">
        <v>559</v>
      </c>
      <c r="I272" s="387" t="s">
        <v>560</v>
      </c>
      <c r="J272" s="387" t="s">
        <v>3288</v>
      </c>
      <c r="K272" s="387" t="s">
        <v>3299</v>
      </c>
      <c r="L272" s="387" t="s">
        <v>3290</v>
      </c>
      <c r="M272" s="387" t="s">
        <v>3291</v>
      </c>
      <c r="N272" s="388">
        <v>86.25</v>
      </c>
      <c r="O272" s="388">
        <v>14</v>
      </c>
      <c r="P272" s="387" t="s">
        <v>538</v>
      </c>
      <c r="Q272" s="387" t="s">
        <v>539</v>
      </c>
      <c r="R272" s="387" t="s">
        <v>3292</v>
      </c>
      <c r="S272" s="387" t="s">
        <v>171</v>
      </c>
      <c r="T272" s="387" t="s">
        <v>757</v>
      </c>
      <c r="U272" s="388">
        <v>159302</v>
      </c>
      <c r="V272" s="387">
        <v>6009694782821</v>
      </c>
      <c r="W272" s="387" t="s">
        <v>543</v>
      </c>
      <c r="X272" s="387" t="s">
        <v>543</v>
      </c>
      <c r="Y272" s="387">
        <v>16009694782828</v>
      </c>
      <c r="Z272" s="387" t="s">
        <v>543</v>
      </c>
      <c r="AA272" s="388" t="s">
        <v>543</v>
      </c>
      <c r="AB272" s="388" t="s">
        <v>543</v>
      </c>
      <c r="AC272" s="387">
        <v>721546001</v>
      </c>
      <c r="AD272" s="389">
        <v>10</v>
      </c>
      <c r="AE272" s="390">
        <v>45047</v>
      </c>
      <c r="AF272" s="390">
        <v>46142</v>
      </c>
      <c r="AG272" s="391" t="s">
        <v>545</v>
      </c>
      <c r="AH272" s="391" t="s">
        <v>3300</v>
      </c>
      <c r="AI272" s="391" t="s">
        <v>3294</v>
      </c>
      <c r="AJ272" s="391">
        <v>0</v>
      </c>
      <c r="AK272" s="390">
        <v>45047</v>
      </c>
      <c r="AL272" s="389">
        <v>100</v>
      </c>
      <c r="AM272" s="391" t="s">
        <v>548</v>
      </c>
      <c r="AN272" s="391" t="s">
        <v>549</v>
      </c>
      <c r="AO272" s="391" t="s">
        <v>3301</v>
      </c>
    </row>
    <row r="273" spans="1:43" ht="16" thickBot="1">
      <c r="A273" s="387" t="s">
        <v>1717</v>
      </c>
      <c r="B273" s="387" t="s">
        <v>3302</v>
      </c>
      <c r="C273" s="387" t="s">
        <v>3303</v>
      </c>
      <c r="D273" s="387" t="s">
        <v>3304</v>
      </c>
      <c r="E273" s="387">
        <v>28</v>
      </c>
      <c r="F273" s="387" t="s">
        <v>559</v>
      </c>
      <c r="G273" s="387">
        <v>28</v>
      </c>
      <c r="H273" s="387" t="s">
        <v>559</v>
      </c>
      <c r="I273" s="387" t="s">
        <v>560</v>
      </c>
      <c r="J273" s="387" t="s">
        <v>3305</v>
      </c>
      <c r="K273" s="387" t="s">
        <v>3306</v>
      </c>
      <c r="L273" s="387" t="s">
        <v>2200</v>
      </c>
      <c r="M273" s="387" t="s">
        <v>2201</v>
      </c>
      <c r="N273" s="388">
        <v>16.149999999999999</v>
      </c>
      <c r="O273" s="388">
        <v>14</v>
      </c>
      <c r="P273" s="387" t="s">
        <v>538</v>
      </c>
      <c r="Q273" s="387" t="s">
        <v>539</v>
      </c>
      <c r="R273" s="387" t="s">
        <v>3307</v>
      </c>
      <c r="S273" s="387" t="s">
        <v>171</v>
      </c>
      <c r="T273" s="387" t="s">
        <v>757</v>
      </c>
      <c r="U273" s="388">
        <v>319709</v>
      </c>
      <c r="V273" s="387">
        <v>8901463172292</v>
      </c>
      <c r="W273" s="387" t="s">
        <v>543</v>
      </c>
      <c r="X273" s="387" t="s">
        <v>543</v>
      </c>
      <c r="Y273" s="387">
        <v>58901463172297</v>
      </c>
      <c r="Z273" s="387" t="s">
        <v>543</v>
      </c>
      <c r="AA273" s="388" t="s">
        <v>543</v>
      </c>
      <c r="AB273" s="388" t="s">
        <v>543</v>
      </c>
      <c r="AC273" s="387" t="s">
        <v>543</v>
      </c>
      <c r="AD273" s="389" t="s">
        <v>3308</v>
      </c>
      <c r="AE273" s="390">
        <v>45047</v>
      </c>
      <c r="AF273" s="390">
        <v>46142</v>
      </c>
      <c r="AG273" s="391" t="s">
        <v>545</v>
      </c>
      <c r="AH273" s="391" t="s">
        <v>3309</v>
      </c>
      <c r="AI273" s="391" t="s">
        <v>2203</v>
      </c>
      <c r="AJ273" s="391">
        <v>0</v>
      </c>
      <c r="AK273" s="390">
        <v>45047</v>
      </c>
      <c r="AL273" s="389">
        <v>100</v>
      </c>
      <c r="AM273" s="391" t="s">
        <v>548</v>
      </c>
      <c r="AN273" s="391" t="s">
        <v>549</v>
      </c>
      <c r="AO273" s="391" t="s">
        <v>3310</v>
      </c>
    </row>
    <row r="274" spans="1:43" ht="16" thickBot="1">
      <c r="A274" s="387" t="s">
        <v>1748</v>
      </c>
      <c r="B274" s="387" t="s">
        <v>994</v>
      </c>
      <c r="C274" s="387" t="s">
        <v>3311</v>
      </c>
      <c r="D274" s="387" t="s">
        <v>3312</v>
      </c>
      <c r="E274" s="387">
        <v>4</v>
      </c>
      <c r="F274" s="387" t="s">
        <v>531</v>
      </c>
      <c r="G274" s="387">
        <v>4</v>
      </c>
      <c r="H274" s="387" t="s">
        <v>531</v>
      </c>
      <c r="I274" s="387" t="s">
        <v>1751</v>
      </c>
      <c r="J274" s="387" t="s">
        <v>3313</v>
      </c>
      <c r="K274" s="387" t="s">
        <v>3314</v>
      </c>
      <c r="L274" s="387" t="s">
        <v>2559</v>
      </c>
      <c r="M274" s="387" t="s">
        <v>2560</v>
      </c>
      <c r="N274" s="388">
        <v>28.72</v>
      </c>
      <c r="O274" s="388">
        <v>14</v>
      </c>
      <c r="P274" s="387" t="s">
        <v>611</v>
      </c>
      <c r="Q274" s="387" t="s">
        <v>3265</v>
      </c>
      <c r="R274" s="387" t="s">
        <v>3315</v>
      </c>
      <c r="S274" s="387" t="s">
        <v>614</v>
      </c>
      <c r="T274" s="387" t="s">
        <v>160</v>
      </c>
      <c r="U274" s="388">
        <v>78395</v>
      </c>
      <c r="V274" s="387" t="s">
        <v>543</v>
      </c>
      <c r="W274" s="387" t="s">
        <v>543</v>
      </c>
      <c r="X274" s="387" t="s">
        <v>543</v>
      </c>
      <c r="Y274" s="387" t="s">
        <v>543</v>
      </c>
      <c r="Z274" s="387" t="s">
        <v>543</v>
      </c>
      <c r="AA274" s="388" t="s">
        <v>543</v>
      </c>
      <c r="AB274" s="388" t="s">
        <v>543</v>
      </c>
      <c r="AC274" s="387">
        <v>724785019</v>
      </c>
      <c r="AD274" s="389">
        <v>10</v>
      </c>
      <c r="AE274" s="390">
        <v>44317</v>
      </c>
      <c r="AF274" s="390">
        <v>45412</v>
      </c>
      <c r="AG274" s="391" t="s">
        <v>545</v>
      </c>
      <c r="AH274" s="391" t="s">
        <v>3316</v>
      </c>
      <c r="AI274" s="391" t="s">
        <v>2563</v>
      </c>
      <c r="AJ274" s="391">
        <v>0</v>
      </c>
      <c r="AK274" s="390">
        <v>44317</v>
      </c>
      <c r="AL274" s="389">
        <v>100</v>
      </c>
      <c r="AM274" s="391" t="s">
        <v>548</v>
      </c>
      <c r="AN274" s="391" t="s">
        <v>549</v>
      </c>
      <c r="AO274" s="391" t="s">
        <v>3317</v>
      </c>
    </row>
    <row r="275" spans="1:43" ht="16" thickBot="1">
      <c r="A275" s="387" t="s">
        <v>1766</v>
      </c>
      <c r="B275" s="387" t="s">
        <v>2402</v>
      </c>
      <c r="C275" s="387" t="s">
        <v>3318</v>
      </c>
      <c r="D275" s="387" t="s">
        <v>3319</v>
      </c>
      <c r="E275" s="387">
        <v>20</v>
      </c>
      <c r="F275" s="387" t="s">
        <v>2180</v>
      </c>
      <c r="G275" s="387">
        <v>20</v>
      </c>
      <c r="H275" s="387" t="s">
        <v>2180</v>
      </c>
      <c r="I275" s="387" t="s">
        <v>2181</v>
      </c>
      <c r="J275" s="387" t="s">
        <v>3320</v>
      </c>
      <c r="K275" s="387" t="s">
        <v>3321</v>
      </c>
      <c r="L275" s="387" t="s">
        <v>576</v>
      </c>
      <c r="M275" s="387" t="s">
        <v>577</v>
      </c>
      <c r="N275" s="388">
        <v>4.5</v>
      </c>
      <c r="O275" s="388">
        <v>14</v>
      </c>
      <c r="P275" s="387" t="s">
        <v>538</v>
      </c>
      <c r="Q275" s="387" t="s">
        <v>539</v>
      </c>
      <c r="R275" s="387" t="s">
        <v>3322</v>
      </c>
      <c r="S275" s="387" t="s">
        <v>171</v>
      </c>
      <c r="T275" s="387" t="s">
        <v>542</v>
      </c>
      <c r="U275" s="388">
        <v>1462740</v>
      </c>
      <c r="V275" s="387">
        <v>6009688291254</v>
      </c>
      <c r="W275" s="387">
        <v>16009688291251</v>
      </c>
      <c r="X275" s="387" t="s">
        <v>543</v>
      </c>
      <c r="Y275" s="387">
        <v>16009688291251</v>
      </c>
      <c r="Z275" s="387" t="s">
        <v>543</v>
      </c>
      <c r="AA275" s="388" t="s">
        <v>543</v>
      </c>
      <c r="AB275" s="388" t="s">
        <v>543</v>
      </c>
      <c r="AC275" s="387">
        <v>711138001</v>
      </c>
      <c r="AD275" s="389">
        <v>224</v>
      </c>
      <c r="AE275" s="390">
        <v>44470</v>
      </c>
      <c r="AF275" s="390">
        <v>45199</v>
      </c>
      <c r="AG275" s="391" t="s">
        <v>545</v>
      </c>
      <c r="AH275" s="391" t="s">
        <v>3323</v>
      </c>
      <c r="AI275" s="391" t="s">
        <v>580</v>
      </c>
      <c r="AJ275" s="391">
        <v>0</v>
      </c>
      <c r="AK275" s="390">
        <v>44470</v>
      </c>
      <c r="AL275" s="389">
        <v>40</v>
      </c>
      <c r="AM275" s="391" t="s">
        <v>548</v>
      </c>
      <c r="AN275" s="391" t="s">
        <v>549</v>
      </c>
      <c r="AO275" s="391" t="s">
        <v>3324</v>
      </c>
      <c r="AP275" s="372">
        <f>N275/E275</f>
        <v>0.22500000000000001</v>
      </c>
      <c r="AQ275" s="372">
        <f>SUMPRODUCT(AP275:AP276,U275:U276)/SUM(U275:U276)</f>
        <v>0.22140000000000001</v>
      </c>
    </row>
    <row r="276" spans="1:43" ht="16" thickBot="1">
      <c r="A276" s="387" t="s">
        <v>1766</v>
      </c>
      <c r="B276" s="387" t="s">
        <v>2402</v>
      </c>
      <c r="C276" s="387" t="s">
        <v>3318</v>
      </c>
      <c r="D276" s="387" t="s">
        <v>3319</v>
      </c>
      <c r="E276" s="387">
        <v>20</v>
      </c>
      <c r="F276" s="387" t="s">
        <v>2180</v>
      </c>
      <c r="G276" s="387">
        <v>20</v>
      </c>
      <c r="H276" s="387" t="s">
        <v>2180</v>
      </c>
      <c r="I276" s="387" t="s">
        <v>2181</v>
      </c>
      <c r="J276" s="387" t="s">
        <v>3320</v>
      </c>
      <c r="K276" s="387" t="s">
        <v>3325</v>
      </c>
      <c r="L276" s="387" t="s">
        <v>1855</v>
      </c>
      <c r="M276" s="387" t="s">
        <v>1856</v>
      </c>
      <c r="N276" s="388">
        <v>4.38</v>
      </c>
      <c r="O276" s="388">
        <v>14</v>
      </c>
      <c r="P276" s="387" t="s">
        <v>538</v>
      </c>
      <c r="Q276" s="387" t="s">
        <v>539</v>
      </c>
      <c r="R276" s="387" t="s">
        <v>3322</v>
      </c>
      <c r="S276" s="387" t="s">
        <v>171</v>
      </c>
      <c r="T276" s="387" t="s">
        <v>542</v>
      </c>
      <c r="U276" s="388">
        <v>2194110</v>
      </c>
      <c r="V276" s="387">
        <v>6001668011098</v>
      </c>
      <c r="W276" s="387" t="s">
        <v>543</v>
      </c>
      <c r="X276" s="387" t="s">
        <v>543</v>
      </c>
      <c r="Y276" s="387">
        <v>16001668011101</v>
      </c>
      <c r="Z276" s="387">
        <v>16001668011101</v>
      </c>
      <c r="AA276" s="388" t="s">
        <v>543</v>
      </c>
      <c r="AB276" s="388" t="s">
        <v>543</v>
      </c>
      <c r="AC276" s="387" t="s">
        <v>543</v>
      </c>
      <c r="AD276" s="389">
        <v>224</v>
      </c>
      <c r="AE276" s="390">
        <v>44470</v>
      </c>
      <c r="AF276" s="390">
        <v>45199</v>
      </c>
      <c r="AG276" s="391" t="s">
        <v>545</v>
      </c>
      <c r="AH276" s="391" t="s">
        <v>3323</v>
      </c>
      <c r="AI276" s="391" t="s">
        <v>1859</v>
      </c>
      <c r="AJ276" s="391">
        <v>0</v>
      </c>
      <c r="AK276" s="390">
        <v>44470</v>
      </c>
      <c r="AL276" s="389">
        <v>60</v>
      </c>
      <c r="AM276" s="391" t="s">
        <v>548</v>
      </c>
      <c r="AN276" s="391" t="s">
        <v>549</v>
      </c>
      <c r="AO276" s="391" t="s">
        <v>3324</v>
      </c>
      <c r="AP276" s="372">
        <f t="shared" ref="AP276" si="12">N276/E276</f>
        <v>0.219</v>
      </c>
    </row>
    <row r="277" spans="1:43" ht="16" thickBot="1">
      <c r="A277" s="387" t="s">
        <v>1766</v>
      </c>
      <c r="B277" s="387" t="s">
        <v>2424</v>
      </c>
      <c r="C277" s="387" t="s">
        <v>3326</v>
      </c>
      <c r="D277" s="387" t="s">
        <v>3327</v>
      </c>
      <c r="E277" s="387">
        <v>50</v>
      </c>
      <c r="F277" s="387" t="s">
        <v>2180</v>
      </c>
      <c r="G277" s="387">
        <v>50</v>
      </c>
      <c r="H277" s="387" t="s">
        <v>2180</v>
      </c>
      <c r="I277" s="387" t="s">
        <v>3328</v>
      </c>
      <c r="J277" s="387" t="s">
        <v>3320</v>
      </c>
      <c r="K277" s="387" t="s">
        <v>3329</v>
      </c>
      <c r="L277" s="387" t="s">
        <v>1905</v>
      </c>
      <c r="M277" s="387" t="s">
        <v>1906</v>
      </c>
      <c r="N277" s="388">
        <v>15.67</v>
      </c>
      <c r="O277" s="388">
        <v>14</v>
      </c>
      <c r="P277" s="387" t="s">
        <v>538</v>
      </c>
      <c r="Q277" s="387" t="s">
        <v>539</v>
      </c>
      <c r="R277" s="387" t="s">
        <v>3330</v>
      </c>
      <c r="S277" s="387" t="s">
        <v>171</v>
      </c>
      <c r="T277" s="387" t="s">
        <v>542</v>
      </c>
      <c r="U277" s="388">
        <v>179781</v>
      </c>
      <c r="V277" s="387">
        <v>6006823004182</v>
      </c>
      <c r="W277" s="387" t="s">
        <v>543</v>
      </c>
      <c r="X277" s="387" t="s">
        <v>543</v>
      </c>
      <c r="Y277" s="387" t="s">
        <v>543</v>
      </c>
      <c r="Z277" s="387" t="s">
        <v>543</v>
      </c>
      <c r="AA277" s="388" t="s">
        <v>543</v>
      </c>
      <c r="AB277" s="388" t="s">
        <v>543</v>
      </c>
      <c r="AC277" s="387" t="s">
        <v>543</v>
      </c>
      <c r="AD277" s="389">
        <v>100</v>
      </c>
      <c r="AE277" s="390">
        <v>44470</v>
      </c>
      <c r="AF277" s="390">
        <v>45199</v>
      </c>
      <c r="AG277" s="391" t="s">
        <v>545</v>
      </c>
      <c r="AH277" s="391" t="s">
        <v>3331</v>
      </c>
      <c r="AI277" s="391" t="s">
        <v>1910</v>
      </c>
      <c r="AJ277" s="391">
        <v>0</v>
      </c>
      <c r="AK277" s="390">
        <v>44470</v>
      </c>
      <c r="AL277" s="389">
        <v>30</v>
      </c>
      <c r="AM277" s="391" t="s">
        <v>548</v>
      </c>
      <c r="AN277" s="391" t="s">
        <v>549</v>
      </c>
      <c r="AO277" s="391" t="s">
        <v>3332</v>
      </c>
    </row>
    <row r="278" spans="1:43" ht="16" thickBot="1">
      <c r="A278" s="387" t="s">
        <v>1766</v>
      </c>
      <c r="B278" s="387" t="s">
        <v>2424</v>
      </c>
      <c r="C278" s="387" t="s">
        <v>3326</v>
      </c>
      <c r="D278" s="387" t="s">
        <v>3327</v>
      </c>
      <c r="E278" s="387">
        <v>50</v>
      </c>
      <c r="F278" s="387" t="s">
        <v>2180</v>
      </c>
      <c r="G278" s="387">
        <v>50</v>
      </c>
      <c r="H278" s="387" t="s">
        <v>2180</v>
      </c>
      <c r="I278" s="387" t="s">
        <v>3328</v>
      </c>
      <c r="J278" s="387" t="s">
        <v>3320</v>
      </c>
      <c r="K278" s="387" t="s">
        <v>3333</v>
      </c>
      <c r="L278" s="387" t="s">
        <v>1855</v>
      </c>
      <c r="M278" s="387" t="s">
        <v>1856</v>
      </c>
      <c r="N278" s="388">
        <v>14.98</v>
      </c>
      <c r="O278" s="388">
        <v>14</v>
      </c>
      <c r="P278" s="387" t="s">
        <v>538</v>
      </c>
      <c r="Q278" s="387" t="s">
        <v>539</v>
      </c>
      <c r="R278" s="387" t="s">
        <v>3330</v>
      </c>
      <c r="S278" s="387" t="s">
        <v>171</v>
      </c>
      <c r="T278" s="387" t="s">
        <v>542</v>
      </c>
      <c r="U278" s="388">
        <v>419489</v>
      </c>
      <c r="V278" s="387">
        <v>6001668011111</v>
      </c>
      <c r="W278" s="387" t="s">
        <v>543</v>
      </c>
      <c r="X278" s="387" t="s">
        <v>543</v>
      </c>
      <c r="Y278" s="387">
        <v>16001668011125</v>
      </c>
      <c r="Z278" s="387" t="s">
        <v>543</v>
      </c>
      <c r="AA278" s="388" t="s">
        <v>543</v>
      </c>
      <c r="AB278" s="388" t="s">
        <v>543</v>
      </c>
      <c r="AC278" s="387" t="s">
        <v>543</v>
      </c>
      <c r="AD278" s="389">
        <v>100</v>
      </c>
      <c r="AE278" s="390">
        <v>44470</v>
      </c>
      <c r="AF278" s="390">
        <v>45199</v>
      </c>
      <c r="AG278" s="391" t="s">
        <v>545</v>
      </c>
      <c r="AH278" s="391" t="s">
        <v>3331</v>
      </c>
      <c r="AI278" s="391" t="s">
        <v>1859</v>
      </c>
      <c r="AJ278" s="391">
        <v>0</v>
      </c>
      <c r="AK278" s="390">
        <v>44470</v>
      </c>
      <c r="AL278" s="389">
        <v>70</v>
      </c>
      <c r="AM278" s="391" t="s">
        <v>548</v>
      </c>
      <c r="AN278" s="391" t="s">
        <v>549</v>
      </c>
      <c r="AO278" s="391" t="s">
        <v>3332</v>
      </c>
    </row>
    <row r="279" spans="1:43" ht="16" thickBot="1">
      <c r="A279" s="387" t="s">
        <v>1766</v>
      </c>
      <c r="B279" s="387" t="s">
        <v>2879</v>
      </c>
      <c r="C279" s="387" t="s">
        <v>3334</v>
      </c>
      <c r="D279" s="387" t="s">
        <v>3335</v>
      </c>
      <c r="E279" s="387">
        <v>1</v>
      </c>
      <c r="F279" s="387" t="s">
        <v>3336</v>
      </c>
      <c r="G279" s="387">
        <v>1</v>
      </c>
      <c r="H279" s="387" t="s">
        <v>3336</v>
      </c>
      <c r="I279" s="387" t="s">
        <v>3337</v>
      </c>
      <c r="J279" s="387" t="s">
        <v>3320</v>
      </c>
      <c r="K279" s="387" t="s">
        <v>3338</v>
      </c>
      <c r="L279" s="387" t="s">
        <v>535</v>
      </c>
      <c r="M279" s="387" t="s">
        <v>536</v>
      </c>
      <c r="N279" s="388">
        <v>12.69</v>
      </c>
      <c r="O279" s="388">
        <v>14</v>
      </c>
      <c r="P279" s="387" t="s">
        <v>538</v>
      </c>
      <c r="Q279" s="387" t="s">
        <v>539</v>
      </c>
      <c r="R279" s="387" t="s">
        <v>3330</v>
      </c>
      <c r="S279" s="387" t="s">
        <v>171</v>
      </c>
      <c r="T279" s="387" t="s">
        <v>542</v>
      </c>
      <c r="U279" s="388">
        <v>923510</v>
      </c>
      <c r="V279" s="387">
        <v>6001390107995</v>
      </c>
      <c r="W279" s="387">
        <v>6001390107991</v>
      </c>
      <c r="X279" s="387" t="s">
        <v>543</v>
      </c>
      <c r="Y279" s="387">
        <v>16001390108001</v>
      </c>
      <c r="Z279" s="387" t="s">
        <v>543</v>
      </c>
      <c r="AA279" s="388" t="s">
        <v>543</v>
      </c>
      <c r="AB279" s="388" t="s">
        <v>543</v>
      </c>
      <c r="AC279" s="387">
        <v>832596019</v>
      </c>
      <c r="AD279" s="389">
        <v>100</v>
      </c>
      <c r="AE279" s="390">
        <v>44470</v>
      </c>
      <c r="AF279" s="390">
        <v>45199</v>
      </c>
      <c r="AG279" s="391" t="s">
        <v>545</v>
      </c>
      <c r="AH279" s="391" t="s">
        <v>3339</v>
      </c>
      <c r="AI279" s="391" t="s">
        <v>547</v>
      </c>
      <c r="AJ279" s="391">
        <v>0</v>
      </c>
      <c r="AK279" s="390">
        <v>44470</v>
      </c>
      <c r="AL279" s="389">
        <v>100</v>
      </c>
      <c r="AM279" s="391" t="s">
        <v>548</v>
      </c>
      <c r="AN279" s="391" t="s">
        <v>549</v>
      </c>
      <c r="AO279" s="391" t="s">
        <v>3340</v>
      </c>
      <c r="AP279" s="372">
        <f>N279</f>
        <v>12.69</v>
      </c>
      <c r="AQ279" s="372">
        <f>AP279</f>
        <v>12.69</v>
      </c>
    </row>
    <row r="280" spans="1:43" ht="16" thickBot="1">
      <c r="A280" s="387" t="s">
        <v>1766</v>
      </c>
      <c r="B280" s="387" t="s">
        <v>2434</v>
      </c>
      <c r="C280" s="387" t="s">
        <v>3341</v>
      </c>
      <c r="D280" s="387" t="s">
        <v>3342</v>
      </c>
      <c r="E280" s="387">
        <v>1</v>
      </c>
      <c r="F280" s="387" t="s">
        <v>1780</v>
      </c>
      <c r="G280" s="387">
        <v>1</v>
      </c>
      <c r="H280" s="387" t="s">
        <v>1780</v>
      </c>
      <c r="I280" s="387" t="s">
        <v>1751</v>
      </c>
      <c r="J280" s="387" t="s">
        <v>3343</v>
      </c>
      <c r="K280" s="387" t="s">
        <v>3344</v>
      </c>
      <c r="L280" s="387" t="s">
        <v>1955</v>
      </c>
      <c r="M280" s="387" t="s">
        <v>1956</v>
      </c>
      <c r="N280" s="388">
        <v>10.47</v>
      </c>
      <c r="O280" s="388">
        <v>14</v>
      </c>
      <c r="P280" s="387" t="s">
        <v>538</v>
      </c>
      <c r="Q280" s="387" t="s">
        <v>539</v>
      </c>
      <c r="R280" s="387" t="s">
        <v>3345</v>
      </c>
      <c r="S280" s="387" t="s">
        <v>171</v>
      </c>
      <c r="T280" s="387" t="s">
        <v>757</v>
      </c>
      <c r="U280" s="388">
        <v>249900</v>
      </c>
      <c r="V280" s="387">
        <v>6009607272098</v>
      </c>
      <c r="W280" s="387">
        <v>6009607272098</v>
      </c>
      <c r="X280" s="387" t="s">
        <v>543</v>
      </c>
      <c r="Y280" s="387">
        <v>600960727135</v>
      </c>
      <c r="Z280" s="387" t="s">
        <v>543</v>
      </c>
      <c r="AA280" s="388" t="s">
        <v>543</v>
      </c>
      <c r="AB280" s="388" t="s">
        <v>543</v>
      </c>
      <c r="AC280" s="387">
        <v>701081006</v>
      </c>
      <c r="AD280" s="389">
        <v>50</v>
      </c>
      <c r="AE280" s="390">
        <v>44470</v>
      </c>
      <c r="AF280" s="390">
        <v>45199</v>
      </c>
      <c r="AG280" s="391" t="s">
        <v>545</v>
      </c>
      <c r="AH280" s="391" t="s">
        <v>3346</v>
      </c>
      <c r="AI280" s="391" t="s">
        <v>1959</v>
      </c>
      <c r="AJ280" s="391">
        <v>0</v>
      </c>
      <c r="AK280" s="390">
        <v>44470</v>
      </c>
      <c r="AL280" s="389">
        <v>100</v>
      </c>
      <c r="AM280" s="391" t="s">
        <v>548</v>
      </c>
      <c r="AN280" s="391" t="s">
        <v>549</v>
      </c>
      <c r="AO280" s="391" t="s">
        <v>3347</v>
      </c>
    </row>
    <row r="281" spans="1:43" ht="16" thickBot="1">
      <c r="A281" s="387" t="s">
        <v>1766</v>
      </c>
      <c r="B281" s="387" t="s">
        <v>2630</v>
      </c>
      <c r="C281" s="387" t="s">
        <v>3348</v>
      </c>
      <c r="D281" s="387" t="s">
        <v>3349</v>
      </c>
      <c r="E281" s="387">
        <v>1</v>
      </c>
      <c r="F281" s="387" t="s">
        <v>1780</v>
      </c>
      <c r="G281" s="387">
        <v>1</v>
      </c>
      <c r="H281" s="387" t="s">
        <v>1780</v>
      </c>
      <c r="I281" s="387" t="s">
        <v>1751</v>
      </c>
      <c r="J281" s="387" t="s">
        <v>3343</v>
      </c>
      <c r="K281" s="387" t="s">
        <v>3350</v>
      </c>
      <c r="L281" s="387" t="s">
        <v>1955</v>
      </c>
      <c r="M281" s="387" t="s">
        <v>1956</v>
      </c>
      <c r="N281" s="388">
        <v>13.8</v>
      </c>
      <c r="O281" s="388">
        <v>14</v>
      </c>
      <c r="P281" s="387" t="s">
        <v>538</v>
      </c>
      <c r="Q281" s="387" t="s">
        <v>539</v>
      </c>
      <c r="R281" s="387" t="s">
        <v>3345</v>
      </c>
      <c r="S281" s="387" t="s">
        <v>171</v>
      </c>
      <c r="T281" s="387" t="s">
        <v>757</v>
      </c>
      <c r="U281" s="388">
        <v>1070630</v>
      </c>
      <c r="V281" s="387">
        <v>6009607272111</v>
      </c>
      <c r="W281" s="387">
        <v>6009607272111</v>
      </c>
      <c r="X281" s="387" t="s">
        <v>543</v>
      </c>
      <c r="Y281" s="387">
        <v>6009607272142</v>
      </c>
      <c r="Z281" s="387" t="s">
        <v>543</v>
      </c>
      <c r="AA281" s="388" t="s">
        <v>543</v>
      </c>
      <c r="AB281" s="388" t="s">
        <v>543</v>
      </c>
      <c r="AC281" s="387">
        <v>701087004</v>
      </c>
      <c r="AD281" s="389">
        <v>50</v>
      </c>
      <c r="AE281" s="390">
        <v>44470</v>
      </c>
      <c r="AF281" s="390">
        <v>45199</v>
      </c>
      <c r="AG281" s="391" t="s">
        <v>545</v>
      </c>
      <c r="AH281" s="391" t="s">
        <v>3351</v>
      </c>
      <c r="AI281" s="391" t="s">
        <v>1959</v>
      </c>
      <c r="AJ281" s="391">
        <v>0</v>
      </c>
      <c r="AK281" s="390">
        <v>44470</v>
      </c>
      <c r="AL281" s="389">
        <v>100</v>
      </c>
      <c r="AM281" s="391" t="s">
        <v>548</v>
      </c>
      <c r="AN281" s="391" t="s">
        <v>549</v>
      </c>
      <c r="AO281" s="391" t="s">
        <v>3352</v>
      </c>
    </row>
    <row r="282" spans="1:43" ht="16" thickBot="1">
      <c r="A282" s="387" t="s">
        <v>1717</v>
      </c>
      <c r="B282" s="387" t="s">
        <v>3353</v>
      </c>
      <c r="C282" s="387" t="s">
        <v>3354</v>
      </c>
      <c r="D282" s="387" t="s">
        <v>3355</v>
      </c>
      <c r="E282" s="387">
        <v>100</v>
      </c>
      <c r="F282" s="387" t="s">
        <v>559</v>
      </c>
      <c r="G282" s="387">
        <v>100</v>
      </c>
      <c r="H282" s="387" t="s">
        <v>559</v>
      </c>
      <c r="I282" s="387" t="s">
        <v>560</v>
      </c>
      <c r="J282" s="387" t="s">
        <v>3356</v>
      </c>
      <c r="K282" s="387" t="s">
        <v>3357</v>
      </c>
      <c r="L282" s="387" t="s">
        <v>535</v>
      </c>
      <c r="M282" s="387" t="s">
        <v>536</v>
      </c>
      <c r="N282" s="388">
        <v>105.41</v>
      </c>
      <c r="O282" s="388">
        <v>14</v>
      </c>
      <c r="P282" s="387" t="s">
        <v>538</v>
      </c>
      <c r="Q282" s="387" t="s">
        <v>539</v>
      </c>
      <c r="R282" s="387" t="s">
        <v>3358</v>
      </c>
      <c r="S282" s="387" t="s">
        <v>171</v>
      </c>
      <c r="T282" s="387" t="s">
        <v>757</v>
      </c>
      <c r="U282" s="388">
        <v>303273</v>
      </c>
      <c r="V282" s="387" t="s">
        <v>543</v>
      </c>
      <c r="W282" s="387" t="s">
        <v>543</v>
      </c>
      <c r="X282" s="387" t="s">
        <v>543</v>
      </c>
      <c r="Y282" s="387" t="s">
        <v>543</v>
      </c>
      <c r="Z282" s="387" t="s">
        <v>543</v>
      </c>
      <c r="AA282" s="388" t="s">
        <v>543</v>
      </c>
      <c r="AB282" s="388" t="s">
        <v>543</v>
      </c>
      <c r="AC282" s="387" t="s">
        <v>543</v>
      </c>
      <c r="AD282" s="389">
        <v>10</v>
      </c>
      <c r="AE282" s="390">
        <v>45047</v>
      </c>
      <c r="AF282" s="390">
        <v>46142</v>
      </c>
      <c r="AG282" s="391" t="s">
        <v>545</v>
      </c>
      <c r="AH282" s="391" t="s">
        <v>3359</v>
      </c>
      <c r="AI282" s="391" t="s">
        <v>547</v>
      </c>
      <c r="AJ282" s="391">
        <v>0</v>
      </c>
      <c r="AK282" s="390">
        <v>45047</v>
      </c>
      <c r="AL282" s="389">
        <v>100</v>
      </c>
      <c r="AM282" s="391" t="s">
        <v>548</v>
      </c>
      <c r="AN282" s="391" t="s">
        <v>549</v>
      </c>
      <c r="AO282" s="391" t="s">
        <v>3360</v>
      </c>
    </row>
    <row r="283" spans="1:43" ht="16" thickBot="1">
      <c r="A283" s="387" t="s">
        <v>1717</v>
      </c>
      <c r="B283" s="387" t="s">
        <v>3361</v>
      </c>
      <c r="C283" s="387" t="s">
        <v>3362</v>
      </c>
      <c r="D283" s="387" t="s">
        <v>3363</v>
      </c>
      <c r="E283" s="387">
        <v>100</v>
      </c>
      <c r="F283" s="387" t="s">
        <v>559</v>
      </c>
      <c r="G283" s="387">
        <v>100</v>
      </c>
      <c r="H283" s="387" t="s">
        <v>559</v>
      </c>
      <c r="I283" s="387" t="s">
        <v>560</v>
      </c>
      <c r="J283" s="387" t="s">
        <v>3356</v>
      </c>
      <c r="K283" s="387" t="s">
        <v>3364</v>
      </c>
      <c r="L283" s="387" t="s">
        <v>535</v>
      </c>
      <c r="M283" s="387" t="s">
        <v>536</v>
      </c>
      <c r="N283" s="388">
        <v>36.5</v>
      </c>
      <c r="O283" s="388">
        <v>14</v>
      </c>
      <c r="P283" s="387" t="s">
        <v>538</v>
      </c>
      <c r="Q283" s="387" t="s">
        <v>539</v>
      </c>
      <c r="R283" s="387" t="s">
        <v>3358</v>
      </c>
      <c r="S283" s="387" t="s">
        <v>171</v>
      </c>
      <c r="T283" s="387" t="s">
        <v>757</v>
      </c>
      <c r="U283" s="388">
        <v>136374</v>
      </c>
      <c r="V283" s="387" t="s">
        <v>543</v>
      </c>
      <c r="W283" s="387" t="s">
        <v>543</v>
      </c>
      <c r="X283" s="387" t="s">
        <v>543</v>
      </c>
      <c r="Y283" s="387" t="s">
        <v>543</v>
      </c>
      <c r="Z283" s="387" t="s">
        <v>543</v>
      </c>
      <c r="AA283" s="388" t="s">
        <v>543</v>
      </c>
      <c r="AB283" s="388" t="s">
        <v>543</v>
      </c>
      <c r="AC283" s="387">
        <v>717081001</v>
      </c>
      <c r="AD283" s="389">
        <v>30</v>
      </c>
      <c r="AE283" s="390">
        <v>45047</v>
      </c>
      <c r="AF283" s="390">
        <v>46142</v>
      </c>
      <c r="AG283" s="391" t="s">
        <v>545</v>
      </c>
      <c r="AH283" s="391" t="s">
        <v>3365</v>
      </c>
      <c r="AI283" s="391" t="s">
        <v>547</v>
      </c>
      <c r="AJ283" s="391">
        <v>0</v>
      </c>
      <c r="AK283" s="390">
        <v>45047</v>
      </c>
      <c r="AL283" s="389">
        <v>100</v>
      </c>
      <c r="AM283" s="391" t="s">
        <v>548</v>
      </c>
      <c r="AN283" s="391" t="s">
        <v>549</v>
      </c>
      <c r="AO283" s="391" t="s">
        <v>3366</v>
      </c>
    </row>
    <row r="284" spans="1:43" ht="16" thickBot="1">
      <c r="A284" s="387" t="s">
        <v>1729</v>
      </c>
      <c r="B284" s="387" t="s">
        <v>999</v>
      </c>
      <c r="C284" s="387" t="s">
        <v>3367</v>
      </c>
      <c r="D284" s="387" t="s">
        <v>3368</v>
      </c>
      <c r="E284" s="387">
        <v>500</v>
      </c>
      <c r="F284" s="387" t="s">
        <v>531</v>
      </c>
      <c r="G284" s="387">
        <v>500</v>
      </c>
      <c r="H284" s="387" t="s">
        <v>531</v>
      </c>
      <c r="I284" s="387" t="s">
        <v>532</v>
      </c>
      <c r="J284" s="387" t="s">
        <v>3369</v>
      </c>
      <c r="K284" s="387" t="s">
        <v>3370</v>
      </c>
      <c r="L284" s="387" t="s">
        <v>1809</v>
      </c>
      <c r="M284" s="387" t="s">
        <v>1810</v>
      </c>
      <c r="N284" s="388">
        <v>52.3</v>
      </c>
      <c r="O284" s="388">
        <v>14</v>
      </c>
      <c r="P284" s="387" t="s">
        <v>538</v>
      </c>
      <c r="Q284" s="387" t="s">
        <v>539</v>
      </c>
      <c r="R284" s="387" t="s">
        <v>3371</v>
      </c>
      <c r="S284" s="387" t="s">
        <v>171</v>
      </c>
      <c r="T284" s="387" t="s">
        <v>542</v>
      </c>
      <c r="U284" s="388">
        <v>22431</v>
      </c>
      <c r="V284" s="387">
        <v>6006845003651</v>
      </c>
      <c r="W284" s="387">
        <v>6006845003651</v>
      </c>
      <c r="X284" s="387" t="s">
        <v>543</v>
      </c>
      <c r="Y284" s="387">
        <v>16006845003658</v>
      </c>
      <c r="Z284" s="387" t="s">
        <v>543</v>
      </c>
      <c r="AA284" s="388" t="s">
        <v>543</v>
      </c>
      <c r="AB284" s="388" t="s">
        <v>543</v>
      </c>
      <c r="AC284" s="387" t="s">
        <v>543</v>
      </c>
      <c r="AD284" s="389">
        <v>6</v>
      </c>
      <c r="AE284" s="390">
        <v>44105</v>
      </c>
      <c r="AF284" s="390">
        <v>45199</v>
      </c>
      <c r="AG284" s="390">
        <v>45199</v>
      </c>
      <c r="AH284" s="391" t="s">
        <v>3372</v>
      </c>
      <c r="AI284" s="391" t="s">
        <v>1813</v>
      </c>
      <c r="AJ284" s="391">
        <v>0</v>
      </c>
      <c r="AK284" s="390">
        <v>44105</v>
      </c>
      <c r="AL284" s="389">
        <v>100</v>
      </c>
      <c r="AM284" s="391" t="s">
        <v>548</v>
      </c>
      <c r="AN284" s="391" t="s">
        <v>545</v>
      </c>
      <c r="AO284" s="391" t="s">
        <v>3373</v>
      </c>
    </row>
    <row r="285" spans="1:43" ht="16" thickBot="1">
      <c r="A285" s="387" t="s">
        <v>2177</v>
      </c>
      <c r="B285" s="387" t="s">
        <v>2054</v>
      </c>
      <c r="C285" s="387" t="s">
        <v>3374</v>
      </c>
      <c r="D285" s="387" t="s">
        <v>3375</v>
      </c>
      <c r="E285" s="387">
        <v>25</v>
      </c>
      <c r="F285" s="387" t="s">
        <v>2180</v>
      </c>
      <c r="G285" s="387">
        <v>25</v>
      </c>
      <c r="H285" s="387" t="s">
        <v>2180</v>
      </c>
      <c r="I285" s="387" t="s">
        <v>2390</v>
      </c>
      <c r="J285" s="387" t="s">
        <v>3376</v>
      </c>
      <c r="K285" s="387" t="s">
        <v>3377</v>
      </c>
      <c r="L285" s="387" t="s">
        <v>1855</v>
      </c>
      <c r="M285" s="387" t="s">
        <v>1856</v>
      </c>
      <c r="N285" s="388">
        <v>12641.62</v>
      </c>
      <c r="O285" s="388">
        <v>14</v>
      </c>
      <c r="P285" s="387" t="s">
        <v>611</v>
      </c>
      <c r="Q285" s="387" t="s">
        <v>612</v>
      </c>
      <c r="R285" s="387" t="s">
        <v>3378</v>
      </c>
      <c r="S285" s="387" t="s">
        <v>614</v>
      </c>
      <c r="T285" s="387" t="s">
        <v>160</v>
      </c>
      <c r="U285" s="388">
        <v>41</v>
      </c>
      <c r="V285" s="387">
        <v>6001668007206</v>
      </c>
      <c r="W285" s="387" t="s">
        <v>543</v>
      </c>
      <c r="X285" s="387" t="s">
        <v>543</v>
      </c>
      <c r="Y285" s="387" t="s">
        <v>543</v>
      </c>
      <c r="Z285" s="387" t="s">
        <v>543</v>
      </c>
      <c r="AA285" s="388" t="s">
        <v>543</v>
      </c>
      <c r="AB285" s="388" t="s">
        <v>543</v>
      </c>
      <c r="AC285" s="387" t="s">
        <v>543</v>
      </c>
      <c r="AD285" s="389">
        <v>1</v>
      </c>
      <c r="AE285" s="390">
        <v>44013</v>
      </c>
      <c r="AF285" s="390">
        <v>45107</v>
      </c>
      <c r="AG285" s="390">
        <v>45107</v>
      </c>
      <c r="AH285" s="391" t="s">
        <v>3379</v>
      </c>
      <c r="AI285" s="391" t="s">
        <v>1859</v>
      </c>
      <c r="AJ285" s="391">
        <v>51</v>
      </c>
      <c r="AK285" s="390">
        <v>44958</v>
      </c>
      <c r="AL285" s="389">
        <v>100</v>
      </c>
      <c r="AM285" s="391" t="s">
        <v>548</v>
      </c>
      <c r="AN285" s="391" t="s">
        <v>545</v>
      </c>
      <c r="AO285" s="391" t="s">
        <v>3380</v>
      </c>
    </row>
    <row r="286" spans="1:43" ht="16" thickBot="1">
      <c r="A286" s="387" t="s">
        <v>1717</v>
      </c>
      <c r="B286" s="387" t="s">
        <v>3381</v>
      </c>
      <c r="C286" s="387" t="s">
        <v>3382</v>
      </c>
      <c r="D286" s="387" t="s">
        <v>3383</v>
      </c>
      <c r="E286" s="387">
        <v>12</v>
      </c>
      <c r="F286" s="387" t="s">
        <v>559</v>
      </c>
      <c r="G286" s="387">
        <v>12</v>
      </c>
      <c r="H286" s="387" t="s">
        <v>559</v>
      </c>
      <c r="I286" s="387" t="s">
        <v>560</v>
      </c>
      <c r="J286" s="387" t="s">
        <v>3384</v>
      </c>
      <c r="K286" s="387" t="s">
        <v>3385</v>
      </c>
      <c r="L286" s="387" t="s">
        <v>1886</v>
      </c>
      <c r="M286" s="387" t="s">
        <v>1887</v>
      </c>
      <c r="N286" s="388">
        <v>15.44</v>
      </c>
      <c r="O286" s="388">
        <v>14</v>
      </c>
      <c r="P286" s="387" t="s">
        <v>538</v>
      </c>
      <c r="Q286" s="387" t="s">
        <v>539</v>
      </c>
      <c r="R286" s="387" t="s">
        <v>3386</v>
      </c>
      <c r="S286" s="387" t="s">
        <v>171</v>
      </c>
      <c r="T286" s="387" t="s">
        <v>757</v>
      </c>
      <c r="U286" s="388">
        <v>677089</v>
      </c>
      <c r="V286" s="387">
        <v>6009691114694</v>
      </c>
      <c r="W286" s="387" t="s">
        <v>543</v>
      </c>
      <c r="X286" s="387" t="s">
        <v>543</v>
      </c>
      <c r="Y286" s="387">
        <v>16009691114691</v>
      </c>
      <c r="Z286" s="387" t="s">
        <v>543</v>
      </c>
      <c r="AA286" s="388" t="s">
        <v>543</v>
      </c>
      <c r="AB286" s="388" t="s">
        <v>543</v>
      </c>
      <c r="AC286" s="387">
        <v>3004738001</v>
      </c>
      <c r="AD286" s="389">
        <v>10</v>
      </c>
      <c r="AE286" s="390">
        <v>45047</v>
      </c>
      <c r="AF286" s="390">
        <v>46142</v>
      </c>
      <c r="AG286" s="391" t="s">
        <v>545</v>
      </c>
      <c r="AH286" s="391" t="s">
        <v>3387</v>
      </c>
      <c r="AI286" s="391" t="s">
        <v>1889</v>
      </c>
      <c r="AJ286" s="391">
        <v>0</v>
      </c>
      <c r="AK286" s="390">
        <v>45047</v>
      </c>
      <c r="AL286" s="389">
        <v>100</v>
      </c>
      <c r="AM286" s="391" t="s">
        <v>548</v>
      </c>
      <c r="AN286" s="391" t="s">
        <v>549</v>
      </c>
      <c r="AO286" s="391" t="s">
        <v>3388</v>
      </c>
    </row>
    <row r="287" spans="1:43" ht="16" thickBot="1">
      <c r="A287" s="387" t="s">
        <v>3389</v>
      </c>
      <c r="B287" s="387" t="s">
        <v>557</v>
      </c>
      <c r="C287" s="387" t="s">
        <v>3390</v>
      </c>
      <c r="D287" s="387" t="s">
        <v>3391</v>
      </c>
      <c r="E287" s="387">
        <v>30</v>
      </c>
      <c r="F287" s="387" t="s">
        <v>2180</v>
      </c>
      <c r="G287" s="387">
        <v>30</v>
      </c>
      <c r="H287" s="387" t="s">
        <v>2180</v>
      </c>
      <c r="I287" s="387" t="s">
        <v>2720</v>
      </c>
      <c r="J287" s="387" t="s">
        <v>3392</v>
      </c>
      <c r="K287" s="387" t="s">
        <v>3393</v>
      </c>
      <c r="L287" s="387" t="s">
        <v>3394</v>
      </c>
      <c r="M287" s="387" t="s">
        <v>3395</v>
      </c>
      <c r="N287" s="388">
        <v>265.64999999999998</v>
      </c>
      <c r="O287" s="388">
        <v>14</v>
      </c>
      <c r="P287" s="387" t="s">
        <v>611</v>
      </c>
      <c r="Q287" s="387" t="s">
        <v>3396</v>
      </c>
      <c r="R287" s="387" t="s">
        <v>3397</v>
      </c>
      <c r="S287" s="387" t="s">
        <v>614</v>
      </c>
      <c r="T287" s="387" t="s">
        <v>160</v>
      </c>
      <c r="U287" s="388">
        <v>159140</v>
      </c>
      <c r="V287" s="387">
        <v>5000223447151</v>
      </c>
      <c r="W287" s="387">
        <v>5000223447151</v>
      </c>
      <c r="X287" s="387" t="s">
        <v>543</v>
      </c>
      <c r="Y287" s="387">
        <v>5000223458256</v>
      </c>
      <c r="Z287" s="387" t="s">
        <v>543</v>
      </c>
      <c r="AA287" s="388" t="s">
        <v>543</v>
      </c>
      <c r="AB287" s="388" t="s">
        <v>543</v>
      </c>
      <c r="AC287" s="387" t="s">
        <v>543</v>
      </c>
      <c r="AD287" s="389" t="s">
        <v>3398</v>
      </c>
      <c r="AE287" s="390">
        <v>44137</v>
      </c>
      <c r="AF287" s="390">
        <v>45107</v>
      </c>
      <c r="AG287" s="390">
        <v>45107</v>
      </c>
      <c r="AH287" s="391" t="s">
        <v>3399</v>
      </c>
      <c r="AI287" s="391" t="s">
        <v>3400</v>
      </c>
      <c r="AJ287" s="391">
        <v>0</v>
      </c>
      <c r="AK287" s="390">
        <v>44137</v>
      </c>
      <c r="AL287" s="389">
        <v>100</v>
      </c>
      <c r="AM287" s="391" t="s">
        <v>548</v>
      </c>
      <c r="AN287" s="391" t="s">
        <v>545</v>
      </c>
      <c r="AO287" s="391" t="s">
        <v>3401</v>
      </c>
    </row>
    <row r="288" spans="1:43" ht="16" thickBot="1">
      <c r="A288" s="387" t="s">
        <v>2294</v>
      </c>
      <c r="B288" s="387" t="s">
        <v>965</v>
      </c>
      <c r="C288" s="387" t="s">
        <v>3402</v>
      </c>
      <c r="D288" s="387" t="s">
        <v>3403</v>
      </c>
      <c r="E288" s="387">
        <v>5</v>
      </c>
      <c r="F288" s="387" t="s">
        <v>531</v>
      </c>
      <c r="G288" s="387">
        <v>100</v>
      </c>
      <c r="H288" s="387" t="s">
        <v>2297</v>
      </c>
      <c r="I288" s="387" t="s">
        <v>2298</v>
      </c>
      <c r="J288" s="387" t="s">
        <v>3404</v>
      </c>
      <c r="K288" s="387" t="s">
        <v>3405</v>
      </c>
      <c r="L288" s="387" t="s">
        <v>2365</v>
      </c>
      <c r="M288" s="387" t="s">
        <v>2366</v>
      </c>
      <c r="N288" s="388">
        <v>64.430000000000007</v>
      </c>
      <c r="O288" s="388">
        <v>14</v>
      </c>
      <c r="P288" s="387" t="s">
        <v>538</v>
      </c>
      <c r="Q288" s="387" t="s">
        <v>539</v>
      </c>
      <c r="R288" s="387" t="s">
        <v>3406</v>
      </c>
      <c r="S288" s="387" t="s">
        <v>171</v>
      </c>
      <c r="T288" s="387" t="s">
        <v>757</v>
      </c>
      <c r="U288" s="388">
        <v>73830</v>
      </c>
      <c r="V288" s="387">
        <v>6005667003092</v>
      </c>
      <c r="W288" s="387" t="s">
        <v>543</v>
      </c>
      <c r="X288" s="387" t="s">
        <v>543</v>
      </c>
      <c r="Y288" s="387" t="s">
        <v>543</v>
      </c>
      <c r="Z288" s="387" t="s">
        <v>543</v>
      </c>
      <c r="AA288" s="388" t="s">
        <v>543</v>
      </c>
      <c r="AB288" s="388" t="s">
        <v>543</v>
      </c>
      <c r="AC288" s="387" t="s">
        <v>543</v>
      </c>
      <c r="AD288" s="389">
        <v>1</v>
      </c>
      <c r="AE288" s="390">
        <v>44013</v>
      </c>
      <c r="AF288" s="390">
        <v>45107</v>
      </c>
      <c r="AG288" s="390">
        <v>45107</v>
      </c>
      <c r="AH288" s="391" t="s">
        <v>3407</v>
      </c>
      <c r="AI288" s="391" t="s">
        <v>2369</v>
      </c>
      <c r="AJ288" s="391">
        <v>41</v>
      </c>
      <c r="AK288" s="390">
        <v>44409</v>
      </c>
      <c r="AL288" s="389">
        <v>100</v>
      </c>
      <c r="AM288" s="391" t="s">
        <v>548</v>
      </c>
      <c r="AN288" s="391" t="s">
        <v>545</v>
      </c>
      <c r="AO288" s="391" t="s">
        <v>3408</v>
      </c>
    </row>
    <row r="289" spans="1:41" ht="16" thickBot="1">
      <c r="A289" s="387" t="s">
        <v>2294</v>
      </c>
      <c r="B289" s="387" t="s">
        <v>2127</v>
      </c>
      <c r="C289" s="387" t="s">
        <v>3409</v>
      </c>
      <c r="D289" s="387" t="s">
        <v>3410</v>
      </c>
      <c r="E289" s="387">
        <v>15</v>
      </c>
      <c r="F289" s="387" t="s">
        <v>531</v>
      </c>
      <c r="G289" s="387">
        <v>300</v>
      </c>
      <c r="H289" s="387" t="s">
        <v>2297</v>
      </c>
      <c r="I289" s="387" t="s">
        <v>2298</v>
      </c>
      <c r="J289" s="387" t="s">
        <v>3411</v>
      </c>
      <c r="K289" s="387" t="s">
        <v>3412</v>
      </c>
      <c r="L289" s="387" t="s">
        <v>2365</v>
      </c>
      <c r="M289" s="387" t="s">
        <v>2366</v>
      </c>
      <c r="N289" s="388">
        <v>58.7</v>
      </c>
      <c r="O289" s="388">
        <v>14</v>
      </c>
      <c r="P289" s="387" t="s">
        <v>538</v>
      </c>
      <c r="Q289" s="387" t="s">
        <v>539</v>
      </c>
      <c r="R289" s="387" t="s">
        <v>3413</v>
      </c>
      <c r="S289" s="387" t="s">
        <v>171</v>
      </c>
      <c r="T289" s="387" t="s">
        <v>757</v>
      </c>
      <c r="U289" s="388">
        <v>5500</v>
      </c>
      <c r="V289" s="387">
        <v>6005667002224</v>
      </c>
      <c r="W289" s="387">
        <v>16005667002221</v>
      </c>
      <c r="X289" s="387" t="s">
        <v>543</v>
      </c>
      <c r="Y289" s="387" t="s">
        <v>543</v>
      </c>
      <c r="Z289" s="387" t="s">
        <v>543</v>
      </c>
      <c r="AA289" s="388" t="s">
        <v>543</v>
      </c>
      <c r="AB289" s="388" t="s">
        <v>543</v>
      </c>
      <c r="AC289" s="387" t="s">
        <v>543</v>
      </c>
      <c r="AD289" s="389">
        <v>1</v>
      </c>
      <c r="AE289" s="390">
        <v>44013</v>
      </c>
      <c r="AF289" s="390">
        <v>45107</v>
      </c>
      <c r="AG289" s="390">
        <v>45107</v>
      </c>
      <c r="AH289" s="391" t="s">
        <v>3414</v>
      </c>
      <c r="AI289" s="391" t="s">
        <v>2369</v>
      </c>
      <c r="AJ289" s="391">
        <v>0</v>
      </c>
      <c r="AK289" s="390">
        <v>44013</v>
      </c>
      <c r="AL289" s="389">
        <v>100</v>
      </c>
      <c r="AM289" s="391" t="s">
        <v>548</v>
      </c>
      <c r="AN289" s="391" t="s">
        <v>545</v>
      </c>
      <c r="AO289" s="391" t="s">
        <v>3415</v>
      </c>
    </row>
    <row r="290" spans="1:41" ht="16" thickBot="1">
      <c r="A290" s="387" t="s">
        <v>2166</v>
      </c>
      <c r="B290" s="387" t="s">
        <v>985</v>
      </c>
      <c r="C290" s="387" t="s">
        <v>3416</v>
      </c>
      <c r="D290" s="387" t="s">
        <v>3417</v>
      </c>
      <c r="E290" s="387">
        <v>1</v>
      </c>
      <c r="F290" s="387" t="s">
        <v>1780</v>
      </c>
      <c r="G290" s="387">
        <v>1</v>
      </c>
      <c r="H290" s="387" t="s">
        <v>1780</v>
      </c>
      <c r="I290" s="387" t="s">
        <v>1751</v>
      </c>
      <c r="J290" s="387" t="s">
        <v>3418</v>
      </c>
      <c r="K290" s="387" t="s">
        <v>3419</v>
      </c>
      <c r="L290" s="387" t="s">
        <v>3420</v>
      </c>
      <c r="M290" s="387" t="s">
        <v>3421</v>
      </c>
      <c r="N290" s="388">
        <v>132.85</v>
      </c>
      <c r="O290" s="388">
        <v>14</v>
      </c>
      <c r="P290" s="387" t="s">
        <v>538</v>
      </c>
      <c r="Q290" s="387" t="s">
        <v>539</v>
      </c>
      <c r="R290" s="387" t="s">
        <v>3422</v>
      </c>
      <c r="S290" s="387" t="s">
        <v>171</v>
      </c>
      <c r="T290" s="387" t="s">
        <v>757</v>
      </c>
      <c r="U290" s="388">
        <v>55406</v>
      </c>
      <c r="V290" s="387">
        <v>600987994032</v>
      </c>
      <c r="W290" s="387">
        <v>1380012000003</v>
      </c>
      <c r="X290" s="387" t="s">
        <v>543</v>
      </c>
      <c r="Y290" s="387">
        <v>13800120000003</v>
      </c>
      <c r="Z290" s="387" t="s">
        <v>543</v>
      </c>
      <c r="AA290" s="388" t="s">
        <v>543</v>
      </c>
      <c r="AB290" s="388" t="s">
        <v>543</v>
      </c>
      <c r="AC290" s="387">
        <v>723304009</v>
      </c>
      <c r="AD290" s="389">
        <v>1</v>
      </c>
      <c r="AE290" s="390">
        <v>44743</v>
      </c>
      <c r="AF290" s="390">
        <v>45473</v>
      </c>
      <c r="AG290" s="391" t="s">
        <v>545</v>
      </c>
      <c r="AH290" s="391" t="s">
        <v>3423</v>
      </c>
      <c r="AI290" s="391" t="s">
        <v>3424</v>
      </c>
      <c r="AJ290" s="391">
        <v>0</v>
      </c>
      <c r="AK290" s="390">
        <v>44743</v>
      </c>
      <c r="AL290" s="389">
        <v>100</v>
      </c>
      <c r="AM290" s="391" t="s">
        <v>548</v>
      </c>
      <c r="AN290" s="391" t="s">
        <v>549</v>
      </c>
      <c r="AO290" s="391" t="s">
        <v>3425</v>
      </c>
    </row>
    <row r="291" spans="1:41" ht="16" thickBot="1">
      <c r="A291" s="387" t="s">
        <v>2166</v>
      </c>
      <c r="B291" s="387" t="s">
        <v>994</v>
      </c>
      <c r="C291" s="387" t="s">
        <v>3426</v>
      </c>
      <c r="D291" s="387" t="s">
        <v>3427</v>
      </c>
      <c r="E291" s="387">
        <v>1</v>
      </c>
      <c r="F291" s="387" t="s">
        <v>1780</v>
      </c>
      <c r="G291" s="387">
        <v>1</v>
      </c>
      <c r="H291" s="387" t="s">
        <v>1780</v>
      </c>
      <c r="I291" s="387" t="s">
        <v>1751</v>
      </c>
      <c r="J291" s="387" t="s">
        <v>3418</v>
      </c>
      <c r="K291" s="387" t="s">
        <v>3428</v>
      </c>
      <c r="L291" s="387" t="s">
        <v>3420</v>
      </c>
      <c r="M291" s="387" t="s">
        <v>3421</v>
      </c>
      <c r="N291" s="388">
        <v>90.57</v>
      </c>
      <c r="O291" s="388">
        <v>14</v>
      </c>
      <c r="P291" s="387" t="s">
        <v>538</v>
      </c>
      <c r="Q291" s="387" t="s">
        <v>539</v>
      </c>
      <c r="R291" s="387" t="s">
        <v>3422</v>
      </c>
      <c r="S291" s="387" t="s">
        <v>171</v>
      </c>
      <c r="T291" s="387" t="s">
        <v>757</v>
      </c>
      <c r="U291" s="388">
        <v>8686</v>
      </c>
      <c r="V291" s="387">
        <v>600987999025</v>
      </c>
      <c r="W291" s="387">
        <v>6000000000002</v>
      </c>
      <c r="X291" s="387" t="s">
        <v>543</v>
      </c>
      <c r="Y291" s="387">
        <v>6000000000002</v>
      </c>
      <c r="Z291" s="387" t="s">
        <v>543</v>
      </c>
      <c r="AA291" s="388" t="s">
        <v>543</v>
      </c>
      <c r="AB291" s="388" t="s">
        <v>543</v>
      </c>
      <c r="AC291" s="387">
        <v>732282014</v>
      </c>
      <c r="AD291" s="389">
        <v>1</v>
      </c>
      <c r="AE291" s="390">
        <v>44743</v>
      </c>
      <c r="AF291" s="390">
        <v>45473</v>
      </c>
      <c r="AG291" s="391" t="s">
        <v>545</v>
      </c>
      <c r="AH291" s="391" t="s">
        <v>3429</v>
      </c>
      <c r="AI291" s="391" t="s">
        <v>3424</v>
      </c>
      <c r="AJ291" s="391">
        <v>0</v>
      </c>
      <c r="AK291" s="390">
        <v>44743</v>
      </c>
      <c r="AL291" s="389">
        <v>100</v>
      </c>
      <c r="AM291" s="391" t="s">
        <v>548</v>
      </c>
      <c r="AN291" s="391" t="s">
        <v>549</v>
      </c>
      <c r="AO291" s="391" t="s">
        <v>3430</v>
      </c>
    </row>
    <row r="292" spans="1:41" ht="16" thickBot="1">
      <c r="A292" s="387" t="s">
        <v>2166</v>
      </c>
      <c r="B292" s="387" t="s">
        <v>1004</v>
      </c>
      <c r="C292" s="387" t="s">
        <v>3431</v>
      </c>
      <c r="D292" s="387" t="s">
        <v>3432</v>
      </c>
      <c r="E292" s="387">
        <v>50</v>
      </c>
      <c r="F292" s="387" t="s">
        <v>559</v>
      </c>
      <c r="G292" s="387">
        <v>50</v>
      </c>
      <c r="H292" s="387" t="s">
        <v>559</v>
      </c>
      <c r="I292" s="387" t="s">
        <v>560</v>
      </c>
      <c r="J292" s="387" t="s">
        <v>3418</v>
      </c>
      <c r="K292" s="387" t="s">
        <v>3433</v>
      </c>
      <c r="L292" s="387" t="s">
        <v>3420</v>
      </c>
      <c r="M292" s="387" t="s">
        <v>3421</v>
      </c>
      <c r="N292" s="388">
        <v>221.01</v>
      </c>
      <c r="O292" s="388">
        <v>14</v>
      </c>
      <c r="P292" s="387" t="s">
        <v>538</v>
      </c>
      <c r="Q292" s="387" t="s">
        <v>539</v>
      </c>
      <c r="R292" s="387" t="s">
        <v>3422</v>
      </c>
      <c r="S292" s="387" t="s">
        <v>171</v>
      </c>
      <c r="T292" s="387" t="s">
        <v>757</v>
      </c>
      <c r="U292" s="388">
        <v>5927</v>
      </c>
      <c r="V292" s="387">
        <v>6009879994018</v>
      </c>
      <c r="W292" s="387">
        <v>1380013000000</v>
      </c>
      <c r="X292" s="387" t="s">
        <v>543</v>
      </c>
      <c r="Y292" s="387">
        <v>1380013000000</v>
      </c>
      <c r="Z292" s="387" t="s">
        <v>543</v>
      </c>
      <c r="AA292" s="388" t="s">
        <v>543</v>
      </c>
      <c r="AB292" s="388" t="s">
        <v>543</v>
      </c>
      <c r="AC292" s="387">
        <v>723274002</v>
      </c>
      <c r="AD292" s="389">
        <v>1</v>
      </c>
      <c r="AE292" s="390">
        <v>44743</v>
      </c>
      <c r="AF292" s="390">
        <v>45473</v>
      </c>
      <c r="AG292" s="391" t="s">
        <v>545</v>
      </c>
      <c r="AH292" s="391" t="s">
        <v>3434</v>
      </c>
      <c r="AI292" s="391" t="s">
        <v>3424</v>
      </c>
      <c r="AJ292" s="391">
        <v>0</v>
      </c>
      <c r="AK292" s="390">
        <v>44743</v>
      </c>
      <c r="AL292" s="389">
        <v>100</v>
      </c>
      <c r="AM292" s="391" t="s">
        <v>548</v>
      </c>
      <c r="AN292" s="391" t="s">
        <v>549</v>
      </c>
      <c r="AO292" s="391" t="s">
        <v>3435</v>
      </c>
    </row>
    <row r="293" spans="1:41" ht="16" thickBot="1">
      <c r="A293" s="387" t="s">
        <v>3235</v>
      </c>
      <c r="B293" s="387" t="s">
        <v>581</v>
      </c>
      <c r="C293" s="387" t="s">
        <v>3436</v>
      </c>
      <c r="D293" s="387" t="s">
        <v>3437</v>
      </c>
      <c r="E293" s="387">
        <v>28</v>
      </c>
      <c r="F293" s="387" t="s">
        <v>559</v>
      </c>
      <c r="G293" s="387">
        <v>28</v>
      </c>
      <c r="H293" s="387" t="s">
        <v>559</v>
      </c>
      <c r="I293" s="387" t="s">
        <v>560</v>
      </c>
      <c r="J293" s="387" t="s">
        <v>3438</v>
      </c>
      <c r="K293" s="387" t="s">
        <v>3439</v>
      </c>
      <c r="L293" s="387" t="s">
        <v>675</v>
      </c>
      <c r="M293" s="387" t="s">
        <v>676</v>
      </c>
      <c r="N293" s="388">
        <v>17.66</v>
      </c>
      <c r="O293" s="388">
        <v>14</v>
      </c>
      <c r="P293" s="387" t="s">
        <v>538</v>
      </c>
      <c r="Q293" s="387" t="s">
        <v>539</v>
      </c>
      <c r="R293" s="387" t="s">
        <v>3440</v>
      </c>
      <c r="S293" s="387" t="s">
        <v>171</v>
      </c>
      <c r="T293" s="387" t="s">
        <v>542</v>
      </c>
      <c r="U293" s="388">
        <v>83300</v>
      </c>
      <c r="V293" s="387">
        <v>6006352002857</v>
      </c>
      <c r="W293" s="387">
        <v>6006352002864</v>
      </c>
      <c r="X293" s="387" t="s">
        <v>543</v>
      </c>
      <c r="Y293" s="387">
        <v>6006352017196</v>
      </c>
      <c r="Z293" s="387" t="s">
        <v>543</v>
      </c>
      <c r="AA293" s="388" t="s">
        <v>543</v>
      </c>
      <c r="AB293" s="388" t="s">
        <v>543</v>
      </c>
      <c r="AC293" s="387">
        <v>897214005</v>
      </c>
      <c r="AD293" s="389" t="s">
        <v>3274</v>
      </c>
      <c r="AE293" s="390">
        <v>44105</v>
      </c>
      <c r="AF293" s="390">
        <v>45199</v>
      </c>
      <c r="AG293" s="390">
        <v>45199</v>
      </c>
      <c r="AH293" s="391" t="s">
        <v>3441</v>
      </c>
      <c r="AI293" s="391" t="s">
        <v>679</v>
      </c>
      <c r="AJ293" s="391">
        <v>14</v>
      </c>
      <c r="AK293" s="390">
        <v>45047</v>
      </c>
      <c r="AL293" s="389">
        <v>100</v>
      </c>
      <c r="AM293" s="391" t="s">
        <v>548</v>
      </c>
      <c r="AN293" s="391" t="s">
        <v>545</v>
      </c>
      <c r="AO293" s="391" t="s">
        <v>3442</v>
      </c>
    </row>
    <row r="294" spans="1:41" ht="16" thickBot="1">
      <c r="A294" s="387" t="s">
        <v>3235</v>
      </c>
      <c r="B294" s="387" t="s">
        <v>1027</v>
      </c>
      <c r="C294" s="387" t="s">
        <v>3443</v>
      </c>
      <c r="D294" s="387" t="s">
        <v>3444</v>
      </c>
      <c r="E294" s="387">
        <v>15</v>
      </c>
      <c r="F294" s="387" t="s">
        <v>559</v>
      </c>
      <c r="G294" s="387">
        <v>15</v>
      </c>
      <c r="H294" s="387" t="s">
        <v>559</v>
      </c>
      <c r="I294" s="387" t="s">
        <v>560</v>
      </c>
      <c r="J294" s="387" t="s">
        <v>3445</v>
      </c>
      <c r="K294" s="387" t="s">
        <v>3446</v>
      </c>
      <c r="L294" s="387" t="s">
        <v>3128</v>
      </c>
      <c r="M294" s="387" t="s">
        <v>3129</v>
      </c>
      <c r="N294" s="388">
        <v>121.38</v>
      </c>
      <c r="O294" s="388">
        <v>14</v>
      </c>
      <c r="P294" s="387" t="s">
        <v>538</v>
      </c>
      <c r="Q294" s="387" t="s">
        <v>539</v>
      </c>
      <c r="R294" s="387" t="s">
        <v>3447</v>
      </c>
      <c r="S294" s="387" t="s">
        <v>171</v>
      </c>
      <c r="T294" s="387" t="s">
        <v>1908</v>
      </c>
      <c r="U294" s="388">
        <v>5882</v>
      </c>
      <c r="V294" s="387">
        <v>6005943000197</v>
      </c>
      <c r="W294" s="387">
        <v>6005943000197</v>
      </c>
      <c r="X294" s="387" t="s">
        <v>543</v>
      </c>
      <c r="Y294" s="387">
        <v>60059430001974</v>
      </c>
      <c r="Z294" s="387" t="s">
        <v>543</v>
      </c>
      <c r="AA294" s="388" t="s">
        <v>543</v>
      </c>
      <c r="AB294" s="388" t="s">
        <v>543</v>
      </c>
      <c r="AC294" s="387">
        <v>791970019</v>
      </c>
      <c r="AD294" s="389">
        <v>1</v>
      </c>
      <c r="AE294" s="390">
        <v>44105</v>
      </c>
      <c r="AF294" s="390">
        <v>45199</v>
      </c>
      <c r="AG294" s="390">
        <v>45199</v>
      </c>
      <c r="AH294" s="391" t="s">
        <v>3448</v>
      </c>
      <c r="AI294" s="391" t="s">
        <v>3131</v>
      </c>
      <c r="AJ294" s="391">
        <v>0</v>
      </c>
      <c r="AK294" s="390">
        <v>44105</v>
      </c>
      <c r="AL294" s="389">
        <v>100</v>
      </c>
      <c r="AM294" s="391" t="s">
        <v>548</v>
      </c>
      <c r="AN294" s="391" t="s">
        <v>545</v>
      </c>
      <c r="AO294" s="391" t="s">
        <v>3449</v>
      </c>
    </row>
    <row r="295" spans="1:41" ht="16" thickBot="1">
      <c r="A295" s="387" t="s">
        <v>3235</v>
      </c>
      <c r="B295" s="387" t="s">
        <v>680</v>
      </c>
      <c r="C295" s="387" t="s">
        <v>3450</v>
      </c>
      <c r="D295" s="387" t="s">
        <v>3451</v>
      </c>
      <c r="E295" s="387">
        <v>20</v>
      </c>
      <c r="F295" s="387" t="s">
        <v>559</v>
      </c>
      <c r="G295" s="387">
        <v>20</v>
      </c>
      <c r="H295" s="387" t="s">
        <v>559</v>
      </c>
      <c r="I295" s="387" t="s">
        <v>560</v>
      </c>
      <c r="J295" s="387" t="s">
        <v>3445</v>
      </c>
      <c r="K295" s="387" t="s">
        <v>3452</v>
      </c>
      <c r="L295" s="387" t="s">
        <v>675</v>
      </c>
      <c r="M295" s="387" t="s">
        <v>676</v>
      </c>
      <c r="N295" s="388">
        <v>119.81</v>
      </c>
      <c r="O295" s="388">
        <v>14</v>
      </c>
      <c r="P295" s="387" t="s">
        <v>538</v>
      </c>
      <c r="Q295" s="387" t="s">
        <v>539</v>
      </c>
      <c r="R295" s="387" t="s">
        <v>3447</v>
      </c>
      <c r="S295" s="387" t="s">
        <v>171</v>
      </c>
      <c r="T295" s="387" t="s">
        <v>1908</v>
      </c>
      <c r="U295" s="388">
        <v>179654</v>
      </c>
      <c r="V295" s="387">
        <v>6006352003038</v>
      </c>
      <c r="W295" s="387" t="s">
        <v>543</v>
      </c>
      <c r="X295" s="387" t="s">
        <v>543</v>
      </c>
      <c r="Y295" s="387">
        <v>6006352003045</v>
      </c>
      <c r="Z295" s="387" t="s">
        <v>543</v>
      </c>
      <c r="AA295" s="388" t="s">
        <v>543</v>
      </c>
      <c r="AB295" s="388" t="s">
        <v>543</v>
      </c>
      <c r="AC295" s="387">
        <v>899089003</v>
      </c>
      <c r="AD295" s="389" t="s">
        <v>3453</v>
      </c>
      <c r="AE295" s="390">
        <v>44105</v>
      </c>
      <c r="AF295" s="390">
        <v>45199</v>
      </c>
      <c r="AG295" s="390">
        <v>45199</v>
      </c>
      <c r="AH295" s="391" t="s">
        <v>3454</v>
      </c>
      <c r="AI295" s="391" t="s">
        <v>679</v>
      </c>
      <c r="AJ295" s="391">
        <v>14</v>
      </c>
      <c r="AK295" s="390">
        <v>45047</v>
      </c>
      <c r="AL295" s="389">
        <v>100</v>
      </c>
      <c r="AM295" s="391" t="s">
        <v>548</v>
      </c>
      <c r="AN295" s="391" t="s">
        <v>545</v>
      </c>
      <c r="AO295" s="391" t="s">
        <v>3455</v>
      </c>
    </row>
    <row r="296" spans="1:41" ht="16" thickBot="1">
      <c r="A296" s="387" t="s">
        <v>2166</v>
      </c>
      <c r="B296" s="387" t="s">
        <v>557</v>
      </c>
      <c r="C296" s="387" t="s">
        <v>3456</v>
      </c>
      <c r="D296" s="387" t="s">
        <v>3457</v>
      </c>
      <c r="E296" s="387">
        <v>1</v>
      </c>
      <c r="F296" s="387" t="s">
        <v>1780</v>
      </c>
      <c r="G296" s="387">
        <v>1</v>
      </c>
      <c r="H296" s="387" t="s">
        <v>1780</v>
      </c>
      <c r="I296" s="387" t="s">
        <v>1751</v>
      </c>
      <c r="J296" s="387" t="s">
        <v>3458</v>
      </c>
      <c r="K296" s="387" t="s">
        <v>3459</v>
      </c>
      <c r="L296" s="387" t="s">
        <v>3460</v>
      </c>
      <c r="M296" s="387" t="s">
        <v>3461</v>
      </c>
      <c r="N296" s="388">
        <v>698.87</v>
      </c>
      <c r="O296" s="388">
        <v>2</v>
      </c>
      <c r="P296" s="387" t="s">
        <v>538</v>
      </c>
      <c r="Q296" s="387" t="s">
        <v>539</v>
      </c>
      <c r="R296" s="387" t="s">
        <v>3462</v>
      </c>
      <c r="S296" s="387" t="s">
        <v>541</v>
      </c>
      <c r="T296" s="387" t="s">
        <v>1908</v>
      </c>
      <c r="U296" s="388">
        <v>32530</v>
      </c>
      <c r="V296" s="387" t="s">
        <v>543</v>
      </c>
      <c r="W296" s="387" t="s">
        <v>543</v>
      </c>
      <c r="X296" s="387" t="s">
        <v>543</v>
      </c>
      <c r="Y296" s="387" t="s">
        <v>543</v>
      </c>
      <c r="Z296" s="387" t="s">
        <v>543</v>
      </c>
      <c r="AA296" s="388" t="s">
        <v>543</v>
      </c>
      <c r="AB296" s="388" t="s">
        <v>543</v>
      </c>
      <c r="AC296" s="387">
        <v>715877001</v>
      </c>
      <c r="AD296" s="389" t="s">
        <v>3463</v>
      </c>
      <c r="AE296" s="390">
        <v>44743</v>
      </c>
      <c r="AF296" s="390">
        <v>45473</v>
      </c>
      <c r="AG296" s="390">
        <v>45473</v>
      </c>
      <c r="AH296" s="391" t="s">
        <v>3464</v>
      </c>
      <c r="AI296" s="391" t="s">
        <v>3465</v>
      </c>
      <c r="AJ296" s="391">
        <v>0</v>
      </c>
      <c r="AK296" s="390">
        <v>44743</v>
      </c>
      <c r="AL296" s="389">
        <v>100</v>
      </c>
      <c r="AM296" s="391" t="s">
        <v>548</v>
      </c>
      <c r="AN296" s="391" t="s">
        <v>549</v>
      </c>
      <c r="AO296" s="391" t="s">
        <v>3466</v>
      </c>
    </row>
    <row r="297" spans="1:41" ht="16" thickBot="1">
      <c r="A297" s="387" t="s">
        <v>1717</v>
      </c>
      <c r="B297" s="387" t="s">
        <v>3467</v>
      </c>
      <c r="C297" s="387" t="s">
        <v>3468</v>
      </c>
      <c r="D297" s="387" t="s">
        <v>3469</v>
      </c>
      <c r="E297" s="387">
        <v>60</v>
      </c>
      <c r="F297" s="387" t="s">
        <v>584</v>
      </c>
      <c r="G297" s="387">
        <v>60</v>
      </c>
      <c r="H297" s="387" t="s">
        <v>584</v>
      </c>
      <c r="I297" s="387" t="s">
        <v>585</v>
      </c>
      <c r="J297" s="387" t="s">
        <v>3470</v>
      </c>
      <c r="K297" s="387" t="s">
        <v>3471</v>
      </c>
      <c r="L297" s="387" t="s">
        <v>2046</v>
      </c>
      <c r="M297" s="387" t="s">
        <v>2047</v>
      </c>
      <c r="N297" s="388">
        <v>280</v>
      </c>
      <c r="O297" s="388">
        <v>14</v>
      </c>
      <c r="P297" s="387" t="s">
        <v>611</v>
      </c>
      <c r="Q297" s="387" t="s">
        <v>612</v>
      </c>
      <c r="R297" s="387" t="s">
        <v>3472</v>
      </c>
      <c r="S297" s="387" t="s">
        <v>614</v>
      </c>
      <c r="T297" s="387" t="s">
        <v>160</v>
      </c>
      <c r="U297" s="388">
        <v>6644</v>
      </c>
      <c r="V297" s="387">
        <v>6006352002475</v>
      </c>
      <c r="W297" s="387">
        <v>6006352016793</v>
      </c>
      <c r="X297" s="387" t="s">
        <v>543</v>
      </c>
      <c r="Y297" s="387">
        <v>6006352016793</v>
      </c>
      <c r="Z297" s="387" t="s">
        <v>543</v>
      </c>
      <c r="AA297" s="388" t="s">
        <v>543</v>
      </c>
      <c r="AB297" s="388" t="s">
        <v>543</v>
      </c>
      <c r="AC297" s="387">
        <v>893940006</v>
      </c>
      <c r="AD297" s="389">
        <v>50</v>
      </c>
      <c r="AE297" s="390">
        <v>45047</v>
      </c>
      <c r="AF297" s="390">
        <v>46142</v>
      </c>
      <c r="AG297" s="391" t="s">
        <v>545</v>
      </c>
      <c r="AH297" s="391" t="s">
        <v>3473</v>
      </c>
      <c r="AI297" s="391" t="s">
        <v>2050</v>
      </c>
      <c r="AJ297" s="391">
        <v>0</v>
      </c>
      <c r="AK297" s="390">
        <v>45047</v>
      </c>
      <c r="AL297" s="389">
        <v>100</v>
      </c>
      <c r="AM297" s="391" t="s">
        <v>548</v>
      </c>
      <c r="AN297" s="391" t="s">
        <v>549</v>
      </c>
      <c r="AO297" s="391" t="s">
        <v>3474</v>
      </c>
    </row>
    <row r="298" spans="1:41" ht="16" thickBot="1">
      <c r="A298" s="387" t="s">
        <v>1766</v>
      </c>
      <c r="B298" s="387" t="s">
        <v>2857</v>
      </c>
      <c r="C298" s="387" t="s">
        <v>3475</v>
      </c>
      <c r="D298" s="387" t="s">
        <v>3476</v>
      </c>
      <c r="E298" s="387">
        <v>100</v>
      </c>
      <c r="F298" s="387" t="s">
        <v>559</v>
      </c>
      <c r="G298" s="387">
        <v>100</v>
      </c>
      <c r="H298" s="387" t="s">
        <v>559</v>
      </c>
      <c r="I298" s="387" t="s">
        <v>560</v>
      </c>
      <c r="J298" s="387" t="s">
        <v>3477</v>
      </c>
      <c r="K298" s="387" t="s">
        <v>3478</v>
      </c>
      <c r="L298" s="387" t="s">
        <v>535</v>
      </c>
      <c r="M298" s="387" t="s">
        <v>536</v>
      </c>
      <c r="N298" s="388">
        <v>306.48</v>
      </c>
      <c r="O298" s="388">
        <v>14</v>
      </c>
      <c r="P298" s="387" t="s">
        <v>538</v>
      </c>
      <c r="Q298" s="387" t="s">
        <v>539</v>
      </c>
      <c r="R298" s="387" t="s">
        <v>3479</v>
      </c>
      <c r="S298" s="387" t="s">
        <v>171</v>
      </c>
      <c r="T298" s="387" t="s">
        <v>757</v>
      </c>
      <c r="U298" s="388">
        <v>22290</v>
      </c>
      <c r="V298" s="387">
        <v>6001390971332</v>
      </c>
      <c r="W298" s="387">
        <v>6001390971349</v>
      </c>
      <c r="X298" s="387" t="s">
        <v>543</v>
      </c>
      <c r="Y298" s="387">
        <v>26001390971343</v>
      </c>
      <c r="Z298" s="387" t="s">
        <v>543</v>
      </c>
      <c r="AA298" s="388" t="s">
        <v>543</v>
      </c>
      <c r="AB298" s="388" t="s">
        <v>543</v>
      </c>
      <c r="AC298" s="387">
        <v>717460002</v>
      </c>
      <c r="AD298" s="389">
        <v>3</v>
      </c>
      <c r="AE298" s="390">
        <v>44470</v>
      </c>
      <c r="AF298" s="390">
        <v>45199</v>
      </c>
      <c r="AG298" s="390">
        <v>45199</v>
      </c>
      <c r="AH298" s="391" t="s">
        <v>3480</v>
      </c>
      <c r="AI298" s="391" t="s">
        <v>547</v>
      </c>
      <c r="AJ298" s="391">
        <v>21</v>
      </c>
      <c r="AK298" s="390">
        <v>45047</v>
      </c>
      <c r="AL298" s="389">
        <v>100</v>
      </c>
      <c r="AM298" s="391" t="s">
        <v>548</v>
      </c>
      <c r="AN298" s="391" t="s">
        <v>549</v>
      </c>
      <c r="AO298" s="391" t="s">
        <v>3481</v>
      </c>
    </row>
    <row r="299" spans="1:41" ht="16" thickBot="1">
      <c r="A299" s="387" t="s">
        <v>529</v>
      </c>
      <c r="B299" s="387" t="s">
        <v>784</v>
      </c>
      <c r="C299" s="387" t="s">
        <v>1021</v>
      </c>
      <c r="D299" s="387" t="s">
        <v>599</v>
      </c>
      <c r="E299" s="387">
        <v>56</v>
      </c>
      <c r="F299" s="387" t="s">
        <v>559</v>
      </c>
      <c r="G299" s="387">
        <v>56</v>
      </c>
      <c r="H299" s="387" t="s">
        <v>559</v>
      </c>
      <c r="I299" s="387" t="s">
        <v>560</v>
      </c>
      <c r="J299" s="387" t="s">
        <v>600</v>
      </c>
      <c r="K299" s="387" t="s">
        <v>601</v>
      </c>
      <c r="L299" s="387" t="s">
        <v>562</v>
      </c>
      <c r="M299" s="387" t="s">
        <v>563</v>
      </c>
      <c r="N299" s="388">
        <v>414.52</v>
      </c>
      <c r="O299" s="388">
        <v>14</v>
      </c>
      <c r="P299" s="387" t="s">
        <v>538</v>
      </c>
      <c r="Q299" s="387" t="s">
        <v>539</v>
      </c>
      <c r="R299" s="387" t="s">
        <v>602</v>
      </c>
      <c r="S299" s="387" t="s">
        <v>171</v>
      </c>
      <c r="T299" s="387" t="s">
        <v>160</v>
      </c>
      <c r="U299" s="388">
        <v>41903</v>
      </c>
      <c r="V299" s="387" t="s">
        <v>543</v>
      </c>
      <c r="W299" s="387" t="s">
        <v>543</v>
      </c>
      <c r="X299" s="387" t="s">
        <v>543</v>
      </c>
      <c r="Y299" s="387" t="s">
        <v>543</v>
      </c>
      <c r="Z299" s="387" t="s">
        <v>543</v>
      </c>
      <c r="AA299" s="388" t="s">
        <v>543</v>
      </c>
      <c r="AB299" s="388" t="s">
        <v>543</v>
      </c>
      <c r="AC299" s="387" t="s">
        <v>543</v>
      </c>
      <c r="AD299" s="389">
        <v>24</v>
      </c>
      <c r="AE299" s="390">
        <v>44743</v>
      </c>
      <c r="AF299" s="390">
        <v>45838</v>
      </c>
      <c r="AG299" s="390">
        <v>45838</v>
      </c>
      <c r="AH299" s="391" t="s">
        <v>604</v>
      </c>
      <c r="AI299" s="391" t="s">
        <v>565</v>
      </c>
      <c r="AJ299" s="391">
        <v>23</v>
      </c>
      <c r="AK299" s="390">
        <v>45047</v>
      </c>
      <c r="AL299" s="389">
        <v>100</v>
      </c>
      <c r="AM299" s="391" t="s">
        <v>548</v>
      </c>
      <c r="AN299" s="391" t="s">
        <v>549</v>
      </c>
      <c r="AO299" s="391" t="s">
        <v>605</v>
      </c>
    </row>
    <row r="300" spans="1:41" ht="16" thickBot="1">
      <c r="A300" s="387" t="s">
        <v>529</v>
      </c>
      <c r="B300" s="387" t="s">
        <v>556</v>
      </c>
      <c r="C300" s="387" t="s">
        <v>969</v>
      </c>
      <c r="D300" s="387" t="s">
        <v>606</v>
      </c>
      <c r="E300" s="387">
        <v>240</v>
      </c>
      <c r="F300" s="387" t="s">
        <v>559</v>
      </c>
      <c r="G300" s="387">
        <v>240</v>
      </c>
      <c r="H300" s="387" t="s">
        <v>559</v>
      </c>
      <c r="I300" s="387" t="s">
        <v>560</v>
      </c>
      <c r="J300" s="387" t="s">
        <v>607</v>
      </c>
      <c r="K300" s="387" t="s">
        <v>608</v>
      </c>
      <c r="L300" s="387" t="s">
        <v>609</v>
      </c>
      <c r="M300" s="387" t="s">
        <v>610</v>
      </c>
      <c r="N300" s="388">
        <v>816.44</v>
      </c>
      <c r="O300" s="388">
        <v>7</v>
      </c>
      <c r="P300" s="387" t="s">
        <v>611</v>
      </c>
      <c r="Q300" s="387" t="s">
        <v>612</v>
      </c>
      <c r="R300" s="387" t="s">
        <v>613</v>
      </c>
      <c r="S300" s="387" t="s">
        <v>614</v>
      </c>
      <c r="T300" s="387" t="s">
        <v>160</v>
      </c>
      <c r="U300" s="388">
        <v>5881</v>
      </c>
      <c r="V300" s="387">
        <v>6001390131576</v>
      </c>
      <c r="W300" s="387" t="s">
        <v>543</v>
      </c>
      <c r="X300" s="387" t="s">
        <v>543</v>
      </c>
      <c r="Y300" s="387" t="s">
        <v>543</v>
      </c>
      <c r="Z300" s="387" t="s">
        <v>543</v>
      </c>
      <c r="AA300" s="388" t="s">
        <v>543</v>
      </c>
      <c r="AB300" s="388" t="s">
        <v>543</v>
      </c>
      <c r="AC300" s="387">
        <v>719710001</v>
      </c>
      <c r="AD300" s="389">
        <v>1</v>
      </c>
      <c r="AE300" s="390">
        <v>44743</v>
      </c>
      <c r="AF300" s="390">
        <v>45838</v>
      </c>
      <c r="AG300" s="391" t="s">
        <v>545</v>
      </c>
      <c r="AH300" s="391" t="s">
        <v>616</v>
      </c>
      <c r="AI300" s="391" t="s">
        <v>617</v>
      </c>
      <c r="AJ300" s="391">
        <v>0</v>
      </c>
      <c r="AK300" s="390">
        <v>44743</v>
      </c>
      <c r="AL300" s="389">
        <v>100</v>
      </c>
      <c r="AM300" s="391" t="s">
        <v>548</v>
      </c>
      <c r="AN300" s="391" t="s">
        <v>549</v>
      </c>
      <c r="AO300" s="391" t="s">
        <v>618</v>
      </c>
    </row>
    <row r="301" spans="1:41" ht="16" thickBot="1">
      <c r="A301" s="387" t="s">
        <v>529</v>
      </c>
      <c r="B301" s="387" t="s">
        <v>554</v>
      </c>
      <c r="C301" s="387" t="s">
        <v>981</v>
      </c>
      <c r="D301" s="387" t="s">
        <v>619</v>
      </c>
      <c r="E301" s="387">
        <v>56</v>
      </c>
      <c r="F301" s="387" t="s">
        <v>559</v>
      </c>
      <c r="G301" s="387">
        <v>56</v>
      </c>
      <c r="H301" s="387" t="s">
        <v>559</v>
      </c>
      <c r="I301" s="387" t="s">
        <v>560</v>
      </c>
      <c r="J301" s="387" t="s">
        <v>607</v>
      </c>
      <c r="K301" s="387" t="s">
        <v>620</v>
      </c>
      <c r="L301" s="387" t="s">
        <v>588</v>
      </c>
      <c r="M301" s="387" t="s">
        <v>589</v>
      </c>
      <c r="N301" s="388">
        <v>825.48</v>
      </c>
      <c r="O301" s="388">
        <v>14</v>
      </c>
      <c r="P301" s="387" t="s">
        <v>611</v>
      </c>
      <c r="Q301" s="387" t="s">
        <v>612</v>
      </c>
      <c r="R301" s="387" t="s">
        <v>613</v>
      </c>
      <c r="S301" s="387" t="s">
        <v>614</v>
      </c>
      <c r="T301" s="387" t="s">
        <v>160</v>
      </c>
      <c r="U301" s="388">
        <v>79038</v>
      </c>
      <c r="V301" s="387">
        <v>6009695244960</v>
      </c>
      <c r="W301" s="387" t="s">
        <v>543</v>
      </c>
      <c r="X301" s="387" t="s">
        <v>543</v>
      </c>
      <c r="Y301" s="387">
        <v>16009695244967</v>
      </c>
      <c r="Z301" s="387" t="s">
        <v>543</v>
      </c>
      <c r="AA301" s="388" t="s">
        <v>543</v>
      </c>
      <c r="AB301" s="388" t="s">
        <v>543</v>
      </c>
      <c r="AC301" s="387" t="s">
        <v>543</v>
      </c>
      <c r="AD301" s="389">
        <v>12</v>
      </c>
      <c r="AE301" s="390">
        <v>44743</v>
      </c>
      <c r="AF301" s="390">
        <v>45838</v>
      </c>
      <c r="AG301" s="390">
        <v>45838</v>
      </c>
      <c r="AH301" s="391" t="s">
        <v>621</v>
      </c>
      <c r="AI301" s="391" t="s">
        <v>592</v>
      </c>
      <c r="AJ301" s="391">
        <v>10</v>
      </c>
      <c r="AK301" s="390">
        <v>44958</v>
      </c>
      <c r="AL301" s="389">
        <v>100</v>
      </c>
      <c r="AM301" s="391" t="s">
        <v>548</v>
      </c>
      <c r="AN301" s="391" t="s">
        <v>549</v>
      </c>
      <c r="AO301" s="391" t="s">
        <v>622</v>
      </c>
    </row>
    <row r="302" spans="1:41" ht="16" thickBot="1">
      <c r="A302" s="387" t="s">
        <v>529</v>
      </c>
      <c r="B302" s="387" t="s">
        <v>965</v>
      </c>
      <c r="C302" s="387" t="s">
        <v>966</v>
      </c>
      <c r="D302" s="387" t="s">
        <v>623</v>
      </c>
      <c r="E302" s="387">
        <v>480</v>
      </c>
      <c r="F302" s="387" t="s">
        <v>559</v>
      </c>
      <c r="G302" s="387">
        <v>480</v>
      </c>
      <c r="H302" s="387" t="s">
        <v>559</v>
      </c>
      <c r="I302" s="387" t="s">
        <v>560</v>
      </c>
      <c r="J302" s="387" t="s">
        <v>607</v>
      </c>
      <c r="K302" s="387" t="s">
        <v>624</v>
      </c>
      <c r="L302" s="387" t="s">
        <v>609</v>
      </c>
      <c r="M302" s="387" t="s">
        <v>610</v>
      </c>
      <c r="N302" s="388">
        <v>910.05</v>
      </c>
      <c r="O302" s="388">
        <v>7</v>
      </c>
      <c r="P302" s="387" t="s">
        <v>611</v>
      </c>
      <c r="Q302" s="387" t="s">
        <v>612</v>
      </c>
      <c r="R302" s="387" t="s">
        <v>613</v>
      </c>
      <c r="S302" s="387" t="s">
        <v>614</v>
      </c>
      <c r="T302" s="387" t="s">
        <v>160</v>
      </c>
      <c r="U302" s="388">
        <v>1816</v>
      </c>
      <c r="V302" s="387">
        <v>6001390131552</v>
      </c>
      <c r="W302" s="387" t="s">
        <v>543</v>
      </c>
      <c r="X302" s="387" t="s">
        <v>543</v>
      </c>
      <c r="Y302" s="387" t="s">
        <v>543</v>
      </c>
      <c r="Z302" s="387" t="s">
        <v>543</v>
      </c>
      <c r="AA302" s="388" t="s">
        <v>543</v>
      </c>
      <c r="AB302" s="388" t="s">
        <v>543</v>
      </c>
      <c r="AC302" s="387">
        <v>719709001</v>
      </c>
      <c r="AD302" s="389">
        <v>1</v>
      </c>
      <c r="AE302" s="390">
        <v>44743</v>
      </c>
      <c r="AF302" s="390">
        <v>45838</v>
      </c>
      <c r="AG302" s="391" t="s">
        <v>545</v>
      </c>
      <c r="AH302" s="391" t="s">
        <v>625</v>
      </c>
      <c r="AI302" s="391" t="s">
        <v>617</v>
      </c>
      <c r="AJ302" s="391">
        <v>0</v>
      </c>
      <c r="AK302" s="390">
        <v>44743</v>
      </c>
      <c r="AL302" s="389">
        <v>100</v>
      </c>
      <c r="AM302" s="391" t="s">
        <v>548</v>
      </c>
      <c r="AN302" s="391" t="s">
        <v>549</v>
      </c>
      <c r="AO302" s="391" t="s">
        <v>626</v>
      </c>
    </row>
    <row r="303" spans="1:41" ht="16" thickBot="1">
      <c r="A303" s="387" t="s">
        <v>1717</v>
      </c>
      <c r="B303" s="387" t="s">
        <v>3482</v>
      </c>
      <c r="C303" s="387" t="s">
        <v>3483</v>
      </c>
      <c r="D303" s="387" t="s">
        <v>3484</v>
      </c>
      <c r="E303" s="387">
        <v>30</v>
      </c>
      <c r="F303" s="387" t="s">
        <v>559</v>
      </c>
      <c r="G303" s="387">
        <v>30</v>
      </c>
      <c r="H303" s="387" t="s">
        <v>559</v>
      </c>
      <c r="I303" s="387" t="s">
        <v>560</v>
      </c>
      <c r="J303" s="387" t="s">
        <v>3485</v>
      </c>
      <c r="K303" s="387" t="s">
        <v>3486</v>
      </c>
      <c r="L303" s="387" t="s">
        <v>1945</v>
      </c>
      <c r="M303" s="387" t="s">
        <v>1946</v>
      </c>
      <c r="N303" s="388">
        <v>1202</v>
      </c>
      <c r="O303" s="388">
        <v>14</v>
      </c>
      <c r="P303" s="387" t="s">
        <v>538</v>
      </c>
      <c r="Q303" s="387" t="s">
        <v>539</v>
      </c>
      <c r="R303" s="387" t="s">
        <v>3487</v>
      </c>
      <c r="S303" s="387" t="s">
        <v>171</v>
      </c>
      <c r="T303" s="387" t="s">
        <v>1908</v>
      </c>
      <c r="U303" s="388">
        <v>2833</v>
      </c>
      <c r="V303" s="387" t="s">
        <v>543</v>
      </c>
      <c r="W303" s="387" t="s">
        <v>543</v>
      </c>
      <c r="X303" s="387" t="s">
        <v>543</v>
      </c>
      <c r="Y303" s="387" t="s">
        <v>543</v>
      </c>
      <c r="Z303" s="387" t="s">
        <v>543</v>
      </c>
      <c r="AA303" s="388" t="s">
        <v>543</v>
      </c>
      <c r="AB303" s="388" t="s">
        <v>543</v>
      </c>
      <c r="AC303" s="387" t="s">
        <v>543</v>
      </c>
      <c r="AD303" s="389">
        <v>1</v>
      </c>
      <c r="AE303" s="390">
        <v>45047</v>
      </c>
      <c r="AF303" s="390">
        <v>46142</v>
      </c>
      <c r="AG303" s="391" t="s">
        <v>545</v>
      </c>
      <c r="AH303" s="391" t="s">
        <v>3488</v>
      </c>
      <c r="AI303" s="391" t="s">
        <v>1949</v>
      </c>
      <c r="AJ303" s="391">
        <v>0</v>
      </c>
      <c r="AK303" s="390">
        <v>45047</v>
      </c>
      <c r="AL303" s="389">
        <v>100</v>
      </c>
      <c r="AM303" s="391" t="s">
        <v>548</v>
      </c>
      <c r="AN303" s="391" t="s">
        <v>549</v>
      </c>
      <c r="AO303" s="391" t="s">
        <v>3489</v>
      </c>
    </row>
    <row r="304" spans="1:41" ht="16" thickBot="1">
      <c r="A304" s="387" t="s">
        <v>1717</v>
      </c>
      <c r="B304" s="387" t="s">
        <v>3490</v>
      </c>
      <c r="C304" s="387" t="s">
        <v>3491</v>
      </c>
      <c r="D304" s="387" t="s">
        <v>3492</v>
      </c>
      <c r="E304" s="387">
        <v>28</v>
      </c>
      <c r="F304" s="387" t="s">
        <v>559</v>
      </c>
      <c r="G304" s="387">
        <v>28</v>
      </c>
      <c r="H304" s="387" t="s">
        <v>559</v>
      </c>
      <c r="I304" s="387" t="s">
        <v>560</v>
      </c>
      <c r="J304" s="387" t="s">
        <v>3485</v>
      </c>
      <c r="K304" s="387" t="s">
        <v>3493</v>
      </c>
      <c r="L304" s="387" t="s">
        <v>1945</v>
      </c>
      <c r="M304" s="387" t="s">
        <v>1946</v>
      </c>
      <c r="N304" s="388">
        <v>1121.8599999999999</v>
      </c>
      <c r="O304" s="388">
        <v>14</v>
      </c>
      <c r="P304" s="387" t="s">
        <v>538</v>
      </c>
      <c r="Q304" s="387" t="s">
        <v>539</v>
      </c>
      <c r="R304" s="387" t="s">
        <v>3487</v>
      </c>
      <c r="S304" s="387" t="s">
        <v>171</v>
      </c>
      <c r="T304" s="387" t="s">
        <v>1908</v>
      </c>
      <c r="U304" s="388">
        <v>5419</v>
      </c>
      <c r="V304" s="387">
        <v>6005534002210</v>
      </c>
      <c r="W304" s="387">
        <v>6005534002210</v>
      </c>
      <c r="X304" s="387" t="s">
        <v>543</v>
      </c>
      <c r="Y304" s="387" t="s">
        <v>543</v>
      </c>
      <c r="Z304" s="387" t="s">
        <v>543</v>
      </c>
      <c r="AA304" s="388" t="s">
        <v>543</v>
      </c>
      <c r="AB304" s="388" t="s">
        <v>543</v>
      </c>
      <c r="AC304" s="387">
        <v>708147001</v>
      </c>
      <c r="AD304" s="389">
        <v>1</v>
      </c>
      <c r="AE304" s="390">
        <v>45047</v>
      </c>
      <c r="AF304" s="390">
        <v>46142</v>
      </c>
      <c r="AG304" s="391" t="s">
        <v>545</v>
      </c>
      <c r="AH304" s="391" t="s">
        <v>3494</v>
      </c>
      <c r="AI304" s="391" t="s">
        <v>1949</v>
      </c>
      <c r="AJ304" s="391">
        <v>0</v>
      </c>
      <c r="AK304" s="390">
        <v>45047</v>
      </c>
      <c r="AL304" s="389">
        <v>100</v>
      </c>
      <c r="AM304" s="391" t="s">
        <v>548</v>
      </c>
      <c r="AN304" s="391" t="s">
        <v>549</v>
      </c>
      <c r="AO304" s="391" t="s">
        <v>3495</v>
      </c>
    </row>
    <row r="305" spans="1:41" ht="16" thickBot="1">
      <c r="A305" s="387" t="s">
        <v>1717</v>
      </c>
      <c r="B305" s="387" t="s">
        <v>3496</v>
      </c>
      <c r="C305" s="387" t="s">
        <v>3497</v>
      </c>
      <c r="D305" s="387" t="s">
        <v>3498</v>
      </c>
      <c r="E305" s="387">
        <v>28</v>
      </c>
      <c r="F305" s="387" t="s">
        <v>559</v>
      </c>
      <c r="G305" s="387">
        <v>28</v>
      </c>
      <c r="H305" s="387" t="s">
        <v>559</v>
      </c>
      <c r="I305" s="387" t="s">
        <v>560</v>
      </c>
      <c r="J305" s="387" t="s">
        <v>3485</v>
      </c>
      <c r="K305" s="387" t="s">
        <v>3499</v>
      </c>
      <c r="L305" s="387" t="s">
        <v>1945</v>
      </c>
      <c r="M305" s="387" t="s">
        <v>1946</v>
      </c>
      <c r="N305" s="388">
        <v>2243.4299999999998</v>
      </c>
      <c r="O305" s="388">
        <v>14</v>
      </c>
      <c r="P305" s="387" t="s">
        <v>538</v>
      </c>
      <c r="Q305" s="387" t="s">
        <v>539</v>
      </c>
      <c r="R305" s="387" t="s">
        <v>3487</v>
      </c>
      <c r="S305" s="387" t="s">
        <v>171</v>
      </c>
      <c r="T305" s="387" t="s">
        <v>1908</v>
      </c>
      <c r="U305" s="388">
        <v>7619</v>
      </c>
      <c r="V305" s="387">
        <v>6005534002227</v>
      </c>
      <c r="W305" s="387">
        <v>6005534002227</v>
      </c>
      <c r="X305" s="387" t="s">
        <v>543</v>
      </c>
      <c r="Y305" s="387" t="s">
        <v>543</v>
      </c>
      <c r="Z305" s="387" t="s">
        <v>543</v>
      </c>
      <c r="AA305" s="388" t="s">
        <v>543</v>
      </c>
      <c r="AB305" s="388" t="s">
        <v>543</v>
      </c>
      <c r="AC305" s="387">
        <v>708148001</v>
      </c>
      <c r="AD305" s="389">
        <v>1</v>
      </c>
      <c r="AE305" s="390">
        <v>45047</v>
      </c>
      <c r="AF305" s="390">
        <v>46142</v>
      </c>
      <c r="AG305" s="391" t="s">
        <v>545</v>
      </c>
      <c r="AH305" s="391" t="s">
        <v>3500</v>
      </c>
      <c r="AI305" s="391" t="s">
        <v>1949</v>
      </c>
      <c r="AJ305" s="391">
        <v>0</v>
      </c>
      <c r="AK305" s="390">
        <v>45047</v>
      </c>
      <c r="AL305" s="389">
        <v>100</v>
      </c>
      <c r="AM305" s="391" t="s">
        <v>548</v>
      </c>
      <c r="AN305" s="391" t="s">
        <v>549</v>
      </c>
      <c r="AO305" s="391" t="s">
        <v>3501</v>
      </c>
    </row>
    <row r="306" spans="1:41" ht="16" thickBot="1">
      <c r="A306" s="387" t="s">
        <v>1922</v>
      </c>
      <c r="B306" s="387" t="s">
        <v>573</v>
      </c>
      <c r="C306" s="387" t="s">
        <v>3502</v>
      </c>
      <c r="D306" s="387" t="s">
        <v>3503</v>
      </c>
      <c r="E306" s="387">
        <v>1</v>
      </c>
      <c r="F306" s="387" t="s">
        <v>1780</v>
      </c>
      <c r="G306" s="387">
        <v>1</v>
      </c>
      <c r="H306" s="387" t="s">
        <v>1780</v>
      </c>
      <c r="I306" s="387" t="s">
        <v>1751</v>
      </c>
      <c r="J306" s="387" t="s">
        <v>3504</v>
      </c>
      <c r="K306" s="387" t="s">
        <v>3505</v>
      </c>
      <c r="L306" s="387" t="s">
        <v>1945</v>
      </c>
      <c r="M306" s="387" t="s">
        <v>1946</v>
      </c>
      <c r="N306" s="388">
        <v>94.38</v>
      </c>
      <c r="O306" s="388">
        <v>14</v>
      </c>
      <c r="P306" s="387" t="s">
        <v>538</v>
      </c>
      <c r="Q306" s="387" t="s">
        <v>539</v>
      </c>
      <c r="R306" s="387" t="s">
        <v>3506</v>
      </c>
      <c r="S306" s="387" t="s">
        <v>541</v>
      </c>
      <c r="T306" s="387" t="s">
        <v>757</v>
      </c>
      <c r="U306" s="388">
        <v>49970</v>
      </c>
      <c r="V306" s="387">
        <v>6006267004731</v>
      </c>
      <c r="W306" s="387">
        <v>6006267004731</v>
      </c>
      <c r="X306" s="387" t="s">
        <v>543</v>
      </c>
      <c r="Y306" s="387">
        <v>16006267004738</v>
      </c>
      <c r="Z306" s="387" t="s">
        <v>543</v>
      </c>
      <c r="AA306" s="388" t="s">
        <v>543</v>
      </c>
      <c r="AB306" s="388" t="s">
        <v>543</v>
      </c>
      <c r="AC306" s="387">
        <v>898697014</v>
      </c>
      <c r="AD306" s="389" t="s">
        <v>3507</v>
      </c>
      <c r="AE306" s="390">
        <v>44620</v>
      </c>
      <c r="AF306" s="390">
        <v>45412</v>
      </c>
      <c r="AG306" s="391" t="s">
        <v>545</v>
      </c>
      <c r="AH306" s="391" t="s">
        <v>3508</v>
      </c>
      <c r="AI306" s="391" t="s">
        <v>1949</v>
      </c>
      <c r="AJ306" s="391">
        <v>0</v>
      </c>
      <c r="AK306" s="390">
        <v>44620</v>
      </c>
      <c r="AL306" s="389">
        <v>100</v>
      </c>
      <c r="AM306" s="391" t="s">
        <v>548</v>
      </c>
      <c r="AN306" s="391" t="s">
        <v>549</v>
      </c>
      <c r="AO306" s="391" t="s">
        <v>3509</v>
      </c>
    </row>
    <row r="307" spans="1:41" ht="16" thickBot="1">
      <c r="A307" s="387" t="s">
        <v>1703</v>
      </c>
      <c r="B307" s="387" t="s">
        <v>1027</v>
      </c>
      <c r="C307" s="387" t="s">
        <v>3510</v>
      </c>
      <c r="D307" s="387" t="s">
        <v>3511</v>
      </c>
      <c r="E307" s="387">
        <v>48</v>
      </c>
      <c r="F307" s="387" t="s">
        <v>559</v>
      </c>
      <c r="G307" s="387">
        <v>48</v>
      </c>
      <c r="H307" s="387" t="s">
        <v>559</v>
      </c>
      <c r="I307" s="387" t="s">
        <v>560</v>
      </c>
      <c r="J307" s="387" t="s">
        <v>3512</v>
      </c>
      <c r="K307" s="387" t="s">
        <v>3513</v>
      </c>
      <c r="L307" s="387" t="s">
        <v>562</v>
      </c>
      <c r="M307" s="387" t="s">
        <v>563</v>
      </c>
      <c r="N307" s="388">
        <v>1512.25</v>
      </c>
      <c r="O307" s="388">
        <v>14</v>
      </c>
      <c r="P307" s="387" t="s">
        <v>611</v>
      </c>
      <c r="Q307" s="387" t="s">
        <v>3265</v>
      </c>
      <c r="R307" s="387" t="s">
        <v>3514</v>
      </c>
      <c r="S307" s="387" t="s">
        <v>614</v>
      </c>
      <c r="T307" s="387" t="s">
        <v>160</v>
      </c>
      <c r="U307" s="388">
        <v>59194</v>
      </c>
      <c r="V307" s="387" t="s">
        <v>543</v>
      </c>
      <c r="W307" s="387" t="s">
        <v>543</v>
      </c>
      <c r="X307" s="387" t="s">
        <v>543</v>
      </c>
      <c r="Y307" s="387" t="s">
        <v>543</v>
      </c>
      <c r="Z307" s="387" t="s">
        <v>543</v>
      </c>
      <c r="AA307" s="388" t="s">
        <v>543</v>
      </c>
      <c r="AB307" s="388" t="s">
        <v>543</v>
      </c>
      <c r="AC307" s="387" t="s">
        <v>543</v>
      </c>
      <c r="AD307" s="389">
        <v>40</v>
      </c>
      <c r="AE307" s="390">
        <v>44470</v>
      </c>
      <c r="AF307" s="390">
        <v>45199</v>
      </c>
      <c r="AG307" s="391" t="s">
        <v>545</v>
      </c>
      <c r="AH307" s="391" t="s">
        <v>3515</v>
      </c>
      <c r="AI307" s="391" t="s">
        <v>565</v>
      </c>
      <c r="AJ307" s="391">
        <v>0</v>
      </c>
      <c r="AK307" s="390">
        <v>44470</v>
      </c>
      <c r="AL307" s="389">
        <v>100</v>
      </c>
      <c r="AM307" s="391" t="s">
        <v>548</v>
      </c>
      <c r="AN307" s="391" t="s">
        <v>549</v>
      </c>
      <c r="AO307" s="391" t="s">
        <v>3516</v>
      </c>
    </row>
    <row r="308" spans="1:41" ht="16" thickBot="1">
      <c r="A308" s="387" t="s">
        <v>1717</v>
      </c>
      <c r="B308" s="387" t="s">
        <v>3517</v>
      </c>
      <c r="C308" s="387" t="s">
        <v>3518</v>
      </c>
      <c r="D308" s="387" t="s">
        <v>3519</v>
      </c>
      <c r="E308" s="387">
        <v>30</v>
      </c>
      <c r="F308" s="387" t="s">
        <v>559</v>
      </c>
      <c r="G308" s="387">
        <v>30</v>
      </c>
      <c r="H308" s="387" t="s">
        <v>559</v>
      </c>
      <c r="I308" s="387" t="s">
        <v>560</v>
      </c>
      <c r="J308" s="387" t="s">
        <v>3520</v>
      </c>
      <c r="K308" s="387" t="s">
        <v>3521</v>
      </c>
      <c r="L308" s="387" t="s">
        <v>3522</v>
      </c>
      <c r="M308" s="387" t="s">
        <v>3523</v>
      </c>
      <c r="N308" s="388">
        <v>467.37</v>
      </c>
      <c r="O308" s="388">
        <v>14</v>
      </c>
      <c r="P308" s="387" t="s">
        <v>538</v>
      </c>
      <c r="Q308" s="387" t="s">
        <v>539</v>
      </c>
      <c r="R308" s="387" t="s">
        <v>3524</v>
      </c>
      <c r="S308" s="387" t="s">
        <v>541</v>
      </c>
      <c r="T308" s="387" t="s">
        <v>757</v>
      </c>
      <c r="U308" s="388">
        <v>18448</v>
      </c>
      <c r="V308" s="387">
        <v>6009615480065</v>
      </c>
      <c r="W308" s="387">
        <v>6009615480065</v>
      </c>
      <c r="X308" s="387" t="s">
        <v>543</v>
      </c>
      <c r="Y308" s="387" t="s">
        <v>3525</v>
      </c>
      <c r="Z308" s="387" t="s">
        <v>543</v>
      </c>
      <c r="AA308" s="388" t="s">
        <v>543</v>
      </c>
      <c r="AB308" s="388" t="s">
        <v>543</v>
      </c>
      <c r="AC308" s="387">
        <v>837563003</v>
      </c>
      <c r="AD308" s="389">
        <v>5</v>
      </c>
      <c r="AE308" s="390">
        <v>45047</v>
      </c>
      <c r="AF308" s="390">
        <v>46142</v>
      </c>
      <c r="AG308" s="391" t="s">
        <v>545</v>
      </c>
      <c r="AH308" s="391" t="s">
        <v>3526</v>
      </c>
      <c r="AI308" s="391" t="s">
        <v>3527</v>
      </c>
      <c r="AJ308" s="391">
        <v>0</v>
      </c>
      <c r="AK308" s="390">
        <v>45047</v>
      </c>
      <c r="AL308" s="389">
        <v>100</v>
      </c>
      <c r="AM308" s="391" t="s">
        <v>548</v>
      </c>
      <c r="AN308" s="391" t="s">
        <v>549</v>
      </c>
      <c r="AO308" s="391" t="s">
        <v>3528</v>
      </c>
    </row>
    <row r="309" spans="1:41" ht="16" thickBot="1">
      <c r="A309" s="387" t="s">
        <v>1717</v>
      </c>
      <c r="B309" s="387" t="s">
        <v>3529</v>
      </c>
      <c r="C309" s="387" t="s">
        <v>3530</v>
      </c>
      <c r="D309" s="387" t="s">
        <v>3531</v>
      </c>
      <c r="E309" s="387">
        <v>30</v>
      </c>
      <c r="F309" s="387" t="s">
        <v>559</v>
      </c>
      <c r="G309" s="387">
        <v>30</v>
      </c>
      <c r="H309" s="387" t="s">
        <v>559</v>
      </c>
      <c r="I309" s="387" t="s">
        <v>560</v>
      </c>
      <c r="J309" s="387" t="s">
        <v>3520</v>
      </c>
      <c r="K309" s="387" t="s">
        <v>3532</v>
      </c>
      <c r="L309" s="387" t="s">
        <v>3522</v>
      </c>
      <c r="M309" s="387" t="s">
        <v>3523</v>
      </c>
      <c r="N309" s="388">
        <v>613.48</v>
      </c>
      <c r="O309" s="388">
        <v>14</v>
      </c>
      <c r="P309" s="387" t="s">
        <v>538</v>
      </c>
      <c r="Q309" s="387" t="s">
        <v>539</v>
      </c>
      <c r="R309" s="387" t="s">
        <v>3524</v>
      </c>
      <c r="S309" s="387" t="s">
        <v>541</v>
      </c>
      <c r="T309" s="387" t="s">
        <v>757</v>
      </c>
      <c r="U309" s="388">
        <v>15019</v>
      </c>
      <c r="V309" s="387">
        <v>6009615480133</v>
      </c>
      <c r="W309" s="387">
        <v>6009615480133</v>
      </c>
      <c r="X309" s="387" t="s">
        <v>543</v>
      </c>
      <c r="Y309" s="387" t="s">
        <v>3533</v>
      </c>
      <c r="Z309" s="387" t="s">
        <v>543</v>
      </c>
      <c r="AA309" s="388" t="s">
        <v>543</v>
      </c>
      <c r="AB309" s="388" t="s">
        <v>543</v>
      </c>
      <c r="AC309" s="387">
        <v>703639003</v>
      </c>
      <c r="AD309" s="389">
        <v>5</v>
      </c>
      <c r="AE309" s="390">
        <v>45047</v>
      </c>
      <c r="AF309" s="390">
        <v>46142</v>
      </c>
      <c r="AG309" s="391" t="s">
        <v>545</v>
      </c>
      <c r="AH309" s="391" t="s">
        <v>3534</v>
      </c>
      <c r="AI309" s="391" t="s">
        <v>3527</v>
      </c>
      <c r="AJ309" s="391">
        <v>0</v>
      </c>
      <c r="AK309" s="390">
        <v>45047</v>
      </c>
      <c r="AL309" s="389">
        <v>100</v>
      </c>
      <c r="AM309" s="391" t="s">
        <v>548</v>
      </c>
      <c r="AN309" s="391" t="s">
        <v>549</v>
      </c>
      <c r="AO309" s="391" t="s">
        <v>3535</v>
      </c>
    </row>
    <row r="310" spans="1:41" ht="16" thickBot="1">
      <c r="A310" s="387" t="s">
        <v>2294</v>
      </c>
      <c r="B310" s="387" t="s">
        <v>537</v>
      </c>
      <c r="C310" s="387" t="s">
        <v>3536</v>
      </c>
      <c r="D310" s="387" t="s">
        <v>3537</v>
      </c>
      <c r="E310" s="387">
        <v>5</v>
      </c>
      <c r="F310" s="387" t="s">
        <v>531</v>
      </c>
      <c r="G310" s="387">
        <v>50</v>
      </c>
      <c r="H310" s="387" t="s">
        <v>2437</v>
      </c>
      <c r="I310" s="387" t="s">
        <v>2438</v>
      </c>
      <c r="J310" s="387" t="s">
        <v>3520</v>
      </c>
      <c r="K310" s="387" t="s">
        <v>3538</v>
      </c>
      <c r="L310" s="387" t="s">
        <v>3522</v>
      </c>
      <c r="M310" s="387" t="s">
        <v>3523</v>
      </c>
      <c r="N310" s="388">
        <v>824.6</v>
      </c>
      <c r="O310" s="388">
        <v>14</v>
      </c>
      <c r="P310" s="387" t="s">
        <v>538</v>
      </c>
      <c r="Q310" s="387" t="s">
        <v>539</v>
      </c>
      <c r="R310" s="387" t="s">
        <v>3524</v>
      </c>
      <c r="S310" s="387" t="s">
        <v>541</v>
      </c>
      <c r="T310" s="387" t="s">
        <v>757</v>
      </c>
      <c r="U310" s="388">
        <v>6135</v>
      </c>
      <c r="V310" s="387">
        <v>6009615480041</v>
      </c>
      <c r="W310" s="387" t="s">
        <v>543</v>
      </c>
      <c r="X310" s="387" t="s">
        <v>543</v>
      </c>
      <c r="Y310" s="387" t="s">
        <v>543</v>
      </c>
      <c r="Z310" s="387" t="s">
        <v>543</v>
      </c>
      <c r="AA310" s="388" t="s">
        <v>543</v>
      </c>
      <c r="AB310" s="388" t="s">
        <v>543</v>
      </c>
      <c r="AC310" s="387" t="s">
        <v>543</v>
      </c>
      <c r="AD310" s="389">
        <v>5</v>
      </c>
      <c r="AE310" s="390">
        <v>44013</v>
      </c>
      <c r="AF310" s="390">
        <v>45107</v>
      </c>
      <c r="AG310" s="390">
        <v>45107</v>
      </c>
      <c r="AH310" s="391" t="s">
        <v>3539</v>
      </c>
      <c r="AI310" s="391" t="s">
        <v>3527</v>
      </c>
      <c r="AJ310" s="391">
        <v>47</v>
      </c>
      <c r="AK310" s="390">
        <v>44409</v>
      </c>
      <c r="AL310" s="389">
        <v>100</v>
      </c>
      <c r="AM310" s="391" t="s">
        <v>548</v>
      </c>
      <c r="AN310" s="391" t="s">
        <v>545</v>
      </c>
      <c r="AO310" s="391" t="s">
        <v>3540</v>
      </c>
    </row>
    <row r="311" spans="1:41" ht="16" thickBot="1">
      <c r="A311" s="387" t="s">
        <v>1717</v>
      </c>
      <c r="B311" s="387" t="s">
        <v>3541</v>
      </c>
      <c r="C311" s="387" t="s">
        <v>3542</v>
      </c>
      <c r="D311" s="387" t="s">
        <v>3543</v>
      </c>
      <c r="E311" s="387">
        <v>30</v>
      </c>
      <c r="F311" s="387" t="s">
        <v>559</v>
      </c>
      <c r="G311" s="387">
        <v>30</v>
      </c>
      <c r="H311" s="387" t="s">
        <v>559</v>
      </c>
      <c r="I311" s="387" t="s">
        <v>560</v>
      </c>
      <c r="J311" s="387" t="s">
        <v>3520</v>
      </c>
      <c r="K311" s="387" t="s">
        <v>3544</v>
      </c>
      <c r="L311" s="387" t="s">
        <v>3522</v>
      </c>
      <c r="M311" s="387" t="s">
        <v>3523</v>
      </c>
      <c r="N311" s="388">
        <v>611.62</v>
      </c>
      <c r="O311" s="388">
        <v>14</v>
      </c>
      <c r="P311" s="387" t="s">
        <v>538</v>
      </c>
      <c r="Q311" s="387" t="s">
        <v>539</v>
      </c>
      <c r="R311" s="387" t="s">
        <v>3524</v>
      </c>
      <c r="S311" s="387" t="s">
        <v>171</v>
      </c>
      <c r="T311" s="387" t="s">
        <v>757</v>
      </c>
      <c r="U311" s="388">
        <v>1698</v>
      </c>
      <c r="V311" s="387" t="s">
        <v>543</v>
      </c>
      <c r="W311" s="387" t="s">
        <v>543</v>
      </c>
      <c r="X311" s="387" t="s">
        <v>543</v>
      </c>
      <c r="Y311" s="387" t="s">
        <v>543</v>
      </c>
      <c r="Z311" s="387" t="s">
        <v>543</v>
      </c>
      <c r="AA311" s="388" t="s">
        <v>543</v>
      </c>
      <c r="AB311" s="388" t="s">
        <v>543</v>
      </c>
      <c r="AC311" s="387" t="s">
        <v>543</v>
      </c>
      <c r="AD311" s="389">
        <v>5</v>
      </c>
      <c r="AE311" s="390">
        <v>45047</v>
      </c>
      <c r="AF311" s="390">
        <v>46142</v>
      </c>
      <c r="AG311" s="391" t="s">
        <v>545</v>
      </c>
      <c r="AH311" s="391" t="s">
        <v>3545</v>
      </c>
      <c r="AI311" s="391" t="s">
        <v>3527</v>
      </c>
      <c r="AJ311" s="391">
        <v>0</v>
      </c>
      <c r="AK311" s="390">
        <v>45047</v>
      </c>
      <c r="AL311" s="389">
        <v>100</v>
      </c>
      <c r="AM311" s="391" t="s">
        <v>548</v>
      </c>
      <c r="AN311" s="391" t="s">
        <v>549</v>
      </c>
      <c r="AO311" s="391" t="s">
        <v>3546</v>
      </c>
    </row>
    <row r="312" spans="1:41" ht="16" thickBot="1">
      <c r="A312" s="387" t="s">
        <v>1717</v>
      </c>
      <c r="B312" s="387" t="s">
        <v>3547</v>
      </c>
      <c r="C312" s="387" t="s">
        <v>3548</v>
      </c>
      <c r="D312" s="387" t="s">
        <v>3549</v>
      </c>
      <c r="E312" s="387">
        <v>30</v>
      </c>
      <c r="F312" s="387" t="s">
        <v>559</v>
      </c>
      <c r="G312" s="387">
        <v>30</v>
      </c>
      <c r="H312" s="387" t="s">
        <v>559</v>
      </c>
      <c r="I312" s="387" t="s">
        <v>560</v>
      </c>
      <c r="J312" s="387" t="s">
        <v>3520</v>
      </c>
      <c r="K312" s="387" t="s">
        <v>3550</v>
      </c>
      <c r="L312" s="387" t="s">
        <v>3522</v>
      </c>
      <c r="M312" s="387" t="s">
        <v>3523</v>
      </c>
      <c r="N312" s="388">
        <v>1224</v>
      </c>
      <c r="O312" s="388">
        <v>14</v>
      </c>
      <c r="P312" s="387" t="s">
        <v>538</v>
      </c>
      <c r="Q312" s="387" t="s">
        <v>539</v>
      </c>
      <c r="R312" s="387" t="s">
        <v>3524</v>
      </c>
      <c r="S312" s="387" t="s">
        <v>171</v>
      </c>
      <c r="T312" s="387" t="s">
        <v>757</v>
      </c>
      <c r="U312" s="388">
        <v>825</v>
      </c>
      <c r="V312" s="387" t="s">
        <v>543</v>
      </c>
      <c r="W312" s="387" t="s">
        <v>543</v>
      </c>
      <c r="X312" s="387" t="s">
        <v>543</v>
      </c>
      <c r="Y312" s="387" t="s">
        <v>543</v>
      </c>
      <c r="Z312" s="387" t="s">
        <v>543</v>
      </c>
      <c r="AA312" s="388" t="s">
        <v>543</v>
      </c>
      <c r="AB312" s="388" t="s">
        <v>543</v>
      </c>
      <c r="AC312" s="387" t="s">
        <v>543</v>
      </c>
      <c r="AD312" s="389">
        <v>5</v>
      </c>
      <c r="AE312" s="390">
        <v>45047</v>
      </c>
      <c r="AF312" s="390">
        <v>46142</v>
      </c>
      <c r="AG312" s="391" t="s">
        <v>545</v>
      </c>
      <c r="AH312" s="391" t="s">
        <v>3551</v>
      </c>
      <c r="AI312" s="391" t="s">
        <v>3527</v>
      </c>
      <c r="AJ312" s="391">
        <v>0</v>
      </c>
      <c r="AK312" s="390">
        <v>45047</v>
      </c>
      <c r="AL312" s="389">
        <v>100</v>
      </c>
      <c r="AM312" s="391" t="s">
        <v>548</v>
      </c>
      <c r="AN312" s="391" t="s">
        <v>549</v>
      </c>
      <c r="AO312" s="391" t="s">
        <v>3552</v>
      </c>
    </row>
    <row r="313" spans="1:41" ht="16" thickBot="1">
      <c r="A313" s="387" t="s">
        <v>1748</v>
      </c>
      <c r="B313" s="387" t="s">
        <v>2054</v>
      </c>
      <c r="C313" s="387" t="s">
        <v>3553</v>
      </c>
      <c r="D313" s="387" t="s">
        <v>3554</v>
      </c>
      <c r="E313" s="387">
        <v>1</v>
      </c>
      <c r="F313" s="387" t="s">
        <v>1780</v>
      </c>
      <c r="G313" s="387">
        <v>1</v>
      </c>
      <c r="H313" s="387" t="s">
        <v>1780</v>
      </c>
      <c r="I313" s="387" t="s">
        <v>1751</v>
      </c>
      <c r="J313" s="387" t="s">
        <v>3520</v>
      </c>
      <c r="K313" s="387" t="s">
        <v>3555</v>
      </c>
      <c r="L313" s="387" t="s">
        <v>3522</v>
      </c>
      <c r="M313" s="387" t="s">
        <v>3523</v>
      </c>
      <c r="N313" s="388">
        <v>97.95</v>
      </c>
      <c r="O313" s="388">
        <v>14</v>
      </c>
      <c r="P313" s="387" t="s">
        <v>538</v>
      </c>
      <c r="Q313" s="387" t="s">
        <v>539</v>
      </c>
      <c r="R313" s="387" t="s">
        <v>3524</v>
      </c>
      <c r="S313" s="387" t="s">
        <v>541</v>
      </c>
      <c r="T313" s="387" t="s">
        <v>757</v>
      </c>
      <c r="U313" s="388">
        <v>9660</v>
      </c>
      <c r="V313" s="387">
        <v>6005534000131</v>
      </c>
      <c r="W313" s="387">
        <v>6005534000131</v>
      </c>
      <c r="X313" s="387" t="s">
        <v>543</v>
      </c>
      <c r="Y313" s="387" t="s">
        <v>543</v>
      </c>
      <c r="Z313" s="387" t="s">
        <v>543</v>
      </c>
      <c r="AA313" s="388" t="s">
        <v>543</v>
      </c>
      <c r="AB313" s="388" t="s">
        <v>543</v>
      </c>
      <c r="AC313" s="387">
        <v>719110009</v>
      </c>
      <c r="AD313" s="389" t="s">
        <v>3556</v>
      </c>
      <c r="AE313" s="390">
        <v>44317</v>
      </c>
      <c r="AF313" s="390">
        <v>45412</v>
      </c>
      <c r="AG313" s="391" t="s">
        <v>545</v>
      </c>
      <c r="AH313" s="391" t="s">
        <v>3557</v>
      </c>
      <c r="AI313" s="391" t="s">
        <v>3527</v>
      </c>
      <c r="AJ313" s="391">
        <v>0</v>
      </c>
      <c r="AK313" s="390">
        <v>44317</v>
      </c>
      <c r="AL313" s="389">
        <v>100</v>
      </c>
      <c r="AM313" s="391" t="s">
        <v>548</v>
      </c>
      <c r="AN313" s="391" t="s">
        <v>549</v>
      </c>
      <c r="AO313" s="391" t="s">
        <v>3558</v>
      </c>
    </row>
    <row r="314" spans="1:41" ht="16" thickBot="1">
      <c r="A314" s="387" t="s">
        <v>1766</v>
      </c>
      <c r="B314" s="387" t="s">
        <v>3559</v>
      </c>
      <c r="C314" s="387" t="s">
        <v>3560</v>
      </c>
      <c r="D314" s="387" t="s">
        <v>3561</v>
      </c>
      <c r="E314" s="387">
        <v>5</v>
      </c>
      <c r="F314" s="387" t="s">
        <v>531</v>
      </c>
      <c r="G314" s="387">
        <v>100</v>
      </c>
      <c r="H314" s="387" t="s">
        <v>2297</v>
      </c>
      <c r="I314" s="387" t="s">
        <v>2298</v>
      </c>
      <c r="J314" s="387" t="s">
        <v>3562</v>
      </c>
      <c r="K314" s="387" t="s">
        <v>3563</v>
      </c>
      <c r="L314" s="387" t="s">
        <v>1945</v>
      </c>
      <c r="M314" s="387" t="s">
        <v>1946</v>
      </c>
      <c r="N314" s="388">
        <v>16.61</v>
      </c>
      <c r="O314" s="388">
        <v>14</v>
      </c>
      <c r="P314" s="387" t="s">
        <v>611</v>
      </c>
      <c r="Q314" s="387" t="s">
        <v>612</v>
      </c>
      <c r="R314" s="387" t="s">
        <v>3564</v>
      </c>
      <c r="S314" s="387" t="s">
        <v>614</v>
      </c>
      <c r="T314" s="387" t="s">
        <v>160</v>
      </c>
      <c r="U314" s="388">
        <v>272160</v>
      </c>
      <c r="V314" s="387">
        <v>6005667006307</v>
      </c>
      <c r="W314" s="387" t="s">
        <v>543</v>
      </c>
      <c r="X314" s="387" t="s">
        <v>543</v>
      </c>
      <c r="Y314" s="387" t="s">
        <v>543</v>
      </c>
      <c r="Z314" s="387" t="s">
        <v>543</v>
      </c>
      <c r="AA314" s="388" t="s">
        <v>543</v>
      </c>
      <c r="AB314" s="388" t="s">
        <v>543</v>
      </c>
      <c r="AC314" s="387">
        <v>740454005</v>
      </c>
      <c r="AD314" s="389">
        <v>1</v>
      </c>
      <c r="AE314" s="390">
        <v>44470</v>
      </c>
      <c r="AF314" s="390">
        <v>45199</v>
      </c>
      <c r="AG314" s="391" t="s">
        <v>545</v>
      </c>
      <c r="AH314" s="391" t="s">
        <v>3565</v>
      </c>
      <c r="AI314" s="391" t="s">
        <v>1949</v>
      </c>
      <c r="AJ314" s="391">
        <v>0</v>
      </c>
      <c r="AK314" s="390">
        <v>44470</v>
      </c>
      <c r="AL314" s="389">
        <v>100</v>
      </c>
      <c r="AM314" s="391" t="s">
        <v>548</v>
      </c>
      <c r="AN314" s="391" t="s">
        <v>549</v>
      </c>
      <c r="AO314" s="391" t="s">
        <v>3566</v>
      </c>
    </row>
    <row r="315" spans="1:41" ht="16" thickBot="1">
      <c r="A315" s="387" t="s">
        <v>1766</v>
      </c>
      <c r="B315" s="387" t="s">
        <v>3567</v>
      </c>
      <c r="C315" s="387" t="s">
        <v>3568</v>
      </c>
      <c r="D315" s="387" t="s">
        <v>3569</v>
      </c>
      <c r="E315" s="387">
        <v>3.5</v>
      </c>
      <c r="F315" s="387" t="s">
        <v>2180</v>
      </c>
      <c r="G315" s="387">
        <v>3.5</v>
      </c>
      <c r="H315" s="387" t="s">
        <v>2180</v>
      </c>
      <c r="I315" s="387" t="s">
        <v>3023</v>
      </c>
      <c r="J315" s="387" t="s">
        <v>3562</v>
      </c>
      <c r="K315" s="387" t="s">
        <v>3570</v>
      </c>
      <c r="L315" s="387" t="s">
        <v>1945</v>
      </c>
      <c r="M315" s="387" t="s">
        <v>1946</v>
      </c>
      <c r="N315" s="388">
        <v>29.06</v>
      </c>
      <c r="O315" s="388">
        <v>14</v>
      </c>
      <c r="P315" s="387" t="s">
        <v>611</v>
      </c>
      <c r="Q315" s="387" t="s">
        <v>612</v>
      </c>
      <c r="R315" s="387" t="s">
        <v>3564</v>
      </c>
      <c r="S315" s="387" t="s">
        <v>614</v>
      </c>
      <c r="T315" s="387" t="s">
        <v>160</v>
      </c>
      <c r="U315" s="388">
        <v>131390</v>
      </c>
      <c r="V315" s="387">
        <v>6005667006314</v>
      </c>
      <c r="W315" s="387" t="s">
        <v>543</v>
      </c>
      <c r="X315" s="387" t="s">
        <v>543</v>
      </c>
      <c r="Y315" s="387" t="s">
        <v>543</v>
      </c>
      <c r="Z315" s="387" t="s">
        <v>543</v>
      </c>
      <c r="AA315" s="388" t="s">
        <v>543</v>
      </c>
      <c r="AB315" s="388" t="s">
        <v>543</v>
      </c>
      <c r="AC315" s="387">
        <v>740462008</v>
      </c>
      <c r="AD315" s="389">
        <v>1</v>
      </c>
      <c r="AE315" s="390">
        <v>44470</v>
      </c>
      <c r="AF315" s="390">
        <v>45199</v>
      </c>
      <c r="AG315" s="391" t="s">
        <v>545</v>
      </c>
      <c r="AH315" s="391" t="s">
        <v>3571</v>
      </c>
      <c r="AI315" s="391" t="s">
        <v>1949</v>
      </c>
      <c r="AJ315" s="391">
        <v>0</v>
      </c>
      <c r="AK315" s="390">
        <v>44470</v>
      </c>
      <c r="AL315" s="389">
        <v>100</v>
      </c>
      <c r="AM315" s="391" t="s">
        <v>548</v>
      </c>
      <c r="AN315" s="391" t="s">
        <v>549</v>
      </c>
      <c r="AO315" s="391" t="s">
        <v>3572</v>
      </c>
    </row>
    <row r="316" spans="1:41" ht="16" thickBot="1">
      <c r="A316" s="387" t="s">
        <v>2294</v>
      </c>
      <c r="B316" s="387" t="s">
        <v>1890</v>
      </c>
      <c r="C316" s="387" t="s">
        <v>3573</v>
      </c>
      <c r="D316" s="387" t="s">
        <v>3574</v>
      </c>
      <c r="E316" s="387">
        <v>5</v>
      </c>
      <c r="F316" s="387" t="s">
        <v>531</v>
      </c>
      <c r="G316" s="387">
        <v>100</v>
      </c>
      <c r="H316" s="387" t="s">
        <v>2297</v>
      </c>
      <c r="I316" s="387" t="s">
        <v>2298</v>
      </c>
      <c r="J316" s="387" t="s">
        <v>3575</v>
      </c>
      <c r="K316" s="387" t="s">
        <v>3576</v>
      </c>
      <c r="L316" s="387" t="s">
        <v>1945</v>
      </c>
      <c r="M316" s="387" t="s">
        <v>1946</v>
      </c>
      <c r="N316" s="388">
        <v>12.32</v>
      </c>
      <c r="O316" s="388">
        <v>14</v>
      </c>
      <c r="P316" s="387" t="s">
        <v>538</v>
      </c>
      <c r="Q316" s="387" t="s">
        <v>539</v>
      </c>
      <c r="R316" s="387" t="s">
        <v>3577</v>
      </c>
      <c r="S316" s="387" t="s">
        <v>171</v>
      </c>
      <c r="T316" s="387" t="s">
        <v>757</v>
      </c>
      <c r="U316" s="388">
        <v>589004</v>
      </c>
      <c r="V316" s="387">
        <v>6005667006154</v>
      </c>
      <c r="W316" s="387" t="s">
        <v>543</v>
      </c>
      <c r="X316" s="387" t="s">
        <v>543</v>
      </c>
      <c r="Y316" s="387" t="s">
        <v>543</v>
      </c>
      <c r="Z316" s="387" t="s">
        <v>543</v>
      </c>
      <c r="AA316" s="388" t="s">
        <v>543</v>
      </c>
      <c r="AB316" s="388" t="s">
        <v>543</v>
      </c>
      <c r="AC316" s="387">
        <v>740446002</v>
      </c>
      <c r="AD316" s="389">
        <v>1</v>
      </c>
      <c r="AE316" s="390">
        <v>44013</v>
      </c>
      <c r="AF316" s="390">
        <v>45107</v>
      </c>
      <c r="AG316" s="390">
        <v>45107</v>
      </c>
      <c r="AH316" s="391" t="s">
        <v>3578</v>
      </c>
      <c r="AI316" s="391" t="s">
        <v>1949</v>
      </c>
      <c r="AJ316" s="391">
        <v>0</v>
      </c>
      <c r="AK316" s="390">
        <v>44013</v>
      </c>
      <c r="AL316" s="389">
        <v>100</v>
      </c>
      <c r="AM316" s="391" t="s">
        <v>548</v>
      </c>
      <c r="AN316" s="391" t="s">
        <v>545</v>
      </c>
      <c r="AO316" s="391" t="s">
        <v>3579</v>
      </c>
    </row>
    <row r="317" spans="1:41" ht="16" thickBot="1">
      <c r="A317" s="387" t="s">
        <v>1748</v>
      </c>
      <c r="B317" s="387" t="s">
        <v>557</v>
      </c>
      <c r="C317" s="387" t="s">
        <v>3580</v>
      </c>
      <c r="D317" s="387" t="s">
        <v>3581</v>
      </c>
      <c r="E317" s="387">
        <v>1</v>
      </c>
      <c r="F317" s="387" t="s">
        <v>531</v>
      </c>
      <c r="G317" s="387">
        <v>1</v>
      </c>
      <c r="H317" s="387" t="s">
        <v>531</v>
      </c>
      <c r="I317" s="387" t="s">
        <v>1751</v>
      </c>
      <c r="J317" s="387" t="s">
        <v>3575</v>
      </c>
      <c r="K317" s="387" t="s">
        <v>3582</v>
      </c>
      <c r="L317" s="387" t="s">
        <v>1955</v>
      </c>
      <c r="M317" s="387" t="s">
        <v>1956</v>
      </c>
      <c r="N317" s="388">
        <v>8.6999999999999993</v>
      </c>
      <c r="O317" s="388">
        <v>14</v>
      </c>
      <c r="P317" s="387" t="s">
        <v>538</v>
      </c>
      <c r="Q317" s="387" t="s">
        <v>539</v>
      </c>
      <c r="R317" s="387" t="s">
        <v>3583</v>
      </c>
      <c r="S317" s="387" t="s">
        <v>541</v>
      </c>
      <c r="T317" s="387" t="s">
        <v>757</v>
      </c>
      <c r="U317" s="388">
        <v>527030</v>
      </c>
      <c r="V317" s="387">
        <v>6006267005424</v>
      </c>
      <c r="W317" s="387">
        <v>6006267005424</v>
      </c>
      <c r="X317" s="387" t="s">
        <v>543</v>
      </c>
      <c r="Y317" s="387">
        <v>16006267005421</v>
      </c>
      <c r="Z317" s="387" t="s">
        <v>543</v>
      </c>
      <c r="AA317" s="388" t="s">
        <v>543</v>
      </c>
      <c r="AB317" s="388" t="s">
        <v>543</v>
      </c>
      <c r="AC317" s="387">
        <v>720206001</v>
      </c>
      <c r="AD317" s="389" t="s">
        <v>2308</v>
      </c>
      <c r="AE317" s="390">
        <v>44317</v>
      </c>
      <c r="AF317" s="390">
        <v>45412</v>
      </c>
      <c r="AG317" s="391" t="s">
        <v>545</v>
      </c>
      <c r="AH317" s="391" t="s">
        <v>3584</v>
      </c>
      <c r="AI317" s="391" t="s">
        <v>1959</v>
      </c>
      <c r="AJ317" s="391">
        <v>0</v>
      </c>
      <c r="AK317" s="390">
        <v>44317</v>
      </c>
      <c r="AL317" s="389">
        <v>10</v>
      </c>
      <c r="AM317" s="391" t="s">
        <v>548</v>
      </c>
      <c r="AN317" s="391" t="s">
        <v>549</v>
      </c>
      <c r="AO317" s="391" t="s">
        <v>3585</v>
      </c>
    </row>
    <row r="318" spans="1:41" ht="16" thickBot="1">
      <c r="A318" s="387" t="s">
        <v>1748</v>
      </c>
      <c r="B318" s="387" t="s">
        <v>557</v>
      </c>
      <c r="C318" s="387" t="s">
        <v>3580</v>
      </c>
      <c r="D318" s="387" t="s">
        <v>3581</v>
      </c>
      <c r="E318" s="387">
        <v>1</v>
      </c>
      <c r="F318" s="387" t="s">
        <v>531</v>
      </c>
      <c r="G318" s="387">
        <v>1</v>
      </c>
      <c r="H318" s="387" t="s">
        <v>531</v>
      </c>
      <c r="I318" s="387" t="s">
        <v>1751</v>
      </c>
      <c r="J318" s="387" t="s">
        <v>3575</v>
      </c>
      <c r="K318" s="387" t="s">
        <v>3586</v>
      </c>
      <c r="L318" s="387" t="s">
        <v>2312</v>
      </c>
      <c r="M318" s="387" t="s">
        <v>2313</v>
      </c>
      <c r="N318" s="388">
        <v>5.4</v>
      </c>
      <c r="O318" s="388">
        <v>14</v>
      </c>
      <c r="P318" s="387" t="s">
        <v>538</v>
      </c>
      <c r="Q318" s="387" t="s">
        <v>539</v>
      </c>
      <c r="R318" s="387" t="s">
        <v>3583</v>
      </c>
      <c r="S318" s="387" t="s">
        <v>541</v>
      </c>
      <c r="T318" s="387" t="s">
        <v>757</v>
      </c>
      <c r="U318" s="388">
        <v>4743270</v>
      </c>
      <c r="V318" s="387">
        <v>6009802416129</v>
      </c>
      <c r="W318" s="387">
        <v>6009802416129</v>
      </c>
      <c r="X318" s="387" t="s">
        <v>543</v>
      </c>
      <c r="Y318" s="387">
        <v>16009802416126</v>
      </c>
      <c r="Z318" s="387" t="s">
        <v>543</v>
      </c>
      <c r="AA318" s="388" t="s">
        <v>543</v>
      </c>
      <c r="AB318" s="388" t="s">
        <v>543</v>
      </c>
      <c r="AC318" s="387">
        <v>701589001</v>
      </c>
      <c r="AD318" s="389">
        <v>400</v>
      </c>
      <c r="AE318" s="390">
        <v>44317</v>
      </c>
      <c r="AF318" s="390">
        <v>45412</v>
      </c>
      <c r="AG318" s="391" t="s">
        <v>545</v>
      </c>
      <c r="AH318" s="391" t="s">
        <v>3584</v>
      </c>
      <c r="AI318" s="391" t="s">
        <v>2314</v>
      </c>
      <c r="AJ318" s="391">
        <v>0</v>
      </c>
      <c r="AK318" s="390">
        <v>44317</v>
      </c>
      <c r="AL318" s="389">
        <v>90</v>
      </c>
      <c r="AM318" s="391" t="s">
        <v>548</v>
      </c>
      <c r="AN318" s="391" t="s">
        <v>549</v>
      </c>
      <c r="AO318" s="391" t="s">
        <v>3585</v>
      </c>
    </row>
    <row r="319" spans="1:41" ht="16" thickBot="1">
      <c r="A319" s="387" t="s">
        <v>1748</v>
      </c>
      <c r="B319" s="387" t="s">
        <v>972</v>
      </c>
      <c r="C319" s="387" t="s">
        <v>3587</v>
      </c>
      <c r="D319" s="387" t="s">
        <v>3588</v>
      </c>
      <c r="E319" s="387">
        <v>2</v>
      </c>
      <c r="F319" s="387" t="s">
        <v>531</v>
      </c>
      <c r="G319" s="387">
        <v>2</v>
      </c>
      <c r="H319" s="387" t="s">
        <v>531</v>
      </c>
      <c r="I319" s="387" t="s">
        <v>1751</v>
      </c>
      <c r="J319" s="387" t="s">
        <v>3589</v>
      </c>
      <c r="K319" s="387" t="s">
        <v>3590</v>
      </c>
      <c r="L319" s="387" t="s">
        <v>1916</v>
      </c>
      <c r="M319" s="387" t="s">
        <v>1917</v>
      </c>
      <c r="N319" s="388">
        <v>510.82</v>
      </c>
      <c r="O319" s="388">
        <v>14</v>
      </c>
      <c r="P319" s="387" t="s">
        <v>611</v>
      </c>
      <c r="Q319" s="387" t="s">
        <v>668</v>
      </c>
      <c r="R319" s="387" t="s">
        <v>3591</v>
      </c>
      <c r="S319" s="387" t="s">
        <v>614</v>
      </c>
      <c r="T319" s="387" t="s">
        <v>160</v>
      </c>
      <c r="U319" s="388">
        <v>58320</v>
      </c>
      <c r="V319" s="387">
        <v>6001135510642</v>
      </c>
      <c r="W319" s="387" t="s">
        <v>543</v>
      </c>
      <c r="X319" s="387" t="s">
        <v>543</v>
      </c>
      <c r="Y319" s="387" t="s">
        <v>543</v>
      </c>
      <c r="Z319" s="387" t="s">
        <v>543</v>
      </c>
      <c r="AA319" s="388" t="s">
        <v>543</v>
      </c>
      <c r="AB319" s="388" t="s">
        <v>543</v>
      </c>
      <c r="AC319" s="387">
        <v>702992002</v>
      </c>
      <c r="AD319" s="389">
        <v>5</v>
      </c>
      <c r="AE319" s="390">
        <v>44317</v>
      </c>
      <c r="AF319" s="390">
        <v>45412</v>
      </c>
      <c r="AG319" s="391" t="s">
        <v>545</v>
      </c>
      <c r="AH319" s="391" t="s">
        <v>3592</v>
      </c>
      <c r="AI319" s="391" t="s">
        <v>1920</v>
      </c>
      <c r="AJ319" s="391">
        <v>0</v>
      </c>
      <c r="AK319" s="390">
        <v>44317</v>
      </c>
      <c r="AL319" s="389">
        <v>100</v>
      </c>
      <c r="AM319" s="391" t="s">
        <v>548</v>
      </c>
      <c r="AN319" s="391" t="s">
        <v>549</v>
      </c>
      <c r="AO319" s="391" t="s">
        <v>3593</v>
      </c>
    </row>
    <row r="320" spans="1:41" ht="16" thickBot="1">
      <c r="A320" s="387" t="s">
        <v>1748</v>
      </c>
      <c r="B320" s="387" t="s">
        <v>1006</v>
      </c>
      <c r="C320" s="387" t="s">
        <v>3594</v>
      </c>
      <c r="D320" s="387" t="s">
        <v>3595</v>
      </c>
      <c r="E320" s="387">
        <v>20</v>
      </c>
      <c r="F320" s="387" t="s">
        <v>531</v>
      </c>
      <c r="G320" s="387">
        <v>20</v>
      </c>
      <c r="H320" s="387" t="s">
        <v>531</v>
      </c>
      <c r="I320" s="387" t="s">
        <v>1751</v>
      </c>
      <c r="J320" s="387" t="s">
        <v>3596</v>
      </c>
      <c r="K320" s="387" t="s">
        <v>3597</v>
      </c>
      <c r="L320" s="387" t="s">
        <v>1955</v>
      </c>
      <c r="M320" s="387" t="s">
        <v>1956</v>
      </c>
      <c r="N320" s="388">
        <v>19.809999999999999</v>
      </c>
      <c r="O320" s="388">
        <v>14</v>
      </c>
      <c r="P320" s="387" t="s">
        <v>538</v>
      </c>
      <c r="Q320" s="387" t="s">
        <v>539</v>
      </c>
      <c r="R320" s="387" t="s">
        <v>3598</v>
      </c>
      <c r="S320" s="387" t="s">
        <v>541</v>
      </c>
      <c r="T320" s="387" t="s">
        <v>542</v>
      </c>
      <c r="U320" s="388">
        <v>1293980</v>
      </c>
      <c r="V320" s="387">
        <v>6006267000467</v>
      </c>
      <c r="W320" s="387">
        <v>6006267000467</v>
      </c>
      <c r="X320" s="387" t="s">
        <v>543</v>
      </c>
      <c r="Y320" s="387">
        <v>16006267000464</v>
      </c>
      <c r="Z320" s="387" t="s">
        <v>543</v>
      </c>
      <c r="AA320" s="388" t="s">
        <v>543</v>
      </c>
      <c r="AB320" s="388" t="s">
        <v>543</v>
      </c>
      <c r="AC320" s="387">
        <v>782246001</v>
      </c>
      <c r="AD320" s="389" t="s">
        <v>2308</v>
      </c>
      <c r="AE320" s="390">
        <v>44317</v>
      </c>
      <c r="AF320" s="390">
        <v>45412</v>
      </c>
      <c r="AG320" s="391" t="s">
        <v>545</v>
      </c>
      <c r="AH320" s="391" t="s">
        <v>3599</v>
      </c>
      <c r="AI320" s="391" t="s">
        <v>1959</v>
      </c>
      <c r="AJ320" s="391">
        <v>0</v>
      </c>
      <c r="AK320" s="390">
        <v>44317</v>
      </c>
      <c r="AL320" s="389">
        <v>100</v>
      </c>
      <c r="AM320" s="391" t="s">
        <v>548</v>
      </c>
      <c r="AN320" s="391" t="s">
        <v>549</v>
      </c>
      <c r="AO320" s="391" t="s">
        <v>3600</v>
      </c>
    </row>
    <row r="321" spans="1:41" ht="16" thickBot="1">
      <c r="A321" s="387" t="s">
        <v>1748</v>
      </c>
      <c r="B321" s="387" t="s">
        <v>990</v>
      </c>
      <c r="C321" s="387" t="s">
        <v>3601</v>
      </c>
      <c r="D321" s="387" t="s">
        <v>3602</v>
      </c>
      <c r="E321" s="387">
        <v>50</v>
      </c>
      <c r="F321" s="387" t="s">
        <v>531</v>
      </c>
      <c r="G321" s="387">
        <v>50</v>
      </c>
      <c r="H321" s="387" t="s">
        <v>531</v>
      </c>
      <c r="I321" s="387" t="s">
        <v>1751</v>
      </c>
      <c r="J321" s="387" t="s">
        <v>3596</v>
      </c>
      <c r="K321" s="387" t="s">
        <v>3603</v>
      </c>
      <c r="L321" s="387" t="s">
        <v>1955</v>
      </c>
      <c r="M321" s="387" t="s">
        <v>1956</v>
      </c>
      <c r="N321" s="388">
        <v>28.55</v>
      </c>
      <c r="O321" s="388">
        <v>14</v>
      </c>
      <c r="P321" s="387" t="s">
        <v>538</v>
      </c>
      <c r="Q321" s="387" t="s">
        <v>539</v>
      </c>
      <c r="R321" s="387" t="s">
        <v>3598</v>
      </c>
      <c r="S321" s="387" t="s">
        <v>541</v>
      </c>
      <c r="T321" s="387" t="s">
        <v>542</v>
      </c>
      <c r="U321" s="388">
        <v>1140740</v>
      </c>
      <c r="V321" s="387">
        <v>6006267001709</v>
      </c>
      <c r="W321" s="387">
        <v>6006267001709</v>
      </c>
      <c r="X321" s="387" t="s">
        <v>543</v>
      </c>
      <c r="Y321" s="387">
        <v>1600626700170</v>
      </c>
      <c r="Z321" s="387" t="s">
        <v>543</v>
      </c>
      <c r="AA321" s="388" t="s">
        <v>543</v>
      </c>
      <c r="AB321" s="388" t="s">
        <v>543</v>
      </c>
      <c r="AC321" s="387">
        <v>827770006</v>
      </c>
      <c r="AD321" s="389" t="s">
        <v>3604</v>
      </c>
      <c r="AE321" s="390">
        <v>44317</v>
      </c>
      <c r="AF321" s="390">
        <v>45412</v>
      </c>
      <c r="AG321" s="391" t="s">
        <v>545</v>
      </c>
      <c r="AH321" s="391" t="s">
        <v>3605</v>
      </c>
      <c r="AI321" s="391" t="s">
        <v>1959</v>
      </c>
      <c r="AJ321" s="391">
        <v>0</v>
      </c>
      <c r="AK321" s="390">
        <v>44317</v>
      </c>
      <c r="AL321" s="389">
        <v>100</v>
      </c>
      <c r="AM321" s="391" t="s">
        <v>548</v>
      </c>
      <c r="AN321" s="391" t="s">
        <v>549</v>
      </c>
      <c r="AO321" s="391" t="s">
        <v>3600</v>
      </c>
    </row>
    <row r="322" spans="1:41" ht="16" thickBot="1">
      <c r="A322" s="387" t="s">
        <v>2177</v>
      </c>
      <c r="B322" s="387" t="s">
        <v>1006</v>
      </c>
      <c r="C322" s="387" t="s">
        <v>3606</v>
      </c>
      <c r="D322" s="387" t="s">
        <v>3607</v>
      </c>
      <c r="E322" s="387">
        <v>500</v>
      </c>
      <c r="F322" s="387" t="s">
        <v>2180</v>
      </c>
      <c r="G322" s="387">
        <v>500</v>
      </c>
      <c r="H322" s="387" t="s">
        <v>2180</v>
      </c>
      <c r="I322" s="387" t="s">
        <v>2390</v>
      </c>
      <c r="J322" s="387" t="s">
        <v>3608</v>
      </c>
      <c r="K322" s="387" t="s">
        <v>3609</v>
      </c>
      <c r="L322" s="387" t="s">
        <v>1809</v>
      </c>
      <c r="M322" s="387" t="s">
        <v>1810</v>
      </c>
      <c r="N322" s="388">
        <v>22.09</v>
      </c>
      <c r="O322" s="388">
        <v>14</v>
      </c>
      <c r="P322" s="387" t="s">
        <v>538</v>
      </c>
      <c r="Q322" s="387" t="s">
        <v>539</v>
      </c>
      <c r="R322" s="387" t="s">
        <v>3610</v>
      </c>
      <c r="S322" s="387" t="s">
        <v>171</v>
      </c>
      <c r="T322" s="387" t="s">
        <v>542</v>
      </c>
      <c r="U322" s="388">
        <v>11440</v>
      </c>
      <c r="V322" s="387">
        <v>6006845001633</v>
      </c>
      <c r="W322" s="387">
        <v>6006845001633</v>
      </c>
      <c r="X322" s="387" t="s">
        <v>543</v>
      </c>
      <c r="Y322" s="387">
        <v>16006845001630</v>
      </c>
      <c r="Z322" s="387" t="s">
        <v>543</v>
      </c>
      <c r="AA322" s="388" t="s">
        <v>543</v>
      </c>
      <c r="AB322" s="388" t="s">
        <v>543</v>
      </c>
      <c r="AC322" s="387" t="s">
        <v>543</v>
      </c>
      <c r="AD322" s="389">
        <v>18</v>
      </c>
      <c r="AE322" s="390">
        <v>44013</v>
      </c>
      <c r="AF322" s="390">
        <v>45107</v>
      </c>
      <c r="AG322" s="390">
        <v>45107</v>
      </c>
      <c r="AH322" s="391" t="s">
        <v>3611</v>
      </c>
      <c r="AI322" s="391" t="s">
        <v>1813</v>
      </c>
      <c r="AJ322" s="391">
        <v>37</v>
      </c>
      <c r="AK322" s="390">
        <v>44409</v>
      </c>
      <c r="AL322" s="389">
        <v>100</v>
      </c>
      <c r="AM322" s="391" t="s">
        <v>548</v>
      </c>
      <c r="AN322" s="391" t="s">
        <v>545</v>
      </c>
      <c r="AO322" s="391" t="s">
        <v>3612</v>
      </c>
    </row>
    <row r="323" spans="1:41" ht="16" thickBot="1">
      <c r="A323" s="387" t="s">
        <v>2177</v>
      </c>
      <c r="B323" s="387" t="s">
        <v>990</v>
      </c>
      <c r="C323" s="387" t="s">
        <v>3613</v>
      </c>
      <c r="D323" s="387" t="s">
        <v>3614</v>
      </c>
      <c r="E323" s="387">
        <v>75</v>
      </c>
      <c r="F323" s="387" t="s">
        <v>2180</v>
      </c>
      <c r="G323" s="387">
        <v>75</v>
      </c>
      <c r="H323" s="387" t="s">
        <v>2180</v>
      </c>
      <c r="I323" s="387" t="s">
        <v>2390</v>
      </c>
      <c r="J323" s="387" t="s">
        <v>3608</v>
      </c>
      <c r="K323" s="387" t="s">
        <v>3609</v>
      </c>
      <c r="L323" s="387" t="s">
        <v>1809</v>
      </c>
      <c r="M323" s="387" t="s">
        <v>1810</v>
      </c>
      <c r="N323" s="388">
        <v>7.41</v>
      </c>
      <c r="O323" s="388">
        <v>14</v>
      </c>
      <c r="P323" s="387" t="s">
        <v>538</v>
      </c>
      <c r="Q323" s="387" t="s">
        <v>539</v>
      </c>
      <c r="R323" s="387" t="s">
        <v>3610</v>
      </c>
      <c r="S323" s="387" t="s">
        <v>171</v>
      </c>
      <c r="T323" s="387" t="s">
        <v>542</v>
      </c>
      <c r="U323" s="388">
        <v>197630</v>
      </c>
      <c r="V323" s="387">
        <v>6006845001626</v>
      </c>
      <c r="W323" s="387">
        <v>6006845001626</v>
      </c>
      <c r="X323" s="387" t="s">
        <v>543</v>
      </c>
      <c r="Y323" s="387">
        <v>16006845001630</v>
      </c>
      <c r="Z323" s="387" t="s">
        <v>543</v>
      </c>
      <c r="AA323" s="388" t="s">
        <v>543</v>
      </c>
      <c r="AB323" s="388" t="s">
        <v>543</v>
      </c>
      <c r="AC323" s="387" t="s">
        <v>543</v>
      </c>
      <c r="AD323" s="389">
        <v>18</v>
      </c>
      <c r="AE323" s="390">
        <v>44013</v>
      </c>
      <c r="AF323" s="390">
        <v>45107</v>
      </c>
      <c r="AG323" s="390">
        <v>45107</v>
      </c>
      <c r="AH323" s="391" t="s">
        <v>3615</v>
      </c>
      <c r="AI323" s="391" t="s">
        <v>1813</v>
      </c>
      <c r="AJ323" s="391">
        <v>37</v>
      </c>
      <c r="AK323" s="390">
        <v>44409</v>
      </c>
      <c r="AL323" s="389">
        <v>100</v>
      </c>
      <c r="AM323" s="391" t="s">
        <v>548</v>
      </c>
      <c r="AN323" s="391" t="s">
        <v>545</v>
      </c>
      <c r="AO323" s="391" t="s">
        <v>3612</v>
      </c>
    </row>
    <row r="324" spans="1:41" ht="16" thickBot="1">
      <c r="A324" s="387" t="s">
        <v>2743</v>
      </c>
      <c r="B324" s="387" t="s">
        <v>2054</v>
      </c>
      <c r="C324" s="387" t="s">
        <v>3616</v>
      </c>
      <c r="D324" s="387" t="s">
        <v>3617</v>
      </c>
      <c r="E324" s="387">
        <v>1</v>
      </c>
      <c r="F324" s="387" t="s">
        <v>2746</v>
      </c>
      <c r="G324" s="387">
        <v>1</v>
      </c>
      <c r="H324" s="387" t="s">
        <v>2746</v>
      </c>
      <c r="I324" s="387" t="s">
        <v>1838</v>
      </c>
      <c r="J324" s="387" t="s">
        <v>3618</v>
      </c>
      <c r="K324" s="387" t="s">
        <v>3619</v>
      </c>
      <c r="L324" s="387" t="s">
        <v>1975</v>
      </c>
      <c r="M324" s="387" t="s">
        <v>1976</v>
      </c>
      <c r="N324" s="388">
        <v>50.97</v>
      </c>
      <c r="O324" s="388">
        <v>14</v>
      </c>
      <c r="P324" s="387" t="s">
        <v>538</v>
      </c>
      <c r="Q324" s="387" t="s">
        <v>539</v>
      </c>
      <c r="R324" s="387" t="s">
        <v>3620</v>
      </c>
      <c r="S324" s="387" t="s">
        <v>171</v>
      </c>
      <c r="T324" s="387" t="s">
        <v>757</v>
      </c>
      <c r="U324" s="388">
        <v>12604</v>
      </c>
      <c r="V324" s="387">
        <v>6003252000372</v>
      </c>
      <c r="W324" s="387">
        <v>6003252000372</v>
      </c>
      <c r="X324" s="387" t="s">
        <v>543</v>
      </c>
      <c r="Y324" s="387">
        <v>16003252000379</v>
      </c>
      <c r="Z324" s="387" t="s">
        <v>543</v>
      </c>
      <c r="AA324" s="388" t="s">
        <v>543</v>
      </c>
      <c r="AB324" s="388" t="s">
        <v>543</v>
      </c>
      <c r="AC324" s="387">
        <v>802115004</v>
      </c>
      <c r="AD324" s="389">
        <v>12</v>
      </c>
      <c r="AE324" s="390">
        <v>44105</v>
      </c>
      <c r="AF324" s="390">
        <v>45199</v>
      </c>
      <c r="AG324" s="390">
        <v>45199</v>
      </c>
      <c r="AH324" s="391" t="s">
        <v>3621</v>
      </c>
      <c r="AI324" s="391" t="s">
        <v>1979</v>
      </c>
      <c r="AJ324" s="391">
        <v>10</v>
      </c>
      <c r="AK324" s="390">
        <v>44866</v>
      </c>
      <c r="AL324" s="389">
        <v>100</v>
      </c>
      <c r="AM324" s="391" t="s">
        <v>548</v>
      </c>
      <c r="AN324" s="391" t="s">
        <v>545</v>
      </c>
      <c r="AO324" s="391" t="s">
        <v>3622</v>
      </c>
    </row>
    <row r="325" spans="1:41" ht="16" thickBot="1">
      <c r="A325" s="387" t="s">
        <v>2743</v>
      </c>
      <c r="B325" s="387" t="s">
        <v>982</v>
      </c>
      <c r="C325" s="387" t="s">
        <v>3623</v>
      </c>
      <c r="D325" s="387" t="s">
        <v>3624</v>
      </c>
      <c r="E325" s="387">
        <v>1</v>
      </c>
      <c r="F325" s="387" t="s">
        <v>2746</v>
      </c>
      <c r="G325" s="387">
        <v>1</v>
      </c>
      <c r="H325" s="387" t="s">
        <v>2746</v>
      </c>
      <c r="I325" s="387" t="s">
        <v>1838</v>
      </c>
      <c r="J325" s="387" t="s">
        <v>3625</v>
      </c>
      <c r="K325" s="387" t="s">
        <v>3626</v>
      </c>
      <c r="L325" s="387" t="s">
        <v>1975</v>
      </c>
      <c r="M325" s="387" t="s">
        <v>1976</v>
      </c>
      <c r="N325" s="388">
        <v>14.16</v>
      </c>
      <c r="O325" s="388">
        <v>14</v>
      </c>
      <c r="P325" s="387" t="s">
        <v>538</v>
      </c>
      <c r="Q325" s="387" t="s">
        <v>539</v>
      </c>
      <c r="R325" s="387" t="s">
        <v>3620</v>
      </c>
      <c r="S325" s="387" t="s">
        <v>171</v>
      </c>
      <c r="T325" s="387" t="s">
        <v>757</v>
      </c>
      <c r="U325" s="388">
        <v>194522</v>
      </c>
      <c r="V325" s="387">
        <v>6003252000389</v>
      </c>
      <c r="W325" s="387">
        <v>6003252000389</v>
      </c>
      <c r="X325" s="387" t="s">
        <v>543</v>
      </c>
      <c r="Y325" s="387">
        <v>16003252000386</v>
      </c>
      <c r="Z325" s="387" t="s">
        <v>543</v>
      </c>
      <c r="AA325" s="388" t="s">
        <v>543</v>
      </c>
      <c r="AB325" s="388" t="s">
        <v>543</v>
      </c>
      <c r="AC325" s="387">
        <v>801917018</v>
      </c>
      <c r="AD325" s="389">
        <v>12</v>
      </c>
      <c r="AE325" s="390">
        <v>44105</v>
      </c>
      <c r="AF325" s="390">
        <v>45199</v>
      </c>
      <c r="AG325" s="390">
        <v>45199</v>
      </c>
      <c r="AH325" s="391" t="s">
        <v>3627</v>
      </c>
      <c r="AI325" s="391" t="s">
        <v>1979</v>
      </c>
      <c r="AJ325" s="391">
        <v>10</v>
      </c>
      <c r="AK325" s="390">
        <v>44866</v>
      </c>
      <c r="AL325" s="389">
        <v>100</v>
      </c>
      <c r="AM325" s="391" t="s">
        <v>548</v>
      </c>
      <c r="AN325" s="391" t="s">
        <v>545</v>
      </c>
      <c r="AO325" s="391" t="s">
        <v>3628</v>
      </c>
    </row>
    <row r="326" spans="1:41" ht="16" thickBot="1">
      <c r="A326" s="387" t="s">
        <v>2743</v>
      </c>
      <c r="B326" s="387" t="s">
        <v>975</v>
      </c>
      <c r="C326" s="387" t="s">
        <v>3629</v>
      </c>
      <c r="D326" s="387" t="s">
        <v>3630</v>
      </c>
      <c r="E326" s="387">
        <v>1</v>
      </c>
      <c r="F326" s="387" t="s">
        <v>2746</v>
      </c>
      <c r="G326" s="387">
        <v>1</v>
      </c>
      <c r="H326" s="387" t="s">
        <v>2746</v>
      </c>
      <c r="I326" s="387" t="s">
        <v>1838</v>
      </c>
      <c r="J326" s="387" t="s">
        <v>3625</v>
      </c>
      <c r="K326" s="387" t="s">
        <v>3631</v>
      </c>
      <c r="L326" s="387" t="s">
        <v>1975</v>
      </c>
      <c r="M326" s="387" t="s">
        <v>1976</v>
      </c>
      <c r="N326" s="388">
        <v>12.28</v>
      </c>
      <c r="O326" s="388">
        <v>14</v>
      </c>
      <c r="P326" s="387" t="s">
        <v>538</v>
      </c>
      <c r="Q326" s="387" t="s">
        <v>539</v>
      </c>
      <c r="R326" s="387" t="s">
        <v>3620</v>
      </c>
      <c r="S326" s="387" t="s">
        <v>171</v>
      </c>
      <c r="T326" s="387" t="s">
        <v>757</v>
      </c>
      <c r="U326" s="388">
        <v>476100</v>
      </c>
      <c r="V326" s="387">
        <v>6003252000495</v>
      </c>
      <c r="W326" s="387">
        <v>6003252000495</v>
      </c>
      <c r="X326" s="387" t="s">
        <v>543</v>
      </c>
      <c r="Y326" s="387">
        <v>16003252000492</v>
      </c>
      <c r="Z326" s="387" t="s">
        <v>543</v>
      </c>
      <c r="AA326" s="388" t="s">
        <v>543</v>
      </c>
      <c r="AB326" s="388" t="s">
        <v>543</v>
      </c>
      <c r="AC326" s="387">
        <v>801895006</v>
      </c>
      <c r="AD326" s="389">
        <v>12</v>
      </c>
      <c r="AE326" s="390">
        <v>44105</v>
      </c>
      <c r="AF326" s="390">
        <v>45199</v>
      </c>
      <c r="AG326" s="390">
        <v>45199</v>
      </c>
      <c r="AH326" s="391" t="s">
        <v>3632</v>
      </c>
      <c r="AI326" s="391" t="s">
        <v>1979</v>
      </c>
      <c r="AJ326" s="391">
        <v>10</v>
      </c>
      <c r="AK326" s="390">
        <v>44866</v>
      </c>
      <c r="AL326" s="389">
        <v>100</v>
      </c>
      <c r="AM326" s="391" t="s">
        <v>548</v>
      </c>
      <c r="AN326" s="391" t="s">
        <v>545</v>
      </c>
      <c r="AO326" s="391" t="s">
        <v>3633</v>
      </c>
    </row>
    <row r="327" spans="1:41" ht="16" thickBot="1">
      <c r="A327" s="387" t="s">
        <v>2743</v>
      </c>
      <c r="B327" s="387" t="s">
        <v>1018</v>
      </c>
      <c r="C327" s="387" t="s">
        <v>3634</v>
      </c>
      <c r="D327" s="387" t="s">
        <v>3635</v>
      </c>
      <c r="E327" s="387">
        <v>1</v>
      </c>
      <c r="F327" s="387" t="s">
        <v>2746</v>
      </c>
      <c r="G327" s="387">
        <v>1</v>
      </c>
      <c r="H327" s="387" t="s">
        <v>531</v>
      </c>
      <c r="I327" s="387" t="s">
        <v>1838</v>
      </c>
      <c r="J327" s="387" t="s">
        <v>3636</v>
      </c>
      <c r="K327" s="387" t="s">
        <v>3637</v>
      </c>
      <c r="L327" s="387" t="s">
        <v>1955</v>
      </c>
      <c r="M327" s="387" t="s">
        <v>1956</v>
      </c>
      <c r="N327" s="388">
        <v>24.29</v>
      </c>
      <c r="O327" s="388">
        <v>14</v>
      </c>
      <c r="P327" s="387" t="s">
        <v>538</v>
      </c>
      <c r="Q327" s="387" t="s">
        <v>539</v>
      </c>
      <c r="R327" s="387" t="s">
        <v>3598</v>
      </c>
      <c r="S327" s="387" t="s">
        <v>171</v>
      </c>
      <c r="T327" s="387" t="s">
        <v>542</v>
      </c>
      <c r="U327" s="388">
        <v>146194</v>
      </c>
      <c r="V327" s="387">
        <v>6006267005295</v>
      </c>
      <c r="W327" s="387">
        <v>6006267005295</v>
      </c>
      <c r="X327" s="387" t="s">
        <v>543</v>
      </c>
      <c r="Y327" s="387">
        <v>16006267005292</v>
      </c>
      <c r="Z327" s="387" t="s">
        <v>543</v>
      </c>
      <c r="AA327" s="388" t="s">
        <v>543</v>
      </c>
      <c r="AB327" s="388" t="s">
        <v>543</v>
      </c>
      <c r="AC327" s="387" t="s">
        <v>3638</v>
      </c>
      <c r="AD327" s="389">
        <v>12</v>
      </c>
      <c r="AE327" s="390">
        <v>44105</v>
      </c>
      <c r="AF327" s="390">
        <v>45199</v>
      </c>
      <c r="AG327" s="390">
        <v>45199</v>
      </c>
      <c r="AH327" s="391" t="s">
        <v>3639</v>
      </c>
      <c r="AI327" s="391" t="s">
        <v>1959</v>
      </c>
      <c r="AJ327" s="391">
        <v>12</v>
      </c>
      <c r="AK327" s="390">
        <v>45047</v>
      </c>
      <c r="AL327" s="389">
        <v>100</v>
      </c>
      <c r="AM327" s="391" t="s">
        <v>548</v>
      </c>
      <c r="AN327" s="391" t="s">
        <v>545</v>
      </c>
      <c r="AO327" s="391" t="s">
        <v>3640</v>
      </c>
    </row>
    <row r="328" spans="1:41" ht="16" thickBot="1">
      <c r="A328" s="387" t="s">
        <v>2743</v>
      </c>
      <c r="B328" s="387" t="s">
        <v>1027</v>
      </c>
      <c r="C328" s="387" t="s">
        <v>3641</v>
      </c>
      <c r="D328" s="387" t="s">
        <v>3642</v>
      </c>
      <c r="E328" s="387">
        <v>1</v>
      </c>
      <c r="F328" s="387" t="s">
        <v>2746</v>
      </c>
      <c r="G328" s="387">
        <v>1</v>
      </c>
      <c r="H328" s="387" t="s">
        <v>531</v>
      </c>
      <c r="I328" s="387" t="s">
        <v>1838</v>
      </c>
      <c r="J328" s="387" t="s">
        <v>3636</v>
      </c>
      <c r="K328" s="387" t="s">
        <v>3643</v>
      </c>
      <c r="L328" s="387" t="s">
        <v>3043</v>
      </c>
      <c r="M328" s="387" t="s">
        <v>3044</v>
      </c>
      <c r="N328" s="388">
        <v>12.71</v>
      </c>
      <c r="O328" s="388">
        <v>14</v>
      </c>
      <c r="P328" s="387" t="s">
        <v>538</v>
      </c>
      <c r="Q328" s="387" t="s">
        <v>539</v>
      </c>
      <c r="R328" s="387" t="s">
        <v>3598</v>
      </c>
      <c r="S328" s="387" t="s">
        <v>171</v>
      </c>
      <c r="T328" s="387" t="s">
        <v>542</v>
      </c>
      <c r="U328" s="388">
        <v>1395026</v>
      </c>
      <c r="V328" s="387">
        <v>4046964964176</v>
      </c>
      <c r="W328" s="387">
        <v>4046964964183</v>
      </c>
      <c r="X328" s="387" t="s">
        <v>543</v>
      </c>
      <c r="Y328" s="387" t="s">
        <v>543</v>
      </c>
      <c r="Z328" s="387" t="s">
        <v>543</v>
      </c>
      <c r="AA328" s="388" t="s">
        <v>543</v>
      </c>
      <c r="AB328" s="388" t="s">
        <v>543</v>
      </c>
      <c r="AC328" s="387" t="s">
        <v>3644</v>
      </c>
      <c r="AD328" s="389">
        <v>12</v>
      </c>
      <c r="AE328" s="390">
        <v>44105</v>
      </c>
      <c r="AF328" s="390">
        <v>45199</v>
      </c>
      <c r="AG328" s="390">
        <v>45199</v>
      </c>
      <c r="AH328" s="391" t="s">
        <v>3645</v>
      </c>
      <c r="AI328" s="391" t="s">
        <v>3047</v>
      </c>
      <c r="AJ328" s="391">
        <v>9</v>
      </c>
      <c r="AK328" s="390">
        <v>44791</v>
      </c>
      <c r="AL328" s="389">
        <v>100</v>
      </c>
      <c r="AM328" s="391" t="s">
        <v>548</v>
      </c>
      <c r="AN328" s="391" t="s">
        <v>545</v>
      </c>
      <c r="AO328" s="391" t="s">
        <v>3646</v>
      </c>
    </row>
    <row r="329" spans="1:41" ht="16" thickBot="1">
      <c r="A329" s="387" t="s">
        <v>2743</v>
      </c>
      <c r="B329" s="387" t="s">
        <v>593</v>
      </c>
      <c r="C329" s="387" t="s">
        <v>3647</v>
      </c>
      <c r="D329" s="387" t="s">
        <v>3648</v>
      </c>
      <c r="E329" s="387">
        <v>100</v>
      </c>
      <c r="F329" s="387" t="s">
        <v>531</v>
      </c>
      <c r="G329" s="387" t="s">
        <v>543</v>
      </c>
      <c r="H329" s="387" t="s">
        <v>531</v>
      </c>
      <c r="I329" s="387" t="s">
        <v>1838</v>
      </c>
      <c r="J329" s="387" t="s">
        <v>3636</v>
      </c>
      <c r="K329" s="387" t="s">
        <v>3649</v>
      </c>
      <c r="L329" s="387" t="s">
        <v>1975</v>
      </c>
      <c r="M329" s="387" t="s">
        <v>1976</v>
      </c>
      <c r="N329" s="388">
        <v>9.0299999999999994</v>
      </c>
      <c r="O329" s="388">
        <v>14</v>
      </c>
      <c r="P329" s="387" t="s">
        <v>538</v>
      </c>
      <c r="Q329" s="387" t="s">
        <v>539</v>
      </c>
      <c r="R329" s="387" t="s">
        <v>3598</v>
      </c>
      <c r="S329" s="387" t="s">
        <v>171</v>
      </c>
      <c r="T329" s="387" t="s">
        <v>542</v>
      </c>
      <c r="U329" s="388">
        <v>67313</v>
      </c>
      <c r="V329" s="387">
        <v>6003252000099</v>
      </c>
      <c r="W329" s="387">
        <v>6003252000099</v>
      </c>
      <c r="X329" s="387" t="s">
        <v>543</v>
      </c>
      <c r="Y329" s="387">
        <v>16003252000096</v>
      </c>
      <c r="Z329" s="387" t="s">
        <v>543</v>
      </c>
      <c r="AA329" s="388" t="s">
        <v>543</v>
      </c>
      <c r="AB329" s="388" t="s">
        <v>543</v>
      </c>
      <c r="AC329" s="387">
        <v>862738008</v>
      </c>
      <c r="AD329" s="389">
        <v>50</v>
      </c>
      <c r="AE329" s="390">
        <v>44105</v>
      </c>
      <c r="AF329" s="390">
        <v>45199</v>
      </c>
      <c r="AG329" s="390">
        <v>45199</v>
      </c>
      <c r="AH329" s="391" t="s">
        <v>3650</v>
      </c>
      <c r="AI329" s="391" t="s">
        <v>1979</v>
      </c>
      <c r="AJ329" s="391">
        <v>10</v>
      </c>
      <c r="AK329" s="390">
        <v>44866</v>
      </c>
      <c r="AL329" s="389">
        <v>100</v>
      </c>
      <c r="AM329" s="391" t="s">
        <v>548</v>
      </c>
      <c r="AN329" s="391" t="s">
        <v>545</v>
      </c>
      <c r="AO329" s="391" t="s">
        <v>3646</v>
      </c>
    </row>
    <row r="330" spans="1:41" ht="16" thickBot="1">
      <c r="A330" s="387" t="s">
        <v>2743</v>
      </c>
      <c r="B330" s="387" t="s">
        <v>680</v>
      </c>
      <c r="C330" s="387" t="s">
        <v>3651</v>
      </c>
      <c r="D330" s="387" t="s">
        <v>3652</v>
      </c>
      <c r="E330" s="387">
        <v>200</v>
      </c>
      <c r="F330" s="387" t="s">
        <v>531</v>
      </c>
      <c r="G330" s="387" t="s">
        <v>543</v>
      </c>
      <c r="H330" s="387" t="s">
        <v>531</v>
      </c>
      <c r="I330" s="387" t="s">
        <v>1838</v>
      </c>
      <c r="J330" s="387" t="s">
        <v>3636</v>
      </c>
      <c r="K330" s="387" t="s">
        <v>3653</v>
      </c>
      <c r="L330" s="387" t="s">
        <v>3043</v>
      </c>
      <c r="M330" s="387" t="s">
        <v>3044</v>
      </c>
      <c r="N330" s="388">
        <v>10.11</v>
      </c>
      <c r="O330" s="388">
        <v>14</v>
      </c>
      <c r="P330" s="387" t="s">
        <v>538</v>
      </c>
      <c r="Q330" s="387" t="s">
        <v>539</v>
      </c>
      <c r="R330" s="387" t="s">
        <v>3598</v>
      </c>
      <c r="S330" s="387" t="s">
        <v>171</v>
      </c>
      <c r="T330" s="387" t="s">
        <v>542</v>
      </c>
      <c r="U330" s="388">
        <v>645048</v>
      </c>
      <c r="V330" s="387">
        <v>4046964964169</v>
      </c>
      <c r="W330" s="387">
        <v>4046964964152</v>
      </c>
      <c r="X330" s="387" t="s">
        <v>543</v>
      </c>
      <c r="Y330" s="387" t="s">
        <v>543</v>
      </c>
      <c r="Z330" s="387" t="s">
        <v>543</v>
      </c>
      <c r="AA330" s="388" t="s">
        <v>543</v>
      </c>
      <c r="AB330" s="388" t="s">
        <v>543</v>
      </c>
      <c r="AC330" s="387" t="s">
        <v>3654</v>
      </c>
      <c r="AD330" s="389">
        <v>36</v>
      </c>
      <c r="AE330" s="390">
        <v>44105</v>
      </c>
      <c r="AF330" s="390">
        <v>45199</v>
      </c>
      <c r="AG330" s="390">
        <v>45199</v>
      </c>
      <c r="AH330" s="391" t="s">
        <v>3655</v>
      </c>
      <c r="AI330" s="391" t="s">
        <v>3047</v>
      </c>
      <c r="AJ330" s="391">
        <v>9</v>
      </c>
      <c r="AK330" s="390">
        <v>44791</v>
      </c>
      <c r="AL330" s="389">
        <v>100</v>
      </c>
      <c r="AM330" s="391" t="s">
        <v>548</v>
      </c>
      <c r="AN330" s="391" t="s">
        <v>545</v>
      </c>
      <c r="AO330" s="391" t="s">
        <v>3646</v>
      </c>
    </row>
    <row r="331" spans="1:41" ht="16" thickBot="1">
      <c r="A331" s="387" t="s">
        <v>2743</v>
      </c>
      <c r="B331" s="387" t="s">
        <v>686</v>
      </c>
      <c r="C331" s="387" t="s">
        <v>3656</v>
      </c>
      <c r="D331" s="387" t="s">
        <v>3657</v>
      </c>
      <c r="E331" s="387">
        <v>50</v>
      </c>
      <c r="F331" s="387" t="s">
        <v>531</v>
      </c>
      <c r="G331" s="387" t="s">
        <v>543</v>
      </c>
      <c r="H331" s="387" t="s">
        <v>531</v>
      </c>
      <c r="I331" s="387" t="s">
        <v>1838</v>
      </c>
      <c r="J331" s="387" t="s">
        <v>3636</v>
      </c>
      <c r="K331" s="387" t="s">
        <v>3658</v>
      </c>
      <c r="L331" s="387" t="s">
        <v>1975</v>
      </c>
      <c r="M331" s="387" t="s">
        <v>1976</v>
      </c>
      <c r="N331" s="388">
        <v>6.99</v>
      </c>
      <c r="O331" s="388">
        <v>14</v>
      </c>
      <c r="P331" s="387" t="s">
        <v>538</v>
      </c>
      <c r="Q331" s="387" t="s">
        <v>539</v>
      </c>
      <c r="R331" s="387" t="s">
        <v>3598</v>
      </c>
      <c r="S331" s="387" t="s">
        <v>171</v>
      </c>
      <c r="T331" s="387" t="s">
        <v>542</v>
      </c>
      <c r="U331" s="388">
        <v>183216</v>
      </c>
      <c r="V331" s="387">
        <v>6003252000082</v>
      </c>
      <c r="W331" s="387">
        <v>6003252000082</v>
      </c>
      <c r="X331" s="387" t="s">
        <v>543</v>
      </c>
      <c r="Y331" s="387">
        <v>16003252000089</v>
      </c>
      <c r="Z331" s="387" t="s">
        <v>543</v>
      </c>
      <c r="AA331" s="388" t="s">
        <v>543</v>
      </c>
      <c r="AB331" s="388" t="s">
        <v>543</v>
      </c>
      <c r="AC331" s="387">
        <v>862711002</v>
      </c>
      <c r="AD331" s="389">
        <v>72</v>
      </c>
      <c r="AE331" s="390">
        <v>44105</v>
      </c>
      <c r="AF331" s="390">
        <v>45199</v>
      </c>
      <c r="AG331" s="390">
        <v>45199</v>
      </c>
      <c r="AH331" s="391" t="s">
        <v>3659</v>
      </c>
      <c r="AI331" s="391" t="s">
        <v>1979</v>
      </c>
      <c r="AJ331" s="391">
        <v>10</v>
      </c>
      <c r="AK331" s="390">
        <v>44866</v>
      </c>
      <c r="AL331" s="389">
        <v>100</v>
      </c>
      <c r="AM331" s="391" t="s">
        <v>548</v>
      </c>
      <c r="AN331" s="391" t="s">
        <v>545</v>
      </c>
      <c r="AO331" s="391" t="s">
        <v>3646</v>
      </c>
    </row>
    <row r="332" spans="1:41" ht="16" thickBot="1">
      <c r="A332" s="387" t="s">
        <v>2743</v>
      </c>
      <c r="B332" s="387" t="s">
        <v>581</v>
      </c>
      <c r="C332" s="387" t="s">
        <v>3660</v>
      </c>
      <c r="D332" s="387" t="s">
        <v>3661</v>
      </c>
      <c r="E332" s="387">
        <v>500</v>
      </c>
      <c r="F332" s="387" t="s">
        <v>531</v>
      </c>
      <c r="G332" s="387" t="s">
        <v>543</v>
      </c>
      <c r="H332" s="387" t="s">
        <v>531</v>
      </c>
      <c r="I332" s="387" t="s">
        <v>1838</v>
      </c>
      <c r="J332" s="387" t="s">
        <v>3636</v>
      </c>
      <c r="K332" s="387" t="s">
        <v>3662</v>
      </c>
      <c r="L332" s="387" t="s">
        <v>1955</v>
      </c>
      <c r="M332" s="387" t="s">
        <v>1956</v>
      </c>
      <c r="N332" s="388">
        <v>38.1</v>
      </c>
      <c r="O332" s="388">
        <v>14</v>
      </c>
      <c r="P332" s="387" t="s">
        <v>538</v>
      </c>
      <c r="Q332" s="387" t="s">
        <v>539</v>
      </c>
      <c r="R332" s="387" t="s">
        <v>3598</v>
      </c>
      <c r="S332" s="387" t="s">
        <v>171</v>
      </c>
      <c r="T332" s="387" t="s">
        <v>542</v>
      </c>
      <c r="U332" s="388">
        <v>7250</v>
      </c>
      <c r="V332" s="387">
        <v>6006267005790</v>
      </c>
      <c r="W332" s="387">
        <v>6006267005790</v>
      </c>
      <c r="X332" s="387" t="s">
        <v>543</v>
      </c>
      <c r="Y332" s="387">
        <v>16006267005797</v>
      </c>
      <c r="Z332" s="387" t="s">
        <v>543</v>
      </c>
      <c r="AA332" s="388" t="s">
        <v>543</v>
      </c>
      <c r="AB332" s="388" t="s">
        <v>543</v>
      </c>
      <c r="AC332" s="387" t="s">
        <v>3663</v>
      </c>
      <c r="AD332" s="389">
        <v>20</v>
      </c>
      <c r="AE332" s="390">
        <v>44105</v>
      </c>
      <c r="AF332" s="390">
        <v>45199</v>
      </c>
      <c r="AG332" s="390">
        <v>45199</v>
      </c>
      <c r="AH332" s="391" t="s">
        <v>3664</v>
      </c>
      <c r="AI332" s="391" t="s">
        <v>1959</v>
      </c>
      <c r="AJ332" s="391">
        <v>12</v>
      </c>
      <c r="AK332" s="390">
        <v>45047</v>
      </c>
      <c r="AL332" s="389">
        <v>100</v>
      </c>
      <c r="AM332" s="391" t="s">
        <v>548</v>
      </c>
      <c r="AN332" s="391" t="s">
        <v>545</v>
      </c>
      <c r="AO332" s="391" t="s">
        <v>3665</v>
      </c>
    </row>
    <row r="333" spans="1:41" ht="16" thickBot="1">
      <c r="A333" s="387" t="s">
        <v>1748</v>
      </c>
      <c r="B333" s="387" t="s">
        <v>982</v>
      </c>
      <c r="C333" s="387" t="s">
        <v>3666</v>
      </c>
      <c r="D333" s="387" t="s">
        <v>3667</v>
      </c>
      <c r="E333" s="387">
        <v>2</v>
      </c>
      <c r="F333" s="387" t="s">
        <v>531</v>
      </c>
      <c r="G333" s="387">
        <v>2</v>
      </c>
      <c r="H333" s="387" t="s">
        <v>531</v>
      </c>
      <c r="I333" s="387" t="s">
        <v>1751</v>
      </c>
      <c r="J333" s="387" t="s">
        <v>3668</v>
      </c>
      <c r="K333" s="387" t="s">
        <v>3669</v>
      </c>
      <c r="L333" s="387" t="s">
        <v>2312</v>
      </c>
      <c r="M333" s="387" t="s">
        <v>2313</v>
      </c>
      <c r="N333" s="388">
        <v>4</v>
      </c>
      <c r="O333" s="388">
        <v>14</v>
      </c>
      <c r="P333" s="387" t="s">
        <v>538</v>
      </c>
      <c r="Q333" s="387" t="s">
        <v>539</v>
      </c>
      <c r="R333" s="387" t="s">
        <v>3670</v>
      </c>
      <c r="S333" s="387" t="s">
        <v>541</v>
      </c>
      <c r="T333" s="387" t="s">
        <v>542</v>
      </c>
      <c r="U333" s="388">
        <v>771330</v>
      </c>
      <c r="V333" s="387">
        <v>6009802416143</v>
      </c>
      <c r="W333" s="387">
        <v>6009802416143</v>
      </c>
      <c r="X333" s="387" t="s">
        <v>543</v>
      </c>
      <c r="Y333" s="387">
        <v>16009802416140</v>
      </c>
      <c r="Z333" s="387" t="s">
        <v>543</v>
      </c>
      <c r="AA333" s="388" t="s">
        <v>543</v>
      </c>
      <c r="AB333" s="388" t="s">
        <v>543</v>
      </c>
      <c r="AC333" s="387">
        <v>703598001</v>
      </c>
      <c r="AD333" s="389">
        <v>400</v>
      </c>
      <c r="AE333" s="390">
        <v>44317</v>
      </c>
      <c r="AF333" s="390">
        <v>45412</v>
      </c>
      <c r="AG333" s="391" t="s">
        <v>545</v>
      </c>
      <c r="AH333" s="391" t="s">
        <v>3671</v>
      </c>
      <c r="AI333" s="391" t="s">
        <v>2314</v>
      </c>
      <c r="AJ333" s="391">
        <v>0</v>
      </c>
      <c r="AK333" s="390">
        <v>44317</v>
      </c>
      <c r="AL333" s="389">
        <v>100</v>
      </c>
      <c r="AM333" s="391" t="s">
        <v>548</v>
      </c>
      <c r="AN333" s="391" t="s">
        <v>549</v>
      </c>
      <c r="AO333" s="391" t="s">
        <v>3672</v>
      </c>
    </row>
    <row r="334" spans="1:41" ht="16" thickBot="1">
      <c r="A334" s="387" t="s">
        <v>1717</v>
      </c>
      <c r="B334" s="387" t="s">
        <v>3673</v>
      </c>
      <c r="C334" s="387" t="s">
        <v>3674</v>
      </c>
      <c r="D334" s="387" t="s">
        <v>3675</v>
      </c>
      <c r="E334" s="387">
        <v>100</v>
      </c>
      <c r="F334" s="387" t="s">
        <v>559</v>
      </c>
      <c r="G334" s="387">
        <v>100</v>
      </c>
      <c r="H334" s="387" t="s">
        <v>559</v>
      </c>
      <c r="I334" s="387" t="s">
        <v>560</v>
      </c>
      <c r="J334" s="387" t="s">
        <v>3668</v>
      </c>
      <c r="K334" s="387" t="s">
        <v>3676</v>
      </c>
      <c r="L334" s="387" t="s">
        <v>576</v>
      </c>
      <c r="M334" s="387" t="s">
        <v>577</v>
      </c>
      <c r="N334" s="388">
        <v>10.24</v>
      </c>
      <c r="O334" s="388">
        <v>14</v>
      </c>
      <c r="P334" s="387" t="s">
        <v>538</v>
      </c>
      <c r="Q334" s="387" t="s">
        <v>539</v>
      </c>
      <c r="R334" s="387" t="s">
        <v>3670</v>
      </c>
      <c r="S334" s="387" t="s">
        <v>171</v>
      </c>
      <c r="T334" s="387" t="s">
        <v>542</v>
      </c>
      <c r="U334" s="388">
        <v>124845</v>
      </c>
      <c r="V334" s="387" t="s">
        <v>543</v>
      </c>
      <c r="W334" s="387" t="s">
        <v>543</v>
      </c>
      <c r="X334" s="387" t="s">
        <v>543</v>
      </c>
      <c r="Y334" s="387" t="s">
        <v>543</v>
      </c>
      <c r="Z334" s="387" t="s">
        <v>543</v>
      </c>
      <c r="AA334" s="388" t="s">
        <v>543</v>
      </c>
      <c r="AB334" s="388" t="s">
        <v>543</v>
      </c>
      <c r="AC334" s="387">
        <v>721174027</v>
      </c>
      <c r="AD334" s="389" t="s">
        <v>3677</v>
      </c>
      <c r="AE334" s="390">
        <v>45047</v>
      </c>
      <c r="AF334" s="390">
        <v>46142</v>
      </c>
      <c r="AG334" s="391" t="s">
        <v>545</v>
      </c>
      <c r="AH334" s="391" t="s">
        <v>3678</v>
      </c>
      <c r="AI334" s="391" t="s">
        <v>580</v>
      </c>
      <c r="AJ334" s="391">
        <v>0</v>
      </c>
      <c r="AK334" s="390">
        <v>45047</v>
      </c>
      <c r="AL334" s="389">
        <v>100</v>
      </c>
      <c r="AM334" s="391" t="s">
        <v>548</v>
      </c>
      <c r="AN334" s="391" t="s">
        <v>549</v>
      </c>
      <c r="AO334" s="391" t="s">
        <v>3679</v>
      </c>
    </row>
    <row r="335" spans="1:41" ht="16" thickBot="1">
      <c r="A335" s="387" t="s">
        <v>1717</v>
      </c>
      <c r="B335" s="387" t="s">
        <v>3680</v>
      </c>
      <c r="C335" s="387" t="s">
        <v>3681</v>
      </c>
      <c r="D335" s="387" t="s">
        <v>3682</v>
      </c>
      <c r="E335" s="387">
        <v>14</v>
      </c>
      <c r="F335" s="387" t="s">
        <v>559</v>
      </c>
      <c r="G335" s="387">
        <v>14</v>
      </c>
      <c r="H335" s="387" t="s">
        <v>559</v>
      </c>
      <c r="I335" s="387" t="s">
        <v>560</v>
      </c>
      <c r="J335" s="387" t="s">
        <v>3668</v>
      </c>
      <c r="K335" s="387" t="s">
        <v>3676</v>
      </c>
      <c r="L335" s="387" t="s">
        <v>576</v>
      </c>
      <c r="M335" s="387" t="s">
        <v>577</v>
      </c>
      <c r="N335" s="388">
        <v>4.83</v>
      </c>
      <c r="O335" s="388">
        <v>14</v>
      </c>
      <c r="P335" s="387" t="s">
        <v>538</v>
      </c>
      <c r="Q335" s="387" t="s">
        <v>539</v>
      </c>
      <c r="R335" s="387" t="s">
        <v>3670</v>
      </c>
      <c r="S335" s="387" t="s">
        <v>171</v>
      </c>
      <c r="T335" s="387" t="s">
        <v>542</v>
      </c>
      <c r="U335" s="388">
        <v>178906</v>
      </c>
      <c r="V335" s="387" t="s">
        <v>543</v>
      </c>
      <c r="W335" s="387" t="s">
        <v>543</v>
      </c>
      <c r="X335" s="387" t="s">
        <v>543</v>
      </c>
      <c r="Y335" s="387" t="s">
        <v>543</v>
      </c>
      <c r="Z335" s="387" t="s">
        <v>543</v>
      </c>
      <c r="AA335" s="388" t="s">
        <v>543</v>
      </c>
      <c r="AB335" s="388" t="s">
        <v>543</v>
      </c>
      <c r="AC335" s="387" t="s">
        <v>543</v>
      </c>
      <c r="AD335" s="389" t="s">
        <v>3683</v>
      </c>
      <c r="AE335" s="390">
        <v>45047</v>
      </c>
      <c r="AF335" s="390">
        <v>46142</v>
      </c>
      <c r="AG335" s="391" t="s">
        <v>545</v>
      </c>
      <c r="AH335" s="391" t="s">
        <v>3684</v>
      </c>
      <c r="AI335" s="391" t="s">
        <v>580</v>
      </c>
      <c r="AJ335" s="391">
        <v>0</v>
      </c>
      <c r="AK335" s="390">
        <v>45047</v>
      </c>
      <c r="AL335" s="389">
        <v>100</v>
      </c>
      <c r="AM335" s="391" t="s">
        <v>548</v>
      </c>
      <c r="AN335" s="391" t="s">
        <v>549</v>
      </c>
      <c r="AO335" s="391" t="s">
        <v>3679</v>
      </c>
    </row>
    <row r="336" spans="1:41" ht="16" thickBot="1">
      <c r="A336" s="387" t="s">
        <v>1717</v>
      </c>
      <c r="B336" s="387" t="s">
        <v>3685</v>
      </c>
      <c r="C336" s="387" t="s">
        <v>3686</v>
      </c>
      <c r="D336" s="387" t="s">
        <v>3687</v>
      </c>
      <c r="E336" s="387">
        <v>100</v>
      </c>
      <c r="F336" s="387" t="s">
        <v>584</v>
      </c>
      <c r="G336" s="387">
        <v>100</v>
      </c>
      <c r="H336" s="387" t="s">
        <v>584</v>
      </c>
      <c r="I336" s="387" t="s">
        <v>585</v>
      </c>
      <c r="J336" s="387" t="s">
        <v>3688</v>
      </c>
      <c r="K336" s="387" t="s">
        <v>3689</v>
      </c>
      <c r="L336" s="387" t="s">
        <v>754</v>
      </c>
      <c r="M336" s="387" t="s">
        <v>755</v>
      </c>
      <c r="N336" s="388">
        <v>478.43</v>
      </c>
      <c r="O336" s="388">
        <v>14</v>
      </c>
      <c r="P336" s="387" t="s">
        <v>538</v>
      </c>
      <c r="Q336" s="387" t="s">
        <v>539</v>
      </c>
      <c r="R336" s="387" t="s">
        <v>3690</v>
      </c>
      <c r="S336" s="387" t="s">
        <v>171</v>
      </c>
      <c r="T336" s="387" t="s">
        <v>757</v>
      </c>
      <c r="U336" s="388">
        <v>2477</v>
      </c>
      <c r="V336" s="387" t="s">
        <v>543</v>
      </c>
      <c r="W336" s="387" t="s">
        <v>543</v>
      </c>
      <c r="X336" s="387" t="s">
        <v>543</v>
      </c>
      <c r="Y336" s="387" t="s">
        <v>543</v>
      </c>
      <c r="Z336" s="387" t="s">
        <v>543</v>
      </c>
      <c r="AA336" s="388" t="s">
        <v>543</v>
      </c>
      <c r="AB336" s="388" t="s">
        <v>543</v>
      </c>
      <c r="AC336" s="387" t="s">
        <v>543</v>
      </c>
      <c r="AD336" s="389">
        <v>1</v>
      </c>
      <c r="AE336" s="390">
        <v>45047</v>
      </c>
      <c r="AF336" s="390">
        <v>46142</v>
      </c>
      <c r="AG336" s="391" t="s">
        <v>545</v>
      </c>
      <c r="AH336" s="391" t="s">
        <v>3691</v>
      </c>
      <c r="AI336" s="391" t="s">
        <v>759</v>
      </c>
      <c r="AJ336" s="391">
        <v>0</v>
      </c>
      <c r="AK336" s="390">
        <v>45047</v>
      </c>
      <c r="AL336" s="389">
        <v>100</v>
      </c>
      <c r="AM336" s="391" t="s">
        <v>548</v>
      </c>
      <c r="AN336" s="391" t="s">
        <v>549</v>
      </c>
      <c r="AO336" s="391" t="s">
        <v>3692</v>
      </c>
    </row>
    <row r="337" spans="1:41" ht="16" thickBot="1">
      <c r="A337" s="387" t="s">
        <v>1717</v>
      </c>
      <c r="B337" s="387" t="s">
        <v>3693</v>
      </c>
      <c r="C337" s="387" t="s">
        <v>3694</v>
      </c>
      <c r="D337" s="387" t="s">
        <v>3695</v>
      </c>
      <c r="E337" s="387">
        <v>28</v>
      </c>
      <c r="F337" s="387" t="s">
        <v>559</v>
      </c>
      <c r="G337" s="387">
        <v>28</v>
      </c>
      <c r="H337" s="387" t="s">
        <v>559</v>
      </c>
      <c r="I337" s="387" t="s">
        <v>560</v>
      </c>
      <c r="J337" s="387" t="s">
        <v>3696</v>
      </c>
      <c r="K337" s="387" t="s">
        <v>3697</v>
      </c>
      <c r="L337" s="387" t="s">
        <v>562</v>
      </c>
      <c r="M337" s="387" t="s">
        <v>563</v>
      </c>
      <c r="N337" s="388">
        <v>7.24</v>
      </c>
      <c r="O337" s="388">
        <v>14</v>
      </c>
      <c r="P337" s="387" t="s">
        <v>538</v>
      </c>
      <c r="Q337" s="387" t="s">
        <v>539</v>
      </c>
      <c r="R337" s="387" t="s">
        <v>3698</v>
      </c>
      <c r="S337" s="387" t="s">
        <v>171</v>
      </c>
      <c r="T337" s="387" t="s">
        <v>542</v>
      </c>
      <c r="U337" s="388">
        <v>1037891</v>
      </c>
      <c r="V337" s="387" t="s">
        <v>543</v>
      </c>
      <c r="W337" s="387" t="s">
        <v>543</v>
      </c>
      <c r="X337" s="387" t="s">
        <v>543</v>
      </c>
      <c r="Y337" s="387" t="s">
        <v>543</v>
      </c>
      <c r="Z337" s="387" t="s">
        <v>543</v>
      </c>
      <c r="AA337" s="388" t="s">
        <v>543</v>
      </c>
      <c r="AB337" s="388" t="s">
        <v>543</v>
      </c>
      <c r="AC337" s="387" t="s">
        <v>543</v>
      </c>
      <c r="AD337" s="389">
        <v>864</v>
      </c>
      <c r="AE337" s="390">
        <v>45047</v>
      </c>
      <c r="AF337" s="390">
        <v>46142</v>
      </c>
      <c r="AG337" s="390">
        <v>46142</v>
      </c>
      <c r="AH337" s="391" t="s">
        <v>3699</v>
      </c>
      <c r="AI337" s="391" t="s">
        <v>565</v>
      </c>
      <c r="AJ337" s="391">
        <v>0</v>
      </c>
      <c r="AK337" s="390">
        <v>45047</v>
      </c>
      <c r="AL337" s="389">
        <v>30</v>
      </c>
      <c r="AM337" s="391" t="s">
        <v>548</v>
      </c>
      <c r="AN337" s="391" t="s">
        <v>549</v>
      </c>
      <c r="AO337" s="391" t="s">
        <v>3700</v>
      </c>
    </row>
    <row r="338" spans="1:41" ht="16" thickBot="1">
      <c r="A338" s="387" t="s">
        <v>1717</v>
      </c>
      <c r="B338" s="387" t="s">
        <v>3693</v>
      </c>
      <c r="C338" s="387" t="s">
        <v>3694</v>
      </c>
      <c r="D338" s="387" t="s">
        <v>3695</v>
      </c>
      <c r="E338" s="387">
        <v>28</v>
      </c>
      <c r="F338" s="387" t="s">
        <v>559</v>
      </c>
      <c r="G338" s="387">
        <v>28</v>
      </c>
      <c r="H338" s="387" t="s">
        <v>559</v>
      </c>
      <c r="I338" s="387" t="s">
        <v>560</v>
      </c>
      <c r="J338" s="387" t="s">
        <v>3696</v>
      </c>
      <c r="K338" s="387" t="s">
        <v>3701</v>
      </c>
      <c r="L338" s="387" t="s">
        <v>2141</v>
      </c>
      <c r="M338" s="387" t="s">
        <v>2142</v>
      </c>
      <c r="N338" s="388">
        <v>6.88</v>
      </c>
      <c r="O338" s="388">
        <v>14</v>
      </c>
      <c r="P338" s="387" t="s">
        <v>538</v>
      </c>
      <c r="Q338" s="387" t="s">
        <v>539</v>
      </c>
      <c r="R338" s="387" t="s">
        <v>3698</v>
      </c>
      <c r="S338" s="387" t="s">
        <v>171</v>
      </c>
      <c r="T338" s="387" t="s">
        <v>542</v>
      </c>
      <c r="U338" s="388">
        <v>2421745</v>
      </c>
      <c r="V338" s="387" t="s">
        <v>543</v>
      </c>
      <c r="W338" s="387" t="s">
        <v>543</v>
      </c>
      <c r="X338" s="387" t="s">
        <v>543</v>
      </c>
      <c r="Y338" s="387" t="s">
        <v>543</v>
      </c>
      <c r="Z338" s="387" t="s">
        <v>543</v>
      </c>
      <c r="AA338" s="388" t="s">
        <v>543</v>
      </c>
      <c r="AB338" s="388" t="s">
        <v>543</v>
      </c>
      <c r="AC338" s="387" t="s">
        <v>543</v>
      </c>
      <c r="AD338" s="389">
        <v>20</v>
      </c>
      <c r="AE338" s="390">
        <v>45047</v>
      </c>
      <c r="AF338" s="390">
        <v>46142</v>
      </c>
      <c r="AG338" s="391" t="s">
        <v>545</v>
      </c>
      <c r="AH338" s="391" t="s">
        <v>3699</v>
      </c>
      <c r="AI338" s="391" t="s">
        <v>2144</v>
      </c>
      <c r="AJ338" s="391">
        <v>0</v>
      </c>
      <c r="AK338" s="390">
        <v>45047</v>
      </c>
      <c r="AL338" s="389">
        <v>70</v>
      </c>
      <c r="AM338" s="391" t="s">
        <v>548</v>
      </c>
      <c r="AN338" s="391" t="s">
        <v>549</v>
      </c>
      <c r="AO338" s="391" t="s">
        <v>3700</v>
      </c>
    </row>
    <row r="339" spans="1:41" ht="16" thickBot="1">
      <c r="A339" s="387" t="s">
        <v>1717</v>
      </c>
      <c r="B339" s="387" t="s">
        <v>3702</v>
      </c>
      <c r="C339" s="387" t="s">
        <v>3703</v>
      </c>
      <c r="D339" s="387" t="s">
        <v>3704</v>
      </c>
      <c r="E339" s="387">
        <v>9</v>
      </c>
      <c r="F339" s="387" t="s">
        <v>559</v>
      </c>
      <c r="G339" s="387">
        <v>9</v>
      </c>
      <c r="H339" s="387" t="s">
        <v>559</v>
      </c>
      <c r="I339" s="387" t="s">
        <v>560</v>
      </c>
      <c r="J339" s="387" t="s">
        <v>3696</v>
      </c>
      <c r="K339" s="387" t="s">
        <v>3701</v>
      </c>
      <c r="L339" s="387" t="s">
        <v>2141</v>
      </c>
      <c r="M339" s="387" t="s">
        <v>2142</v>
      </c>
      <c r="N339" s="388">
        <v>3.34</v>
      </c>
      <c r="O339" s="388">
        <v>14</v>
      </c>
      <c r="P339" s="387" t="s">
        <v>538</v>
      </c>
      <c r="Q339" s="387" t="s">
        <v>539</v>
      </c>
      <c r="R339" s="387" t="s">
        <v>3698</v>
      </c>
      <c r="S339" s="387" t="s">
        <v>171</v>
      </c>
      <c r="T339" s="387" t="s">
        <v>542</v>
      </c>
      <c r="U339" s="388">
        <v>1177200</v>
      </c>
      <c r="V339" s="387" t="s">
        <v>543</v>
      </c>
      <c r="W339" s="387" t="s">
        <v>543</v>
      </c>
      <c r="X339" s="387" t="s">
        <v>543</v>
      </c>
      <c r="Y339" s="387" t="s">
        <v>543</v>
      </c>
      <c r="Z339" s="387" t="s">
        <v>543</v>
      </c>
      <c r="AA339" s="388" t="s">
        <v>543</v>
      </c>
      <c r="AB339" s="388" t="s">
        <v>543</v>
      </c>
      <c r="AC339" s="387" t="s">
        <v>543</v>
      </c>
      <c r="AD339" s="389">
        <v>60</v>
      </c>
      <c r="AE339" s="390">
        <v>45047</v>
      </c>
      <c r="AF339" s="390">
        <v>46142</v>
      </c>
      <c r="AG339" s="390">
        <v>46142</v>
      </c>
      <c r="AH339" s="391" t="s">
        <v>3705</v>
      </c>
      <c r="AI339" s="391" t="s">
        <v>2144</v>
      </c>
      <c r="AJ339" s="391">
        <v>0</v>
      </c>
      <c r="AK339" s="390">
        <v>45047</v>
      </c>
      <c r="AL339" s="389">
        <v>40</v>
      </c>
      <c r="AM339" s="391" t="s">
        <v>548</v>
      </c>
      <c r="AN339" s="391" t="s">
        <v>549</v>
      </c>
      <c r="AO339" s="391" t="s">
        <v>3700</v>
      </c>
    </row>
    <row r="340" spans="1:41" ht="16" thickBot="1">
      <c r="A340" s="387" t="s">
        <v>1717</v>
      </c>
      <c r="B340" s="387" t="s">
        <v>3702</v>
      </c>
      <c r="C340" s="387" t="s">
        <v>3703</v>
      </c>
      <c r="D340" s="387" t="s">
        <v>3704</v>
      </c>
      <c r="E340" s="387">
        <v>9</v>
      </c>
      <c r="F340" s="387" t="s">
        <v>559</v>
      </c>
      <c r="G340" s="387">
        <v>9</v>
      </c>
      <c r="H340" s="387" t="s">
        <v>559</v>
      </c>
      <c r="I340" s="387" t="s">
        <v>560</v>
      </c>
      <c r="J340" s="387" t="s">
        <v>3696</v>
      </c>
      <c r="K340" s="387" t="s">
        <v>3697</v>
      </c>
      <c r="L340" s="387" t="s">
        <v>562</v>
      </c>
      <c r="M340" s="387" t="s">
        <v>563</v>
      </c>
      <c r="N340" s="388">
        <v>3.14</v>
      </c>
      <c r="O340" s="388">
        <v>14</v>
      </c>
      <c r="P340" s="387" t="s">
        <v>538</v>
      </c>
      <c r="Q340" s="387" t="s">
        <v>539</v>
      </c>
      <c r="R340" s="387" t="s">
        <v>3698</v>
      </c>
      <c r="S340" s="387" t="s">
        <v>171</v>
      </c>
      <c r="T340" s="387" t="s">
        <v>542</v>
      </c>
      <c r="U340" s="388">
        <v>1765800</v>
      </c>
      <c r="V340" s="387" t="s">
        <v>543</v>
      </c>
      <c r="W340" s="387" t="s">
        <v>543</v>
      </c>
      <c r="X340" s="387" t="s">
        <v>543</v>
      </c>
      <c r="Y340" s="387" t="s">
        <v>543</v>
      </c>
      <c r="Z340" s="387" t="s">
        <v>543</v>
      </c>
      <c r="AA340" s="388" t="s">
        <v>543</v>
      </c>
      <c r="AB340" s="388" t="s">
        <v>543</v>
      </c>
      <c r="AC340" s="387" t="s">
        <v>543</v>
      </c>
      <c r="AD340" s="389">
        <v>864</v>
      </c>
      <c r="AE340" s="390">
        <v>45047</v>
      </c>
      <c r="AF340" s="390">
        <v>46142</v>
      </c>
      <c r="AG340" s="391" t="s">
        <v>545</v>
      </c>
      <c r="AH340" s="391" t="s">
        <v>3705</v>
      </c>
      <c r="AI340" s="391" t="s">
        <v>565</v>
      </c>
      <c r="AJ340" s="391">
        <v>0</v>
      </c>
      <c r="AK340" s="390">
        <v>45047</v>
      </c>
      <c r="AL340" s="389">
        <v>60</v>
      </c>
      <c r="AM340" s="391" t="s">
        <v>548</v>
      </c>
      <c r="AN340" s="391" t="s">
        <v>549</v>
      </c>
      <c r="AO340" s="391" t="s">
        <v>3700</v>
      </c>
    </row>
    <row r="341" spans="1:41" ht="16" thickBot="1">
      <c r="A341" s="387" t="s">
        <v>1748</v>
      </c>
      <c r="B341" s="387" t="s">
        <v>975</v>
      </c>
      <c r="C341" s="387" t="s">
        <v>3706</v>
      </c>
      <c r="D341" s="387" t="s">
        <v>3707</v>
      </c>
      <c r="E341" s="387">
        <v>3</v>
      </c>
      <c r="F341" s="387" t="s">
        <v>531</v>
      </c>
      <c r="G341" s="387">
        <v>3</v>
      </c>
      <c r="H341" s="387" t="s">
        <v>531</v>
      </c>
      <c r="I341" s="387" t="s">
        <v>1751</v>
      </c>
      <c r="J341" s="387" t="s">
        <v>3708</v>
      </c>
      <c r="K341" s="387" t="s">
        <v>3709</v>
      </c>
      <c r="L341" s="387" t="s">
        <v>2312</v>
      </c>
      <c r="M341" s="387" t="s">
        <v>2313</v>
      </c>
      <c r="N341" s="388">
        <v>1.65</v>
      </c>
      <c r="O341" s="388">
        <v>14</v>
      </c>
      <c r="P341" s="387" t="s">
        <v>538</v>
      </c>
      <c r="Q341" s="387" t="s">
        <v>539</v>
      </c>
      <c r="R341" s="387" t="s">
        <v>3698</v>
      </c>
      <c r="S341" s="387" t="s">
        <v>614</v>
      </c>
      <c r="T341" s="387" t="s">
        <v>757</v>
      </c>
      <c r="U341" s="388">
        <v>1665478</v>
      </c>
      <c r="V341" s="387" t="s">
        <v>543</v>
      </c>
      <c r="W341" s="387" t="s">
        <v>543</v>
      </c>
      <c r="X341" s="387" t="s">
        <v>543</v>
      </c>
      <c r="Y341" s="387" t="s">
        <v>543</v>
      </c>
      <c r="Z341" s="387" t="s">
        <v>543</v>
      </c>
      <c r="AA341" s="388" t="s">
        <v>543</v>
      </c>
      <c r="AB341" s="388" t="s">
        <v>543</v>
      </c>
      <c r="AC341" s="387" t="s">
        <v>543</v>
      </c>
      <c r="AD341" s="389">
        <v>500</v>
      </c>
      <c r="AE341" s="390">
        <v>44317</v>
      </c>
      <c r="AF341" s="390">
        <v>45412</v>
      </c>
      <c r="AG341" s="391" t="s">
        <v>545</v>
      </c>
      <c r="AH341" s="391" t="s">
        <v>3710</v>
      </c>
      <c r="AI341" s="391" t="s">
        <v>2314</v>
      </c>
      <c r="AJ341" s="391">
        <v>0</v>
      </c>
      <c r="AK341" s="390">
        <v>44317</v>
      </c>
      <c r="AL341" s="389">
        <v>20</v>
      </c>
      <c r="AM341" s="391" t="s">
        <v>548</v>
      </c>
      <c r="AN341" s="391" t="s">
        <v>549</v>
      </c>
      <c r="AO341" s="391" t="s">
        <v>3711</v>
      </c>
    </row>
    <row r="342" spans="1:41" ht="16" thickBot="1">
      <c r="A342" s="387" t="s">
        <v>1748</v>
      </c>
      <c r="B342" s="387" t="s">
        <v>975</v>
      </c>
      <c r="C342" s="387" t="s">
        <v>3706</v>
      </c>
      <c r="D342" s="387" t="s">
        <v>3707</v>
      </c>
      <c r="E342" s="387">
        <v>3</v>
      </c>
      <c r="F342" s="387" t="s">
        <v>531</v>
      </c>
      <c r="G342" s="387">
        <v>3</v>
      </c>
      <c r="H342" s="387" t="s">
        <v>531</v>
      </c>
      <c r="I342" s="387" t="s">
        <v>1751</v>
      </c>
      <c r="J342" s="387" t="s">
        <v>3708</v>
      </c>
      <c r="K342" s="387" t="s">
        <v>3712</v>
      </c>
      <c r="L342" s="387" t="s">
        <v>2062</v>
      </c>
      <c r="M342" s="387" t="s">
        <v>2063</v>
      </c>
      <c r="N342" s="388">
        <v>1.54</v>
      </c>
      <c r="O342" s="388">
        <v>14</v>
      </c>
      <c r="P342" s="387" t="s">
        <v>538</v>
      </c>
      <c r="Q342" s="387" t="s">
        <v>539</v>
      </c>
      <c r="R342" s="387" t="s">
        <v>3698</v>
      </c>
      <c r="S342" s="387" t="s">
        <v>614</v>
      </c>
      <c r="T342" s="387" t="s">
        <v>757</v>
      </c>
      <c r="U342" s="388">
        <v>6661912</v>
      </c>
      <c r="V342" s="387" t="s">
        <v>543</v>
      </c>
      <c r="W342" s="387" t="s">
        <v>543</v>
      </c>
      <c r="X342" s="387" t="s">
        <v>543</v>
      </c>
      <c r="Y342" s="387" t="s">
        <v>543</v>
      </c>
      <c r="Z342" s="387" t="s">
        <v>543</v>
      </c>
      <c r="AA342" s="388" t="s">
        <v>543</v>
      </c>
      <c r="AB342" s="388" t="s">
        <v>543</v>
      </c>
      <c r="AC342" s="387" t="s">
        <v>543</v>
      </c>
      <c r="AD342" s="389">
        <v>750</v>
      </c>
      <c r="AE342" s="390">
        <v>44317</v>
      </c>
      <c r="AF342" s="390">
        <v>45412</v>
      </c>
      <c r="AG342" s="390">
        <v>45412</v>
      </c>
      <c r="AH342" s="391" t="s">
        <v>3710</v>
      </c>
      <c r="AI342" s="391" t="s">
        <v>2064</v>
      </c>
      <c r="AJ342" s="391">
        <v>11</v>
      </c>
      <c r="AK342" s="390">
        <v>44896</v>
      </c>
      <c r="AL342" s="389">
        <v>80</v>
      </c>
      <c r="AM342" s="391" t="s">
        <v>548</v>
      </c>
      <c r="AN342" s="391" t="s">
        <v>549</v>
      </c>
      <c r="AO342" s="391" t="s">
        <v>3711</v>
      </c>
    </row>
    <row r="343" spans="1:41" ht="16" thickBot="1">
      <c r="A343" s="387" t="s">
        <v>1717</v>
      </c>
      <c r="B343" s="387" t="s">
        <v>3713</v>
      </c>
      <c r="C343" s="387" t="s">
        <v>3714</v>
      </c>
      <c r="D343" s="387" t="s">
        <v>3715</v>
      </c>
      <c r="E343" s="387">
        <v>30</v>
      </c>
      <c r="F343" s="387" t="s">
        <v>559</v>
      </c>
      <c r="G343" s="387">
        <v>30</v>
      </c>
      <c r="H343" s="387" t="s">
        <v>559</v>
      </c>
      <c r="I343" s="387" t="s">
        <v>560</v>
      </c>
      <c r="J343" s="387" t="s">
        <v>3716</v>
      </c>
      <c r="K343" s="387" t="s">
        <v>3717</v>
      </c>
      <c r="L343" s="387" t="s">
        <v>535</v>
      </c>
      <c r="M343" s="387" t="s">
        <v>536</v>
      </c>
      <c r="N343" s="388">
        <v>15.05</v>
      </c>
      <c r="O343" s="388">
        <v>14</v>
      </c>
      <c r="P343" s="387" t="s">
        <v>538</v>
      </c>
      <c r="Q343" s="387" t="s">
        <v>539</v>
      </c>
      <c r="R343" s="387" t="s">
        <v>3718</v>
      </c>
      <c r="S343" s="387" t="s">
        <v>541</v>
      </c>
      <c r="T343" s="387" t="s">
        <v>757</v>
      </c>
      <c r="U343" s="388">
        <v>553305</v>
      </c>
      <c r="V343" s="387" t="s">
        <v>543</v>
      </c>
      <c r="W343" s="387" t="s">
        <v>543</v>
      </c>
      <c r="X343" s="387" t="s">
        <v>543</v>
      </c>
      <c r="Y343" s="387" t="s">
        <v>543</v>
      </c>
      <c r="Z343" s="387" t="s">
        <v>543</v>
      </c>
      <c r="AA343" s="388" t="s">
        <v>543</v>
      </c>
      <c r="AB343" s="388" t="s">
        <v>543</v>
      </c>
      <c r="AC343" s="387" t="s">
        <v>543</v>
      </c>
      <c r="AD343" s="389">
        <v>70</v>
      </c>
      <c r="AE343" s="390">
        <v>45047</v>
      </c>
      <c r="AF343" s="390">
        <v>46142</v>
      </c>
      <c r="AG343" s="391" t="s">
        <v>545</v>
      </c>
      <c r="AH343" s="391" t="s">
        <v>3719</v>
      </c>
      <c r="AI343" s="391" t="s">
        <v>547</v>
      </c>
      <c r="AJ343" s="391">
        <v>0</v>
      </c>
      <c r="AK343" s="390">
        <v>45047</v>
      </c>
      <c r="AL343" s="389">
        <v>100</v>
      </c>
      <c r="AM343" s="391" t="s">
        <v>548</v>
      </c>
      <c r="AN343" s="391" t="s">
        <v>549</v>
      </c>
      <c r="AO343" s="391" t="s">
        <v>3720</v>
      </c>
    </row>
    <row r="344" spans="1:41" ht="16" thickBot="1">
      <c r="A344" s="387" t="s">
        <v>1748</v>
      </c>
      <c r="B344" s="387" t="s">
        <v>643</v>
      </c>
      <c r="C344" s="387" t="s">
        <v>3721</v>
      </c>
      <c r="D344" s="387" t="s">
        <v>3722</v>
      </c>
      <c r="E344" s="387">
        <v>2</v>
      </c>
      <c r="F344" s="387" t="s">
        <v>531</v>
      </c>
      <c r="G344" s="387">
        <v>1</v>
      </c>
      <c r="H344" s="387" t="s">
        <v>531</v>
      </c>
      <c r="I344" s="387" t="s">
        <v>1751</v>
      </c>
      <c r="J344" s="387" t="s">
        <v>3716</v>
      </c>
      <c r="K344" s="387" t="s">
        <v>3723</v>
      </c>
      <c r="L344" s="387" t="s">
        <v>535</v>
      </c>
      <c r="M344" s="387" t="s">
        <v>536</v>
      </c>
      <c r="N344" s="388">
        <v>21.39</v>
      </c>
      <c r="O344" s="388">
        <v>14</v>
      </c>
      <c r="P344" s="387" t="s">
        <v>611</v>
      </c>
      <c r="Q344" s="387" t="s">
        <v>612</v>
      </c>
      <c r="R344" s="387" t="s">
        <v>3718</v>
      </c>
      <c r="S344" s="387" t="s">
        <v>614</v>
      </c>
      <c r="T344" s="387" t="s">
        <v>160</v>
      </c>
      <c r="U344" s="388">
        <v>39280</v>
      </c>
      <c r="V344" s="387" t="s">
        <v>543</v>
      </c>
      <c r="W344" s="387" t="s">
        <v>543</v>
      </c>
      <c r="X344" s="387" t="s">
        <v>543</v>
      </c>
      <c r="Y344" s="387" t="s">
        <v>543</v>
      </c>
      <c r="Z344" s="387" t="s">
        <v>543</v>
      </c>
      <c r="AA344" s="388" t="s">
        <v>543</v>
      </c>
      <c r="AB344" s="388" t="s">
        <v>543</v>
      </c>
      <c r="AC344" s="387" t="s">
        <v>543</v>
      </c>
      <c r="AD344" s="389">
        <v>5</v>
      </c>
      <c r="AE344" s="390">
        <v>44317</v>
      </c>
      <c r="AF344" s="390">
        <v>45412</v>
      </c>
      <c r="AG344" s="391" t="s">
        <v>545</v>
      </c>
      <c r="AH344" s="391" t="s">
        <v>3724</v>
      </c>
      <c r="AI344" s="391" t="s">
        <v>547</v>
      </c>
      <c r="AJ344" s="391">
        <v>0</v>
      </c>
      <c r="AK344" s="390">
        <v>44317</v>
      </c>
      <c r="AL344" s="389">
        <v>100</v>
      </c>
      <c r="AM344" s="391" t="s">
        <v>548</v>
      </c>
      <c r="AN344" s="391" t="s">
        <v>549</v>
      </c>
      <c r="AO344" s="391" t="s">
        <v>3725</v>
      </c>
    </row>
    <row r="345" spans="1:41" ht="16" thickBot="1">
      <c r="A345" s="387" t="s">
        <v>1717</v>
      </c>
      <c r="B345" s="387" t="s">
        <v>3726</v>
      </c>
      <c r="C345" s="387" t="s">
        <v>3727</v>
      </c>
      <c r="D345" s="387" t="s">
        <v>3728</v>
      </c>
      <c r="E345" s="387">
        <v>100</v>
      </c>
      <c r="F345" s="387" t="s">
        <v>559</v>
      </c>
      <c r="G345" s="387">
        <v>100</v>
      </c>
      <c r="H345" s="387" t="s">
        <v>559</v>
      </c>
      <c r="I345" s="387" t="s">
        <v>560</v>
      </c>
      <c r="J345" s="387" t="s">
        <v>3716</v>
      </c>
      <c r="K345" s="387" t="s">
        <v>3729</v>
      </c>
      <c r="L345" s="387" t="s">
        <v>535</v>
      </c>
      <c r="M345" s="387" t="s">
        <v>536</v>
      </c>
      <c r="N345" s="388">
        <v>102.47</v>
      </c>
      <c r="O345" s="388">
        <v>14</v>
      </c>
      <c r="P345" s="387" t="s">
        <v>538</v>
      </c>
      <c r="Q345" s="387" t="s">
        <v>539</v>
      </c>
      <c r="R345" s="387" t="s">
        <v>3718</v>
      </c>
      <c r="S345" s="387" t="s">
        <v>541</v>
      </c>
      <c r="T345" s="387" t="s">
        <v>757</v>
      </c>
      <c r="U345" s="388">
        <v>18710</v>
      </c>
      <c r="V345" s="387" t="s">
        <v>543</v>
      </c>
      <c r="W345" s="387" t="s">
        <v>543</v>
      </c>
      <c r="X345" s="387" t="s">
        <v>543</v>
      </c>
      <c r="Y345" s="387" t="s">
        <v>543</v>
      </c>
      <c r="Z345" s="387" t="s">
        <v>543</v>
      </c>
      <c r="AA345" s="388" t="s">
        <v>543</v>
      </c>
      <c r="AB345" s="388" t="s">
        <v>543</v>
      </c>
      <c r="AC345" s="387" t="s">
        <v>543</v>
      </c>
      <c r="AD345" s="389">
        <v>10</v>
      </c>
      <c r="AE345" s="390">
        <v>45047</v>
      </c>
      <c r="AF345" s="390">
        <v>46142</v>
      </c>
      <c r="AG345" s="391" t="s">
        <v>545</v>
      </c>
      <c r="AH345" s="391" t="s">
        <v>3730</v>
      </c>
      <c r="AI345" s="391" t="s">
        <v>547</v>
      </c>
      <c r="AJ345" s="391">
        <v>0</v>
      </c>
      <c r="AK345" s="390">
        <v>45047</v>
      </c>
      <c r="AL345" s="389">
        <v>100</v>
      </c>
      <c r="AM345" s="391" t="s">
        <v>548</v>
      </c>
      <c r="AN345" s="391" t="s">
        <v>549</v>
      </c>
      <c r="AO345" s="391" t="s">
        <v>3731</v>
      </c>
    </row>
    <row r="346" spans="1:41" ht="16" thickBot="1">
      <c r="A346" s="387" t="s">
        <v>2177</v>
      </c>
      <c r="B346" s="387" t="s">
        <v>975</v>
      </c>
      <c r="C346" s="387" t="s">
        <v>3732</v>
      </c>
      <c r="D346" s="387" t="s">
        <v>3733</v>
      </c>
      <c r="E346" s="387">
        <v>3</v>
      </c>
      <c r="F346" s="387" t="s">
        <v>2180</v>
      </c>
      <c r="G346" s="387">
        <v>3</v>
      </c>
      <c r="H346" s="387" t="s">
        <v>2180</v>
      </c>
      <c r="I346" s="387" t="s">
        <v>3734</v>
      </c>
      <c r="J346" s="387" t="s">
        <v>3735</v>
      </c>
      <c r="K346" s="387" t="s">
        <v>3736</v>
      </c>
      <c r="L346" s="387" t="s">
        <v>1916</v>
      </c>
      <c r="M346" s="387" t="s">
        <v>1917</v>
      </c>
      <c r="N346" s="388">
        <v>422.07</v>
      </c>
      <c r="O346" s="388">
        <v>14</v>
      </c>
      <c r="P346" s="387" t="s">
        <v>538</v>
      </c>
      <c r="Q346" s="387" t="s">
        <v>539</v>
      </c>
      <c r="R346" s="387" t="s">
        <v>3737</v>
      </c>
      <c r="S346" s="387" t="s">
        <v>541</v>
      </c>
      <c r="T346" s="387" t="s">
        <v>757</v>
      </c>
      <c r="U346" s="388">
        <v>27840</v>
      </c>
      <c r="V346" s="387">
        <v>6005561001330</v>
      </c>
      <c r="W346" s="387">
        <v>6005561001330</v>
      </c>
      <c r="X346" s="387" t="s">
        <v>543</v>
      </c>
      <c r="Y346" s="387" t="s">
        <v>543</v>
      </c>
      <c r="Z346" s="387" t="s">
        <v>543</v>
      </c>
      <c r="AA346" s="388" t="s">
        <v>543</v>
      </c>
      <c r="AB346" s="388" t="s">
        <v>543</v>
      </c>
      <c r="AC346" s="387" t="s">
        <v>543</v>
      </c>
      <c r="AD346" s="389">
        <v>1</v>
      </c>
      <c r="AE346" s="390">
        <v>44013</v>
      </c>
      <c r="AF346" s="390">
        <v>45107</v>
      </c>
      <c r="AG346" s="390">
        <v>45107</v>
      </c>
      <c r="AH346" s="391" t="s">
        <v>3738</v>
      </c>
      <c r="AI346" s="391" t="s">
        <v>1920</v>
      </c>
      <c r="AJ346" s="391">
        <v>0</v>
      </c>
      <c r="AK346" s="390">
        <v>44013</v>
      </c>
      <c r="AL346" s="389">
        <v>100</v>
      </c>
      <c r="AM346" s="391" t="s">
        <v>548</v>
      </c>
      <c r="AN346" s="391" t="s">
        <v>545</v>
      </c>
      <c r="AO346" s="391" t="s">
        <v>3739</v>
      </c>
    </row>
    <row r="347" spans="1:41" ht="16" thickBot="1">
      <c r="A347" s="387" t="s">
        <v>1748</v>
      </c>
      <c r="B347" s="387" t="s">
        <v>1001</v>
      </c>
      <c r="C347" s="387" t="s">
        <v>3740</v>
      </c>
      <c r="D347" s="387" t="s">
        <v>3741</v>
      </c>
      <c r="E347" s="387">
        <v>20</v>
      </c>
      <c r="F347" s="387" t="s">
        <v>531</v>
      </c>
      <c r="G347" s="387">
        <v>20</v>
      </c>
      <c r="H347" s="387" t="s">
        <v>531</v>
      </c>
      <c r="I347" s="387" t="s">
        <v>1751</v>
      </c>
      <c r="J347" s="387" t="s">
        <v>3742</v>
      </c>
      <c r="K347" s="387" t="s">
        <v>3743</v>
      </c>
      <c r="L347" s="387" t="s">
        <v>1955</v>
      </c>
      <c r="M347" s="387" t="s">
        <v>1956</v>
      </c>
      <c r="N347" s="388">
        <v>75.44</v>
      </c>
      <c r="O347" s="388">
        <v>14</v>
      </c>
      <c r="P347" s="387" t="s">
        <v>538</v>
      </c>
      <c r="Q347" s="387" t="s">
        <v>539</v>
      </c>
      <c r="R347" s="387" t="s">
        <v>3744</v>
      </c>
      <c r="S347" s="387" t="s">
        <v>541</v>
      </c>
      <c r="T347" s="387" t="s">
        <v>757</v>
      </c>
      <c r="U347" s="388">
        <v>206440</v>
      </c>
      <c r="V347" s="387">
        <v>6009615480027</v>
      </c>
      <c r="W347" s="387">
        <v>6009615480027</v>
      </c>
      <c r="X347" s="387" t="s">
        <v>543</v>
      </c>
      <c r="Y347" s="387" t="s">
        <v>543</v>
      </c>
      <c r="Z347" s="387" t="s">
        <v>543</v>
      </c>
      <c r="AA347" s="388" t="s">
        <v>543</v>
      </c>
      <c r="AB347" s="388" t="s">
        <v>543</v>
      </c>
      <c r="AC347" s="387">
        <v>717754006</v>
      </c>
      <c r="AD347" s="389" t="s">
        <v>3745</v>
      </c>
      <c r="AE347" s="390">
        <v>44317</v>
      </c>
      <c r="AF347" s="390">
        <v>45412</v>
      </c>
      <c r="AG347" s="391" t="s">
        <v>545</v>
      </c>
      <c r="AH347" s="391" t="s">
        <v>3746</v>
      </c>
      <c r="AI347" s="391" t="s">
        <v>1959</v>
      </c>
      <c r="AJ347" s="391">
        <v>0</v>
      </c>
      <c r="AK347" s="390">
        <v>44317</v>
      </c>
      <c r="AL347" s="389">
        <v>100</v>
      </c>
      <c r="AM347" s="391" t="s">
        <v>548</v>
      </c>
      <c r="AN347" s="391" t="s">
        <v>549</v>
      </c>
      <c r="AO347" s="391" t="s">
        <v>3747</v>
      </c>
    </row>
    <row r="348" spans="1:41" ht="16" thickBot="1">
      <c r="A348" s="387" t="s">
        <v>2166</v>
      </c>
      <c r="B348" s="387" t="s">
        <v>1006</v>
      </c>
      <c r="C348" s="387" t="s">
        <v>3748</v>
      </c>
      <c r="D348" s="387" t="s">
        <v>3749</v>
      </c>
      <c r="E348" s="387">
        <v>1</v>
      </c>
      <c r="F348" s="387" t="s">
        <v>531</v>
      </c>
      <c r="G348" s="387">
        <v>1</v>
      </c>
      <c r="H348" s="387" t="s">
        <v>531</v>
      </c>
      <c r="I348" s="387" t="s">
        <v>1751</v>
      </c>
      <c r="J348" s="387" t="s">
        <v>3750</v>
      </c>
      <c r="K348" s="387" t="s">
        <v>3751</v>
      </c>
      <c r="L348" s="387" t="s">
        <v>1761</v>
      </c>
      <c r="M348" s="387" t="s">
        <v>1762</v>
      </c>
      <c r="N348" s="388">
        <v>295</v>
      </c>
      <c r="O348" s="388">
        <v>14</v>
      </c>
      <c r="P348" s="387" t="s">
        <v>538</v>
      </c>
      <c r="Q348" s="387" t="s">
        <v>539</v>
      </c>
      <c r="R348" s="387" t="s">
        <v>3752</v>
      </c>
      <c r="S348" s="387" t="s">
        <v>541</v>
      </c>
      <c r="T348" s="387" t="s">
        <v>1908</v>
      </c>
      <c r="U348" s="388">
        <v>6662</v>
      </c>
      <c r="V348" s="387">
        <v>6006498014936</v>
      </c>
      <c r="W348" s="387" t="s">
        <v>543</v>
      </c>
      <c r="X348" s="387" t="s">
        <v>543</v>
      </c>
      <c r="Y348" s="387" t="s">
        <v>543</v>
      </c>
      <c r="Z348" s="387" t="s">
        <v>543</v>
      </c>
      <c r="AA348" s="388" t="s">
        <v>543</v>
      </c>
      <c r="AB348" s="388" t="s">
        <v>543</v>
      </c>
      <c r="AC348" s="387">
        <v>3003556001</v>
      </c>
      <c r="AD348" s="389">
        <v>10</v>
      </c>
      <c r="AE348" s="390">
        <v>44743</v>
      </c>
      <c r="AF348" s="390">
        <v>45473</v>
      </c>
      <c r="AG348" s="391" t="s">
        <v>545</v>
      </c>
      <c r="AH348" s="391" t="s">
        <v>3753</v>
      </c>
      <c r="AI348" s="391" t="s">
        <v>1764</v>
      </c>
      <c r="AJ348" s="391">
        <v>0</v>
      </c>
      <c r="AK348" s="390">
        <v>44743</v>
      </c>
      <c r="AL348" s="389">
        <v>100</v>
      </c>
      <c r="AM348" s="391" t="s">
        <v>548</v>
      </c>
      <c r="AN348" s="391" t="s">
        <v>549</v>
      </c>
      <c r="AO348" s="391" t="s">
        <v>3754</v>
      </c>
    </row>
    <row r="349" spans="1:41" ht="16" thickBot="1">
      <c r="A349" s="387" t="s">
        <v>2166</v>
      </c>
      <c r="B349" s="387" t="s">
        <v>990</v>
      </c>
      <c r="C349" s="387" t="s">
        <v>3755</v>
      </c>
      <c r="D349" s="387" t="s">
        <v>3756</v>
      </c>
      <c r="E349" s="387">
        <v>4</v>
      </c>
      <c r="F349" s="387" t="s">
        <v>531</v>
      </c>
      <c r="G349" s="387">
        <v>4</v>
      </c>
      <c r="H349" s="387" t="s">
        <v>531</v>
      </c>
      <c r="I349" s="387" t="s">
        <v>1751</v>
      </c>
      <c r="J349" s="387" t="s">
        <v>3750</v>
      </c>
      <c r="K349" s="387" t="s">
        <v>3757</v>
      </c>
      <c r="L349" s="387" t="s">
        <v>1761</v>
      </c>
      <c r="M349" s="387" t="s">
        <v>1762</v>
      </c>
      <c r="N349" s="388">
        <v>370</v>
      </c>
      <c r="O349" s="388">
        <v>14</v>
      </c>
      <c r="P349" s="387" t="s">
        <v>538</v>
      </c>
      <c r="Q349" s="387" t="s">
        <v>539</v>
      </c>
      <c r="R349" s="387" t="s">
        <v>3752</v>
      </c>
      <c r="S349" s="387" t="s">
        <v>541</v>
      </c>
      <c r="T349" s="387" t="s">
        <v>1908</v>
      </c>
      <c r="U349" s="388">
        <v>31736</v>
      </c>
      <c r="V349" s="387">
        <v>6006498014943</v>
      </c>
      <c r="W349" s="387" t="s">
        <v>543</v>
      </c>
      <c r="X349" s="387" t="s">
        <v>543</v>
      </c>
      <c r="Y349" s="387" t="s">
        <v>543</v>
      </c>
      <c r="Z349" s="387" t="s">
        <v>543</v>
      </c>
      <c r="AA349" s="388" t="s">
        <v>543</v>
      </c>
      <c r="AB349" s="388" t="s">
        <v>543</v>
      </c>
      <c r="AC349" s="387">
        <v>3003557001</v>
      </c>
      <c r="AD349" s="389">
        <v>10</v>
      </c>
      <c r="AE349" s="390">
        <v>44743</v>
      </c>
      <c r="AF349" s="390">
        <v>45473</v>
      </c>
      <c r="AG349" s="391" t="s">
        <v>545</v>
      </c>
      <c r="AH349" s="391" t="s">
        <v>3758</v>
      </c>
      <c r="AI349" s="391" t="s">
        <v>1764</v>
      </c>
      <c r="AJ349" s="391">
        <v>0</v>
      </c>
      <c r="AK349" s="390">
        <v>44743</v>
      </c>
      <c r="AL349" s="389">
        <v>100</v>
      </c>
      <c r="AM349" s="391" t="s">
        <v>548</v>
      </c>
      <c r="AN349" s="391" t="s">
        <v>549</v>
      </c>
      <c r="AO349" s="391" t="s">
        <v>3759</v>
      </c>
    </row>
    <row r="350" spans="1:41" ht="16" thickBot="1">
      <c r="A350" s="387" t="s">
        <v>2294</v>
      </c>
      <c r="B350" s="387" t="s">
        <v>1704</v>
      </c>
      <c r="C350" s="387" t="s">
        <v>3760</v>
      </c>
      <c r="D350" s="387" t="s">
        <v>3761</v>
      </c>
      <c r="E350" s="387">
        <v>10</v>
      </c>
      <c r="F350" s="387" t="s">
        <v>531</v>
      </c>
      <c r="G350" s="387">
        <v>200</v>
      </c>
      <c r="H350" s="387" t="s">
        <v>2297</v>
      </c>
      <c r="I350" s="387" t="s">
        <v>3762</v>
      </c>
      <c r="J350" s="387" t="s">
        <v>3763</v>
      </c>
      <c r="K350" s="387" t="s">
        <v>3764</v>
      </c>
      <c r="L350" s="387" t="s">
        <v>562</v>
      </c>
      <c r="M350" s="387" t="s">
        <v>563</v>
      </c>
      <c r="N350" s="388">
        <v>52.77</v>
      </c>
      <c r="O350" s="388">
        <v>14</v>
      </c>
      <c r="P350" s="387" t="s">
        <v>611</v>
      </c>
      <c r="Q350" s="387" t="s">
        <v>612</v>
      </c>
      <c r="R350" s="387" t="s">
        <v>3765</v>
      </c>
      <c r="S350" s="387" t="s">
        <v>614</v>
      </c>
      <c r="T350" s="387" t="s">
        <v>160</v>
      </c>
      <c r="U350" s="388">
        <v>24450</v>
      </c>
      <c r="V350" s="387">
        <v>5012748102842</v>
      </c>
      <c r="W350" s="387" t="s">
        <v>543</v>
      </c>
      <c r="X350" s="387" t="s">
        <v>543</v>
      </c>
      <c r="Y350" s="387" t="s">
        <v>543</v>
      </c>
      <c r="Z350" s="387" t="s">
        <v>543</v>
      </c>
      <c r="AA350" s="388" t="s">
        <v>543</v>
      </c>
      <c r="AB350" s="388" t="s">
        <v>543</v>
      </c>
      <c r="AC350" s="387">
        <v>778567001</v>
      </c>
      <c r="AD350" s="389">
        <v>20</v>
      </c>
      <c r="AE350" s="390">
        <v>44013</v>
      </c>
      <c r="AF350" s="390">
        <v>45107</v>
      </c>
      <c r="AG350" s="390">
        <v>45107</v>
      </c>
      <c r="AH350" s="391" t="s">
        <v>3766</v>
      </c>
      <c r="AI350" s="391" t="s">
        <v>565</v>
      </c>
      <c r="AJ350" s="391">
        <v>44</v>
      </c>
      <c r="AK350" s="390">
        <v>44409</v>
      </c>
      <c r="AL350" s="389">
        <v>100</v>
      </c>
      <c r="AM350" s="391" t="s">
        <v>548</v>
      </c>
      <c r="AN350" s="391" t="s">
        <v>545</v>
      </c>
      <c r="AO350" s="391" t="s">
        <v>3767</v>
      </c>
    </row>
    <row r="351" spans="1:41" ht="16" thickBot="1">
      <c r="A351" s="387" t="s">
        <v>529</v>
      </c>
      <c r="B351" s="387" t="s">
        <v>992</v>
      </c>
      <c r="C351" s="387" t="s">
        <v>1022</v>
      </c>
      <c r="D351" s="387" t="s">
        <v>1023</v>
      </c>
      <c r="E351" s="387">
        <v>30</v>
      </c>
      <c r="F351" s="387" t="s">
        <v>559</v>
      </c>
      <c r="G351" s="387">
        <v>30</v>
      </c>
      <c r="H351" s="387" t="s">
        <v>559</v>
      </c>
      <c r="I351" s="387" t="s">
        <v>628</v>
      </c>
      <c r="J351" s="387" t="s">
        <v>629</v>
      </c>
      <c r="K351" s="387" t="s">
        <v>630</v>
      </c>
      <c r="L351" s="387" t="s">
        <v>631</v>
      </c>
      <c r="M351" s="387" t="s">
        <v>632</v>
      </c>
      <c r="N351" s="388">
        <v>45.8</v>
      </c>
      <c r="O351" s="388">
        <v>14</v>
      </c>
      <c r="P351" s="387" t="s">
        <v>538</v>
      </c>
      <c r="Q351" s="387" t="s">
        <v>539</v>
      </c>
      <c r="R351" s="387" t="s">
        <v>633</v>
      </c>
      <c r="S351" s="387" t="s">
        <v>171</v>
      </c>
      <c r="T351" s="387" t="s">
        <v>542</v>
      </c>
      <c r="U351" s="388">
        <v>103022</v>
      </c>
      <c r="V351" s="387" t="s">
        <v>543</v>
      </c>
      <c r="W351" s="387" t="s">
        <v>543</v>
      </c>
      <c r="X351" s="387" t="s">
        <v>543</v>
      </c>
      <c r="Y351" s="387">
        <v>4600288004392</v>
      </c>
      <c r="Z351" s="387" t="s">
        <v>543</v>
      </c>
      <c r="AA351" s="388" t="s">
        <v>543</v>
      </c>
      <c r="AB351" s="388" t="s">
        <v>543</v>
      </c>
      <c r="AC351" s="387" t="s">
        <v>543</v>
      </c>
      <c r="AD351" s="389">
        <v>44</v>
      </c>
      <c r="AE351" s="390">
        <v>44743</v>
      </c>
      <c r="AF351" s="390">
        <v>45838</v>
      </c>
      <c r="AG351" s="390">
        <v>45838</v>
      </c>
      <c r="AH351" s="391" t="s">
        <v>635</v>
      </c>
      <c r="AI351" s="391" t="s">
        <v>636</v>
      </c>
      <c r="AJ351" s="391">
        <v>22</v>
      </c>
      <c r="AK351" s="390">
        <v>45047</v>
      </c>
      <c r="AL351" s="389">
        <v>100</v>
      </c>
      <c r="AM351" s="391" t="s">
        <v>548</v>
      </c>
      <c r="AN351" s="391" t="s">
        <v>549</v>
      </c>
      <c r="AO351" s="391" t="s">
        <v>638</v>
      </c>
    </row>
    <row r="352" spans="1:41" ht="16" thickBot="1">
      <c r="A352" s="387" t="s">
        <v>529</v>
      </c>
      <c r="B352" s="387" t="s">
        <v>544</v>
      </c>
      <c r="C352" s="387" t="s">
        <v>1015</v>
      </c>
      <c r="D352" s="387" t="s">
        <v>627</v>
      </c>
      <c r="E352" s="387">
        <v>30</v>
      </c>
      <c r="F352" s="387" t="s">
        <v>559</v>
      </c>
      <c r="G352" s="387">
        <v>30</v>
      </c>
      <c r="H352" s="387" t="s">
        <v>559</v>
      </c>
      <c r="I352" s="387" t="s">
        <v>560</v>
      </c>
      <c r="J352" s="387" t="s">
        <v>629</v>
      </c>
      <c r="K352" s="387" t="s">
        <v>642</v>
      </c>
      <c r="L352" s="387" t="s">
        <v>552</v>
      </c>
      <c r="M352" s="387" t="s">
        <v>553</v>
      </c>
      <c r="N352" s="388">
        <v>25.1</v>
      </c>
      <c r="O352" s="388">
        <v>14</v>
      </c>
      <c r="P352" s="387" t="s">
        <v>538</v>
      </c>
      <c r="Q352" s="387" t="s">
        <v>539</v>
      </c>
      <c r="R352" s="387" t="s">
        <v>633</v>
      </c>
      <c r="S352" s="387" t="s">
        <v>541</v>
      </c>
      <c r="T352" s="387" t="s">
        <v>542</v>
      </c>
      <c r="U352" s="388">
        <v>2611183</v>
      </c>
      <c r="V352" s="387" t="s">
        <v>543</v>
      </c>
      <c r="W352" s="387" t="s">
        <v>543</v>
      </c>
      <c r="X352" s="387" t="s">
        <v>543</v>
      </c>
      <c r="Y352" s="387" t="s">
        <v>543</v>
      </c>
      <c r="Z352" s="387" t="s">
        <v>543</v>
      </c>
      <c r="AA352" s="388" t="s">
        <v>543</v>
      </c>
      <c r="AB352" s="388" t="s">
        <v>543</v>
      </c>
      <c r="AC352" s="387" t="s">
        <v>543</v>
      </c>
      <c r="AD352" s="389">
        <v>112</v>
      </c>
      <c r="AE352" s="390">
        <v>44743</v>
      </c>
      <c r="AF352" s="390">
        <v>45838</v>
      </c>
      <c r="AG352" s="390">
        <v>45838</v>
      </c>
      <c r="AH352" s="391" t="s">
        <v>640</v>
      </c>
      <c r="AI352" s="391" t="s">
        <v>555</v>
      </c>
      <c r="AJ352" s="391">
        <v>19</v>
      </c>
      <c r="AK352" s="390">
        <v>45047</v>
      </c>
      <c r="AL352" s="389">
        <v>36</v>
      </c>
      <c r="AM352" s="391" t="s">
        <v>548</v>
      </c>
      <c r="AN352" s="391" t="s">
        <v>549</v>
      </c>
      <c r="AO352" s="391" t="s">
        <v>641</v>
      </c>
    </row>
    <row r="353" spans="1:43" ht="16" thickBot="1">
      <c r="A353" s="387" t="s">
        <v>529</v>
      </c>
      <c r="B353" s="387" t="s">
        <v>544</v>
      </c>
      <c r="C353" s="387" t="s">
        <v>1015</v>
      </c>
      <c r="D353" s="387" t="s">
        <v>627</v>
      </c>
      <c r="E353" s="387">
        <v>30</v>
      </c>
      <c r="F353" s="387" t="s">
        <v>559</v>
      </c>
      <c r="G353" s="387">
        <v>30</v>
      </c>
      <c r="H353" s="387" t="s">
        <v>559</v>
      </c>
      <c r="I353" s="387" t="s">
        <v>560</v>
      </c>
      <c r="J353" s="387" t="s">
        <v>629</v>
      </c>
      <c r="K353" s="387" t="s">
        <v>630</v>
      </c>
      <c r="L353" s="387" t="s">
        <v>631</v>
      </c>
      <c r="M353" s="387" t="s">
        <v>632</v>
      </c>
      <c r="N353" s="388">
        <v>40.409999999999997</v>
      </c>
      <c r="O353" s="388">
        <v>14</v>
      </c>
      <c r="P353" s="387" t="s">
        <v>538</v>
      </c>
      <c r="Q353" s="387" t="s">
        <v>539</v>
      </c>
      <c r="R353" s="387" t="s">
        <v>633</v>
      </c>
      <c r="S353" s="387" t="s">
        <v>541</v>
      </c>
      <c r="T353" s="387" t="s">
        <v>542</v>
      </c>
      <c r="U353" s="388">
        <v>2901314</v>
      </c>
      <c r="V353" s="387">
        <v>6008288004394</v>
      </c>
      <c r="W353" s="387">
        <v>6008288004394</v>
      </c>
      <c r="X353" s="387" t="s">
        <v>543</v>
      </c>
      <c r="Y353" s="387">
        <v>4600288004392</v>
      </c>
      <c r="Z353" s="387" t="s">
        <v>543</v>
      </c>
      <c r="AA353" s="388" t="s">
        <v>543</v>
      </c>
      <c r="AB353" s="388" t="s">
        <v>543</v>
      </c>
      <c r="AC353" s="387" t="s">
        <v>543</v>
      </c>
      <c r="AD353" s="389">
        <v>44</v>
      </c>
      <c r="AE353" s="390">
        <v>44743</v>
      </c>
      <c r="AF353" s="390">
        <v>45838</v>
      </c>
      <c r="AG353" s="390">
        <v>45838</v>
      </c>
      <c r="AH353" s="391" t="s">
        <v>640</v>
      </c>
      <c r="AI353" s="391" t="s">
        <v>636</v>
      </c>
      <c r="AJ353" s="391">
        <v>22</v>
      </c>
      <c r="AK353" s="390">
        <v>45047</v>
      </c>
      <c r="AL353" s="389">
        <v>40</v>
      </c>
      <c r="AM353" s="391" t="s">
        <v>548</v>
      </c>
      <c r="AN353" s="391" t="s">
        <v>549</v>
      </c>
      <c r="AO353" s="391" t="s">
        <v>641</v>
      </c>
    </row>
    <row r="354" spans="1:43" ht="16" thickBot="1">
      <c r="A354" s="387" t="s">
        <v>529</v>
      </c>
      <c r="B354" s="387" t="s">
        <v>544</v>
      </c>
      <c r="C354" s="387" t="s">
        <v>1015</v>
      </c>
      <c r="D354" s="387" t="s">
        <v>627</v>
      </c>
      <c r="E354" s="387">
        <v>30</v>
      </c>
      <c r="F354" s="387" t="s">
        <v>559</v>
      </c>
      <c r="G354" s="387">
        <v>30</v>
      </c>
      <c r="H354" s="387" t="s">
        <v>559</v>
      </c>
      <c r="I354" s="387" t="s">
        <v>560</v>
      </c>
      <c r="J354" s="387" t="s">
        <v>629</v>
      </c>
      <c r="K354" s="387" t="s">
        <v>639</v>
      </c>
      <c r="L354" s="387" t="s">
        <v>562</v>
      </c>
      <c r="M354" s="387" t="s">
        <v>563</v>
      </c>
      <c r="N354" s="388">
        <v>23.7</v>
      </c>
      <c r="O354" s="388">
        <v>14</v>
      </c>
      <c r="P354" s="387" t="s">
        <v>538</v>
      </c>
      <c r="Q354" s="387" t="s">
        <v>539</v>
      </c>
      <c r="R354" s="387" t="s">
        <v>633</v>
      </c>
      <c r="S354" s="387" t="s">
        <v>541</v>
      </c>
      <c r="T354" s="387" t="s">
        <v>542</v>
      </c>
      <c r="U354" s="388">
        <v>1740788</v>
      </c>
      <c r="V354" s="387">
        <v>6009888360217</v>
      </c>
      <c r="W354" s="387">
        <v>6009888360217</v>
      </c>
      <c r="X354" s="387" t="s">
        <v>543</v>
      </c>
      <c r="Y354" s="387">
        <v>58904093822754</v>
      </c>
      <c r="Z354" s="387" t="s">
        <v>543</v>
      </c>
      <c r="AA354" s="388" t="s">
        <v>543</v>
      </c>
      <c r="AB354" s="388" t="s">
        <v>543</v>
      </c>
      <c r="AC354" s="387" t="s">
        <v>543</v>
      </c>
      <c r="AD354" s="389">
        <v>192</v>
      </c>
      <c r="AE354" s="390">
        <v>44743</v>
      </c>
      <c r="AF354" s="390">
        <v>45838</v>
      </c>
      <c r="AG354" s="390">
        <v>45838</v>
      </c>
      <c r="AH354" s="391" t="s">
        <v>640</v>
      </c>
      <c r="AI354" s="391" t="s">
        <v>565</v>
      </c>
      <c r="AJ354" s="391">
        <v>23</v>
      </c>
      <c r="AK354" s="390">
        <v>45047</v>
      </c>
      <c r="AL354" s="389">
        <v>24</v>
      </c>
      <c r="AM354" s="391" t="s">
        <v>548</v>
      </c>
      <c r="AN354" s="391" t="s">
        <v>549</v>
      </c>
      <c r="AO354" s="391" t="s">
        <v>641</v>
      </c>
    </row>
    <row r="355" spans="1:43" ht="16" thickBot="1">
      <c r="A355" s="387" t="s">
        <v>1748</v>
      </c>
      <c r="B355" s="387" t="s">
        <v>967</v>
      </c>
      <c r="C355" s="387" t="s">
        <v>3768</v>
      </c>
      <c r="D355" s="387" t="s">
        <v>3769</v>
      </c>
      <c r="E355" s="387">
        <v>5</v>
      </c>
      <c r="F355" s="387" t="s">
        <v>531</v>
      </c>
      <c r="G355" s="387">
        <v>5</v>
      </c>
      <c r="H355" s="387" t="s">
        <v>531</v>
      </c>
      <c r="I355" s="387" t="s">
        <v>1751</v>
      </c>
      <c r="J355" s="387" t="s">
        <v>3770</v>
      </c>
      <c r="K355" s="387" t="s">
        <v>3771</v>
      </c>
      <c r="L355" s="387" t="s">
        <v>2312</v>
      </c>
      <c r="M355" s="387" t="s">
        <v>2313</v>
      </c>
      <c r="N355" s="388">
        <v>7.8</v>
      </c>
      <c r="O355" s="388">
        <v>14</v>
      </c>
      <c r="P355" s="387" t="s">
        <v>538</v>
      </c>
      <c r="Q355" s="387" t="s">
        <v>539</v>
      </c>
      <c r="R355" s="387" t="s">
        <v>3772</v>
      </c>
      <c r="S355" s="387" t="s">
        <v>541</v>
      </c>
      <c r="T355" s="387" t="s">
        <v>757</v>
      </c>
      <c r="U355" s="388">
        <v>106755</v>
      </c>
      <c r="V355" s="387">
        <v>6005436004398</v>
      </c>
      <c r="W355" s="387">
        <v>6005436004398</v>
      </c>
      <c r="X355" s="387" t="s">
        <v>543</v>
      </c>
      <c r="Y355" s="387">
        <v>16009802416188</v>
      </c>
      <c r="Z355" s="387" t="s">
        <v>543</v>
      </c>
      <c r="AA355" s="388" t="s">
        <v>543</v>
      </c>
      <c r="AB355" s="388" t="s">
        <v>543</v>
      </c>
      <c r="AC355" s="387" t="s">
        <v>543</v>
      </c>
      <c r="AD355" s="389">
        <v>250</v>
      </c>
      <c r="AE355" s="390">
        <v>44317</v>
      </c>
      <c r="AF355" s="390">
        <v>45412</v>
      </c>
      <c r="AG355" s="391" t="s">
        <v>545</v>
      </c>
      <c r="AH355" s="391" t="s">
        <v>3773</v>
      </c>
      <c r="AI355" s="391" t="s">
        <v>2314</v>
      </c>
      <c r="AJ355" s="391">
        <v>0</v>
      </c>
      <c r="AK355" s="390">
        <v>44317</v>
      </c>
      <c r="AL355" s="389">
        <v>100</v>
      </c>
      <c r="AM355" s="391" t="s">
        <v>548</v>
      </c>
      <c r="AN355" s="391" t="s">
        <v>549</v>
      </c>
      <c r="AO355" s="391" t="s">
        <v>3774</v>
      </c>
    </row>
    <row r="356" spans="1:43" ht="16" thickBot="1">
      <c r="A356" s="387" t="s">
        <v>1717</v>
      </c>
      <c r="B356" s="387" t="s">
        <v>3775</v>
      </c>
      <c r="C356" s="387" t="s">
        <v>3776</v>
      </c>
      <c r="D356" s="387" t="s">
        <v>3777</v>
      </c>
      <c r="E356" s="387">
        <v>30</v>
      </c>
      <c r="F356" s="387" t="s">
        <v>559</v>
      </c>
      <c r="G356" s="387" t="s">
        <v>543</v>
      </c>
      <c r="H356" s="387" t="s">
        <v>559</v>
      </c>
      <c r="I356" s="387" t="s">
        <v>560</v>
      </c>
      <c r="J356" s="387" t="s">
        <v>3778</v>
      </c>
      <c r="K356" s="387" t="s">
        <v>3779</v>
      </c>
      <c r="L356" s="387" t="s">
        <v>562</v>
      </c>
      <c r="M356" s="387" t="s">
        <v>563</v>
      </c>
      <c r="N356" s="388">
        <v>15.24</v>
      </c>
      <c r="O356" s="388">
        <v>14</v>
      </c>
      <c r="P356" s="387" t="s">
        <v>538</v>
      </c>
      <c r="Q356" s="387" t="s">
        <v>539</v>
      </c>
      <c r="R356" s="387" t="s">
        <v>3780</v>
      </c>
      <c r="S356" s="387" t="s">
        <v>171</v>
      </c>
      <c r="T356" s="387" t="s">
        <v>757</v>
      </c>
      <c r="U356" s="388">
        <v>315258</v>
      </c>
      <c r="V356" s="387">
        <v>6009628333532</v>
      </c>
      <c r="W356" s="387">
        <v>6009628333532</v>
      </c>
      <c r="X356" s="387" t="s">
        <v>543</v>
      </c>
      <c r="Y356" s="387">
        <v>16009628333539</v>
      </c>
      <c r="Z356" s="387" t="s">
        <v>543</v>
      </c>
      <c r="AA356" s="388" t="s">
        <v>543</v>
      </c>
      <c r="AB356" s="388" t="s">
        <v>543</v>
      </c>
      <c r="AC356" s="387">
        <v>701425001</v>
      </c>
      <c r="AD356" s="389">
        <v>50</v>
      </c>
      <c r="AE356" s="390">
        <v>45047</v>
      </c>
      <c r="AF356" s="390">
        <v>46142</v>
      </c>
      <c r="AG356" s="391" t="s">
        <v>545</v>
      </c>
      <c r="AH356" s="391" t="s">
        <v>3781</v>
      </c>
      <c r="AI356" s="391" t="s">
        <v>565</v>
      </c>
      <c r="AJ356" s="391">
        <v>0</v>
      </c>
      <c r="AK356" s="390">
        <v>45047</v>
      </c>
      <c r="AL356" s="389">
        <v>100</v>
      </c>
      <c r="AM356" s="391" t="s">
        <v>548</v>
      </c>
      <c r="AN356" s="391" t="s">
        <v>549</v>
      </c>
      <c r="AO356" s="391" t="s">
        <v>3782</v>
      </c>
    </row>
    <row r="357" spans="1:43" ht="16" thickBot="1">
      <c r="A357" s="387" t="s">
        <v>1717</v>
      </c>
      <c r="B357" s="387" t="s">
        <v>3783</v>
      </c>
      <c r="C357" s="387" t="s">
        <v>3784</v>
      </c>
      <c r="D357" s="387" t="s">
        <v>3785</v>
      </c>
      <c r="E357" s="387">
        <v>30</v>
      </c>
      <c r="F357" s="387" t="s">
        <v>559</v>
      </c>
      <c r="G357" s="387" t="s">
        <v>543</v>
      </c>
      <c r="H357" s="387" t="s">
        <v>559</v>
      </c>
      <c r="I357" s="387" t="s">
        <v>560</v>
      </c>
      <c r="J357" s="387" t="s">
        <v>3778</v>
      </c>
      <c r="K357" s="387" t="s">
        <v>3786</v>
      </c>
      <c r="L357" s="387" t="s">
        <v>3787</v>
      </c>
      <c r="M357" s="387" t="s">
        <v>3788</v>
      </c>
      <c r="N357" s="388">
        <v>15.52</v>
      </c>
      <c r="O357" s="388">
        <v>14</v>
      </c>
      <c r="P357" s="387" t="s">
        <v>538</v>
      </c>
      <c r="Q357" s="387" t="s">
        <v>539</v>
      </c>
      <c r="R357" s="387" t="s">
        <v>3780</v>
      </c>
      <c r="S357" s="387" t="s">
        <v>171</v>
      </c>
      <c r="T357" s="387" t="s">
        <v>757</v>
      </c>
      <c r="U357" s="388">
        <v>2737682</v>
      </c>
      <c r="V357" s="387">
        <v>6009695244892</v>
      </c>
      <c r="W357" s="387" t="s">
        <v>543</v>
      </c>
      <c r="X357" s="387" t="s">
        <v>543</v>
      </c>
      <c r="Y357" s="387">
        <v>16009695244899</v>
      </c>
      <c r="Z357" s="387" t="s">
        <v>543</v>
      </c>
      <c r="AA357" s="388" t="s">
        <v>543</v>
      </c>
      <c r="AB357" s="388" t="s">
        <v>543</v>
      </c>
      <c r="AC357" s="387">
        <v>3000184001</v>
      </c>
      <c r="AD357" s="389" t="s">
        <v>3789</v>
      </c>
      <c r="AE357" s="390">
        <v>45047</v>
      </c>
      <c r="AF357" s="390">
        <v>46142</v>
      </c>
      <c r="AG357" s="391" t="s">
        <v>545</v>
      </c>
      <c r="AH357" s="391" t="s">
        <v>3790</v>
      </c>
      <c r="AI357" s="391" t="s">
        <v>3791</v>
      </c>
      <c r="AJ357" s="391">
        <v>0</v>
      </c>
      <c r="AK357" s="390">
        <v>45047</v>
      </c>
      <c r="AL357" s="389">
        <v>40</v>
      </c>
      <c r="AM357" s="391" t="s">
        <v>548</v>
      </c>
      <c r="AN357" s="391" t="s">
        <v>549</v>
      </c>
      <c r="AO357" s="391" t="s">
        <v>3792</v>
      </c>
    </row>
    <row r="358" spans="1:43" ht="16" thickBot="1">
      <c r="A358" s="387" t="s">
        <v>1717</v>
      </c>
      <c r="B358" s="387" t="s">
        <v>3783</v>
      </c>
      <c r="C358" s="387" t="s">
        <v>3784</v>
      </c>
      <c r="D358" s="387" t="s">
        <v>3785</v>
      </c>
      <c r="E358" s="387">
        <v>30</v>
      </c>
      <c r="F358" s="387" t="s">
        <v>559</v>
      </c>
      <c r="G358" s="387" t="s">
        <v>543</v>
      </c>
      <c r="H358" s="387" t="s">
        <v>559</v>
      </c>
      <c r="I358" s="387" t="s">
        <v>560</v>
      </c>
      <c r="J358" s="387" t="s">
        <v>3778</v>
      </c>
      <c r="K358" s="387" t="s">
        <v>3793</v>
      </c>
      <c r="L358" s="387" t="s">
        <v>562</v>
      </c>
      <c r="M358" s="387" t="s">
        <v>563</v>
      </c>
      <c r="N358" s="388">
        <v>16.14</v>
      </c>
      <c r="O358" s="388">
        <v>14</v>
      </c>
      <c r="P358" s="387" t="s">
        <v>538</v>
      </c>
      <c r="Q358" s="387" t="s">
        <v>539</v>
      </c>
      <c r="R358" s="387" t="s">
        <v>3780</v>
      </c>
      <c r="S358" s="387" t="s">
        <v>171</v>
      </c>
      <c r="T358" s="387" t="s">
        <v>757</v>
      </c>
      <c r="U358" s="388">
        <v>4106522</v>
      </c>
      <c r="V358" s="387">
        <v>6009628333525</v>
      </c>
      <c r="W358" s="387">
        <v>6009628333525</v>
      </c>
      <c r="X358" s="387" t="s">
        <v>543</v>
      </c>
      <c r="Y358" s="387">
        <v>16009628333522</v>
      </c>
      <c r="Z358" s="387" t="s">
        <v>543</v>
      </c>
      <c r="AA358" s="388" t="s">
        <v>543</v>
      </c>
      <c r="AB358" s="388" t="s">
        <v>543</v>
      </c>
      <c r="AC358" s="387">
        <v>701426001</v>
      </c>
      <c r="AD358" s="389">
        <v>210</v>
      </c>
      <c r="AE358" s="390">
        <v>45047</v>
      </c>
      <c r="AF358" s="390">
        <v>46142</v>
      </c>
      <c r="AG358" s="391" t="s">
        <v>545</v>
      </c>
      <c r="AH358" s="391" t="s">
        <v>3790</v>
      </c>
      <c r="AI358" s="391" t="s">
        <v>565</v>
      </c>
      <c r="AJ358" s="391">
        <v>0</v>
      </c>
      <c r="AK358" s="390">
        <v>45047</v>
      </c>
      <c r="AL358" s="389">
        <v>60</v>
      </c>
      <c r="AM358" s="391" t="s">
        <v>548</v>
      </c>
      <c r="AN358" s="391" t="s">
        <v>549</v>
      </c>
      <c r="AO358" s="391" t="s">
        <v>3792</v>
      </c>
    </row>
    <row r="359" spans="1:43" ht="16" thickBot="1">
      <c r="A359" s="387" t="s">
        <v>2166</v>
      </c>
      <c r="B359" s="387" t="s">
        <v>982</v>
      </c>
      <c r="C359" s="387" t="s">
        <v>3794</v>
      </c>
      <c r="D359" s="387" t="s">
        <v>3795</v>
      </c>
      <c r="E359" s="387">
        <v>5</v>
      </c>
      <c r="F359" s="387" t="s">
        <v>531</v>
      </c>
      <c r="G359" s="387">
        <v>5</v>
      </c>
      <c r="H359" s="387" t="s">
        <v>531</v>
      </c>
      <c r="I359" s="387" t="s">
        <v>1751</v>
      </c>
      <c r="J359" s="387" t="s">
        <v>3796</v>
      </c>
      <c r="K359" s="387" t="s">
        <v>3797</v>
      </c>
      <c r="L359" s="387" t="s">
        <v>2141</v>
      </c>
      <c r="M359" s="387" t="s">
        <v>2142</v>
      </c>
      <c r="N359" s="388">
        <v>83.62</v>
      </c>
      <c r="O359" s="388">
        <v>14</v>
      </c>
      <c r="P359" s="387" t="s">
        <v>538</v>
      </c>
      <c r="Q359" s="387" t="s">
        <v>539</v>
      </c>
      <c r="R359" s="387" t="s">
        <v>3798</v>
      </c>
      <c r="S359" s="387" t="s">
        <v>171</v>
      </c>
      <c r="T359" s="387" t="s">
        <v>1908</v>
      </c>
      <c r="U359" s="388">
        <v>18972</v>
      </c>
      <c r="V359" s="387">
        <v>781718734264</v>
      </c>
      <c r="W359" s="387">
        <v>781718734394</v>
      </c>
      <c r="X359" s="387" t="s">
        <v>543</v>
      </c>
      <c r="Y359" s="387">
        <v>7817187343941</v>
      </c>
      <c r="Z359" s="387" t="s">
        <v>543</v>
      </c>
      <c r="AA359" s="388" t="s">
        <v>543</v>
      </c>
      <c r="AB359" s="388" t="s">
        <v>543</v>
      </c>
      <c r="AC359" s="387" t="s">
        <v>543</v>
      </c>
      <c r="AD359" s="389">
        <v>20</v>
      </c>
      <c r="AE359" s="390">
        <v>44743</v>
      </c>
      <c r="AF359" s="390">
        <v>45473</v>
      </c>
      <c r="AG359" s="390">
        <v>45473</v>
      </c>
      <c r="AH359" s="391" t="s">
        <v>3799</v>
      </c>
      <c r="AI359" s="391" t="s">
        <v>2144</v>
      </c>
      <c r="AJ359" s="391">
        <v>12</v>
      </c>
      <c r="AK359" s="390">
        <v>45047</v>
      </c>
      <c r="AL359" s="389">
        <v>100</v>
      </c>
      <c r="AM359" s="391" t="s">
        <v>548</v>
      </c>
      <c r="AN359" s="391" t="s">
        <v>549</v>
      </c>
      <c r="AO359" s="391" t="s">
        <v>3800</v>
      </c>
    </row>
    <row r="360" spans="1:43" ht="16" thickBot="1">
      <c r="A360" s="387" t="s">
        <v>2166</v>
      </c>
      <c r="B360" s="387" t="s">
        <v>975</v>
      </c>
      <c r="C360" s="387" t="s">
        <v>3801</v>
      </c>
      <c r="D360" s="387" t="s">
        <v>3802</v>
      </c>
      <c r="E360" s="387">
        <v>25</v>
      </c>
      <c r="F360" s="387" t="s">
        <v>531</v>
      </c>
      <c r="G360" s="387">
        <v>25</v>
      </c>
      <c r="H360" s="387" t="s">
        <v>531</v>
      </c>
      <c r="I360" s="387" t="s">
        <v>1751</v>
      </c>
      <c r="J360" s="387" t="s">
        <v>3796</v>
      </c>
      <c r="K360" s="387" t="s">
        <v>3803</v>
      </c>
      <c r="L360" s="387" t="s">
        <v>2141</v>
      </c>
      <c r="M360" s="387" t="s">
        <v>2142</v>
      </c>
      <c r="N360" s="388">
        <v>193.91</v>
      </c>
      <c r="O360" s="388">
        <v>14</v>
      </c>
      <c r="P360" s="387" t="s">
        <v>538</v>
      </c>
      <c r="Q360" s="387" t="s">
        <v>539</v>
      </c>
      <c r="R360" s="387" t="s">
        <v>3798</v>
      </c>
      <c r="S360" s="387" t="s">
        <v>171</v>
      </c>
      <c r="T360" s="387" t="s">
        <v>1908</v>
      </c>
      <c r="U360" s="388">
        <v>98468</v>
      </c>
      <c r="V360" s="387">
        <v>781718734257</v>
      </c>
      <c r="W360" s="387">
        <v>781718734400</v>
      </c>
      <c r="X360" s="387" t="s">
        <v>543</v>
      </c>
      <c r="Y360" s="387">
        <v>7817187344001</v>
      </c>
      <c r="Z360" s="387" t="s">
        <v>543</v>
      </c>
      <c r="AA360" s="388" t="s">
        <v>543</v>
      </c>
      <c r="AB360" s="388" t="s">
        <v>543</v>
      </c>
      <c r="AC360" s="387" t="s">
        <v>543</v>
      </c>
      <c r="AD360" s="389">
        <v>10</v>
      </c>
      <c r="AE360" s="390">
        <v>44743</v>
      </c>
      <c r="AF360" s="390">
        <v>45473</v>
      </c>
      <c r="AG360" s="390">
        <v>45473</v>
      </c>
      <c r="AH360" s="391" t="s">
        <v>3804</v>
      </c>
      <c r="AI360" s="391" t="s">
        <v>2144</v>
      </c>
      <c r="AJ360" s="391">
        <v>12</v>
      </c>
      <c r="AK360" s="390">
        <v>45047</v>
      </c>
      <c r="AL360" s="389">
        <v>100</v>
      </c>
      <c r="AM360" s="391" t="s">
        <v>548</v>
      </c>
      <c r="AN360" s="391" t="s">
        <v>549</v>
      </c>
      <c r="AO360" s="391" t="s">
        <v>3805</v>
      </c>
    </row>
    <row r="361" spans="1:43" ht="16" thickBot="1">
      <c r="A361" s="387" t="s">
        <v>1766</v>
      </c>
      <c r="B361" s="387" t="s">
        <v>3076</v>
      </c>
      <c r="C361" s="387" t="s">
        <v>3806</v>
      </c>
      <c r="D361" s="387" t="s">
        <v>3807</v>
      </c>
      <c r="E361" s="387">
        <v>100</v>
      </c>
      <c r="F361" s="387" t="s">
        <v>559</v>
      </c>
      <c r="G361" s="387">
        <v>100</v>
      </c>
      <c r="H361" s="387" t="s">
        <v>559</v>
      </c>
      <c r="I361" s="387" t="s">
        <v>560</v>
      </c>
      <c r="J361" s="387" t="s">
        <v>3808</v>
      </c>
      <c r="K361" s="387" t="s">
        <v>3809</v>
      </c>
      <c r="L361" s="387" t="s">
        <v>1905</v>
      </c>
      <c r="M361" s="387" t="s">
        <v>1906</v>
      </c>
      <c r="N361" s="388">
        <v>43.82</v>
      </c>
      <c r="O361" s="388">
        <v>14</v>
      </c>
      <c r="P361" s="387" t="s">
        <v>538</v>
      </c>
      <c r="Q361" s="387" t="s">
        <v>539</v>
      </c>
      <c r="R361" s="387" t="s">
        <v>3810</v>
      </c>
      <c r="S361" s="387" t="s">
        <v>541</v>
      </c>
      <c r="T361" s="387" t="s">
        <v>542</v>
      </c>
      <c r="U361" s="388">
        <v>17580</v>
      </c>
      <c r="V361" s="387">
        <v>6006823003024</v>
      </c>
      <c r="W361" s="387" t="s">
        <v>543</v>
      </c>
      <c r="X361" s="387" t="s">
        <v>543</v>
      </c>
      <c r="Y361" s="387" t="s">
        <v>543</v>
      </c>
      <c r="Z361" s="387" t="s">
        <v>543</v>
      </c>
      <c r="AA361" s="388" t="s">
        <v>543</v>
      </c>
      <c r="AB361" s="388" t="s">
        <v>543</v>
      </c>
      <c r="AC361" s="387">
        <v>722844001</v>
      </c>
      <c r="AD361" s="389">
        <v>1</v>
      </c>
      <c r="AE361" s="390">
        <v>44470</v>
      </c>
      <c r="AF361" s="390">
        <v>45199</v>
      </c>
      <c r="AG361" s="390">
        <v>45199</v>
      </c>
      <c r="AH361" s="391" t="s">
        <v>3811</v>
      </c>
      <c r="AI361" s="391" t="s">
        <v>1910</v>
      </c>
      <c r="AJ361" s="391">
        <v>15</v>
      </c>
      <c r="AK361" s="390">
        <v>45047</v>
      </c>
      <c r="AL361" s="389">
        <v>100</v>
      </c>
      <c r="AM361" s="391" t="s">
        <v>548</v>
      </c>
      <c r="AN361" s="391" t="s">
        <v>549</v>
      </c>
      <c r="AO361" s="391" t="s">
        <v>3812</v>
      </c>
    </row>
    <row r="362" spans="1:43" ht="16" thickBot="1">
      <c r="A362" s="387" t="s">
        <v>1766</v>
      </c>
      <c r="B362" s="387" t="s">
        <v>3813</v>
      </c>
      <c r="C362" s="387" t="s">
        <v>3814</v>
      </c>
      <c r="D362" s="387" t="s">
        <v>3815</v>
      </c>
      <c r="E362" s="387">
        <v>14</v>
      </c>
      <c r="F362" s="387" t="s">
        <v>559</v>
      </c>
      <c r="G362" s="387">
        <v>14</v>
      </c>
      <c r="H362" s="387" t="s">
        <v>559</v>
      </c>
      <c r="I362" s="387" t="s">
        <v>560</v>
      </c>
      <c r="J362" s="387" t="s">
        <v>3808</v>
      </c>
      <c r="K362" s="387" t="s">
        <v>3816</v>
      </c>
      <c r="L362" s="387" t="s">
        <v>1905</v>
      </c>
      <c r="M362" s="387" t="s">
        <v>1906</v>
      </c>
      <c r="N362" s="388">
        <v>6.74</v>
      </c>
      <c r="O362" s="388">
        <v>14</v>
      </c>
      <c r="P362" s="387" t="s">
        <v>538</v>
      </c>
      <c r="Q362" s="387" t="s">
        <v>539</v>
      </c>
      <c r="R362" s="387" t="s">
        <v>3810</v>
      </c>
      <c r="S362" s="387" t="s">
        <v>541</v>
      </c>
      <c r="T362" s="387" t="s">
        <v>542</v>
      </c>
      <c r="U362" s="388">
        <v>391092</v>
      </c>
      <c r="V362" s="387">
        <v>6006823004373</v>
      </c>
      <c r="W362" s="387" t="s">
        <v>543</v>
      </c>
      <c r="X362" s="387" t="s">
        <v>543</v>
      </c>
      <c r="Y362" s="387" t="s">
        <v>543</v>
      </c>
      <c r="Z362" s="387" t="s">
        <v>543</v>
      </c>
      <c r="AA362" s="388" t="s">
        <v>543</v>
      </c>
      <c r="AB362" s="388" t="s">
        <v>543</v>
      </c>
      <c r="AC362" s="387" t="s">
        <v>543</v>
      </c>
      <c r="AD362" s="389">
        <v>100</v>
      </c>
      <c r="AE362" s="390">
        <v>44470</v>
      </c>
      <c r="AF362" s="390">
        <v>45199</v>
      </c>
      <c r="AG362" s="390">
        <v>45199</v>
      </c>
      <c r="AH362" s="391" t="s">
        <v>3817</v>
      </c>
      <c r="AI362" s="391" t="s">
        <v>1910</v>
      </c>
      <c r="AJ362" s="391">
        <v>15</v>
      </c>
      <c r="AK362" s="390">
        <v>45047</v>
      </c>
      <c r="AL362" s="389">
        <v>20</v>
      </c>
      <c r="AM362" s="391" t="s">
        <v>548</v>
      </c>
      <c r="AN362" s="391" t="s">
        <v>549</v>
      </c>
      <c r="AO362" s="391" t="s">
        <v>3812</v>
      </c>
    </row>
    <row r="363" spans="1:43" ht="16" thickBot="1">
      <c r="A363" s="387" t="s">
        <v>1766</v>
      </c>
      <c r="B363" s="387" t="s">
        <v>3813</v>
      </c>
      <c r="C363" s="387" t="s">
        <v>3814</v>
      </c>
      <c r="D363" s="387" t="s">
        <v>3815</v>
      </c>
      <c r="E363" s="387">
        <v>14</v>
      </c>
      <c r="F363" s="387" t="s">
        <v>559</v>
      </c>
      <c r="G363" s="387">
        <v>14</v>
      </c>
      <c r="H363" s="387" t="s">
        <v>559</v>
      </c>
      <c r="I363" s="387" t="s">
        <v>560</v>
      </c>
      <c r="J363" s="387" t="s">
        <v>3808</v>
      </c>
      <c r="K363" s="387" t="s">
        <v>3818</v>
      </c>
      <c r="L363" s="387" t="s">
        <v>1829</v>
      </c>
      <c r="M363" s="387" t="s">
        <v>1830</v>
      </c>
      <c r="N363" s="388">
        <v>6.16</v>
      </c>
      <c r="O363" s="388">
        <v>14</v>
      </c>
      <c r="P363" s="387" t="s">
        <v>538</v>
      </c>
      <c r="Q363" s="387" t="s">
        <v>539</v>
      </c>
      <c r="R363" s="387" t="s">
        <v>3810</v>
      </c>
      <c r="S363" s="387" t="s">
        <v>541</v>
      </c>
      <c r="T363" s="387" t="s">
        <v>542</v>
      </c>
      <c r="U363" s="388">
        <v>1564368</v>
      </c>
      <c r="V363" s="387">
        <v>6009662431959</v>
      </c>
      <c r="W363" s="387">
        <v>6009662432246</v>
      </c>
      <c r="X363" s="387" t="s">
        <v>543</v>
      </c>
      <c r="Y363" s="387">
        <v>36009701451864</v>
      </c>
      <c r="Z363" s="387" t="s">
        <v>543</v>
      </c>
      <c r="AA363" s="388" t="s">
        <v>543</v>
      </c>
      <c r="AB363" s="388" t="s">
        <v>543</v>
      </c>
      <c r="AC363" s="387" t="s">
        <v>543</v>
      </c>
      <c r="AD363" s="389">
        <v>100</v>
      </c>
      <c r="AE363" s="390">
        <v>44470</v>
      </c>
      <c r="AF363" s="390">
        <v>45199</v>
      </c>
      <c r="AG363" s="390">
        <v>45199</v>
      </c>
      <c r="AH363" s="391" t="s">
        <v>3817</v>
      </c>
      <c r="AI363" s="391" t="s">
        <v>1833</v>
      </c>
      <c r="AJ363" s="391">
        <v>16</v>
      </c>
      <c r="AK363" s="390">
        <v>45047</v>
      </c>
      <c r="AL363" s="389">
        <v>80</v>
      </c>
      <c r="AM363" s="391" t="s">
        <v>548</v>
      </c>
      <c r="AN363" s="391" t="s">
        <v>549</v>
      </c>
      <c r="AO363" s="391" t="s">
        <v>3812</v>
      </c>
    </row>
    <row r="364" spans="1:43" ht="16" thickBot="1">
      <c r="A364" s="387" t="s">
        <v>3389</v>
      </c>
      <c r="B364" s="387" t="s">
        <v>2837</v>
      </c>
      <c r="C364" s="387" t="s">
        <v>3819</v>
      </c>
      <c r="D364" s="387" t="s">
        <v>3820</v>
      </c>
      <c r="E364" s="387">
        <v>100</v>
      </c>
      <c r="F364" s="387" t="s">
        <v>531</v>
      </c>
      <c r="G364" s="387">
        <v>100</v>
      </c>
      <c r="H364" s="387" t="s">
        <v>531</v>
      </c>
      <c r="I364" s="387" t="s">
        <v>3821</v>
      </c>
      <c r="J364" s="387" t="s">
        <v>3822</v>
      </c>
      <c r="K364" s="387" t="s">
        <v>3823</v>
      </c>
      <c r="L364" s="387" t="s">
        <v>3394</v>
      </c>
      <c r="M364" s="387" t="s">
        <v>3395</v>
      </c>
      <c r="N364" s="388">
        <v>442.75</v>
      </c>
      <c r="O364" s="388">
        <v>14</v>
      </c>
      <c r="P364" s="387" t="s">
        <v>3824</v>
      </c>
      <c r="Q364" s="387" t="s">
        <v>160</v>
      </c>
      <c r="R364" s="387" t="s">
        <v>2455</v>
      </c>
      <c r="S364" s="387" t="s">
        <v>160</v>
      </c>
      <c r="T364" s="387" t="s">
        <v>542</v>
      </c>
      <c r="U364" s="388">
        <v>5690</v>
      </c>
      <c r="V364" s="387">
        <v>5000223439316</v>
      </c>
      <c r="W364" s="387">
        <v>5000223439316</v>
      </c>
      <c r="X364" s="387" t="s">
        <v>543</v>
      </c>
      <c r="Y364" s="387">
        <v>5000223439316</v>
      </c>
      <c r="Z364" s="387" t="s">
        <v>543</v>
      </c>
      <c r="AA364" s="388" t="s">
        <v>543</v>
      </c>
      <c r="AB364" s="388" t="s">
        <v>543</v>
      </c>
      <c r="AC364" s="387">
        <v>880957018</v>
      </c>
      <c r="AD364" s="389" t="s">
        <v>3825</v>
      </c>
      <c r="AE364" s="390">
        <v>44137</v>
      </c>
      <c r="AF364" s="390">
        <v>45107</v>
      </c>
      <c r="AG364" s="390">
        <v>45107</v>
      </c>
      <c r="AH364" s="391" t="s">
        <v>545</v>
      </c>
      <c r="AI364" s="391" t="s">
        <v>3400</v>
      </c>
      <c r="AJ364" s="391">
        <v>0</v>
      </c>
      <c r="AK364" s="390">
        <v>44137</v>
      </c>
      <c r="AL364" s="389">
        <v>100</v>
      </c>
      <c r="AM364" s="391" t="s">
        <v>548</v>
      </c>
      <c r="AN364" s="391" t="s">
        <v>545</v>
      </c>
      <c r="AO364" s="391" t="s">
        <v>3826</v>
      </c>
    </row>
    <row r="365" spans="1:43" ht="16" thickBot="1">
      <c r="A365" s="387" t="s">
        <v>529</v>
      </c>
      <c r="B365" s="387" t="s">
        <v>989</v>
      </c>
      <c r="C365" s="387" t="s">
        <v>998</v>
      </c>
      <c r="D365" s="387" t="s">
        <v>644</v>
      </c>
      <c r="E365" s="387">
        <v>84</v>
      </c>
      <c r="F365" s="387" t="s">
        <v>559</v>
      </c>
      <c r="G365" s="387">
        <v>84</v>
      </c>
      <c r="H365" s="387" t="s">
        <v>559</v>
      </c>
      <c r="I365" s="387" t="s">
        <v>560</v>
      </c>
      <c r="J365" s="387" t="s">
        <v>645</v>
      </c>
      <c r="K365" s="387" t="s">
        <v>646</v>
      </c>
      <c r="L365" s="387" t="s">
        <v>562</v>
      </c>
      <c r="M365" s="387" t="s">
        <v>563</v>
      </c>
      <c r="N365" s="388">
        <v>50.21</v>
      </c>
      <c r="O365" s="388">
        <v>14</v>
      </c>
      <c r="P365" s="387" t="s">
        <v>538</v>
      </c>
      <c r="Q365" s="387" t="s">
        <v>539</v>
      </c>
      <c r="R365" s="387" t="s">
        <v>647</v>
      </c>
      <c r="S365" s="387" t="s">
        <v>171</v>
      </c>
      <c r="T365" s="387" t="s">
        <v>542</v>
      </c>
      <c r="U365" s="388">
        <v>1220493</v>
      </c>
      <c r="V365" s="387">
        <v>6009628333419</v>
      </c>
      <c r="W365" s="387">
        <v>6009628333419</v>
      </c>
      <c r="X365" s="387" t="s">
        <v>543</v>
      </c>
      <c r="Y365" s="387">
        <v>16009628333416</v>
      </c>
      <c r="Z365" s="387" t="s">
        <v>543</v>
      </c>
      <c r="AA365" s="388" t="s">
        <v>543</v>
      </c>
      <c r="AB365" s="388" t="s">
        <v>543</v>
      </c>
      <c r="AC365" s="387">
        <v>718601001</v>
      </c>
      <c r="AD365" s="389">
        <v>72</v>
      </c>
      <c r="AE365" s="390">
        <v>44743</v>
      </c>
      <c r="AF365" s="390">
        <v>45838</v>
      </c>
      <c r="AG365" s="390">
        <v>45838</v>
      </c>
      <c r="AH365" s="391" t="s">
        <v>648</v>
      </c>
      <c r="AI365" s="391" t="s">
        <v>565</v>
      </c>
      <c r="AJ365" s="391">
        <v>23</v>
      </c>
      <c r="AK365" s="390">
        <v>45047</v>
      </c>
      <c r="AL365" s="389">
        <v>80</v>
      </c>
      <c r="AM365" s="391" t="s">
        <v>548</v>
      </c>
      <c r="AN365" s="391" t="s">
        <v>549</v>
      </c>
      <c r="AO365" s="391" t="s">
        <v>649</v>
      </c>
    </row>
    <row r="366" spans="1:43" ht="16" thickBot="1">
      <c r="A366" s="387" t="s">
        <v>529</v>
      </c>
      <c r="B366" s="387" t="s">
        <v>989</v>
      </c>
      <c r="C366" s="387" t="s">
        <v>998</v>
      </c>
      <c r="D366" s="387" t="s">
        <v>644</v>
      </c>
      <c r="E366" s="387">
        <v>84</v>
      </c>
      <c r="F366" s="387" t="s">
        <v>559</v>
      </c>
      <c r="G366" s="387">
        <v>84</v>
      </c>
      <c r="H366" s="387" t="s">
        <v>559</v>
      </c>
      <c r="I366" s="387" t="s">
        <v>560</v>
      </c>
      <c r="J366" s="387" t="s">
        <v>645</v>
      </c>
      <c r="K366" s="387" t="s">
        <v>650</v>
      </c>
      <c r="L366" s="387" t="s">
        <v>631</v>
      </c>
      <c r="M366" s="387" t="s">
        <v>632</v>
      </c>
      <c r="N366" s="388">
        <v>64.02</v>
      </c>
      <c r="O366" s="388">
        <v>14</v>
      </c>
      <c r="P366" s="387" t="s">
        <v>538</v>
      </c>
      <c r="Q366" s="387" t="s">
        <v>539</v>
      </c>
      <c r="R366" s="387" t="s">
        <v>647</v>
      </c>
      <c r="S366" s="387" t="s">
        <v>171</v>
      </c>
      <c r="T366" s="387" t="s">
        <v>542</v>
      </c>
      <c r="U366" s="388">
        <v>305123</v>
      </c>
      <c r="V366" s="387" t="s">
        <v>543</v>
      </c>
      <c r="W366" s="387" t="s">
        <v>543</v>
      </c>
      <c r="X366" s="387" t="s">
        <v>543</v>
      </c>
      <c r="Y366" s="387">
        <v>56008288002579</v>
      </c>
      <c r="Z366" s="387" t="s">
        <v>543</v>
      </c>
      <c r="AA366" s="388" t="s">
        <v>543</v>
      </c>
      <c r="AB366" s="388" t="s">
        <v>543</v>
      </c>
      <c r="AC366" s="387">
        <v>709529001</v>
      </c>
      <c r="AD366" s="389">
        <v>60</v>
      </c>
      <c r="AE366" s="390">
        <v>44743</v>
      </c>
      <c r="AF366" s="390">
        <v>45838</v>
      </c>
      <c r="AG366" s="390">
        <v>45838</v>
      </c>
      <c r="AH366" s="391" t="s">
        <v>648</v>
      </c>
      <c r="AI366" s="391" t="s">
        <v>636</v>
      </c>
      <c r="AJ366" s="391">
        <v>22</v>
      </c>
      <c r="AK366" s="390">
        <v>45047</v>
      </c>
      <c r="AL366" s="389">
        <v>20</v>
      </c>
      <c r="AM366" s="391" t="s">
        <v>548</v>
      </c>
      <c r="AN366" s="391" t="s">
        <v>549</v>
      </c>
      <c r="AO366" s="391" t="s">
        <v>649</v>
      </c>
    </row>
    <row r="367" spans="1:43" ht="16" thickBot="1">
      <c r="A367" s="387" t="s">
        <v>529</v>
      </c>
      <c r="B367" s="387" t="s">
        <v>999</v>
      </c>
      <c r="C367" s="387" t="s">
        <v>656</v>
      </c>
      <c r="D367" s="387" t="s">
        <v>652</v>
      </c>
      <c r="E367" s="387">
        <v>28</v>
      </c>
      <c r="F367" s="387" t="s">
        <v>584</v>
      </c>
      <c r="G367" s="387">
        <v>28</v>
      </c>
      <c r="H367" s="387" t="s">
        <v>584</v>
      </c>
      <c r="I367" s="387" t="s">
        <v>585</v>
      </c>
      <c r="J367" s="387" t="s">
        <v>645</v>
      </c>
      <c r="K367" s="387" t="s">
        <v>653</v>
      </c>
      <c r="L367" s="387" t="s">
        <v>654</v>
      </c>
      <c r="M367" s="387" t="s">
        <v>655</v>
      </c>
      <c r="N367" s="388">
        <v>18.89</v>
      </c>
      <c r="O367" s="388">
        <v>14</v>
      </c>
      <c r="P367" s="387" t="s">
        <v>538</v>
      </c>
      <c r="Q367" s="387" t="s">
        <v>539</v>
      </c>
      <c r="R367" s="387" t="s">
        <v>647</v>
      </c>
      <c r="S367" s="387" t="s">
        <v>541</v>
      </c>
      <c r="T367" s="387" t="s">
        <v>542</v>
      </c>
      <c r="U367" s="388">
        <v>883919</v>
      </c>
      <c r="V367" s="387">
        <v>6004405009327</v>
      </c>
      <c r="W367" s="387">
        <v>6004405009327</v>
      </c>
      <c r="X367" s="387" t="s">
        <v>543</v>
      </c>
      <c r="Y367" s="387">
        <v>16004405009324</v>
      </c>
      <c r="Z367" s="387" t="s">
        <v>543</v>
      </c>
      <c r="AA367" s="388" t="s">
        <v>543</v>
      </c>
      <c r="AB367" s="388" t="s">
        <v>543</v>
      </c>
      <c r="AC367" s="387">
        <v>181896194</v>
      </c>
      <c r="AD367" s="389">
        <v>60</v>
      </c>
      <c r="AE367" s="390">
        <v>44743</v>
      </c>
      <c r="AF367" s="390">
        <v>45838</v>
      </c>
      <c r="AG367" s="390">
        <v>45838</v>
      </c>
      <c r="AH367" s="391" t="s">
        <v>657</v>
      </c>
      <c r="AI367" s="391" t="s">
        <v>658</v>
      </c>
      <c r="AJ367" s="391">
        <v>16</v>
      </c>
      <c r="AK367" s="390">
        <v>45047</v>
      </c>
      <c r="AL367" s="389">
        <v>100</v>
      </c>
      <c r="AM367" s="391" t="s">
        <v>548</v>
      </c>
      <c r="AN367" s="391" t="s">
        <v>549</v>
      </c>
      <c r="AO367" s="391" t="s">
        <v>659</v>
      </c>
    </row>
    <row r="368" spans="1:43" ht="16" thickBot="1">
      <c r="A368" s="387" t="s">
        <v>529</v>
      </c>
      <c r="B368" s="387" t="s">
        <v>993</v>
      </c>
      <c r="C368" s="387" t="s">
        <v>1008</v>
      </c>
      <c r="D368" s="387" t="s">
        <v>660</v>
      </c>
      <c r="E368" s="387">
        <v>28</v>
      </c>
      <c r="F368" s="387" t="s">
        <v>559</v>
      </c>
      <c r="G368" s="387">
        <v>28</v>
      </c>
      <c r="H368" s="387" t="s">
        <v>559</v>
      </c>
      <c r="I368" s="387" t="s">
        <v>560</v>
      </c>
      <c r="J368" s="387" t="s">
        <v>645</v>
      </c>
      <c r="K368" s="387" t="s">
        <v>664</v>
      </c>
      <c r="L368" s="387" t="s">
        <v>562</v>
      </c>
      <c r="M368" s="387" t="s">
        <v>563</v>
      </c>
      <c r="N368" s="388">
        <v>39.85</v>
      </c>
      <c r="O368" s="388">
        <v>14</v>
      </c>
      <c r="P368" s="387" t="s">
        <v>538</v>
      </c>
      <c r="Q368" s="387" t="s">
        <v>539</v>
      </c>
      <c r="R368" s="387" t="s">
        <v>647</v>
      </c>
      <c r="S368" s="387" t="s">
        <v>541</v>
      </c>
      <c r="T368" s="387" t="s">
        <v>542</v>
      </c>
      <c r="U368" s="388">
        <v>3208493</v>
      </c>
      <c r="V368" s="387" t="s">
        <v>543</v>
      </c>
      <c r="W368" s="387" t="s">
        <v>543</v>
      </c>
      <c r="X368" s="387" t="s">
        <v>543</v>
      </c>
      <c r="Y368" s="387" t="s">
        <v>543</v>
      </c>
      <c r="Z368" s="387" t="s">
        <v>543</v>
      </c>
      <c r="AA368" s="388" t="s">
        <v>543</v>
      </c>
      <c r="AB368" s="388" t="s">
        <v>543</v>
      </c>
      <c r="AC368" s="387" t="s">
        <v>543</v>
      </c>
      <c r="AD368" s="389">
        <v>72</v>
      </c>
      <c r="AE368" s="390">
        <v>44743</v>
      </c>
      <c r="AF368" s="390">
        <v>45838</v>
      </c>
      <c r="AG368" s="390">
        <v>45838</v>
      </c>
      <c r="AH368" s="391" t="s">
        <v>662</v>
      </c>
      <c r="AI368" s="391" t="s">
        <v>565</v>
      </c>
      <c r="AJ368" s="391">
        <v>23</v>
      </c>
      <c r="AK368" s="390">
        <v>45047</v>
      </c>
      <c r="AL368" s="389">
        <v>80</v>
      </c>
      <c r="AM368" s="391" t="s">
        <v>548</v>
      </c>
      <c r="AN368" s="391" t="s">
        <v>549</v>
      </c>
      <c r="AO368" s="391" t="s">
        <v>663</v>
      </c>
      <c r="AP368" s="372">
        <f>N368/E368</f>
        <v>1.4232142857142858</v>
      </c>
      <c r="AQ368" s="372">
        <f>SUMPRODUCT(AP368:AP369,U368:U369)/SUM(U368:U369)</f>
        <v>1.5345714008058329</v>
      </c>
    </row>
    <row r="369" spans="1:43" ht="16" thickBot="1">
      <c r="A369" s="387" t="s">
        <v>529</v>
      </c>
      <c r="B369" s="387" t="s">
        <v>993</v>
      </c>
      <c r="C369" s="387" t="s">
        <v>1008</v>
      </c>
      <c r="D369" s="387" t="s">
        <v>660</v>
      </c>
      <c r="E369" s="387">
        <v>28</v>
      </c>
      <c r="F369" s="387" t="s">
        <v>559</v>
      </c>
      <c r="G369" s="387">
        <v>28</v>
      </c>
      <c r="H369" s="387" t="s">
        <v>559</v>
      </c>
      <c r="I369" s="387" t="s">
        <v>560</v>
      </c>
      <c r="J369" s="387" t="s">
        <v>645</v>
      </c>
      <c r="K369" s="387" t="s">
        <v>661</v>
      </c>
      <c r="L369" s="387" t="s">
        <v>535</v>
      </c>
      <c r="M369" s="387" t="s">
        <v>536</v>
      </c>
      <c r="N369" s="388">
        <v>55.44</v>
      </c>
      <c r="O369" s="388">
        <v>14</v>
      </c>
      <c r="P369" s="387" t="s">
        <v>538</v>
      </c>
      <c r="Q369" s="387" t="s">
        <v>539</v>
      </c>
      <c r="R369" s="387" t="s">
        <v>647</v>
      </c>
      <c r="S369" s="387" t="s">
        <v>541</v>
      </c>
      <c r="T369" s="387" t="s">
        <v>542</v>
      </c>
      <c r="U369" s="388">
        <v>802123</v>
      </c>
      <c r="V369" s="387">
        <v>6001390116719</v>
      </c>
      <c r="W369" s="387" t="s">
        <v>543</v>
      </c>
      <c r="X369" s="387" t="s">
        <v>543</v>
      </c>
      <c r="Y369" s="387" t="s">
        <v>543</v>
      </c>
      <c r="Z369" s="387" t="s">
        <v>543</v>
      </c>
      <c r="AA369" s="388" t="s">
        <v>543</v>
      </c>
      <c r="AB369" s="388" t="s">
        <v>543</v>
      </c>
      <c r="AC369" s="387">
        <v>710019001</v>
      </c>
      <c r="AD369" s="389">
        <v>20</v>
      </c>
      <c r="AE369" s="390">
        <v>44743</v>
      </c>
      <c r="AF369" s="390">
        <v>45838</v>
      </c>
      <c r="AG369" s="390">
        <v>45838</v>
      </c>
      <c r="AH369" s="391" t="s">
        <v>662</v>
      </c>
      <c r="AI369" s="391" t="s">
        <v>547</v>
      </c>
      <c r="AJ369" s="391">
        <v>21</v>
      </c>
      <c r="AK369" s="390">
        <v>45047</v>
      </c>
      <c r="AL369" s="389">
        <v>20</v>
      </c>
      <c r="AM369" s="391" t="s">
        <v>548</v>
      </c>
      <c r="AN369" s="391" t="s">
        <v>549</v>
      </c>
      <c r="AO369" s="391" t="s">
        <v>663</v>
      </c>
      <c r="AP369" s="372">
        <f>N369/E369</f>
        <v>1.98</v>
      </c>
    </row>
    <row r="370" spans="1:43" ht="16" thickBot="1">
      <c r="A370" s="387" t="s">
        <v>2177</v>
      </c>
      <c r="B370" s="387" t="s">
        <v>643</v>
      </c>
      <c r="C370" s="387" t="s">
        <v>3827</v>
      </c>
      <c r="D370" s="387" t="s">
        <v>3828</v>
      </c>
      <c r="E370" s="387">
        <v>250</v>
      </c>
      <c r="F370" s="387" t="s">
        <v>531</v>
      </c>
      <c r="G370" s="387">
        <v>250</v>
      </c>
      <c r="H370" s="387" t="s">
        <v>531</v>
      </c>
      <c r="I370" s="387" t="s">
        <v>3829</v>
      </c>
      <c r="J370" s="387" t="s">
        <v>3830</v>
      </c>
      <c r="K370" s="387" t="s">
        <v>3831</v>
      </c>
      <c r="L370" s="387" t="s">
        <v>3832</v>
      </c>
      <c r="M370" s="387" t="s">
        <v>3833</v>
      </c>
      <c r="N370" s="388">
        <v>13.36</v>
      </c>
      <c r="O370" s="388">
        <v>7</v>
      </c>
      <c r="P370" s="387" t="s">
        <v>611</v>
      </c>
      <c r="Q370" s="387" t="s">
        <v>160</v>
      </c>
      <c r="R370" s="387" t="s">
        <v>1745</v>
      </c>
      <c r="S370" s="387" t="s">
        <v>160</v>
      </c>
      <c r="T370" s="387" t="s">
        <v>160</v>
      </c>
      <c r="U370" s="388">
        <v>54710</v>
      </c>
      <c r="V370" s="387" t="s">
        <v>543</v>
      </c>
      <c r="W370" s="387" t="s">
        <v>543</v>
      </c>
      <c r="X370" s="387" t="s">
        <v>543</v>
      </c>
      <c r="Y370" s="387" t="s">
        <v>543</v>
      </c>
      <c r="Z370" s="387" t="s">
        <v>543</v>
      </c>
      <c r="AA370" s="388" t="s">
        <v>543</v>
      </c>
      <c r="AB370" s="388" t="s">
        <v>543</v>
      </c>
      <c r="AC370" s="387" t="s">
        <v>543</v>
      </c>
      <c r="AD370" s="389">
        <v>10</v>
      </c>
      <c r="AE370" s="390">
        <v>44013</v>
      </c>
      <c r="AF370" s="390">
        <v>45107</v>
      </c>
      <c r="AG370" s="390">
        <v>45107</v>
      </c>
      <c r="AH370" s="391" t="s">
        <v>3834</v>
      </c>
      <c r="AI370" s="391" t="s">
        <v>3835</v>
      </c>
      <c r="AJ370" s="391">
        <v>53</v>
      </c>
      <c r="AK370" s="390">
        <v>44950</v>
      </c>
      <c r="AL370" s="389">
        <v>100</v>
      </c>
      <c r="AM370" s="391" t="s">
        <v>548</v>
      </c>
      <c r="AN370" s="391" t="s">
        <v>545</v>
      </c>
      <c r="AO370" s="391" t="s">
        <v>3836</v>
      </c>
    </row>
    <row r="371" spans="1:43" ht="16" thickBot="1">
      <c r="A371" s="387" t="s">
        <v>2743</v>
      </c>
      <c r="B371" s="387" t="s">
        <v>1001</v>
      </c>
      <c r="C371" s="387" t="s">
        <v>3837</v>
      </c>
      <c r="D371" s="387" t="s">
        <v>3838</v>
      </c>
      <c r="E371" s="387">
        <v>1</v>
      </c>
      <c r="F371" s="387" t="s">
        <v>2746</v>
      </c>
      <c r="G371" s="387">
        <v>1</v>
      </c>
      <c r="H371" s="387" t="s">
        <v>2746</v>
      </c>
      <c r="I371" s="387" t="s">
        <v>1751</v>
      </c>
      <c r="J371" s="387" t="s">
        <v>3839</v>
      </c>
      <c r="K371" s="387" t="s">
        <v>3840</v>
      </c>
      <c r="L371" s="387" t="s">
        <v>1955</v>
      </c>
      <c r="M371" s="387" t="s">
        <v>1956</v>
      </c>
      <c r="N371" s="388">
        <v>26.58</v>
      </c>
      <c r="O371" s="388">
        <v>14</v>
      </c>
      <c r="P371" s="387" t="s">
        <v>379</v>
      </c>
      <c r="Q371" s="387" t="s">
        <v>160</v>
      </c>
      <c r="R371" s="387" t="s">
        <v>3620</v>
      </c>
      <c r="S371" s="387" t="s">
        <v>160</v>
      </c>
      <c r="T371" s="387" t="s">
        <v>160</v>
      </c>
      <c r="U371" s="388">
        <v>69330</v>
      </c>
      <c r="V371" s="387">
        <v>6006267005523</v>
      </c>
      <c r="W371" s="387">
        <v>6006267005523</v>
      </c>
      <c r="X371" s="387" t="s">
        <v>543</v>
      </c>
      <c r="Y371" s="387">
        <v>16006267005520</v>
      </c>
      <c r="Z371" s="387" t="s">
        <v>543</v>
      </c>
      <c r="AA371" s="388" t="s">
        <v>543</v>
      </c>
      <c r="AB371" s="388" t="s">
        <v>543</v>
      </c>
      <c r="AC371" s="387" t="s">
        <v>3841</v>
      </c>
      <c r="AD371" s="389">
        <v>12</v>
      </c>
      <c r="AE371" s="390">
        <v>44105</v>
      </c>
      <c r="AF371" s="390">
        <v>45199</v>
      </c>
      <c r="AG371" s="390">
        <v>45199</v>
      </c>
      <c r="AH371" s="391" t="s">
        <v>3842</v>
      </c>
      <c r="AI371" s="391" t="s">
        <v>1959</v>
      </c>
      <c r="AJ371" s="391">
        <v>12</v>
      </c>
      <c r="AK371" s="390">
        <v>45047</v>
      </c>
      <c r="AL371" s="389">
        <v>100</v>
      </c>
      <c r="AM371" s="391" t="s">
        <v>548</v>
      </c>
      <c r="AN371" s="391" t="s">
        <v>545</v>
      </c>
      <c r="AO371" s="391" t="s">
        <v>3843</v>
      </c>
    </row>
    <row r="372" spans="1:43" ht="16" thickBot="1">
      <c r="A372" s="387" t="s">
        <v>2177</v>
      </c>
      <c r="B372" s="387" t="s">
        <v>970</v>
      </c>
      <c r="C372" s="387" t="s">
        <v>3844</v>
      </c>
      <c r="D372" s="387" t="s">
        <v>3845</v>
      </c>
      <c r="E372" s="387">
        <v>500</v>
      </c>
      <c r="F372" s="387" t="s">
        <v>2180</v>
      </c>
      <c r="G372" s="387">
        <v>500</v>
      </c>
      <c r="H372" s="387" t="s">
        <v>2180</v>
      </c>
      <c r="I372" s="387" t="s">
        <v>2720</v>
      </c>
      <c r="J372" s="387" t="s">
        <v>3846</v>
      </c>
      <c r="K372" s="387" t="s">
        <v>3847</v>
      </c>
      <c r="L372" s="387" t="s">
        <v>1905</v>
      </c>
      <c r="M372" s="387" t="s">
        <v>1906</v>
      </c>
      <c r="N372" s="388">
        <v>43.15</v>
      </c>
      <c r="O372" s="388">
        <v>14</v>
      </c>
      <c r="P372" s="387" t="s">
        <v>538</v>
      </c>
      <c r="Q372" s="387" t="s">
        <v>539</v>
      </c>
      <c r="R372" s="387" t="s">
        <v>2184</v>
      </c>
      <c r="S372" s="387" t="s">
        <v>171</v>
      </c>
      <c r="T372" s="387" t="s">
        <v>542</v>
      </c>
      <c r="U372" s="388">
        <v>2687097</v>
      </c>
      <c r="V372" s="387">
        <v>6006823002751</v>
      </c>
      <c r="W372" s="387" t="s">
        <v>543</v>
      </c>
      <c r="X372" s="387" t="s">
        <v>543</v>
      </c>
      <c r="Y372" s="387" t="s">
        <v>543</v>
      </c>
      <c r="Z372" s="387" t="s">
        <v>543</v>
      </c>
      <c r="AA372" s="388" t="s">
        <v>543</v>
      </c>
      <c r="AB372" s="388" t="s">
        <v>543</v>
      </c>
      <c r="AC372" s="387" t="s">
        <v>543</v>
      </c>
      <c r="AD372" s="389">
        <v>10</v>
      </c>
      <c r="AE372" s="390">
        <v>44013</v>
      </c>
      <c r="AF372" s="390">
        <v>45107</v>
      </c>
      <c r="AG372" s="390">
        <v>45107</v>
      </c>
      <c r="AH372" s="391" t="s">
        <v>3848</v>
      </c>
      <c r="AI372" s="391" t="s">
        <v>1910</v>
      </c>
      <c r="AJ372" s="391">
        <v>48</v>
      </c>
      <c r="AK372" s="390">
        <v>44791</v>
      </c>
      <c r="AL372" s="389">
        <v>100</v>
      </c>
      <c r="AM372" s="391" t="s">
        <v>548</v>
      </c>
      <c r="AN372" s="391" t="s">
        <v>545</v>
      </c>
      <c r="AO372" s="391" t="s">
        <v>3849</v>
      </c>
      <c r="AP372" s="372">
        <f>N372/E372</f>
        <v>8.6300000000000002E-2</v>
      </c>
      <c r="AQ372" s="372">
        <f>AP372</f>
        <v>8.6300000000000002E-2</v>
      </c>
    </row>
    <row r="373" spans="1:43" ht="16.5" customHeight="1" thickBot="1">
      <c r="A373" s="387" t="s">
        <v>1717</v>
      </c>
      <c r="B373" s="387" t="s">
        <v>3850</v>
      </c>
      <c r="C373" s="387" t="s">
        <v>3851</v>
      </c>
      <c r="D373" s="387" t="s">
        <v>3852</v>
      </c>
      <c r="E373" s="387">
        <v>28</v>
      </c>
      <c r="F373" s="387" t="s">
        <v>559</v>
      </c>
      <c r="G373" s="387">
        <v>28</v>
      </c>
      <c r="H373" s="387" t="s">
        <v>559</v>
      </c>
      <c r="I373" s="387" t="s">
        <v>560</v>
      </c>
      <c r="J373" s="387" t="s">
        <v>3853</v>
      </c>
      <c r="K373" s="387" t="s">
        <v>3854</v>
      </c>
      <c r="L373" s="387" t="s">
        <v>2259</v>
      </c>
      <c r="M373" s="387" t="s">
        <v>2260</v>
      </c>
      <c r="N373" s="388">
        <v>3.92</v>
      </c>
      <c r="O373" s="388">
        <v>14</v>
      </c>
      <c r="P373" s="387" t="s">
        <v>538</v>
      </c>
      <c r="Q373" s="387" t="s">
        <v>539</v>
      </c>
      <c r="R373" s="387" t="s">
        <v>3855</v>
      </c>
      <c r="S373" s="387" t="s">
        <v>171</v>
      </c>
      <c r="T373" s="387" t="s">
        <v>542</v>
      </c>
      <c r="U373" s="388">
        <v>25000000</v>
      </c>
      <c r="V373" s="387">
        <v>6009826650059</v>
      </c>
      <c r="W373" s="387" t="s">
        <v>543</v>
      </c>
      <c r="X373" s="387" t="s">
        <v>543</v>
      </c>
      <c r="Y373" s="387">
        <v>16009826650056</v>
      </c>
      <c r="Z373" s="387" t="s">
        <v>543</v>
      </c>
      <c r="AA373" s="388">
        <v>46009826650057</v>
      </c>
      <c r="AB373" s="388" t="s">
        <v>543</v>
      </c>
      <c r="AC373" s="387">
        <v>3004847001</v>
      </c>
      <c r="AD373" s="389">
        <v>200</v>
      </c>
      <c r="AE373" s="390">
        <v>45047</v>
      </c>
      <c r="AF373" s="390">
        <v>46142</v>
      </c>
      <c r="AG373" s="391" t="s">
        <v>545</v>
      </c>
      <c r="AH373" s="391" t="s">
        <v>3856</v>
      </c>
      <c r="AI373" s="391" t="s">
        <v>2261</v>
      </c>
      <c r="AJ373" s="391">
        <v>0</v>
      </c>
      <c r="AK373" s="390">
        <v>45047</v>
      </c>
      <c r="AL373" s="389">
        <v>33.11</v>
      </c>
      <c r="AM373" s="391" t="s">
        <v>548</v>
      </c>
      <c r="AN373" s="391" t="s">
        <v>549</v>
      </c>
      <c r="AO373" s="391" t="s">
        <v>3857</v>
      </c>
      <c r="AP373" s="372">
        <f>N373/E373</f>
        <v>0.13999999999999999</v>
      </c>
      <c r="AQ373" s="372">
        <f>SUMPRODUCT(AP373:AP375,U373:U375)/SUM(U373:U375)</f>
        <v>0.15256434030246604</v>
      </c>
    </row>
    <row r="374" spans="1:43" ht="16" thickBot="1">
      <c r="A374" s="387" t="s">
        <v>1717</v>
      </c>
      <c r="B374" s="387" t="s">
        <v>3850</v>
      </c>
      <c r="C374" s="387" t="s">
        <v>3851</v>
      </c>
      <c r="D374" s="387" t="s">
        <v>3852</v>
      </c>
      <c r="E374" s="387">
        <v>28</v>
      </c>
      <c r="F374" s="387" t="s">
        <v>559</v>
      </c>
      <c r="G374" s="387">
        <v>28</v>
      </c>
      <c r="H374" s="387" t="s">
        <v>559</v>
      </c>
      <c r="I374" s="387" t="s">
        <v>560</v>
      </c>
      <c r="J374" s="387" t="s">
        <v>3853</v>
      </c>
      <c r="K374" s="387" t="s">
        <v>3858</v>
      </c>
      <c r="L374" s="387" t="s">
        <v>535</v>
      </c>
      <c r="M374" s="387" t="s">
        <v>536</v>
      </c>
      <c r="N374" s="388">
        <v>4.3499999999999996</v>
      </c>
      <c r="O374" s="388">
        <v>14</v>
      </c>
      <c r="P374" s="387" t="s">
        <v>538</v>
      </c>
      <c r="Q374" s="387" t="s">
        <v>539</v>
      </c>
      <c r="R374" s="387" t="s">
        <v>3855</v>
      </c>
      <c r="S374" s="387" t="s">
        <v>171</v>
      </c>
      <c r="T374" s="387" t="s">
        <v>542</v>
      </c>
      <c r="U374" s="388">
        <v>37751893</v>
      </c>
      <c r="V374" s="387" t="s">
        <v>543</v>
      </c>
      <c r="W374" s="387" t="s">
        <v>543</v>
      </c>
      <c r="X374" s="387" t="s">
        <v>543</v>
      </c>
      <c r="Y374" s="387" t="s">
        <v>543</v>
      </c>
      <c r="Z374" s="387" t="s">
        <v>543</v>
      </c>
      <c r="AA374" s="388" t="s">
        <v>543</v>
      </c>
      <c r="AB374" s="388" t="s">
        <v>543</v>
      </c>
      <c r="AC374" s="387">
        <v>868914002</v>
      </c>
      <c r="AD374" s="389">
        <v>200</v>
      </c>
      <c r="AE374" s="390">
        <v>45047</v>
      </c>
      <c r="AF374" s="390">
        <v>46142</v>
      </c>
      <c r="AG374" s="391" t="s">
        <v>545</v>
      </c>
      <c r="AH374" s="391" t="s">
        <v>3856</v>
      </c>
      <c r="AI374" s="391" t="s">
        <v>547</v>
      </c>
      <c r="AJ374" s="391">
        <v>0</v>
      </c>
      <c r="AK374" s="390">
        <v>45047</v>
      </c>
      <c r="AL374" s="389">
        <v>50</v>
      </c>
      <c r="AM374" s="391" t="s">
        <v>548</v>
      </c>
      <c r="AN374" s="391" t="s">
        <v>549</v>
      </c>
      <c r="AO374" s="391" t="s">
        <v>3857</v>
      </c>
      <c r="AP374" s="372">
        <f>N374/E374</f>
        <v>0.15535714285714283</v>
      </c>
    </row>
    <row r="375" spans="1:43" ht="16" thickBot="1">
      <c r="A375" s="387" t="s">
        <v>1717</v>
      </c>
      <c r="B375" s="387" t="s">
        <v>3850</v>
      </c>
      <c r="C375" s="387" t="s">
        <v>3851</v>
      </c>
      <c r="D375" s="387" t="s">
        <v>3852</v>
      </c>
      <c r="E375" s="387">
        <v>28</v>
      </c>
      <c r="F375" s="387" t="s">
        <v>559</v>
      </c>
      <c r="G375" s="387">
        <v>28</v>
      </c>
      <c r="H375" s="387" t="s">
        <v>559</v>
      </c>
      <c r="I375" s="387" t="s">
        <v>560</v>
      </c>
      <c r="J375" s="387" t="s">
        <v>3853</v>
      </c>
      <c r="K375" s="387" t="s">
        <v>3859</v>
      </c>
      <c r="L375" s="387" t="s">
        <v>2062</v>
      </c>
      <c r="M375" s="387" t="s">
        <v>2063</v>
      </c>
      <c r="N375" s="388">
        <v>4.7300000000000004</v>
      </c>
      <c r="O375" s="388">
        <v>14</v>
      </c>
      <c r="P375" s="387" t="s">
        <v>538</v>
      </c>
      <c r="Q375" s="387" t="s">
        <v>539</v>
      </c>
      <c r="R375" s="387" t="s">
        <v>3855</v>
      </c>
      <c r="S375" s="387" t="s">
        <v>171</v>
      </c>
      <c r="T375" s="387" t="s">
        <v>542</v>
      </c>
      <c r="U375" s="388">
        <v>12751893</v>
      </c>
      <c r="V375" s="387">
        <v>6009880832453</v>
      </c>
      <c r="W375" s="387" t="s">
        <v>543</v>
      </c>
      <c r="X375" s="387" t="s">
        <v>543</v>
      </c>
      <c r="Y375" s="387">
        <v>16009880832450</v>
      </c>
      <c r="Z375" s="387" t="s">
        <v>543</v>
      </c>
      <c r="AA375" s="388" t="s">
        <v>543</v>
      </c>
      <c r="AB375" s="388" t="s">
        <v>543</v>
      </c>
      <c r="AC375" s="387" t="s">
        <v>543</v>
      </c>
      <c r="AD375" s="389">
        <v>200</v>
      </c>
      <c r="AE375" s="390">
        <v>45047</v>
      </c>
      <c r="AF375" s="390">
        <v>46142</v>
      </c>
      <c r="AG375" s="391" t="s">
        <v>545</v>
      </c>
      <c r="AH375" s="391" t="s">
        <v>3856</v>
      </c>
      <c r="AI375" s="391" t="s">
        <v>2064</v>
      </c>
      <c r="AJ375" s="391">
        <v>0</v>
      </c>
      <c r="AK375" s="390">
        <v>45047</v>
      </c>
      <c r="AL375" s="389">
        <v>16.89</v>
      </c>
      <c r="AM375" s="391" t="s">
        <v>548</v>
      </c>
      <c r="AN375" s="391" t="s">
        <v>549</v>
      </c>
      <c r="AO375" s="391" t="s">
        <v>3857</v>
      </c>
      <c r="AP375" s="372">
        <f>N375/E375</f>
        <v>0.16892857142857146</v>
      </c>
    </row>
    <row r="376" spans="1:43" ht="16" thickBot="1">
      <c r="A376" s="387" t="s">
        <v>1717</v>
      </c>
      <c r="B376" s="387" t="s">
        <v>3860</v>
      </c>
      <c r="C376" s="387" t="s">
        <v>3861</v>
      </c>
      <c r="D376" s="387" t="s">
        <v>3862</v>
      </c>
      <c r="E376" s="387">
        <v>30</v>
      </c>
      <c r="F376" s="387" t="s">
        <v>559</v>
      </c>
      <c r="G376" s="387">
        <v>28</v>
      </c>
      <c r="H376" s="387" t="s">
        <v>559</v>
      </c>
      <c r="I376" s="387" t="s">
        <v>560</v>
      </c>
      <c r="J376" s="387" t="s">
        <v>3853</v>
      </c>
      <c r="K376" s="387" t="s">
        <v>3863</v>
      </c>
      <c r="L376" s="387" t="s">
        <v>2259</v>
      </c>
      <c r="M376" s="387" t="s">
        <v>2260</v>
      </c>
      <c r="N376" s="388">
        <v>5.97</v>
      </c>
      <c r="O376" s="388">
        <v>14</v>
      </c>
      <c r="P376" s="387" t="s">
        <v>538</v>
      </c>
      <c r="Q376" s="387" t="s">
        <v>539</v>
      </c>
      <c r="R376" s="387" t="s">
        <v>3855</v>
      </c>
      <c r="S376" s="387" t="s">
        <v>171</v>
      </c>
      <c r="T376" s="387" t="s">
        <v>542</v>
      </c>
      <c r="U376" s="388">
        <v>16717868</v>
      </c>
      <c r="V376" s="387">
        <v>6009826650066</v>
      </c>
      <c r="W376" s="387" t="s">
        <v>543</v>
      </c>
      <c r="X376" s="387" t="s">
        <v>543</v>
      </c>
      <c r="Y376" s="387">
        <v>16009826650063</v>
      </c>
      <c r="Z376" s="387" t="s">
        <v>543</v>
      </c>
      <c r="AA376" s="388">
        <v>46009826650064</v>
      </c>
      <c r="AB376" s="388" t="s">
        <v>543</v>
      </c>
      <c r="AC376" s="387">
        <v>3004848001</v>
      </c>
      <c r="AD376" s="389">
        <v>200</v>
      </c>
      <c r="AE376" s="390">
        <v>45047</v>
      </c>
      <c r="AF376" s="390">
        <v>46142</v>
      </c>
      <c r="AG376" s="391" t="s">
        <v>545</v>
      </c>
      <c r="AH376" s="391" t="s">
        <v>3864</v>
      </c>
      <c r="AI376" s="391" t="s">
        <v>2261</v>
      </c>
      <c r="AJ376" s="391">
        <v>0</v>
      </c>
      <c r="AK376" s="390">
        <v>45047</v>
      </c>
      <c r="AL376" s="389">
        <v>80</v>
      </c>
      <c r="AM376" s="391" t="s">
        <v>548</v>
      </c>
      <c r="AN376" s="391" t="s">
        <v>549</v>
      </c>
      <c r="AO376" s="391" t="s">
        <v>3865</v>
      </c>
    </row>
    <row r="377" spans="1:43" ht="16" thickBot="1">
      <c r="A377" s="387" t="s">
        <v>1717</v>
      </c>
      <c r="B377" s="387" t="s">
        <v>3860</v>
      </c>
      <c r="C377" s="387" t="s">
        <v>3861</v>
      </c>
      <c r="D377" s="387" t="s">
        <v>3862</v>
      </c>
      <c r="E377" s="387">
        <v>30</v>
      </c>
      <c r="F377" s="387" t="s">
        <v>559</v>
      </c>
      <c r="G377" s="387">
        <v>28</v>
      </c>
      <c r="H377" s="387" t="s">
        <v>559</v>
      </c>
      <c r="I377" s="387" t="s">
        <v>560</v>
      </c>
      <c r="J377" s="387" t="s">
        <v>3853</v>
      </c>
      <c r="K377" s="387" t="s">
        <v>3866</v>
      </c>
      <c r="L377" s="387" t="s">
        <v>535</v>
      </c>
      <c r="M377" s="387" t="s">
        <v>536</v>
      </c>
      <c r="N377" s="388">
        <v>6.36</v>
      </c>
      <c r="O377" s="388">
        <v>14</v>
      </c>
      <c r="P377" s="387" t="s">
        <v>538</v>
      </c>
      <c r="Q377" s="387" t="s">
        <v>539</v>
      </c>
      <c r="R377" s="387" t="s">
        <v>3855</v>
      </c>
      <c r="S377" s="387" t="s">
        <v>171</v>
      </c>
      <c r="T377" s="387" t="s">
        <v>542</v>
      </c>
      <c r="U377" s="388">
        <v>4179467</v>
      </c>
      <c r="V377" s="387" t="s">
        <v>543</v>
      </c>
      <c r="W377" s="387" t="s">
        <v>543</v>
      </c>
      <c r="X377" s="387" t="s">
        <v>543</v>
      </c>
      <c r="Y377" s="387" t="s">
        <v>543</v>
      </c>
      <c r="Z377" s="387" t="s">
        <v>543</v>
      </c>
      <c r="AA377" s="388" t="s">
        <v>543</v>
      </c>
      <c r="AB377" s="388" t="s">
        <v>543</v>
      </c>
      <c r="AC377" s="387">
        <v>868922005</v>
      </c>
      <c r="AD377" s="389">
        <v>150</v>
      </c>
      <c r="AE377" s="390">
        <v>45047</v>
      </c>
      <c r="AF377" s="390">
        <v>46142</v>
      </c>
      <c r="AG377" s="391" t="s">
        <v>545</v>
      </c>
      <c r="AH377" s="391" t="s">
        <v>3864</v>
      </c>
      <c r="AI377" s="391" t="s">
        <v>547</v>
      </c>
      <c r="AJ377" s="391">
        <v>0</v>
      </c>
      <c r="AK377" s="390">
        <v>45047</v>
      </c>
      <c r="AL377" s="389">
        <v>20</v>
      </c>
      <c r="AM377" s="391" t="s">
        <v>548</v>
      </c>
      <c r="AN377" s="391" t="s">
        <v>549</v>
      </c>
      <c r="AO377" s="391" t="s">
        <v>3865</v>
      </c>
    </row>
    <row r="378" spans="1:43" ht="16" thickBot="1">
      <c r="A378" s="387" t="s">
        <v>1717</v>
      </c>
      <c r="B378" s="387" t="s">
        <v>3867</v>
      </c>
      <c r="C378" s="387" t="s">
        <v>3868</v>
      </c>
      <c r="D378" s="387" t="s">
        <v>3869</v>
      </c>
      <c r="E378" s="387">
        <v>28</v>
      </c>
      <c r="F378" s="387" t="s">
        <v>559</v>
      </c>
      <c r="G378" s="387">
        <v>28</v>
      </c>
      <c r="H378" s="387" t="s">
        <v>559</v>
      </c>
      <c r="I378" s="387" t="s">
        <v>560</v>
      </c>
      <c r="J378" s="387" t="s">
        <v>3853</v>
      </c>
      <c r="K378" s="387" t="s">
        <v>3870</v>
      </c>
      <c r="L378" s="387" t="s">
        <v>2259</v>
      </c>
      <c r="M378" s="387" t="s">
        <v>2260</v>
      </c>
      <c r="N378" s="388">
        <v>3.65</v>
      </c>
      <c r="O378" s="388">
        <v>14</v>
      </c>
      <c r="P378" s="387" t="s">
        <v>538</v>
      </c>
      <c r="Q378" s="387" t="s">
        <v>539</v>
      </c>
      <c r="R378" s="387" t="s">
        <v>3855</v>
      </c>
      <c r="S378" s="387" t="s">
        <v>171</v>
      </c>
      <c r="T378" s="387" t="s">
        <v>542</v>
      </c>
      <c r="U378" s="388">
        <v>5151323</v>
      </c>
      <c r="V378" s="387">
        <v>6009826650042</v>
      </c>
      <c r="W378" s="387" t="s">
        <v>543</v>
      </c>
      <c r="X378" s="387" t="s">
        <v>543</v>
      </c>
      <c r="Y378" s="387">
        <v>16009826650049</v>
      </c>
      <c r="Z378" s="387">
        <v>46009826650040</v>
      </c>
      <c r="AA378" s="388" t="s">
        <v>543</v>
      </c>
      <c r="AB378" s="388" t="s">
        <v>543</v>
      </c>
      <c r="AC378" s="387">
        <v>3004846001</v>
      </c>
      <c r="AD378" s="389">
        <v>200</v>
      </c>
      <c r="AE378" s="390">
        <v>45047</v>
      </c>
      <c r="AF378" s="390">
        <v>46142</v>
      </c>
      <c r="AG378" s="391" t="s">
        <v>545</v>
      </c>
      <c r="AH378" s="391" t="s">
        <v>3871</v>
      </c>
      <c r="AI378" s="391" t="s">
        <v>2261</v>
      </c>
      <c r="AJ378" s="391">
        <v>0</v>
      </c>
      <c r="AK378" s="390">
        <v>45047</v>
      </c>
      <c r="AL378" s="389">
        <v>60</v>
      </c>
      <c r="AM378" s="391" t="s">
        <v>548</v>
      </c>
      <c r="AN378" s="391" t="s">
        <v>549</v>
      </c>
      <c r="AO378" s="391" t="s">
        <v>3872</v>
      </c>
    </row>
    <row r="379" spans="1:43" ht="16" thickBot="1">
      <c r="A379" s="387" t="s">
        <v>1717</v>
      </c>
      <c r="B379" s="387" t="s">
        <v>3867</v>
      </c>
      <c r="C379" s="387" t="s">
        <v>3868</v>
      </c>
      <c r="D379" s="387" t="s">
        <v>3869</v>
      </c>
      <c r="E379" s="387">
        <v>28</v>
      </c>
      <c r="F379" s="387" t="s">
        <v>559</v>
      </c>
      <c r="G379" s="387">
        <v>28</v>
      </c>
      <c r="H379" s="387" t="s">
        <v>559</v>
      </c>
      <c r="I379" s="387" t="s">
        <v>560</v>
      </c>
      <c r="J379" s="387" t="s">
        <v>3853</v>
      </c>
      <c r="K379" s="387" t="s">
        <v>3873</v>
      </c>
      <c r="L379" s="387" t="s">
        <v>1771</v>
      </c>
      <c r="M379" s="387" t="s">
        <v>1772</v>
      </c>
      <c r="N379" s="388">
        <v>3.45</v>
      </c>
      <c r="O379" s="388">
        <v>14</v>
      </c>
      <c r="P379" s="387" t="s">
        <v>538</v>
      </c>
      <c r="Q379" s="387" t="s">
        <v>539</v>
      </c>
      <c r="R379" s="387" t="s">
        <v>3855</v>
      </c>
      <c r="S379" s="387" t="s">
        <v>171</v>
      </c>
      <c r="T379" s="387" t="s">
        <v>542</v>
      </c>
      <c r="U379" s="388">
        <v>3434215</v>
      </c>
      <c r="V379" s="387">
        <v>6008288001058</v>
      </c>
      <c r="W379" s="387">
        <v>6008288001058</v>
      </c>
      <c r="X379" s="387" t="s">
        <v>543</v>
      </c>
      <c r="Y379" s="387">
        <v>16008288001505</v>
      </c>
      <c r="Z379" s="387">
        <v>16008288001055</v>
      </c>
      <c r="AA379" s="388" t="s">
        <v>543</v>
      </c>
      <c r="AB379" s="388" t="s">
        <v>543</v>
      </c>
      <c r="AC379" s="387">
        <v>881473006</v>
      </c>
      <c r="AD379" s="389">
        <v>240</v>
      </c>
      <c r="AE379" s="390">
        <v>45047</v>
      </c>
      <c r="AF379" s="390">
        <v>46142</v>
      </c>
      <c r="AG379" s="391" t="s">
        <v>545</v>
      </c>
      <c r="AH379" s="391" t="s">
        <v>3871</v>
      </c>
      <c r="AI379" s="391" t="s">
        <v>1776</v>
      </c>
      <c r="AJ379" s="391">
        <v>0</v>
      </c>
      <c r="AK379" s="390">
        <v>45047</v>
      </c>
      <c r="AL379" s="389">
        <v>40</v>
      </c>
      <c r="AM379" s="391" t="s">
        <v>548</v>
      </c>
      <c r="AN379" s="391" t="s">
        <v>549</v>
      </c>
      <c r="AO379" s="391" t="s">
        <v>3872</v>
      </c>
    </row>
    <row r="380" spans="1:43" ht="16" thickBot="1">
      <c r="A380" s="387" t="s">
        <v>1748</v>
      </c>
      <c r="B380" s="387" t="s">
        <v>2252</v>
      </c>
      <c r="C380" s="387" t="s">
        <v>3874</v>
      </c>
      <c r="D380" s="387" t="s">
        <v>3875</v>
      </c>
      <c r="E380" s="387">
        <v>0.4</v>
      </c>
      <c r="F380" s="387" t="s">
        <v>531</v>
      </c>
      <c r="G380" s="387">
        <v>0.4</v>
      </c>
      <c r="H380" s="387" t="s">
        <v>531</v>
      </c>
      <c r="I380" s="387" t="s">
        <v>3734</v>
      </c>
      <c r="J380" s="387" t="s">
        <v>3876</v>
      </c>
      <c r="K380" s="387" t="s">
        <v>3877</v>
      </c>
      <c r="L380" s="387" t="s">
        <v>1819</v>
      </c>
      <c r="M380" s="387" t="s">
        <v>1820</v>
      </c>
      <c r="N380" s="388">
        <v>53.61</v>
      </c>
      <c r="O380" s="388">
        <v>14</v>
      </c>
      <c r="P380" s="387" t="s">
        <v>538</v>
      </c>
      <c r="Q380" s="387" t="s">
        <v>539</v>
      </c>
      <c r="R380" s="387" t="s">
        <v>3878</v>
      </c>
      <c r="S380" s="387" t="s">
        <v>541</v>
      </c>
      <c r="T380" s="387" t="s">
        <v>757</v>
      </c>
      <c r="U380" s="388">
        <v>8663680</v>
      </c>
      <c r="V380" s="387">
        <v>6006056161652</v>
      </c>
      <c r="W380" s="387" t="s">
        <v>543</v>
      </c>
      <c r="X380" s="387" t="s">
        <v>543</v>
      </c>
      <c r="Y380" s="387">
        <v>26006056161656</v>
      </c>
      <c r="Z380" s="387" t="s">
        <v>543</v>
      </c>
      <c r="AA380" s="388" t="s">
        <v>543</v>
      </c>
      <c r="AB380" s="388" t="s">
        <v>543</v>
      </c>
      <c r="AC380" s="387">
        <v>788767003</v>
      </c>
      <c r="AD380" s="389">
        <v>10</v>
      </c>
      <c r="AE380" s="390">
        <v>44317</v>
      </c>
      <c r="AF380" s="390">
        <v>45412</v>
      </c>
      <c r="AG380" s="391" t="s">
        <v>545</v>
      </c>
      <c r="AH380" s="391" t="s">
        <v>3879</v>
      </c>
      <c r="AI380" s="391" t="s">
        <v>1823</v>
      </c>
      <c r="AJ380" s="391">
        <v>0</v>
      </c>
      <c r="AK380" s="390">
        <v>44317</v>
      </c>
      <c r="AL380" s="389">
        <v>100</v>
      </c>
      <c r="AM380" s="391" t="s">
        <v>548</v>
      </c>
      <c r="AN380" s="391" t="s">
        <v>549</v>
      </c>
      <c r="AO380" s="391" t="s">
        <v>3880</v>
      </c>
    </row>
    <row r="381" spans="1:43" ht="16" thickBot="1">
      <c r="A381" s="387" t="s">
        <v>1748</v>
      </c>
      <c r="B381" s="387" t="s">
        <v>1024</v>
      </c>
      <c r="C381" s="387" t="s">
        <v>3881</v>
      </c>
      <c r="D381" s="387" t="s">
        <v>3882</v>
      </c>
      <c r="E381" s="387">
        <v>0.6</v>
      </c>
      <c r="F381" s="387" t="s">
        <v>531</v>
      </c>
      <c r="G381" s="387">
        <v>0.6</v>
      </c>
      <c r="H381" s="387" t="s">
        <v>531</v>
      </c>
      <c r="I381" s="387" t="s">
        <v>3734</v>
      </c>
      <c r="J381" s="387" t="s">
        <v>3876</v>
      </c>
      <c r="K381" s="387" t="s">
        <v>3883</v>
      </c>
      <c r="L381" s="387" t="s">
        <v>1819</v>
      </c>
      <c r="M381" s="387" t="s">
        <v>1820</v>
      </c>
      <c r="N381" s="388">
        <v>67.489999999999995</v>
      </c>
      <c r="O381" s="388">
        <v>14</v>
      </c>
      <c r="P381" s="387" t="s">
        <v>538</v>
      </c>
      <c r="Q381" s="387" t="s">
        <v>539</v>
      </c>
      <c r="R381" s="387" t="s">
        <v>3878</v>
      </c>
      <c r="S381" s="387" t="s">
        <v>541</v>
      </c>
      <c r="T381" s="387" t="s">
        <v>757</v>
      </c>
      <c r="U381" s="388">
        <v>901800</v>
      </c>
      <c r="V381" s="387">
        <v>6006056276370</v>
      </c>
      <c r="W381" s="387" t="s">
        <v>543</v>
      </c>
      <c r="X381" s="387" t="s">
        <v>543</v>
      </c>
      <c r="Y381" s="387">
        <v>241477942104062</v>
      </c>
      <c r="Z381" s="387" t="s">
        <v>543</v>
      </c>
      <c r="AA381" s="388" t="s">
        <v>543</v>
      </c>
      <c r="AB381" s="388" t="s">
        <v>543</v>
      </c>
      <c r="AC381" s="387">
        <v>851140009</v>
      </c>
      <c r="AD381" s="389">
        <v>10</v>
      </c>
      <c r="AE381" s="390">
        <v>44317</v>
      </c>
      <c r="AF381" s="390">
        <v>45412</v>
      </c>
      <c r="AG381" s="391" t="s">
        <v>545</v>
      </c>
      <c r="AH381" s="391" t="s">
        <v>3884</v>
      </c>
      <c r="AI381" s="391" t="s">
        <v>1823</v>
      </c>
      <c r="AJ381" s="391">
        <v>0</v>
      </c>
      <c r="AK381" s="390">
        <v>44317</v>
      </c>
      <c r="AL381" s="389">
        <v>100</v>
      </c>
      <c r="AM381" s="391" t="s">
        <v>548</v>
      </c>
      <c r="AN381" s="391" t="s">
        <v>549</v>
      </c>
      <c r="AO381" s="391" t="s">
        <v>3885</v>
      </c>
    </row>
    <row r="382" spans="1:43" ht="16" thickBot="1">
      <c r="A382" s="387" t="s">
        <v>1748</v>
      </c>
      <c r="B382" s="387" t="s">
        <v>1009</v>
      </c>
      <c r="C382" s="387" t="s">
        <v>3886</v>
      </c>
      <c r="D382" s="387" t="s">
        <v>3887</v>
      </c>
      <c r="E382" s="387">
        <v>0.8</v>
      </c>
      <c r="F382" s="387" t="s">
        <v>531</v>
      </c>
      <c r="G382" s="387">
        <v>0.8</v>
      </c>
      <c r="H382" s="387" t="s">
        <v>531</v>
      </c>
      <c r="I382" s="387" t="s">
        <v>3734</v>
      </c>
      <c r="J382" s="387" t="s">
        <v>3876</v>
      </c>
      <c r="K382" s="387" t="s">
        <v>3888</v>
      </c>
      <c r="L382" s="387" t="s">
        <v>1819</v>
      </c>
      <c r="M382" s="387" t="s">
        <v>1820</v>
      </c>
      <c r="N382" s="388">
        <v>81.5</v>
      </c>
      <c r="O382" s="388">
        <v>14</v>
      </c>
      <c r="P382" s="387" t="s">
        <v>538</v>
      </c>
      <c r="Q382" s="387" t="s">
        <v>539</v>
      </c>
      <c r="R382" s="387" t="s">
        <v>3878</v>
      </c>
      <c r="S382" s="387" t="s">
        <v>541</v>
      </c>
      <c r="T382" s="387" t="s">
        <v>757</v>
      </c>
      <c r="U382" s="388">
        <v>2019230</v>
      </c>
      <c r="V382" s="387">
        <v>6006056276462</v>
      </c>
      <c r="W382" s="387" t="s">
        <v>543</v>
      </c>
      <c r="X382" s="387" t="s">
        <v>543</v>
      </c>
      <c r="Y382" s="387">
        <v>26006056276466</v>
      </c>
      <c r="Z382" s="387" t="s">
        <v>543</v>
      </c>
      <c r="AA382" s="388" t="s">
        <v>543</v>
      </c>
      <c r="AB382" s="388" t="s">
        <v>543</v>
      </c>
      <c r="AC382" s="387">
        <v>851159001</v>
      </c>
      <c r="AD382" s="389">
        <v>10</v>
      </c>
      <c r="AE382" s="390">
        <v>44317</v>
      </c>
      <c r="AF382" s="390">
        <v>45412</v>
      </c>
      <c r="AG382" s="391" t="s">
        <v>545</v>
      </c>
      <c r="AH382" s="391" t="s">
        <v>3889</v>
      </c>
      <c r="AI382" s="391" t="s">
        <v>1823</v>
      </c>
      <c r="AJ382" s="391">
        <v>0</v>
      </c>
      <c r="AK382" s="390">
        <v>44317</v>
      </c>
      <c r="AL382" s="389">
        <v>100</v>
      </c>
      <c r="AM382" s="391" t="s">
        <v>548</v>
      </c>
      <c r="AN382" s="391" t="s">
        <v>549</v>
      </c>
      <c r="AO382" s="391" t="s">
        <v>3890</v>
      </c>
    </row>
    <row r="383" spans="1:43" ht="16" thickBot="1">
      <c r="A383" s="387" t="s">
        <v>1729</v>
      </c>
      <c r="B383" s="387" t="s">
        <v>985</v>
      </c>
      <c r="C383" s="387" t="s">
        <v>3891</v>
      </c>
      <c r="D383" s="387" t="s">
        <v>3892</v>
      </c>
      <c r="E383" s="387">
        <v>5</v>
      </c>
      <c r="F383" s="387" t="s">
        <v>2746</v>
      </c>
      <c r="G383" s="387">
        <v>5</v>
      </c>
      <c r="H383" s="387" t="s">
        <v>2746</v>
      </c>
      <c r="I383" s="387" t="s">
        <v>532</v>
      </c>
      <c r="J383" s="387" t="s">
        <v>3893</v>
      </c>
      <c r="K383" s="387" t="s">
        <v>3894</v>
      </c>
      <c r="L383" s="387" t="s">
        <v>3895</v>
      </c>
      <c r="M383" s="387" t="s">
        <v>3896</v>
      </c>
      <c r="N383" s="388">
        <v>136.09</v>
      </c>
      <c r="O383" s="388">
        <v>7</v>
      </c>
      <c r="P383" s="387" t="s">
        <v>3824</v>
      </c>
      <c r="Q383" s="387" t="s">
        <v>160</v>
      </c>
      <c r="R383" s="387" t="s">
        <v>1745</v>
      </c>
      <c r="S383" s="387" t="s">
        <v>160</v>
      </c>
      <c r="T383" s="387" t="s">
        <v>160</v>
      </c>
      <c r="U383" s="388">
        <v>7050</v>
      </c>
      <c r="V383" s="387" t="s">
        <v>543</v>
      </c>
      <c r="W383" s="387" t="s">
        <v>543</v>
      </c>
      <c r="X383" s="387" t="s">
        <v>543</v>
      </c>
      <c r="Y383" s="387" t="s">
        <v>543</v>
      </c>
      <c r="Z383" s="387" t="s">
        <v>543</v>
      </c>
      <c r="AA383" s="388" t="s">
        <v>543</v>
      </c>
      <c r="AB383" s="388" t="s">
        <v>543</v>
      </c>
      <c r="AC383" s="387" t="s">
        <v>543</v>
      </c>
      <c r="AD383" s="389">
        <v>4</v>
      </c>
      <c r="AE383" s="390">
        <v>44105</v>
      </c>
      <c r="AF383" s="390">
        <v>45199</v>
      </c>
      <c r="AG383" s="390">
        <v>45199</v>
      </c>
      <c r="AH383" s="391" t="s">
        <v>3897</v>
      </c>
      <c r="AI383" s="391" t="s">
        <v>3898</v>
      </c>
      <c r="AJ383" s="391">
        <v>0</v>
      </c>
      <c r="AK383" s="390">
        <v>44105</v>
      </c>
      <c r="AL383" s="389">
        <v>100</v>
      </c>
      <c r="AM383" s="391" t="s">
        <v>548</v>
      </c>
      <c r="AN383" s="391" t="s">
        <v>545</v>
      </c>
      <c r="AO383" s="391" t="s">
        <v>3899</v>
      </c>
    </row>
    <row r="384" spans="1:43" ht="16" thickBot="1">
      <c r="A384" s="387" t="s">
        <v>1729</v>
      </c>
      <c r="B384" s="387" t="s">
        <v>994</v>
      </c>
      <c r="C384" s="387" t="s">
        <v>3900</v>
      </c>
      <c r="D384" s="387" t="s">
        <v>3892</v>
      </c>
      <c r="E384" s="387">
        <v>5</v>
      </c>
      <c r="F384" s="387" t="s">
        <v>2746</v>
      </c>
      <c r="G384" s="387">
        <v>5</v>
      </c>
      <c r="H384" s="387" t="s">
        <v>2746</v>
      </c>
      <c r="I384" s="387" t="s">
        <v>532</v>
      </c>
      <c r="J384" s="387" t="s">
        <v>3893</v>
      </c>
      <c r="K384" s="387" t="s">
        <v>3894</v>
      </c>
      <c r="L384" s="387" t="s">
        <v>3895</v>
      </c>
      <c r="M384" s="387" t="s">
        <v>3896</v>
      </c>
      <c r="N384" s="388">
        <v>136.09</v>
      </c>
      <c r="O384" s="388">
        <v>7</v>
      </c>
      <c r="P384" s="387" t="s">
        <v>3824</v>
      </c>
      <c r="Q384" s="387" t="s">
        <v>160</v>
      </c>
      <c r="R384" s="387" t="s">
        <v>1745</v>
      </c>
      <c r="S384" s="387" t="s">
        <v>160</v>
      </c>
      <c r="T384" s="387" t="s">
        <v>160</v>
      </c>
      <c r="U384" s="388">
        <v>16320</v>
      </c>
      <c r="V384" s="387" t="s">
        <v>543</v>
      </c>
      <c r="W384" s="387" t="s">
        <v>543</v>
      </c>
      <c r="X384" s="387" t="s">
        <v>543</v>
      </c>
      <c r="Y384" s="387" t="s">
        <v>543</v>
      </c>
      <c r="Z384" s="387" t="s">
        <v>543</v>
      </c>
      <c r="AA384" s="388" t="s">
        <v>543</v>
      </c>
      <c r="AB384" s="388" t="s">
        <v>543</v>
      </c>
      <c r="AC384" s="387" t="s">
        <v>543</v>
      </c>
      <c r="AD384" s="389">
        <v>4</v>
      </c>
      <c r="AE384" s="390">
        <v>44105</v>
      </c>
      <c r="AF384" s="390">
        <v>45199</v>
      </c>
      <c r="AG384" s="390">
        <v>45199</v>
      </c>
      <c r="AH384" s="391" t="s">
        <v>3901</v>
      </c>
      <c r="AI384" s="391" t="s">
        <v>3898</v>
      </c>
      <c r="AJ384" s="391">
        <v>0</v>
      </c>
      <c r="AK384" s="390">
        <v>44105</v>
      </c>
      <c r="AL384" s="389">
        <v>100</v>
      </c>
      <c r="AM384" s="391" t="s">
        <v>548</v>
      </c>
      <c r="AN384" s="391" t="s">
        <v>545</v>
      </c>
      <c r="AO384" s="391" t="s">
        <v>3902</v>
      </c>
    </row>
    <row r="385" spans="1:41" ht="16" thickBot="1">
      <c r="A385" s="387" t="s">
        <v>1748</v>
      </c>
      <c r="B385" s="387" t="s">
        <v>1027</v>
      </c>
      <c r="C385" s="387" t="s">
        <v>3903</v>
      </c>
      <c r="D385" s="387" t="s">
        <v>3904</v>
      </c>
      <c r="E385" s="387">
        <v>0.3</v>
      </c>
      <c r="F385" s="387" t="s">
        <v>531</v>
      </c>
      <c r="G385" s="387">
        <v>0.3</v>
      </c>
      <c r="H385" s="387" t="s">
        <v>531</v>
      </c>
      <c r="I385" s="387" t="s">
        <v>3905</v>
      </c>
      <c r="J385" s="387" t="s">
        <v>3906</v>
      </c>
      <c r="K385" s="387" t="s">
        <v>3907</v>
      </c>
      <c r="L385" s="387" t="s">
        <v>562</v>
      </c>
      <c r="M385" s="387" t="s">
        <v>563</v>
      </c>
      <c r="N385" s="388">
        <v>760</v>
      </c>
      <c r="O385" s="388">
        <v>14</v>
      </c>
      <c r="P385" s="387" t="s">
        <v>538</v>
      </c>
      <c r="Q385" s="387" t="s">
        <v>539</v>
      </c>
      <c r="R385" s="387" t="s">
        <v>3908</v>
      </c>
      <c r="S385" s="387" t="s">
        <v>541</v>
      </c>
      <c r="T385" s="387" t="s">
        <v>542</v>
      </c>
      <c r="U385" s="388">
        <v>5570</v>
      </c>
      <c r="V385" s="387">
        <v>6009628333303</v>
      </c>
      <c r="W385" s="387">
        <v>6009628333303</v>
      </c>
      <c r="X385" s="387" t="s">
        <v>543</v>
      </c>
      <c r="Y385" s="387" t="s">
        <v>543</v>
      </c>
      <c r="Z385" s="387" t="s">
        <v>543</v>
      </c>
      <c r="AA385" s="388" t="s">
        <v>543</v>
      </c>
      <c r="AB385" s="388" t="s">
        <v>543</v>
      </c>
      <c r="AC385" s="387">
        <v>707128001</v>
      </c>
      <c r="AD385" s="389">
        <v>10</v>
      </c>
      <c r="AE385" s="390">
        <v>44317</v>
      </c>
      <c r="AF385" s="390">
        <v>45412</v>
      </c>
      <c r="AG385" s="391" t="s">
        <v>545</v>
      </c>
      <c r="AH385" s="391" t="s">
        <v>3909</v>
      </c>
      <c r="AI385" s="391" t="s">
        <v>565</v>
      </c>
      <c r="AJ385" s="391">
        <v>0</v>
      </c>
      <c r="AK385" s="390">
        <v>44317</v>
      </c>
      <c r="AL385" s="389">
        <v>100</v>
      </c>
      <c r="AM385" s="391" t="s">
        <v>548</v>
      </c>
      <c r="AN385" s="391" t="s">
        <v>549</v>
      </c>
      <c r="AO385" s="391" t="s">
        <v>3910</v>
      </c>
    </row>
    <row r="386" spans="1:41" ht="16" thickBot="1">
      <c r="A386" s="387" t="s">
        <v>1748</v>
      </c>
      <c r="B386" s="387" t="s">
        <v>593</v>
      </c>
      <c r="C386" s="387" t="s">
        <v>3911</v>
      </c>
      <c r="D386" s="387" t="s">
        <v>3912</v>
      </c>
      <c r="E386" s="387">
        <v>0.3</v>
      </c>
      <c r="F386" s="387" t="s">
        <v>531</v>
      </c>
      <c r="G386" s="387">
        <v>0.3</v>
      </c>
      <c r="H386" s="387" t="s">
        <v>531</v>
      </c>
      <c r="I386" s="387" t="s">
        <v>3905</v>
      </c>
      <c r="J386" s="387" t="s">
        <v>3906</v>
      </c>
      <c r="K386" s="387" t="s">
        <v>3913</v>
      </c>
      <c r="L386" s="387" t="s">
        <v>562</v>
      </c>
      <c r="M386" s="387" t="s">
        <v>563</v>
      </c>
      <c r="N386" s="388">
        <v>749</v>
      </c>
      <c r="O386" s="388">
        <v>14</v>
      </c>
      <c r="P386" s="387" t="s">
        <v>538</v>
      </c>
      <c r="Q386" s="387" t="s">
        <v>539</v>
      </c>
      <c r="R386" s="387" t="s">
        <v>3908</v>
      </c>
      <c r="S386" s="387" t="s">
        <v>541</v>
      </c>
      <c r="T386" s="387" t="s">
        <v>542</v>
      </c>
      <c r="U386" s="388">
        <v>2336</v>
      </c>
      <c r="V386" s="387">
        <v>6009628333310</v>
      </c>
      <c r="W386" s="387">
        <v>6009628333310</v>
      </c>
      <c r="X386" s="387" t="s">
        <v>543</v>
      </c>
      <c r="Y386" s="387" t="s">
        <v>543</v>
      </c>
      <c r="Z386" s="387" t="s">
        <v>543</v>
      </c>
      <c r="AA386" s="388" t="s">
        <v>543</v>
      </c>
      <c r="AB386" s="388" t="s">
        <v>543</v>
      </c>
      <c r="AC386" s="387">
        <v>797642005</v>
      </c>
      <c r="AD386" s="389">
        <v>10</v>
      </c>
      <c r="AE386" s="390">
        <v>44317</v>
      </c>
      <c r="AF386" s="390">
        <v>45412</v>
      </c>
      <c r="AG386" s="391" t="s">
        <v>545</v>
      </c>
      <c r="AH386" s="391" t="s">
        <v>3914</v>
      </c>
      <c r="AI386" s="391" t="s">
        <v>565</v>
      </c>
      <c r="AJ386" s="391">
        <v>0</v>
      </c>
      <c r="AK386" s="390">
        <v>44317</v>
      </c>
      <c r="AL386" s="389">
        <v>100</v>
      </c>
      <c r="AM386" s="391" t="s">
        <v>548</v>
      </c>
      <c r="AN386" s="391" t="s">
        <v>549</v>
      </c>
      <c r="AO386" s="391" t="s">
        <v>3915</v>
      </c>
    </row>
    <row r="387" spans="1:41" ht="16" thickBot="1">
      <c r="A387" s="387" t="s">
        <v>1748</v>
      </c>
      <c r="B387" s="387" t="s">
        <v>680</v>
      </c>
      <c r="C387" s="387" t="s">
        <v>3916</v>
      </c>
      <c r="D387" s="387" t="s">
        <v>3917</v>
      </c>
      <c r="E387" s="387">
        <v>1</v>
      </c>
      <c r="F387" s="387" t="s">
        <v>531</v>
      </c>
      <c r="G387" s="387" t="s">
        <v>543</v>
      </c>
      <c r="H387" s="387" t="s">
        <v>531</v>
      </c>
      <c r="I387" s="387" t="s">
        <v>1751</v>
      </c>
      <c r="J387" s="387" t="s">
        <v>3906</v>
      </c>
      <c r="K387" s="387" t="s">
        <v>3918</v>
      </c>
      <c r="L387" s="387" t="s">
        <v>2312</v>
      </c>
      <c r="M387" s="387" t="s">
        <v>2313</v>
      </c>
      <c r="N387" s="388">
        <v>4</v>
      </c>
      <c r="O387" s="388">
        <v>14</v>
      </c>
      <c r="P387" s="387" t="s">
        <v>538</v>
      </c>
      <c r="Q387" s="387" t="s">
        <v>539</v>
      </c>
      <c r="R387" s="387" t="s">
        <v>3908</v>
      </c>
      <c r="S387" s="387" t="s">
        <v>541</v>
      </c>
      <c r="T387" s="387" t="s">
        <v>542</v>
      </c>
      <c r="U387" s="388">
        <v>6768639</v>
      </c>
      <c r="V387" s="387">
        <v>6009802416006</v>
      </c>
      <c r="W387" s="387">
        <v>6009802416006</v>
      </c>
      <c r="X387" s="387" t="s">
        <v>543</v>
      </c>
      <c r="Y387" s="387" t="s">
        <v>3919</v>
      </c>
      <c r="Z387" s="387" t="s">
        <v>543</v>
      </c>
      <c r="AA387" s="388" t="s">
        <v>543</v>
      </c>
      <c r="AB387" s="388" t="s">
        <v>543</v>
      </c>
      <c r="AC387" s="387">
        <v>895164019</v>
      </c>
      <c r="AD387" s="389">
        <v>500</v>
      </c>
      <c r="AE387" s="390">
        <v>44317</v>
      </c>
      <c r="AF387" s="390">
        <v>45412</v>
      </c>
      <c r="AG387" s="391" t="s">
        <v>545</v>
      </c>
      <c r="AH387" s="391" t="s">
        <v>3920</v>
      </c>
      <c r="AI387" s="391" t="s">
        <v>2314</v>
      </c>
      <c r="AJ387" s="391">
        <v>0</v>
      </c>
      <c r="AK387" s="390">
        <v>44317</v>
      </c>
      <c r="AL387" s="389">
        <v>90</v>
      </c>
      <c r="AM387" s="391" t="s">
        <v>548</v>
      </c>
      <c r="AN387" s="391" t="s">
        <v>549</v>
      </c>
      <c r="AO387" s="391" t="s">
        <v>3921</v>
      </c>
    </row>
    <row r="388" spans="1:41" ht="16" thickBot="1">
      <c r="A388" s="387" t="s">
        <v>1748</v>
      </c>
      <c r="B388" s="387" t="s">
        <v>680</v>
      </c>
      <c r="C388" s="387" t="s">
        <v>3916</v>
      </c>
      <c r="D388" s="387" t="s">
        <v>3917</v>
      </c>
      <c r="E388" s="387">
        <v>1</v>
      </c>
      <c r="F388" s="387" t="s">
        <v>531</v>
      </c>
      <c r="G388" s="387" t="s">
        <v>543</v>
      </c>
      <c r="H388" s="387" t="s">
        <v>531</v>
      </c>
      <c r="I388" s="387" t="s">
        <v>1751</v>
      </c>
      <c r="J388" s="387" t="s">
        <v>3906</v>
      </c>
      <c r="K388" s="387" t="s">
        <v>3922</v>
      </c>
      <c r="L388" s="387" t="s">
        <v>1955</v>
      </c>
      <c r="M388" s="387" t="s">
        <v>1956</v>
      </c>
      <c r="N388" s="388">
        <v>4.84</v>
      </c>
      <c r="O388" s="388">
        <v>14</v>
      </c>
      <c r="P388" s="387" t="s">
        <v>538</v>
      </c>
      <c r="Q388" s="387" t="s">
        <v>539</v>
      </c>
      <c r="R388" s="387" t="s">
        <v>3908</v>
      </c>
      <c r="S388" s="387" t="s">
        <v>541</v>
      </c>
      <c r="T388" s="387" t="s">
        <v>542</v>
      </c>
      <c r="U388" s="388">
        <v>752071</v>
      </c>
      <c r="V388" s="387">
        <v>6006267000191</v>
      </c>
      <c r="W388" s="387">
        <v>6006267000191</v>
      </c>
      <c r="X388" s="387" t="s">
        <v>543</v>
      </c>
      <c r="Y388" s="387">
        <v>16006267000198</v>
      </c>
      <c r="Z388" s="387" t="s">
        <v>543</v>
      </c>
      <c r="AA388" s="388" t="s">
        <v>543</v>
      </c>
      <c r="AB388" s="388" t="s">
        <v>543</v>
      </c>
      <c r="AC388" s="387">
        <v>701211008</v>
      </c>
      <c r="AD388" s="389" t="s">
        <v>2308</v>
      </c>
      <c r="AE388" s="390">
        <v>44317</v>
      </c>
      <c r="AF388" s="390">
        <v>45412</v>
      </c>
      <c r="AG388" s="391" t="s">
        <v>545</v>
      </c>
      <c r="AH388" s="391" t="s">
        <v>3920</v>
      </c>
      <c r="AI388" s="391" t="s">
        <v>1959</v>
      </c>
      <c r="AJ388" s="391">
        <v>0</v>
      </c>
      <c r="AK388" s="390">
        <v>44317</v>
      </c>
      <c r="AL388" s="389">
        <v>10</v>
      </c>
      <c r="AM388" s="391" t="s">
        <v>548</v>
      </c>
      <c r="AN388" s="391" t="s">
        <v>549</v>
      </c>
      <c r="AO388" s="391" t="s">
        <v>3921</v>
      </c>
    </row>
    <row r="389" spans="1:41" ht="16" thickBot="1">
      <c r="A389" s="387" t="s">
        <v>2166</v>
      </c>
      <c r="B389" s="387" t="s">
        <v>643</v>
      </c>
      <c r="C389" s="387" t="s">
        <v>3923</v>
      </c>
      <c r="D389" s="387" t="s">
        <v>3924</v>
      </c>
      <c r="E389" s="387">
        <v>5</v>
      </c>
      <c r="F389" s="387" t="s">
        <v>531</v>
      </c>
      <c r="G389" s="387">
        <v>5</v>
      </c>
      <c r="H389" s="387" t="s">
        <v>531</v>
      </c>
      <c r="I389" s="387" t="s">
        <v>1751</v>
      </c>
      <c r="J389" s="387" t="s">
        <v>3925</v>
      </c>
      <c r="K389" s="387" t="s">
        <v>3926</v>
      </c>
      <c r="L389" s="387" t="s">
        <v>2595</v>
      </c>
      <c r="M389" s="387" t="s">
        <v>2596</v>
      </c>
      <c r="N389" s="388">
        <v>127.65</v>
      </c>
      <c r="O389" s="388">
        <v>14</v>
      </c>
      <c r="P389" s="387" t="s">
        <v>538</v>
      </c>
      <c r="Q389" s="387" t="s">
        <v>539</v>
      </c>
      <c r="R389" s="387" t="s">
        <v>3927</v>
      </c>
      <c r="S389" s="387" t="s">
        <v>541</v>
      </c>
      <c r="T389" s="387" t="s">
        <v>1908</v>
      </c>
      <c r="U389" s="388">
        <v>2372</v>
      </c>
      <c r="V389" s="387">
        <v>6009880039005</v>
      </c>
      <c r="W389" s="387" t="s">
        <v>543</v>
      </c>
      <c r="X389" s="387" t="s">
        <v>543</v>
      </c>
      <c r="Y389" s="387" t="s">
        <v>543</v>
      </c>
      <c r="Z389" s="387" t="s">
        <v>543</v>
      </c>
      <c r="AA389" s="388" t="s">
        <v>543</v>
      </c>
      <c r="AB389" s="388" t="s">
        <v>543</v>
      </c>
      <c r="AC389" s="387">
        <v>716228001</v>
      </c>
      <c r="AD389" s="389">
        <v>20</v>
      </c>
      <c r="AE389" s="390">
        <v>44743</v>
      </c>
      <c r="AF389" s="390">
        <v>45473</v>
      </c>
      <c r="AG389" s="391" t="s">
        <v>545</v>
      </c>
      <c r="AH389" s="391" t="s">
        <v>3928</v>
      </c>
      <c r="AI389" s="391" t="s">
        <v>2599</v>
      </c>
      <c r="AJ389" s="391">
        <v>0</v>
      </c>
      <c r="AK389" s="390">
        <v>44743</v>
      </c>
      <c r="AL389" s="389">
        <v>100</v>
      </c>
      <c r="AM389" s="391" t="s">
        <v>548</v>
      </c>
      <c r="AN389" s="391" t="s">
        <v>549</v>
      </c>
      <c r="AO389" s="391" t="s">
        <v>3929</v>
      </c>
    </row>
    <row r="390" spans="1:41" ht="16" thickBot="1">
      <c r="A390" s="387" t="s">
        <v>2166</v>
      </c>
      <c r="B390" s="387" t="s">
        <v>970</v>
      </c>
      <c r="C390" s="387" t="s">
        <v>3930</v>
      </c>
      <c r="D390" s="387" t="s">
        <v>3931</v>
      </c>
      <c r="E390" s="387">
        <v>25</v>
      </c>
      <c r="F390" s="387" t="s">
        <v>531</v>
      </c>
      <c r="G390" s="387">
        <v>25</v>
      </c>
      <c r="H390" s="387" t="s">
        <v>531</v>
      </c>
      <c r="I390" s="387" t="s">
        <v>1751</v>
      </c>
      <c r="J390" s="387" t="s">
        <v>3925</v>
      </c>
      <c r="K390" s="387" t="s">
        <v>3932</v>
      </c>
      <c r="L390" s="387" t="s">
        <v>2595</v>
      </c>
      <c r="M390" s="387" t="s">
        <v>2596</v>
      </c>
      <c r="N390" s="388">
        <v>307.05</v>
      </c>
      <c r="O390" s="388">
        <v>14</v>
      </c>
      <c r="P390" s="387" t="s">
        <v>538</v>
      </c>
      <c r="Q390" s="387" t="s">
        <v>539</v>
      </c>
      <c r="R390" s="387" t="s">
        <v>3927</v>
      </c>
      <c r="S390" s="387" t="s">
        <v>541</v>
      </c>
      <c r="T390" s="387" t="s">
        <v>1908</v>
      </c>
      <c r="U390" s="388">
        <v>42814</v>
      </c>
      <c r="V390" s="387">
        <v>6009880039012</v>
      </c>
      <c r="W390" s="387" t="s">
        <v>543</v>
      </c>
      <c r="X390" s="387" t="s">
        <v>543</v>
      </c>
      <c r="Y390" s="387" t="s">
        <v>543</v>
      </c>
      <c r="Z390" s="387" t="s">
        <v>543</v>
      </c>
      <c r="AA390" s="388" t="s">
        <v>543</v>
      </c>
      <c r="AB390" s="388" t="s">
        <v>543</v>
      </c>
      <c r="AC390" s="387">
        <v>716239001</v>
      </c>
      <c r="AD390" s="389">
        <v>20</v>
      </c>
      <c r="AE390" s="390">
        <v>44743</v>
      </c>
      <c r="AF390" s="390">
        <v>45473</v>
      </c>
      <c r="AG390" s="391" t="s">
        <v>545</v>
      </c>
      <c r="AH390" s="391" t="s">
        <v>3933</v>
      </c>
      <c r="AI390" s="391" t="s">
        <v>2599</v>
      </c>
      <c r="AJ390" s="391">
        <v>0</v>
      </c>
      <c r="AK390" s="390">
        <v>44743</v>
      </c>
      <c r="AL390" s="389">
        <v>100</v>
      </c>
      <c r="AM390" s="391" t="s">
        <v>548</v>
      </c>
      <c r="AN390" s="391" t="s">
        <v>549</v>
      </c>
      <c r="AO390" s="391" t="s">
        <v>3934</v>
      </c>
    </row>
    <row r="391" spans="1:41" ht="16" thickBot="1">
      <c r="A391" s="387" t="s">
        <v>1748</v>
      </c>
      <c r="B391" s="387" t="s">
        <v>3775</v>
      </c>
      <c r="C391" s="387" t="s">
        <v>3935</v>
      </c>
      <c r="D391" s="387" t="s">
        <v>3936</v>
      </c>
      <c r="E391" s="387">
        <v>1</v>
      </c>
      <c r="F391" s="387" t="s">
        <v>531</v>
      </c>
      <c r="G391" s="387">
        <v>1</v>
      </c>
      <c r="H391" s="387" t="s">
        <v>531</v>
      </c>
      <c r="I391" s="387" t="s">
        <v>1751</v>
      </c>
      <c r="J391" s="387" t="s">
        <v>3937</v>
      </c>
      <c r="K391" s="387" t="s">
        <v>3938</v>
      </c>
      <c r="L391" s="387" t="s">
        <v>1975</v>
      </c>
      <c r="M391" s="387" t="s">
        <v>1976</v>
      </c>
      <c r="N391" s="388">
        <v>27.85</v>
      </c>
      <c r="O391" s="388">
        <v>14</v>
      </c>
      <c r="P391" s="387" t="s">
        <v>538</v>
      </c>
      <c r="Q391" s="387" t="s">
        <v>539</v>
      </c>
      <c r="R391" s="387" t="s">
        <v>3939</v>
      </c>
      <c r="S391" s="387" t="s">
        <v>541</v>
      </c>
      <c r="T391" s="387" t="s">
        <v>542</v>
      </c>
      <c r="U391" s="388">
        <v>538290</v>
      </c>
      <c r="V391" s="387">
        <v>6004405010132</v>
      </c>
      <c r="W391" s="387">
        <v>6004405010132</v>
      </c>
      <c r="X391" s="387" t="s">
        <v>543</v>
      </c>
      <c r="Y391" s="387" t="s">
        <v>543</v>
      </c>
      <c r="Z391" s="387" t="s">
        <v>543</v>
      </c>
      <c r="AA391" s="388" t="s">
        <v>543</v>
      </c>
      <c r="AB391" s="388" t="s">
        <v>543</v>
      </c>
      <c r="AC391" s="387">
        <v>768545005</v>
      </c>
      <c r="AD391" s="389">
        <v>5</v>
      </c>
      <c r="AE391" s="390">
        <v>44317</v>
      </c>
      <c r="AF391" s="390">
        <v>45412</v>
      </c>
      <c r="AG391" s="391" t="s">
        <v>545</v>
      </c>
      <c r="AH391" s="391" t="s">
        <v>3940</v>
      </c>
      <c r="AI391" s="391" t="s">
        <v>1979</v>
      </c>
      <c r="AJ391" s="391">
        <v>0</v>
      </c>
      <c r="AK391" s="390">
        <v>44317</v>
      </c>
      <c r="AL391" s="389">
        <v>100</v>
      </c>
      <c r="AM391" s="391" t="s">
        <v>548</v>
      </c>
      <c r="AN391" s="391" t="s">
        <v>549</v>
      </c>
      <c r="AO391" s="391" t="s">
        <v>3941</v>
      </c>
    </row>
    <row r="392" spans="1:41" ht="16" thickBot="1">
      <c r="A392" s="387" t="s">
        <v>1766</v>
      </c>
      <c r="B392" s="387" t="s">
        <v>3942</v>
      </c>
      <c r="C392" s="387" t="s">
        <v>3943</v>
      </c>
      <c r="D392" s="387" t="s">
        <v>3944</v>
      </c>
      <c r="E392" s="387">
        <v>1</v>
      </c>
      <c r="F392" s="387" t="s">
        <v>1780</v>
      </c>
      <c r="G392" s="387">
        <v>1</v>
      </c>
      <c r="H392" s="387" t="s">
        <v>1780</v>
      </c>
      <c r="I392" s="387" t="s">
        <v>1751</v>
      </c>
      <c r="J392" s="387" t="s">
        <v>3945</v>
      </c>
      <c r="K392" s="387" t="s">
        <v>3946</v>
      </c>
      <c r="L392" s="387" t="s">
        <v>754</v>
      </c>
      <c r="M392" s="387" t="s">
        <v>755</v>
      </c>
      <c r="N392" s="388">
        <v>382.56</v>
      </c>
      <c r="O392" s="388">
        <v>14</v>
      </c>
      <c r="P392" s="387" t="s">
        <v>611</v>
      </c>
      <c r="Q392" s="387" t="s">
        <v>3265</v>
      </c>
      <c r="R392" s="387" t="s">
        <v>3947</v>
      </c>
      <c r="S392" s="387" t="s">
        <v>614</v>
      </c>
      <c r="T392" s="387" t="s">
        <v>160</v>
      </c>
      <c r="U392" s="388">
        <v>154520</v>
      </c>
      <c r="V392" s="387" t="s">
        <v>543</v>
      </c>
      <c r="W392" s="387" t="s">
        <v>543</v>
      </c>
      <c r="X392" s="387" t="s">
        <v>543</v>
      </c>
      <c r="Y392" s="387" t="s">
        <v>543</v>
      </c>
      <c r="Z392" s="387" t="s">
        <v>543</v>
      </c>
      <c r="AA392" s="388" t="s">
        <v>543</v>
      </c>
      <c r="AB392" s="388" t="s">
        <v>543</v>
      </c>
      <c r="AC392" s="387" t="s">
        <v>543</v>
      </c>
      <c r="AD392" s="389">
        <v>1</v>
      </c>
      <c r="AE392" s="390">
        <v>44470</v>
      </c>
      <c r="AF392" s="390">
        <v>45199</v>
      </c>
      <c r="AG392" s="391" t="s">
        <v>545</v>
      </c>
      <c r="AH392" s="391" t="s">
        <v>3948</v>
      </c>
      <c r="AI392" s="391" t="s">
        <v>759</v>
      </c>
      <c r="AJ392" s="391">
        <v>0</v>
      </c>
      <c r="AK392" s="390">
        <v>44470</v>
      </c>
      <c r="AL392" s="389">
        <v>100</v>
      </c>
      <c r="AM392" s="391" t="s">
        <v>548</v>
      </c>
      <c r="AN392" s="391" t="s">
        <v>549</v>
      </c>
      <c r="AO392" s="391" t="s">
        <v>3949</v>
      </c>
    </row>
    <row r="393" spans="1:41" ht="16" thickBot="1">
      <c r="A393" s="387" t="s">
        <v>3950</v>
      </c>
      <c r="B393" s="387" t="s">
        <v>1013</v>
      </c>
      <c r="C393" s="387" t="s">
        <v>3951</v>
      </c>
      <c r="D393" s="387" t="s">
        <v>3952</v>
      </c>
      <c r="E393" s="387">
        <v>1</v>
      </c>
      <c r="F393" s="387" t="s">
        <v>531</v>
      </c>
      <c r="G393" s="387">
        <v>1</v>
      </c>
      <c r="H393" s="387" t="s">
        <v>531</v>
      </c>
      <c r="I393" s="387" t="s">
        <v>1751</v>
      </c>
      <c r="J393" s="387" t="s">
        <v>3953</v>
      </c>
      <c r="K393" s="387" t="s">
        <v>3954</v>
      </c>
      <c r="L393" s="387" t="s">
        <v>2531</v>
      </c>
      <c r="M393" s="387" t="s">
        <v>2532</v>
      </c>
      <c r="N393" s="388">
        <v>232.45</v>
      </c>
      <c r="O393" s="388">
        <v>14</v>
      </c>
      <c r="P393" s="387" t="s">
        <v>538</v>
      </c>
      <c r="Q393" s="387" t="s">
        <v>539</v>
      </c>
      <c r="R393" s="387" t="s">
        <v>3955</v>
      </c>
      <c r="S393" s="387" t="s">
        <v>171</v>
      </c>
      <c r="T393" s="387" t="s">
        <v>757</v>
      </c>
      <c r="U393" s="388">
        <v>88800</v>
      </c>
      <c r="V393" s="387" t="s">
        <v>543</v>
      </c>
      <c r="W393" s="387" t="s">
        <v>543</v>
      </c>
      <c r="X393" s="387" t="s">
        <v>543</v>
      </c>
      <c r="Y393" s="387" t="s">
        <v>543</v>
      </c>
      <c r="Z393" s="387" t="s">
        <v>543</v>
      </c>
      <c r="AA393" s="388" t="s">
        <v>543</v>
      </c>
      <c r="AB393" s="388" t="s">
        <v>543</v>
      </c>
      <c r="AC393" s="387">
        <v>705261001</v>
      </c>
      <c r="AD393" s="389" t="s">
        <v>3956</v>
      </c>
      <c r="AE393" s="390">
        <v>44949</v>
      </c>
      <c r="AF393" s="390">
        <v>45412</v>
      </c>
      <c r="AG393" s="390">
        <v>45412</v>
      </c>
      <c r="AH393" s="391" t="s">
        <v>3957</v>
      </c>
      <c r="AI393" s="391" t="s">
        <v>2536</v>
      </c>
      <c r="AJ393" s="391">
        <v>0</v>
      </c>
      <c r="AK393" s="390">
        <v>44949</v>
      </c>
      <c r="AL393" s="389">
        <v>100</v>
      </c>
      <c r="AM393" s="391" t="s">
        <v>548</v>
      </c>
      <c r="AN393" s="391" t="s">
        <v>549</v>
      </c>
      <c r="AO393" s="391" t="s">
        <v>3958</v>
      </c>
    </row>
    <row r="394" spans="1:41" ht="16" thickBot="1">
      <c r="A394" s="387" t="s">
        <v>1922</v>
      </c>
      <c r="B394" s="387" t="s">
        <v>1026</v>
      </c>
      <c r="C394" s="387" t="s">
        <v>3959</v>
      </c>
      <c r="D394" s="387" t="s">
        <v>3960</v>
      </c>
      <c r="E394" s="387">
        <v>1</v>
      </c>
      <c r="F394" s="387" t="s">
        <v>3961</v>
      </c>
      <c r="G394" s="387">
        <v>1</v>
      </c>
      <c r="H394" s="387" t="s">
        <v>3961</v>
      </c>
      <c r="I394" s="387" t="s">
        <v>3734</v>
      </c>
      <c r="J394" s="387" t="s">
        <v>3953</v>
      </c>
      <c r="K394" s="387" t="s">
        <v>3962</v>
      </c>
      <c r="L394" s="387" t="s">
        <v>2531</v>
      </c>
      <c r="M394" s="387" t="s">
        <v>2532</v>
      </c>
      <c r="N394" s="388">
        <v>50.32</v>
      </c>
      <c r="O394" s="388">
        <v>14</v>
      </c>
      <c r="P394" s="387" t="s">
        <v>538</v>
      </c>
      <c r="Q394" s="387" t="s">
        <v>539</v>
      </c>
      <c r="R394" s="387" t="s">
        <v>3955</v>
      </c>
      <c r="S394" s="387" t="s">
        <v>171</v>
      </c>
      <c r="T394" s="387" t="s">
        <v>757</v>
      </c>
      <c r="U394" s="388">
        <v>320510</v>
      </c>
      <c r="V394" s="387" t="s">
        <v>543</v>
      </c>
      <c r="W394" s="387" t="s">
        <v>543</v>
      </c>
      <c r="X394" s="387" t="s">
        <v>543</v>
      </c>
      <c r="Y394" s="387" t="s">
        <v>543</v>
      </c>
      <c r="Z394" s="387" t="s">
        <v>543</v>
      </c>
      <c r="AA394" s="388" t="s">
        <v>543</v>
      </c>
      <c r="AB394" s="388" t="s">
        <v>543</v>
      </c>
      <c r="AC394" s="387">
        <v>704772001</v>
      </c>
      <c r="AD394" s="389" t="s">
        <v>3956</v>
      </c>
      <c r="AE394" s="390">
        <v>44620</v>
      </c>
      <c r="AF394" s="390">
        <v>45412</v>
      </c>
      <c r="AG394" s="391" t="s">
        <v>545</v>
      </c>
      <c r="AH394" s="391" t="s">
        <v>3963</v>
      </c>
      <c r="AI394" s="391" t="s">
        <v>2536</v>
      </c>
      <c r="AJ394" s="391">
        <v>0</v>
      </c>
      <c r="AK394" s="390">
        <v>44620</v>
      </c>
      <c r="AL394" s="389">
        <v>100</v>
      </c>
      <c r="AM394" s="391" t="s">
        <v>548</v>
      </c>
      <c r="AN394" s="391" t="s">
        <v>549</v>
      </c>
      <c r="AO394" s="391" t="s">
        <v>3964</v>
      </c>
    </row>
    <row r="395" spans="1:41" ht="16" thickBot="1">
      <c r="A395" s="387" t="s">
        <v>1922</v>
      </c>
      <c r="B395" s="387" t="s">
        <v>996</v>
      </c>
      <c r="C395" s="387" t="s">
        <v>3965</v>
      </c>
      <c r="D395" s="387" t="s">
        <v>3966</v>
      </c>
      <c r="E395" s="387">
        <v>1</v>
      </c>
      <c r="F395" s="387" t="s">
        <v>3961</v>
      </c>
      <c r="G395" s="387">
        <v>1</v>
      </c>
      <c r="H395" s="387" t="s">
        <v>3961</v>
      </c>
      <c r="I395" s="387" t="s">
        <v>3734</v>
      </c>
      <c r="J395" s="387" t="s">
        <v>3953</v>
      </c>
      <c r="K395" s="387" t="s">
        <v>3967</v>
      </c>
      <c r="L395" s="387" t="s">
        <v>2531</v>
      </c>
      <c r="M395" s="387" t="s">
        <v>2532</v>
      </c>
      <c r="N395" s="388">
        <v>762.64</v>
      </c>
      <c r="O395" s="388">
        <v>14</v>
      </c>
      <c r="P395" s="387" t="s">
        <v>538</v>
      </c>
      <c r="Q395" s="387" t="s">
        <v>539</v>
      </c>
      <c r="R395" s="387" t="s">
        <v>3955</v>
      </c>
      <c r="S395" s="387" t="s">
        <v>171</v>
      </c>
      <c r="T395" s="387" t="s">
        <v>757</v>
      </c>
      <c r="U395" s="388">
        <v>6520</v>
      </c>
      <c r="V395" s="387" t="s">
        <v>543</v>
      </c>
      <c r="W395" s="387" t="s">
        <v>543</v>
      </c>
      <c r="X395" s="387" t="s">
        <v>543</v>
      </c>
      <c r="Y395" s="387" t="s">
        <v>543</v>
      </c>
      <c r="Z395" s="387" t="s">
        <v>543</v>
      </c>
      <c r="AA395" s="388" t="s">
        <v>543</v>
      </c>
      <c r="AB395" s="388" t="s">
        <v>543</v>
      </c>
      <c r="AC395" s="387">
        <v>705751001</v>
      </c>
      <c r="AD395" s="389" t="s">
        <v>1930</v>
      </c>
      <c r="AE395" s="390">
        <v>44620</v>
      </c>
      <c r="AF395" s="390">
        <v>45412</v>
      </c>
      <c r="AG395" s="391" t="s">
        <v>545</v>
      </c>
      <c r="AH395" s="391" t="s">
        <v>3968</v>
      </c>
      <c r="AI395" s="391" t="s">
        <v>2536</v>
      </c>
      <c r="AJ395" s="391">
        <v>0</v>
      </c>
      <c r="AK395" s="390">
        <v>44620</v>
      </c>
      <c r="AL395" s="389">
        <v>100</v>
      </c>
      <c r="AM395" s="391" t="s">
        <v>548</v>
      </c>
      <c r="AN395" s="391" t="s">
        <v>549</v>
      </c>
      <c r="AO395" s="391" t="s">
        <v>3969</v>
      </c>
    </row>
    <row r="396" spans="1:41" ht="16" thickBot="1">
      <c r="A396" s="387" t="s">
        <v>3950</v>
      </c>
      <c r="B396" s="387" t="s">
        <v>590</v>
      </c>
      <c r="C396" s="387" t="s">
        <v>3970</v>
      </c>
      <c r="D396" s="387" t="s">
        <v>3971</v>
      </c>
      <c r="E396" s="387">
        <v>1</v>
      </c>
      <c r="F396" s="387" t="s">
        <v>531</v>
      </c>
      <c r="G396" s="387">
        <v>1</v>
      </c>
      <c r="H396" s="387" t="s">
        <v>531</v>
      </c>
      <c r="I396" s="387" t="s">
        <v>1751</v>
      </c>
      <c r="J396" s="387" t="s">
        <v>3953</v>
      </c>
      <c r="K396" s="387" t="s">
        <v>3972</v>
      </c>
      <c r="L396" s="387" t="s">
        <v>2531</v>
      </c>
      <c r="M396" s="387" t="s">
        <v>2532</v>
      </c>
      <c r="N396" s="388">
        <v>75.47</v>
      </c>
      <c r="O396" s="388">
        <v>14</v>
      </c>
      <c r="P396" s="387" t="s">
        <v>538</v>
      </c>
      <c r="Q396" s="387" t="s">
        <v>539</v>
      </c>
      <c r="R396" s="387" t="s">
        <v>3955</v>
      </c>
      <c r="S396" s="387" t="s">
        <v>171</v>
      </c>
      <c r="T396" s="387" t="s">
        <v>757</v>
      </c>
      <c r="U396" s="388">
        <v>683630</v>
      </c>
      <c r="V396" s="387" t="s">
        <v>543</v>
      </c>
      <c r="W396" s="387" t="s">
        <v>543</v>
      </c>
      <c r="X396" s="387" t="s">
        <v>543</v>
      </c>
      <c r="Y396" s="387" t="s">
        <v>543</v>
      </c>
      <c r="Z396" s="387" t="s">
        <v>543</v>
      </c>
      <c r="AA396" s="388" t="s">
        <v>543</v>
      </c>
      <c r="AB396" s="388" t="s">
        <v>543</v>
      </c>
      <c r="AC396" s="387">
        <v>704631001</v>
      </c>
      <c r="AD396" s="389" t="s">
        <v>3956</v>
      </c>
      <c r="AE396" s="390">
        <v>44949</v>
      </c>
      <c r="AF396" s="390">
        <v>45412</v>
      </c>
      <c r="AG396" s="390">
        <v>45412</v>
      </c>
      <c r="AH396" s="391" t="s">
        <v>3973</v>
      </c>
      <c r="AI396" s="391" t="s">
        <v>2536</v>
      </c>
      <c r="AJ396" s="391">
        <v>0</v>
      </c>
      <c r="AK396" s="390">
        <v>44949</v>
      </c>
      <c r="AL396" s="389">
        <v>100</v>
      </c>
      <c r="AM396" s="391" t="s">
        <v>548</v>
      </c>
      <c r="AN396" s="391" t="s">
        <v>549</v>
      </c>
      <c r="AO396" s="391" t="s">
        <v>3974</v>
      </c>
    </row>
    <row r="397" spans="1:41" ht="16" thickBot="1">
      <c r="A397" s="387" t="s">
        <v>3950</v>
      </c>
      <c r="B397" s="387" t="s">
        <v>2418</v>
      </c>
      <c r="C397" s="387" t="s">
        <v>3975</v>
      </c>
      <c r="D397" s="387" t="s">
        <v>3976</v>
      </c>
      <c r="E397" s="387">
        <v>1</v>
      </c>
      <c r="F397" s="387" t="s">
        <v>531</v>
      </c>
      <c r="G397" s="387">
        <v>1</v>
      </c>
      <c r="H397" s="387" t="s">
        <v>531</v>
      </c>
      <c r="I397" s="387" t="s">
        <v>1751</v>
      </c>
      <c r="J397" s="387" t="s">
        <v>3953</v>
      </c>
      <c r="K397" s="387" t="s">
        <v>3977</v>
      </c>
      <c r="L397" s="387" t="s">
        <v>2531</v>
      </c>
      <c r="M397" s="387" t="s">
        <v>2532</v>
      </c>
      <c r="N397" s="388">
        <v>157.37</v>
      </c>
      <c r="O397" s="388">
        <v>14</v>
      </c>
      <c r="P397" s="387" t="s">
        <v>538</v>
      </c>
      <c r="Q397" s="387" t="s">
        <v>539</v>
      </c>
      <c r="R397" s="387" t="s">
        <v>3955</v>
      </c>
      <c r="S397" s="387" t="s">
        <v>171</v>
      </c>
      <c r="T397" s="387" t="s">
        <v>757</v>
      </c>
      <c r="U397" s="388">
        <v>13624</v>
      </c>
      <c r="V397" s="387" t="s">
        <v>543</v>
      </c>
      <c r="W397" s="387" t="s">
        <v>543</v>
      </c>
      <c r="X397" s="387" t="s">
        <v>543</v>
      </c>
      <c r="Y397" s="387" t="s">
        <v>543</v>
      </c>
      <c r="Z397" s="387" t="s">
        <v>543</v>
      </c>
      <c r="AA397" s="388" t="s">
        <v>543</v>
      </c>
      <c r="AB397" s="388" t="s">
        <v>543</v>
      </c>
      <c r="AC397" s="387">
        <v>704630001</v>
      </c>
      <c r="AD397" s="389" t="s">
        <v>3956</v>
      </c>
      <c r="AE397" s="390">
        <v>44949</v>
      </c>
      <c r="AF397" s="390">
        <v>45412</v>
      </c>
      <c r="AG397" s="391" t="s">
        <v>545</v>
      </c>
      <c r="AH397" s="391" t="s">
        <v>3978</v>
      </c>
      <c r="AI397" s="391" t="s">
        <v>2536</v>
      </c>
      <c r="AJ397" s="391">
        <v>0</v>
      </c>
      <c r="AK397" s="390">
        <v>44949</v>
      </c>
      <c r="AL397" s="389">
        <v>100</v>
      </c>
      <c r="AM397" s="391" t="s">
        <v>548</v>
      </c>
      <c r="AN397" s="391" t="s">
        <v>549</v>
      </c>
      <c r="AO397" s="391" t="s">
        <v>3979</v>
      </c>
    </row>
    <row r="398" spans="1:41" ht="16" thickBot="1">
      <c r="A398" s="387" t="s">
        <v>3235</v>
      </c>
      <c r="B398" s="387" t="s">
        <v>784</v>
      </c>
      <c r="C398" s="387" t="s">
        <v>3980</v>
      </c>
      <c r="D398" s="387" t="s">
        <v>3981</v>
      </c>
      <c r="E398" s="387">
        <v>28</v>
      </c>
      <c r="F398" s="387" t="s">
        <v>559</v>
      </c>
      <c r="G398" s="387">
        <v>28</v>
      </c>
      <c r="H398" s="387" t="s">
        <v>559</v>
      </c>
      <c r="I398" s="387" t="s">
        <v>560</v>
      </c>
      <c r="J398" s="387" t="s">
        <v>3982</v>
      </c>
      <c r="K398" s="387" t="s">
        <v>3983</v>
      </c>
      <c r="L398" s="387" t="s">
        <v>3984</v>
      </c>
      <c r="M398" s="387" t="s">
        <v>3985</v>
      </c>
      <c r="N398" s="388">
        <v>94.43</v>
      </c>
      <c r="O398" s="388">
        <v>14</v>
      </c>
      <c r="P398" s="387" t="s">
        <v>538</v>
      </c>
      <c r="Q398" s="387" t="s">
        <v>539</v>
      </c>
      <c r="R398" s="387" t="s">
        <v>3986</v>
      </c>
      <c r="S398" s="387" t="s">
        <v>171</v>
      </c>
      <c r="T398" s="387" t="s">
        <v>542</v>
      </c>
      <c r="U398" s="388">
        <v>20060</v>
      </c>
      <c r="V398" s="387">
        <v>6006338001034</v>
      </c>
      <c r="W398" s="387">
        <v>6006338001034</v>
      </c>
      <c r="X398" s="387" t="s">
        <v>543</v>
      </c>
      <c r="Y398" s="387" t="s">
        <v>543</v>
      </c>
      <c r="Z398" s="387" t="s">
        <v>543</v>
      </c>
      <c r="AA398" s="388" t="s">
        <v>543</v>
      </c>
      <c r="AB398" s="388" t="s">
        <v>543</v>
      </c>
      <c r="AC398" s="387" t="s">
        <v>543</v>
      </c>
      <c r="AD398" s="389">
        <v>10</v>
      </c>
      <c r="AE398" s="390">
        <v>44105</v>
      </c>
      <c r="AF398" s="390">
        <v>45199</v>
      </c>
      <c r="AG398" s="390">
        <v>45199</v>
      </c>
      <c r="AH398" s="391" t="s">
        <v>3987</v>
      </c>
      <c r="AI398" s="391" t="s">
        <v>3988</v>
      </c>
      <c r="AJ398" s="391">
        <v>0</v>
      </c>
      <c r="AK398" s="390">
        <v>44105</v>
      </c>
      <c r="AL398" s="389">
        <v>100</v>
      </c>
      <c r="AM398" s="391" t="s">
        <v>548</v>
      </c>
      <c r="AN398" s="391" t="s">
        <v>545</v>
      </c>
      <c r="AO398" s="391" t="s">
        <v>3989</v>
      </c>
    </row>
    <row r="399" spans="1:41" ht="16" thickBot="1">
      <c r="A399" s="387" t="s">
        <v>3235</v>
      </c>
      <c r="B399" s="387" t="s">
        <v>2127</v>
      </c>
      <c r="C399" s="387" t="s">
        <v>3990</v>
      </c>
      <c r="D399" s="387" t="s">
        <v>3991</v>
      </c>
      <c r="E399" s="387">
        <v>28</v>
      </c>
      <c r="F399" s="387" t="s">
        <v>559</v>
      </c>
      <c r="G399" s="387">
        <v>28</v>
      </c>
      <c r="H399" s="387" t="s">
        <v>559</v>
      </c>
      <c r="I399" s="387" t="s">
        <v>560</v>
      </c>
      <c r="J399" s="387" t="s">
        <v>3982</v>
      </c>
      <c r="K399" s="387" t="s">
        <v>3992</v>
      </c>
      <c r="L399" s="387" t="s">
        <v>3984</v>
      </c>
      <c r="M399" s="387" t="s">
        <v>3985</v>
      </c>
      <c r="N399" s="388">
        <v>109.53</v>
      </c>
      <c r="O399" s="388">
        <v>14</v>
      </c>
      <c r="P399" s="387" t="s">
        <v>538</v>
      </c>
      <c r="Q399" s="387" t="s">
        <v>539</v>
      </c>
      <c r="R399" s="387" t="s">
        <v>3986</v>
      </c>
      <c r="S399" s="387" t="s">
        <v>171</v>
      </c>
      <c r="T399" s="387" t="s">
        <v>542</v>
      </c>
      <c r="U399" s="388">
        <v>34230</v>
      </c>
      <c r="V399" s="387">
        <v>6006338001218</v>
      </c>
      <c r="W399" s="387">
        <v>6006338001218</v>
      </c>
      <c r="X399" s="387" t="s">
        <v>543</v>
      </c>
      <c r="Y399" s="387" t="s">
        <v>543</v>
      </c>
      <c r="Z399" s="387" t="s">
        <v>543</v>
      </c>
      <c r="AA399" s="388" t="s">
        <v>543</v>
      </c>
      <c r="AB399" s="388" t="s">
        <v>543</v>
      </c>
      <c r="AC399" s="387" t="s">
        <v>543</v>
      </c>
      <c r="AD399" s="389">
        <v>10</v>
      </c>
      <c r="AE399" s="390">
        <v>44105</v>
      </c>
      <c r="AF399" s="390">
        <v>45199</v>
      </c>
      <c r="AG399" s="390">
        <v>45199</v>
      </c>
      <c r="AH399" s="391" t="s">
        <v>3993</v>
      </c>
      <c r="AI399" s="391" t="s">
        <v>3988</v>
      </c>
      <c r="AJ399" s="391">
        <v>0</v>
      </c>
      <c r="AK399" s="390">
        <v>44105</v>
      </c>
      <c r="AL399" s="389">
        <v>100</v>
      </c>
      <c r="AM399" s="391" t="s">
        <v>548</v>
      </c>
      <c r="AN399" s="391" t="s">
        <v>545</v>
      </c>
      <c r="AO399" s="391" t="s">
        <v>3994</v>
      </c>
    </row>
    <row r="400" spans="1:41" ht="16" thickBot="1">
      <c r="A400" s="387" t="s">
        <v>3235</v>
      </c>
      <c r="B400" s="387" t="s">
        <v>637</v>
      </c>
      <c r="C400" s="387" t="s">
        <v>3995</v>
      </c>
      <c r="D400" s="387" t="s">
        <v>3996</v>
      </c>
      <c r="E400" s="387">
        <v>28</v>
      </c>
      <c r="F400" s="387" t="s">
        <v>559</v>
      </c>
      <c r="G400" s="387">
        <v>28</v>
      </c>
      <c r="H400" s="387" t="s">
        <v>559</v>
      </c>
      <c r="I400" s="387" t="s">
        <v>560</v>
      </c>
      <c r="J400" s="387" t="s">
        <v>3997</v>
      </c>
      <c r="K400" s="387" t="s">
        <v>3998</v>
      </c>
      <c r="L400" s="387" t="s">
        <v>3984</v>
      </c>
      <c r="M400" s="387" t="s">
        <v>3985</v>
      </c>
      <c r="N400" s="388">
        <v>40.31</v>
      </c>
      <c r="O400" s="388">
        <v>14</v>
      </c>
      <c r="P400" s="387" t="s">
        <v>538</v>
      </c>
      <c r="Q400" s="387" t="s">
        <v>539</v>
      </c>
      <c r="R400" s="387" t="s">
        <v>3999</v>
      </c>
      <c r="S400" s="387" t="s">
        <v>171</v>
      </c>
      <c r="T400" s="387" t="s">
        <v>542</v>
      </c>
      <c r="U400" s="388">
        <v>14780</v>
      </c>
      <c r="V400" s="387">
        <v>6006338001454</v>
      </c>
      <c r="W400" s="387">
        <v>6006338001454</v>
      </c>
      <c r="X400" s="387" t="s">
        <v>543</v>
      </c>
      <c r="Y400" s="387" t="s">
        <v>543</v>
      </c>
      <c r="Z400" s="387" t="s">
        <v>543</v>
      </c>
      <c r="AA400" s="388" t="s">
        <v>543</v>
      </c>
      <c r="AB400" s="388" t="s">
        <v>543</v>
      </c>
      <c r="AC400" s="387" t="s">
        <v>543</v>
      </c>
      <c r="AD400" s="389">
        <v>10</v>
      </c>
      <c r="AE400" s="390">
        <v>44105</v>
      </c>
      <c r="AF400" s="390">
        <v>45199</v>
      </c>
      <c r="AG400" s="390">
        <v>45199</v>
      </c>
      <c r="AH400" s="391" t="s">
        <v>4000</v>
      </c>
      <c r="AI400" s="391" t="s">
        <v>3988</v>
      </c>
      <c r="AJ400" s="391">
        <v>0</v>
      </c>
      <c r="AK400" s="390">
        <v>44105</v>
      </c>
      <c r="AL400" s="389">
        <v>100</v>
      </c>
      <c r="AM400" s="391" t="s">
        <v>548</v>
      </c>
      <c r="AN400" s="391" t="s">
        <v>545</v>
      </c>
      <c r="AO400" s="391" t="s">
        <v>4001</v>
      </c>
    </row>
    <row r="401" spans="1:41" ht="16" thickBot="1">
      <c r="A401" s="387" t="s">
        <v>3235</v>
      </c>
      <c r="B401" s="387" t="s">
        <v>556</v>
      </c>
      <c r="C401" s="387" t="s">
        <v>4002</v>
      </c>
      <c r="D401" s="387" t="s">
        <v>4003</v>
      </c>
      <c r="E401" s="387">
        <v>28</v>
      </c>
      <c r="F401" s="387" t="s">
        <v>559</v>
      </c>
      <c r="G401" s="387">
        <v>28</v>
      </c>
      <c r="H401" s="387" t="s">
        <v>559</v>
      </c>
      <c r="I401" s="387" t="s">
        <v>560</v>
      </c>
      <c r="J401" s="387" t="s">
        <v>3997</v>
      </c>
      <c r="K401" s="387" t="s">
        <v>4004</v>
      </c>
      <c r="L401" s="387" t="s">
        <v>3984</v>
      </c>
      <c r="M401" s="387" t="s">
        <v>3985</v>
      </c>
      <c r="N401" s="388">
        <v>75.78</v>
      </c>
      <c r="O401" s="388">
        <v>14</v>
      </c>
      <c r="P401" s="387" t="s">
        <v>538</v>
      </c>
      <c r="Q401" s="387" t="s">
        <v>539</v>
      </c>
      <c r="R401" s="387" t="s">
        <v>3999</v>
      </c>
      <c r="S401" s="387" t="s">
        <v>171</v>
      </c>
      <c r="T401" s="387" t="s">
        <v>542</v>
      </c>
      <c r="U401" s="388">
        <v>33320</v>
      </c>
      <c r="V401" s="387">
        <v>6006338001249</v>
      </c>
      <c r="W401" s="387">
        <v>6006338001249</v>
      </c>
      <c r="X401" s="387" t="s">
        <v>543</v>
      </c>
      <c r="Y401" s="387" t="s">
        <v>543</v>
      </c>
      <c r="Z401" s="387" t="s">
        <v>543</v>
      </c>
      <c r="AA401" s="388" t="s">
        <v>543</v>
      </c>
      <c r="AB401" s="388" t="s">
        <v>543</v>
      </c>
      <c r="AC401" s="387" t="s">
        <v>543</v>
      </c>
      <c r="AD401" s="389">
        <v>10</v>
      </c>
      <c r="AE401" s="390">
        <v>44105</v>
      </c>
      <c r="AF401" s="390">
        <v>45199</v>
      </c>
      <c r="AG401" s="390">
        <v>45199</v>
      </c>
      <c r="AH401" s="391" t="s">
        <v>4005</v>
      </c>
      <c r="AI401" s="391" t="s">
        <v>3988</v>
      </c>
      <c r="AJ401" s="391">
        <v>0</v>
      </c>
      <c r="AK401" s="390">
        <v>44105</v>
      </c>
      <c r="AL401" s="389">
        <v>100</v>
      </c>
      <c r="AM401" s="391" t="s">
        <v>548</v>
      </c>
      <c r="AN401" s="391" t="s">
        <v>545</v>
      </c>
      <c r="AO401" s="391" t="s">
        <v>4006</v>
      </c>
    </row>
    <row r="402" spans="1:41" ht="16" thickBot="1">
      <c r="A402" s="387" t="s">
        <v>4007</v>
      </c>
      <c r="B402" s="387" t="s">
        <v>965</v>
      </c>
      <c r="C402" s="387" t="s">
        <v>4008</v>
      </c>
      <c r="D402" s="387" t="s">
        <v>4009</v>
      </c>
      <c r="E402" s="387">
        <v>28</v>
      </c>
      <c r="F402" s="387" t="s">
        <v>559</v>
      </c>
      <c r="G402" s="387">
        <v>28</v>
      </c>
      <c r="H402" s="387" t="s">
        <v>559</v>
      </c>
      <c r="I402" s="387" t="s">
        <v>560</v>
      </c>
      <c r="J402" s="387" t="s">
        <v>4010</v>
      </c>
      <c r="K402" s="387" t="s">
        <v>4011</v>
      </c>
      <c r="L402" s="387" t="s">
        <v>1916</v>
      </c>
      <c r="M402" s="387" t="s">
        <v>1917</v>
      </c>
      <c r="N402" s="388">
        <v>123.02</v>
      </c>
      <c r="O402" s="388">
        <v>14</v>
      </c>
      <c r="P402" s="387" t="s">
        <v>538</v>
      </c>
      <c r="Q402" s="387" t="s">
        <v>539</v>
      </c>
      <c r="R402" s="387" t="s">
        <v>4012</v>
      </c>
      <c r="S402" s="387" t="s">
        <v>171</v>
      </c>
      <c r="T402" s="387" t="s">
        <v>542</v>
      </c>
      <c r="U402" s="388">
        <v>74084</v>
      </c>
      <c r="V402" s="387">
        <v>6011355098462</v>
      </c>
      <c r="W402" s="387" t="s">
        <v>543</v>
      </c>
      <c r="X402" s="387" t="s">
        <v>543</v>
      </c>
      <c r="Y402" s="387" t="s">
        <v>543</v>
      </c>
      <c r="Z402" s="387" t="s">
        <v>543</v>
      </c>
      <c r="AA402" s="388" t="s">
        <v>543</v>
      </c>
      <c r="AB402" s="388" t="s">
        <v>543</v>
      </c>
      <c r="AC402" s="387">
        <v>756725038</v>
      </c>
      <c r="AD402" s="389">
        <v>1</v>
      </c>
      <c r="AE402" s="390">
        <v>44224</v>
      </c>
      <c r="AF402" s="390">
        <v>45199</v>
      </c>
      <c r="AG402" s="390">
        <v>45199</v>
      </c>
      <c r="AH402" s="391" t="s">
        <v>4013</v>
      </c>
      <c r="AI402" s="391" t="s">
        <v>1920</v>
      </c>
      <c r="AJ402" s="391">
        <v>0</v>
      </c>
      <c r="AK402" s="390">
        <v>44224</v>
      </c>
      <c r="AL402" s="389">
        <v>100</v>
      </c>
      <c r="AM402" s="391" t="s">
        <v>548</v>
      </c>
      <c r="AN402" s="391" t="s">
        <v>545</v>
      </c>
      <c r="AO402" s="391" t="s">
        <v>4014</v>
      </c>
    </row>
    <row r="403" spans="1:41" ht="16" thickBot="1">
      <c r="A403" s="387" t="s">
        <v>1703</v>
      </c>
      <c r="B403" s="387" t="s">
        <v>593</v>
      </c>
      <c r="C403" s="387" t="s">
        <v>4015</v>
      </c>
      <c r="D403" s="387" t="s">
        <v>4016</v>
      </c>
      <c r="E403" s="387">
        <v>100</v>
      </c>
      <c r="F403" s="387" t="s">
        <v>559</v>
      </c>
      <c r="G403" s="387">
        <v>100</v>
      </c>
      <c r="H403" s="387" t="s">
        <v>559</v>
      </c>
      <c r="I403" s="387" t="s">
        <v>560</v>
      </c>
      <c r="J403" s="387" t="s">
        <v>4017</v>
      </c>
      <c r="K403" s="387" t="s">
        <v>4018</v>
      </c>
      <c r="L403" s="387" t="s">
        <v>1761</v>
      </c>
      <c r="M403" s="387" t="s">
        <v>1762</v>
      </c>
      <c r="N403" s="388">
        <v>77.97</v>
      </c>
      <c r="O403" s="388">
        <v>14</v>
      </c>
      <c r="P403" s="387" t="s">
        <v>538</v>
      </c>
      <c r="Q403" s="387" t="s">
        <v>539</v>
      </c>
      <c r="R403" s="387" t="s">
        <v>4019</v>
      </c>
      <c r="S403" s="387" t="s">
        <v>541</v>
      </c>
      <c r="T403" s="387" t="s">
        <v>542</v>
      </c>
      <c r="U403" s="388">
        <v>44150</v>
      </c>
      <c r="V403" s="387">
        <v>6006498009505</v>
      </c>
      <c r="W403" s="387" t="s">
        <v>543</v>
      </c>
      <c r="X403" s="387" t="s">
        <v>543</v>
      </c>
      <c r="Y403" s="387" t="s">
        <v>543</v>
      </c>
      <c r="Z403" s="387" t="s">
        <v>543</v>
      </c>
      <c r="AA403" s="388" t="s">
        <v>543</v>
      </c>
      <c r="AB403" s="388" t="s">
        <v>543</v>
      </c>
      <c r="AC403" s="387">
        <v>724610006</v>
      </c>
      <c r="AD403" s="389">
        <v>100</v>
      </c>
      <c r="AE403" s="390">
        <v>44470</v>
      </c>
      <c r="AF403" s="390">
        <v>45199</v>
      </c>
      <c r="AG403" s="391" t="s">
        <v>545</v>
      </c>
      <c r="AH403" s="391" t="s">
        <v>4020</v>
      </c>
      <c r="AI403" s="391" t="s">
        <v>1764</v>
      </c>
      <c r="AJ403" s="391">
        <v>0</v>
      </c>
      <c r="AK403" s="390">
        <v>44470</v>
      </c>
      <c r="AL403" s="389">
        <v>100</v>
      </c>
      <c r="AM403" s="391" t="s">
        <v>548</v>
      </c>
      <c r="AN403" s="391" t="s">
        <v>549</v>
      </c>
      <c r="AO403" s="391" t="s">
        <v>4021</v>
      </c>
    </row>
    <row r="404" spans="1:41" ht="16" thickBot="1">
      <c r="A404" s="387" t="s">
        <v>1703</v>
      </c>
      <c r="B404" s="387" t="s">
        <v>680</v>
      </c>
      <c r="C404" s="387" t="s">
        <v>4022</v>
      </c>
      <c r="D404" s="387" t="s">
        <v>4023</v>
      </c>
      <c r="E404" s="387">
        <v>56</v>
      </c>
      <c r="F404" s="387" t="s">
        <v>559</v>
      </c>
      <c r="G404" s="387">
        <v>56</v>
      </c>
      <c r="H404" s="387" t="s">
        <v>559</v>
      </c>
      <c r="I404" s="387" t="s">
        <v>560</v>
      </c>
      <c r="J404" s="387" t="s">
        <v>4017</v>
      </c>
      <c r="K404" s="387" t="s">
        <v>4024</v>
      </c>
      <c r="L404" s="387" t="s">
        <v>1761</v>
      </c>
      <c r="M404" s="387" t="s">
        <v>1762</v>
      </c>
      <c r="N404" s="388">
        <v>51.45</v>
      </c>
      <c r="O404" s="388">
        <v>14</v>
      </c>
      <c r="P404" s="387" t="s">
        <v>538</v>
      </c>
      <c r="Q404" s="387" t="s">
        <v>539</v>
      </c>
      <c r="R404" s="387" t="s">
        <v>4019</v>
      </c>
      <c r="S404" s="387" t="s">
        <v>541</v>
      </c>
      <c r="T404" s="387" t="s">
        <v>542</v>
      </c>
      <c r="U404" s="388">
        <v>236198</v>
      </c>
      <c r="V404" s="387">
        <v>6006498011515</v>
      </c>
      <c r="W404" s="387" t="s">
        <v>543</v>
      </c>
      <c r="X404" s="387" t="s">
        <v>543</v>
      </c>
      <c r="Y404" s="387" t="s">
        <v>543</v>
      </c>
      <c r="Z404" s="387" t="s">
        <v>543</v>
      </c>
      <c r="AA404" s="388" t="s">
        <v>543</v>
      </c>
      <c r="AB404" s="388" t="s">
        <v>543</v>
      </c>
      <c r="AC404" s="387">
        <v>724610015</v>
      </c>
      <c r="AD404" s="389">
        <v>100</v>
      </c>
      <c r="AE404" s="390">
        <v>44470</v>
      </c>
      <c r="AF404" s="390">
        <v>45199</v>
      </c>
      <c r="AG404" s="391" t="s">
        <v>545</v>
      </c>
      <c r="AH404" s="391" t="s">
        <v>4025</v>
      </c>
      <c r="AI404" s="391" t="s">
        <v>1764</v>
      </c>
      <c r="AJ404" s="391">
        <v>0</v>
      </c>
      <c r="AK404" s="390">
        <v>44470</v>
      </c>
      <c r="AL404" s="389">
        <v>100</v>
      </c>
      <c r="AM404" s="391" t="s">
        <v>548</v>
      </c>
      <c r="AN404" s="391" t="s">
        <v>549</v>
      </c>
      <c r="AO404" s="391" t="s">
        <v>4021</v>
      </c>
    </row>
    <row r="405" spans="1:41" ht="16" thickBot="1">
      <c r="A405" s="387" t="s">
        <v>1703</v>
      </c>
      <c r="B405" s="387" t="s">
        <v>686</v>
      </c>
      <c r="C405" s="387" t="s">
        <v>4026</v>
      </c>
      <c r="D405" s="387" t="s">
        <v>4027</v>
      </c>
      <c r="E405" s="387">
        <v>84</v>
      </c>
      <c r="F405" s="387" t="s">
        <v>559</v>
      </c>
      <c r="G405" s="387">
        <v>84</v>
      </c>
      <c r="H405" s="387" t="s">
        <v>559</v>
      </c>
      <c r="I405" s="387" t="s">
        <v>560</v>
      </c>
      <c r="J405" s="387" t="s">
        <v>4017</v>
      </c>
      <c r="K405" s="387" t="s">
        <v>4028</v>
      </c>
      <c r="L405" s="387" t="s">
        <v>1761</v>
      </c>
      <c r="M405" s="387" t="s">
        <v>1762</v>
      </c>
      <c r="N405" s="388">
        <v>69.81</v>
      </c>
      <c r="O405" s="388">
        <v>14</v>
      </c>
      <c r="P405" s="387" t="s">
        <v>538</v>
      </c>
      <c r="Q405" s="387" t="s">
        <v>539</v>
      </c>
      <c r="R405" s="387" t="s">
        <v>4019</v>
      </c>
      <c r="S405" s="387" t="s">
        <v>541</v>
      </c>
      <c r="T405" s="387" t="s">
        <v>542</v>
      </c>
      <c r="U405" s="388">
        <v>87880</v>
      </c>
      <c r="V405" s="387">
        <v>6006498011522</v>
      </c>
      <c r="W405" s="387" t="s">
        <v>543</v>
      </c>
      <c r="X405" s="387" t="s">
        <v>543</v>
      </c>
      <c r="Y405" s="387" t="s">
        <v>543</v>
      </c>
      <c r="Z405" s="387" t="s">
        <v>543</v>
      </c>
      <c r="AA405" s="388" t="s">
        <v>543</v>
      </c>
      <c r="AB405" s="388" t="s">
        <v>543</v>
      </c>
      <c r="AC405" s="387">
        <v>724610016</v>
      </c>
      <c r="AD405" s="389">
        <v>100</v>
      </c>
      <c r="AE405" s="390">
        <v>44470</v>
      </c>
      <c r="AF405" s="390">
        <v>45199</v>
      </c>
      <c r="AG405" s="391" t="s">
        <v>545</v>
      </c>
      <c r="AH405" s="391" t="s">
        <v>4029</v>
      </c>
      <c r="AI405" s="391" t="s">
        <v>1764</v>
      </c>
      <c r="AJ405" s="391">
        <v>0</v>
      </c>
      <c r="AK405" s="390">
        <v>44470</v>
      </c>
      <c r="AL405" s="389">
        <v>100</v>
      </c>
      <c r="AM405" s="391" t="s">
        <v>548</v>
      </c>
      <c r="AN405" s="391" t="s">
        <v>549</v>
      </c>
      <c r="AO405" s="391" t="s">
        <v>4021</v>
      </c>
    </row>
    <row r="406" spans="1:41" ht="16" thickBot="1">
      <c r="A406" s="387" t="s">
        <v>1729</v>
      </c>
      <c r="B406" s="387" t="s">
        <v>573</v>
      </c>
      <c r="C406" s="387" t="s">
        <v>4030</v>
      </c>
      <c r="D406" s="387" t="s">
        <v>4031</v>
      </c>
      <c r="E406" s="387">
        <v>500</v>
      </c>
      <c r="F406" s="387" t="s">
        <v>531</v>
      </c>
      <c r="G406" s="387">
        <v>500</v>
      </c>
      <c r="H406" s="387" t="s">
        <v>531</v>
      </c>
      <c r="I406" s="387" t="s">
        <v>1732</v>
      </c>
      <c r="J406" s="387" t="s">
        <v>4032</v>
      </c>
      <c r="K406" s="387" t="s">
        <v>4033</v>
      </c>
      <c r="L406" s="387" t="s">
        <v>1975</v>
      </c>
      <c r="M406" s="387" t="s">
        <v>1976</v>
      </c>
      <c r="N406" s="388">
        <v>67.16</v>
      </c>
      <c r="O406" s="388">
        <v>14</v>
      </c>
      <c r="P406" s="387" t="s">
        <v>379</v>
      </c>
      <c r="Q406" s="387" t="s">
        <v>160</v>
      </c>
      <c r="R406" s="387" t="s">
        <v>1857</v>
      </c>
      <c r="S406" s="387" t="s">
        <v>160</v>
      </c>
      <c r="T406" s="387" t="s">
        <v>160</v>
      </c>
      <c r="U406" s="388">
        <v>77440</v>
      </c>
      <c r="V406" s="387" t="s">
        <v>543</v>
      </c>
      <c r="W406" s="387" t="s">
        <v>543</v>
      </c>
      <c r="X406" s="387" t="s">
        <v>543</v>
      </c>
      <c r="Y406" s="387" t="s">
        <v>543</v>
      </c>
      <c r="Z406" s="387" t="s">
        <v>543</v>
      </c>
      <c r="AA406" s="388" t="s">
        <v>543</v>
      </c>
      <c r="AB406" s="388" t="s">
        <v>543</v>
      </c>
      <c r="AC406" s="387" t="s">
        <v>543</v>
      </c>
      <c r="AD406" s="389">
        <v>20</v>
      </c>
      <c r="AE406" s="390">
        <v>44105</v>
      </c>
      <c r="AF406" s="390">
        <v>45199</v>
      </c>
      <c r="AG406" s="390">
        <v>45199</v>
      </c>
      <c r="AH406" s="391" t="s">
        <v>545</v>
      </c>
      <c r="AI406" s="391" t="s">
        <v>1979</v>
      </c>
      <c r="AJ406" s="391">
        <v>0</v>
      </c>
      <c r="AK406" s="390">
        <v>44105</v>
      </c>
      <c r="AL406" s="389">
        <v>100</v>
      </c>
      <c r="AM406" s="391" t="s">
        <v>548</v>
      </c>
      <c r="AN406" s="391" t="s">
        <v>545</v>
      </c>
      <c r="AO406" s="391" t="s">
        <v>4034</v>
      </c>
    </row>
    <row r="407" spans="1:41" ht="16" thickBot="1">
      <c r="A407" s="387" t="s">
        <v>1703</v>
      </c>
      <c r="B407" s="387" t="s">
        <v>581</v>
      </c>
      <c r="C407" s="387" t="s">
        <v>4035</v>
      </c>
      <c r="D407" s="387" t="s">
        <v>4036</v>
      </c>
      <c r="E407" s="387">
        <v>250</v>
      </c>
      <c r="F407" s="387" t="s">
        <v>559</v>
      </c>
      <c r="G407" s="387">
        <v>250</v>
      </c>
      <c r="H407" s="387" t="s">
        <v>559</v>
      </c>
      <c r="I407" s="387" t="s">
        <v>560</v>
      </c>
      <c r="J407" s="387" t="s">
        <v>4037</v>
      </c>
      <c r="K407" s="387" t="s">
        <v>4038</v>
      </c>
      <c r="L407" s="387" t="s">
        <v>2200</v>
      </c>
      <c r="M407" s="387" t="s">
        <v>2201</v>
      </c>
      <c r="N407" s="388">
        <v>651.02</v>
      </c>
      <c r="O407" s="388">
        <v>14</v>
      </c>
      <c r="P407" s="387" t="s">
        <v>538</v>
      </c>
      <c r="Q407" s="387" t="s">
        <v>539</v>
      </c>
      <c r="R407" s="387" t="s">
        <v>4039</v>
      </c>
      <c r="S407" s="387" t="s">
        <v>541</v>
      </c>
      <c r="T407" s="387" t="s">
        <v>542</v>
      </c>
      <c r="U407" s="388">
        <v>1434</v>
      </c>
      <c r="V407" s="387">
        <v>8901463123164</v>
      </c>
      <c r="W407" s="387">
        <v>8901463123164</v>
      </c>
      <c r="X407" s="387" t="s">
        <v>543</v>
      </c>
      <c r="Y407" s="387">
        <v>58901463123169</v>
      </c>
      <c r="Z407" s="387" t="s">
        <v>543</v>
      </c>
      <c r="AA407" s="388" t="s">
        <v>543</v>
      </c>
      <c r="AB407" s="388" t="s">
        <v>543</v>
      </c>
      <c r="AC407" s="387">
        <v>723139004</v>
      </c>
      <c r="AD407" s="389">
        <v>48</v>
      </c>
      <c r="AE407" s="390">
        <v>44470</v>
      </c>
      <c r="AF407" s="390">
        <v>45199</v>
      </c>
      <c r="AG407" s="390">
        <v>45199</v>
      </c>
      <c r="AH407" s="391" t="s">
        <v>4040</v>
      </c>
      <c r="AI407" s="391" t="s">
        <v>2203</v>
      </c>
      <c r="AJ407" s="391">
        <v>3</v>
      </c>
      <c r="AK407" s="390">
        <v>45047</v>
      </c>
      <c r="AL407" s="389">
        <v>100</v>
      </c>
      <c r="AM407" s="391" t="s">
        <v>548</v>
      </c>
      <c r="AN407" s="391" t="s">
        <v>549</v>
      </c>
      <c r="AO407" s="391" t="s">
        <v>4041</v>
      </c>
    </row>
    <row r="408" spans="1:41" ht="16" thickBot="1">
      <c r="A408" s="387" t="s">
        <v>1703</v>
      </c>
      <c r="B408" s="387" t="s">
        <v>637</v>
      </c>
      <c r="C408" s="387" t="s">
        <v>4042</v>
      </c>
      <c r="D408" s="387" t="s">
        <v>4043</v>
      </c>
      <c r="E408" s="387">
        <v>28</v>
      </c>
      <c r="F408" s="387" t="s">
        <v>559</v>
      </c>
      <c r="G408" s="387">
        <v>28</v>
      </c>
      <c r="H408" s="387" t="s">
        <v>559</v>
      </c>
      <c r="I408" s="387" t="s">
        <v>560</v>
      </c>
      <c r="J408" s="387" t="s">
        <v>4037</v>
      </c>
      <c r="K408" s="387" t="s">
        <v>4038</v>
      </c>
      <c r="L408" s="387" t="s">
        <v>2200</v>
      </c>
      <c r="M408" s="387" t="s">
        <v>2201</v>
      </c>
      <c r="N408" s="388">
        <v>71.81</v>
      </c>
      <c r="O408" s="388">
        <v>14</v>
      </c>
      <c r="P408" s="387" t="s">
        <v>538</v>
      </c>
      <c r="Q408" s="387" t="s">
        <v>539</v>
      </c>
      <c r="R408" s="387" t="s">
        <v>4039</v>
      </c>
      <c r="S408" s="387" t="s">
        <v>541</v>
      </c>
      <c r="T408" s="387" t="s">
        <v>542</v>
      </c>
      <c r="U408" s="388">
        <v>3775</v>
      </c>
      <c r="V408" s="387">
        <v>8901463123041</v>
      </c>
      <c r="W408" s="387">
        <v>8901463123041</v>
      </c>
      <c r="X408" s="387" t="s">
        <v>543</v>
      </c>
      <c r="Y408" s="387">
        <v>58901463123046</v>
      </c>
      <c r="Z408" s="387" t="s">
        <v>543</v>
      </c>
      <c r="AA408" s="388" t="s">
        <v>543</v>
      </c>
      <c r="AB408" s="388" t="s">
        <v>543</v>
      </c>
      <c r="AC408" s="387">
        <v>723139001</v>
      </c>
      <c r="AD408" s="389">
        <v>56</v>
      </c>
      <c r="AE408" s="390">
        <v>44470</v>
      </c>
      <c r="AF408" s="390">
        <v>45199</v>
      </c>
      <c r="AG408" s="390">
        <v>45199</v>
      </c>
      <c r="AH408" s="391" t="s">
        <v>4044</v>
      </c>
      <c r="AI408" s="391" t="s">
        <v>2203</v>
      </c>
      <c r="AJ408" s="391">
        <v>3</v>
      </c>
      <c r="AK408" s="390">
        <v>45047</v>
      </c>
      <c r="AL408" s="389">
        <v>100</v>
      </c>
      <c r="AM408" s="391" t="s">
        <v>548</v>
      </c>
      <c r="AN408" s="391" t="s">
        <v>549</v>
      </c>
      <c r="AO408" s="391" t="s">
        <v>4041</v>
      </c>
    </row>
    <row r="409" spans="1:41" ht="16" thickBot="1">
      <c r="A409" s="387" t="s">
        <v>1703</v>
      </c>
      <c r="B409" s="387" t="s">
        <v>556</v>
      </c>
      <c r="C409" s="387" t="s">
        <v>4045</v>
      </c>
      <c r="D409" s="387" t="s">
        <v>4046</v>
      </c>
      <c r="E409" s="387">
        <v>56</v>
      </c>
      <c r="F409" s="387" t="s">
        <v>559</v>
      </c>
      <c r="G409" s="387">
        <v>56</v>
      </c>
      <c r="H409" s="387" t="s">
        <v>559</v>
      </c>
      <c r="I409" s="387" t="s">
        <v>560</v>
      </c>
      <c r="J409" s="387" t="s">
        <v>4037</v>
      </c>
      <c r="K409" s="387" t="s">
        <v>4047</v>
      </c>
      <c r="L409" s="387" t="s">
        <v>2200</v>
      </c>
      <c r="M409" s="387" t="s">
        <v>2201</v>
      </c>
      <c r="N409" s="388">
        <v>149.79</v>
      </c>
      <c r="O409" s="388">
        <v>14</v>
      </c>
      <c r="P409" s="387" t="s">
        <v>538</v>
      </c>
      <c r="Q409" s="387" t="s">
        <v>539</v>
      </c>
      <c r="R409" s="387" t="s">
        <v>4039</v>
      </c>
      <c r="S409" s="387" t="s">
        <v>541</v>
      </c>
      <c r="T409" s="387" t="s">
        <v>542</v>
      </c>
      <c r="U409" s="388">
        <v>11265</v>
      </c>
      <c r="V409" s="387">
        <v>8901463123140</v>
      </c>
      <c r="W409" s="387">
        <v>8901463123140</v>
      </c>
      <c r="X409" s="387" t="s">
        <v>543</v>
      </c>
      <c r="Y409" s="387">
        <v>58901463123145</v>
      </c>
      <c r="Z409" s="387" t="s">
        <v>543</v>
      </c>
      <c r="AA409" s="388" t="s">
        <v>543</v>
      </c>
      <c r="AB409" s="388" t="s">
        <v>543</v>
      </c>
      <c r="AC409" s="387">
        <v>723139002</v>
      </c>
      <c r="AD409" s="389">
        <v>32</v>
      </c>
      <c r="AE409" s="390">
        <v>44470</v>
      </c>
      <c r="AF409" s="390">
        <v>45199</v>
      </c>
      <c r="AG409" s="390">
        <v>45199</v>
      </c>
      <c r="AH409" s="391" t="s">
        <v>4048</v>
      </c>
      <c r="AI409" s="391" t="s">
        <v>2203</v>
      </c>
      <c r="AJ409" s="391">
        <v>3</v>
      </c>
      <c r="AK409" s="390">
        <v>45047</v>
      </c>
      <c r="AL409" s="389">
        <v>100</v>
      </c>
      <c r="AM409" s="391" t="s">
        <v>548</v>
      </c>
      <c r="AN409" s="391" t="s">
        <v>549</v>
      </c>
      <c r="AO409" s="391" t="s">
        <v>4041</v>
      </c>
    </row>
    <row r="410" spans="1:41" ht="16" thickBot="1">
      <c r="A410" s="387" t="s">
        <v>1703</v>
      </c>
      <c r="B410" s="387" t="s">
        <v>784</v>
      </c>
      <c r="C410" s="387" t="s">
        <v>4049</v>
      </c>
      <c r="D410" s="387" t="s">
        <v>4050</v>
      </c>
      <c r="E410" s="387">
        <v>84</v>
      </c>
      <c r="F410" s="387" t="s">
        <v>559</v>
      </c>
      <c r="G410" s="387">
        <v>84</v>
      </c>
      <c r="H410" s="387" t="s">
        <v>559</v>
      </c>
      <c r="I410" s="387" t="s">
        <v>560</v>
      </c>
      <c r="J410" s="387" t="s">
        <v>4037</v>
      </c>
      <c r="K410" s="387" t="s">
        <v>4038</v>
      </c>
      <c r="L410" s="387" t="s">
        <v>2200</v>
      </c>
      <c r="M410" s="387" t="s">
        <v>2201</v>
      </c>
      <c r="N410" s="388">
        <v>214.38</v>
      </c>
      <c r="O410" s="388">
        <v>14</v>
      </c>
      <c r="P410" s="387" t="s">
        <v>538</v>
      </c>
      <c r="Q410" s="387" t="s">
        <v>539</v>
      </c>
      <c r="R410" s="387" t="s">
        <v>4039</v>
      </c>
      <c r="S410" s="387" t="s">
        <v>541</v>
      </c>
      <c r="T410" s="387" t="s">
        <v>542</v>
      </c>
      <c r="U410" s="388">
        <v>15906</v>
      </c>
      <c r="V410" s="387">
        <v>8901463123157</v>
      </c>
      <c r="W410" s="387">
        <v>8901463123157</v>
      </c>
      <c r="X410" s="387" t="s">
        <v>543</v>
      </c>
      <c r="Y410" s="387">
        <v>58901463123152</v>
      </c>
      <c r="Z410" s="387" t="s">
        <v>543</v>
      </c>
      <c r="AA410" s="388" t="s">
        <v>543</v>
      </c>
      <c r="AB410" s="388" t="s">
        <v>543</v>
      </c>
      <c r="AC410" s="387">
        <v>723139003</v>
      </c>
      <c r="AD410" s="389">
        <v>24</v>
      </c>
      <c r="AE410" s="390">
        <v>44470</v>
      </c>
      <c r="AF410" s="390">
        <v>45199</v>
      </c>
      <c r="AG410" s="390">
        <v>45199</v>
      </c>
      <c r="AH410" s="391" t="s">
        <v>4051</v>
      </c>
      <c r="AI410" s="391" t="s">
        <v>2203</v>
      </c>
      <c r="AJ410" s="391">
        <v>3</v>
      </c>
      <c r="AK410" s="390">
        <v>45047</v>
      </c>
      <c r="AL410" s="389">
        <v>100</v>
      </c>
      <c r="AM410" s="391" t="s">
        <v>548</v>
      </c>
      <c r="AN410" s="391" t="s">
        <v>549</v>
      </c>
      <c r="AO410" s="391" t="s">
        <v>4041</v>
      </c>
    </row>
    <row r="411" spans="1:41" ht="16" thickBot="1">
      <c r="A411" s="387" t="s">
        <v>1748</v>
      </c>
      <c r="B411" s="387" t="s">
        <v>2577</v>
      </c>
      <c r="C411" s="387" t="s">
        <v>4052</v>
      </c>
      <c r="D411" s="387" t="s">
        <v>4053</v>
      </c>
      <c r="E411" s="387">
        <v>10</v>
      </c>
      <c r="F411" s="387" t="s">
        <v>531</v>
      </c>
      <c r="G411" s="387">
        <v>10</v>
      </c>
      <c r="H411" s="387" t="s">
        <v>531</v>
      </c>
      <c r="I411" s="387" t="s">
        <v>1751</v>
      </c>
      <c r="J411" s="387" t="s">
        <v>4054</v>
      </c>
      <c r="K411" s="387" t="s">
        <v>4055</v>
      </c>
      <c r="L411" s="387" t="s">
        <v>1865</v>
      </c>
      <c r="M411" s="387" t="s">
        <v>1866</v>
      </c>
      <c r="N411" s="388">
        <v>36.74</v>
      </c>
      <c r="O411" s="388">
        <v>14</v>
      </c>
      <c r="P411" s="387" t="s">
        <v>538</v>
      </c>
      <c r="Q411" s="387" t="s">
        <v>539</v>
      </c>
      <c r="R411" s="387" t="s">
        <v>4056</v>
      </c>
      <c r="S411" s="387" t="s">
        <v>541</v>
      </c>
      <c r="T411" s="387" t="s">
        <v>757</v>
      </c>
      <c r="U411" s="388">
        <v>145080</v>
      </c>
      <c r="V411" s="387" t="s">
        <v>543</v>
      </c>
      <c r="W411" s="387" t="s">
        <v>543</v>
      </c>
      <c r="X411" s="387" t="s">
        <v>543</v>
      </c>
      <c r="Y411" s="387" t="s">
        <v>543</v>
      </c>
      <c r="Z411" s="387" t="s">
        <v>543</v>
      </c>
      <c r="AA411" s="388" t="s">
        <v>543</v>
      </c>
      <c r="AB411" s="388" t="s">
        <v>543</v>
      </c>
      <c r="AC411" s="387" t="s">
        <v>543</v>
      </c>
      <c r="AD411" s="389" t="s">
        <v>4057</v>
      </c>
      <c r="AE411" s="390">
        <v>44317</v>
      </c>
      <c r="AF411" s="390">
        <v>45412</v>
      </c>
      <c r="AG411" s="391" t="s">
        <v>545</v>
      </c>
      <c r="AH411" s="391" t="s">
        <v>4058</v>
      </c>
      <c r="AI411" s="391" t="s">
        <v>1870</v>
      </c>
      <c r="AJ411" s="391">
        <v>0</v>
      </c>
      <c r="AK411" s="390">
        <v>44317</v>
      </c>
      <c r="AL411" s="389">
        <v>100</v>
      </c>
      <c r="AM411" s="391" t="s">
        <v>548</v>
      </c>
      <c r="AN411" s="391" t="s">
        <v>549</v>
      </c>
      <c r="AO411" s="391" t="s">
        <v>4059</v>
      </c>
    </row>
    <row r="412" spans="1:41" ht="16" thickBot="1">
      <c r="A412" s="387" t="s">
        <v>3235</v>
      </c>
      <c r="B412" s="387" t="s">
        <v>2252</v>
      </c>
      <c r="C412" s="387" t="s">
        <v>4060</v>
      </c>
      <c r="D412" s="387" t="s">
        <v>4061</v>
      </c>
      <c r="E412" s="387">
        <v>1</v>
      </c>
      <c r="F412" s="387" t="s">
        <v>3238</v>
      </c>
      <c r="G412" s="387">
        <v>1</v>
      </c>
      <c r="H412" s="387" t="s">
        <v>3238</v>
      </c>
      <c r="I412" s="387" t="s">
        <v>4062</v>
      </c>
      <c r="J412" s="387" t="s">
        <v>4063</v>
      </c>
      <c r="K412" s="387" t="s">
        <v>4064</v>
      </c>
      <c r="L412" s="387" t="s">
        <v>754</v>
      </c>
      <c r="M412" s="387" t="s">
        <v>755</v>
      </c>
      <c r="N412" s="388">
        <v>265.81</v>
      </c>
      <c r="O412" s="388">
        <v>14</v>
      </c>
      <c r="P412" s="387" t="s">
        <v>538</v>
      </c>
      <c r="Q412" s="387" t="s">
        <v>539</v>
      </c>
      <c r="R412" s="387" t="s">
        <v>4065</v>
      </c>
      <c r="S412" s="387" t="s">
        <v>171</v>
      </c>
      <c r="T412" s="387" t="s">
        <v>542</v>
      </c>
      <c r="U412" s="388">
        <v>726120</v>
      </c>
      <c r="V412" s="387">
        <v>6003422010903</v>
      </c>
      <c r="W412" s="387">
        <v>6003422010903</v>
      </c>
      <c r="X412" s="387" t="s">
        <v>543</v>
      </c>
      <c r="Y412" s="387">
        <v>6003422010903</v>
      </c>
      <c r="Z412" s="387" t="s">
        <v>543</v>
      </c>
      <c r="AA412" s="388" t="s">
        <v>543</v>
      </c>
      <c r="AB412" s="388" t="s">
        <v>543</v>
      </c>
      <c r="AC412" s="387">
        <v>718619001</v>
      </c>
      <c r="AD412" s="389">
        <v>1</v>
      </c>
      <c r="AE412" s="390">
        <v>44105</v>
      </c>
      <c r="AF412" s="390">
        <v>45199</v>
      </c>
      <c r="AG412" s="390">
        <v>45199</v>
      </c>
      <c r="AH412" s="391" t="s">
        <v>4066</v>
      </c>
      <c r="AI412" s="391" t="s">
        <v>759</v>
      </c>
      <c r="AJ412" s="391">
        <v>0</v>
      </c>
      <c r="AK412" s="390">
        <v>44105</v>
      </c>
      <c r="AL412" s="389">
        <v>100</v>
      </c>
      <c r="AM412" s="391" t="s">
        <v>548</v>
      </c>
      <c r="AN412" s="391" t="s">
        <v>545</v>
      </c>
      <c r="AO412" s="391" t="s">
        <v>4067</v>
      </c>
    </row>
    <row r="413" spans="1:41" ht="16" thickBot="1">
      <c r="A413" s="387" t="s">
        <v>2166</v>
      </c>
      <c r="B413" s="387" t="s">
        <v>1001</v>
      </c>
      <c r="C413" s="387" t="s">
        <v>4068</v>
      </c>
      <c r="D413" s="387" t="s">
        <v>4069</v>
      </c>
      <c r="E413" s="387">
        <v>1</v>
      </c>
      <c r="F413" s="387" t="s">
        <v>1780</v>
      </c>
      <c r="G413" s="387">
        <v>1</v>
      </c>
      <c r="H413" s="387" t="s">
        <v>1780</v>
      </c>
      <c r="I413" s="387" t="s">
        <v>1751</v>
      </c>
      <c r="J413" s="387" t="s">
        <v>4070</v>
      </c>
      <c r="K413" s="387" t="s">
        <v>4071</v>
      </c>
      <c r="L413" s="387" t="s">
        <v>1793</v>
      </c>
      <c r="M413" s="387" t="s">
        <v>1794</v>
      </c>
      <c r="N413" s="388">
        <v>163.26</v>
      </c>
      <c r="O413" s="388">
        <v>14</v>
      </c>
      <c r="P413" s="387" t="s">
        <v>538</v>
      </c>
      <c r="Q413" s="387" t="s">
        <v>539</v>
      </c>
      <c r="R413" s="387" t="s">
        <v>4072</v>
      </c>
      <c r="S413" s="387" t="s">
        <v>541</v>
      </c>
      <c r="T413" s="387" t="s">
        <v>1908</v>
      </c>
      <c r="U413" s="388">
        <v>47292</v>
      </c>
      <c r="V413" s="387">
        <v>6009646070907</v>
      </c>
      <c r="W413" s="387">
        <v>6009646070907</v>
      </c>
      <c r="X413" s="387" t="s">
        <v>543</v>
      </c>
      <c r="Y413" s="387" t="s">
        <v>543</v>
      </c>
      <c r="Z413" s="387" t="s">
        <v>543</v>
      </c>
      <c r="AA413" s="388" t="s">
        <v>543</v>
      </c>
      <c r="AB413" s="388" t="s">
        <v>543</v>
      </c>
      <c r="AC413" s="387">
        <v>850926010</v>
      </c>
      <c r="AD413" s="389">
        <v>15</v>
      </c>
      <c r="AE413" s="390">
        <v>44743</v>
      </c>
      <c r="AF413" s="390">
        <v>45473</v>
      </c>
      <c r="AG413" s="390">
        <v>45473</v>
      </c>
      <c r="AH413" s="391" t="s">
        <v>4073</v>
      </c>
      <c r="AI413" s="391" t="s">
        <v>1797</v>
      </c>
      <c r="AJ413" s="391">
        <v>8</v>
      </c>
      <c r="AK413" s="390">
        <v>44958</v>
      </c>
      <c r="AL413" s="389">
        <v>100</v>
      </c>
      <c r="AM413" s="391" t="s">
        <v>548</v>
      </c>
      <c r="AN413" s="391" t="s">
        <v>549</v>
      </c>
      <c r="AO413" s="391" t="s">
        <v>4074</v>
      </c>
    </row>
    <row r="414" spans="1:41" ht="16" thickBot="1">
      <c r="A414" s="387" t="s">
        <v>529</v>
      </c>
      <c r="B414" s="387" t="s">
        <v>603</v>
      </c>
      <c r="C414" s="387" t="s">
        <v>978</v>
      </c>
      <c r="D414" s="387" t="s">
        <v>665</v>
      </c>
      <c r="E414" s="387">
        <v>112</v>
      </c>
      <c r="F414" s="387" t="s">
        <v>559</v>
      </c>
      <c r="G414" s="387">
        <v>112</v>
      </c>
      <c r="H414" s="387" t="s">
        <v>559</v>
      </c>
      <c r="I414" s="387" t="s">
        <v>560</v>
      </c>
      <c r="J414" s="387" t="s">
        <v>666</v>
      </c>
      <c r="K414" s="387" t="s">
        <v>667</v>
      </c>
      <c r="L414" s="387" t="s">
        <v>609</v>
      </c>
      <c r="M414" s="387" t="s">
        <v>610</v>
      </c>
      <c r="N414" s="388">
        <v>523.26</v>
      </c>
      <c r="O414" s="388">
        <v>7</v>
      </c>
      <c r="P414" s="387" t="s">
        <v>611</v>
      </c>
      <c r="Q414" s="387" t="s">
        <v>668</v>
      </c>
      <c r="R414" s="387" t="s">
        <v>669</v>
      </c>
      <c r="S414" s="387" t="s">
        <v>614</v>
      </c>
      <c r="T414" s="387" t="s">
        <v>160</v>
      </c>
      <c r="U414" s="388">
        <v>13868</v>
      </c>
      <c r="V414" s="387" t="s">
        <v>543</v>
      </c>
      <c r="W414" s="387" t="s">
        <v>543</v>
      </c>
      <c r="X414" s="387" t="s">
        <v>543</v>
      </c>
      <c r="Y414" s="387" t="s">
        <v>543</v>
      </c>
      <c r="Z414" s="387" t="s">
        <v>543</v>
      </c>
      <c r="AA414" s="388" t="s">
        <v>543</v>
      </c>
      <c r="AB414" s="388" t="s">
        <v>543</v>
      </c>
      <c r="AC414" s="387" t="s">
        <v>543</v>
      </c>
      <c r="AD414" s="389">
        <v>1</v>
      </c>
      <c r="AE414" s="390">
        <v>44743</v>
      </c>
      <c r="AF414" s="390">
        <v>45838</v>
      </c>
      <c r="AG414" s="391" t="s">
        <v>545</v>
      </c>
      <c r="AH414" s="391" t="s">
        <v>670</v>
      </c>
      <c r="AI414" s="391" t="s">
        <v>617</v>
      </c>
      <c r="AJ414" s="391">
        <v>0</v>
      </c>
      <c r="AK414" s="390">
        <v>44743</v>
      </c>
      <c r="AL414" s="389">
        <v>100</v>
      </c>
      <c r="AM414" s="391" t="s">
        <v>548</v>
      </c>
      <c r="AN414" s="391" t="s">
        <v>549</v>
      </c>
      <c r="AO414" s="391" t="s">
        <v>671</v>
      </c>
    </row>
    <row r="415" spans="1:41" ht="16" thickBot="1">
      <c r="A415" s="387" t="s">
        <v>2166</v>
      </c>
      <c r="B415" s="387" t="s">
        <v>967</v>
      </c>
      <c r="C415" s="387" t="s">
        <v>4075</v>
      </c>
      <c r="D415" s="387" t="s">
        <v>4076</v>
      </c>
      <c r="E415" s="387">
        <v>60</v>
      </c>
      <c r="F415" s="387" t="s">
        <v>559</v>
      </c>
      <c r="G415" s="387">
        <v>60</v>
      </c>
      <c r="H415" s="387" t="s">
        <v>559</v>
      </c>
      <c r="I415" s="387" t="s">
        <v>560</v>
      </c>
      <c r="J415" s="387" t="s">
        <v>4077</v>
      </c>
      <c r="K415" s="387" t="s">
        <v>4078</v>
      </c>
      <c r="L415" s="387" t="s">
        <v>1945</v>
      </c>
      <c r="M415" s="387" t="s">
        <v>1946</v>
      </c>
      <c r="N415" s="388">
        <v>640</v>
      </c>
      <c r="O415" s="388">
        <v>14</v>
      </c>
      <c r="P415" s="387" t="s">
        <v>611</v>
      </c>
      <c r="Q415" s="387" t="s">
        <v>668</v>
      </c>
      <c r="R415" s="387" t="s">
        <v>4079</v>
      </c>
      <c r="S415" s="387" t="s">
        <v>614</v>
      </c>
      <c r="T415" s="387" t="s">
        <v>160</v>
      </c>
      <c r="U415" s="388">
        <v>1020</v>
      </c>
      <c r="V415" s="387">
        <v>6005534001954</v>
      </c>
      <c r="W415" s="387" t="s">
        <v>543</v>
      </c>
      <c r="X415" s="387" t="s">
        <v>543</v>
      </c>
      <c r="Y415" s="387">
        <v>6005534001954</v>
      </c>
      <c r="Z415" s="387" t="s">
        <v>543</v>
      </c>
      <c r="AA415" s="388" t="s">
        <v>543</v>
      </c>
      <c r="AB415" s="388" t="s">
        <v>543</v>
      </c>
      <c r="AC415" s="387">
        <v>704854001</v>
      </c>
      <c r="AD415" s="389">
        <v>1</v>
      </c>
      <c r="AE415" s="390">
        <v>44743</v>
      </c>
      <c r="AF415" s="390">
        <v>45473</v>
      </c>
      <c r="AG415" s="391" t="s">
        <v>545</v>
      </c>
      <c r="AH415" s="391" t="s">
        <v>4080</v>
      </c>
      <c r="AI415" s="391" t="s">
        <v>1949</v>
      </c>
      <c r="AJ415" s="391">
        <v>0</v>
      </c>
      <c r="AK415" s="390">
        <v>44743</v>
      </c>
      <c r="AL415" s="389">
        <v>100</v>
      </c>
      <c r="AM415" s="391" t="s">
        <v>548</v>
      </c>
      <c r="AN415" s="391" t="s">
        <v>549</v>
      </c>
      <c r="AO415" s="391" t="s">
        <v>4081</v>
      </c>
    </row>
    <row r="416" spans="1:41" ht="16" thickBot="1">
      <c r="A416" s="387" t="s">
        <v>2166</v>
      </c>
      <c r="B416" s="387" t="s">
        <v>2252</v>
      </c>
      <c r="C416" s="387" t="s">
        <v>4082</v>
      </c>
      <c r="D416" s="387" t="s">
        <v>4083</v>
      </c>
      <c r="E416" s="387">
        <v>60</v>
      </c>
      <c r="F416" s="387" t="s">
        <v>559</v>
      </c>
      <c r="G416" s="387">
        <v>60</v>
      </c>
      <c r="H416" s="387" t="s">
        <v>559</v>
      </c>
      <c r="I416" s="387" t="s">
        <v>560</v>
      </c>
      <c r="J416" s="387" t="s">
        <v>4077</v>
      </c>
      <c r="K416" s="387" t="s">
        <v>4084</v>
      </c>
      <c r="L416" s="387" t="s">
        <v>1945</v>
      </c>
      <c r="M416" s="387" t="s">
        <v>1946</v>
      </c>
      <c r="N416" s="388">
        <v>1919.93</v>
      </c>
      <c r="O416" s="388">
        <v>14</v>
      </c>
      <c r="P416" s="387" t="s">
        <v>611</v>
      </c>
      <c r="Q416" s="387" t="s">
        <v>668</v>
      </c>
      <c r="R416" s="387" t="s">
        <v>4079</v>
      </c>
      <c r="S416" s="387" t="s">
        <v>614</v>
      </c>
      <c r="T416" s="387" t="s">
        <v>160</v>
      </c>
      <c r="U416" s="388">
        <v>1290</v>
      </c>
      <c r="V416" s="387">
        <v>6005534001961</v>
      </c>
      <c r="W416" s="387" t="s">
        <v>543</v>
      </c>
      <c r="X416" s="387" t="s">
        <v>543</v>
      </c>
      <c r="Y416" s="387">
        <v>6005534001961</v>
      </c>
      <c r="Z416" s="387" t="s">
        <v>543</v>
      </c>
      <c r="AA416" s="388" t="s">
        <v>543</v>
      </c>
      <c r="AB416" s="388" t="s">
        <v>543</v>
      </c>
      <c r="AC416" s="387">
        <v>704892001</v>
      </c>
      <c r="AD416" s="389">
        <v>1</v>
      </c>
      <c r="AE416" s="390">
        <v>44743</v>
      </c>
      <c r="AF416" s="390">
        <v>45473</v>
      </c>
      <c r="AG416" s="391" t="s">
        <v>545</v>
      </c>
      <c r="AH416" s="391" t="s">
        <v>4085</v>
      </c>
      <c r="AI416" s="391" t="s">
        <v>1949</v>
      </c>
      <c r="AJ416" s="391">
        <v>0</v>
      </c>
      <c r="AK416" s="390">
        <v>44743</v>
      </c>
      <c r="AL416" s="389">
        <v>100</v>
      </c>
      <c r="AM416" s="391" t="s">
        <v>548</v>
      </c>
      <c r="AN416" s="391" t="s">
        <v>549</v>
      </c>
      <c r="AO416" s="391" t="s">
        <v>4086</v>
      </c>
    </row>
    <row r="417" spans="1:43" ht="16" thickBot="1">
      <c r="A417" s="387" t="s">
        <v>2166</v>
      </c>
      <c r="B417" s="387" t="s">
        <v>1024</v>
      </c>
      <c r="C417" s="387" t="s">
        <v>4087</v>
      </c>
      <c r="D417" s="387" t="s">
        <v>4088</v>
      </c>
      <c r="E417" s="387">
        <v>28</v>
      </c>
      <c r="F417" s="387" t="s">
        <v>559</v>
      </c>
      <c r="G417" s="387">
        <v>28</v>
      </c>
      <c r="H417" s="387" t="s">
        <v>559</v>
      </c>
      <c r="I417" s="387" t="s">
        <v>560</v>
      </c>
      <c r="J417" s="387" t="s">
        <v>4089</v>
      </c>
      <c r="K417" s="387" t="s">
        <v>4090</v>
      </c>
      <c r="L417" s="387" t="s">
        <v>1916</v>
      </c>
      <c r="M417" s="387" t="s">
        <v>1917</v>
      </c>
      <c r="N417" s="388">
        <v>186.13</v>
      </c>
      <c r="O417" s="388">
        <v>14</v>
      </c>
      <c r="P417" s="387" t="s">
        <v>538</v>
      </c>
      <c r="Q417" s="387" t="s">
        <v>539</v>
      </c>
      <c r="R417" s="387" t="s">
        <v>4091</v>
      </c>
      <c r="S417" s="387" t="s">
        <v>541</v>
      </c>
      <c r="T417" s="387" t="s">
        <v>1908</v>
      </c>
      <c r="U417" s="388">
        <v>5180</v>
      </c>
      <c r="V417" s="387">
        <v>6006673531364</v>
      </c>
      <c r="W417" s="387" t="s">
        <v>543</v>
      </c>
      <c r="X417" s="387" t="s">
        <v>543</v>
      </c>
      <c r="Y417" s="387" t="s">
        <v>543</v>
      </c>
      <c r="Z417" s="387" t="s">
        <v>543</v>
      </c>
      <c r="AA417" s="388" t="s">
        <v>543</v>
      </c>
      <c r="AB417" s="388" t="s">
        <v>543</v>
      </c>
      <c r="AC417" s="387">
        <v>700482003</v>
      </c>
      <c r="AD417" s="389">
        <v>1</v>
      </c>
      <c r="AE417" s="390">
        <v>44743</v>
      </c>
      <c r="AF417" s="390">
        <v>45473</v>
      </c>
      <c r="AG417" s="391" t="s">
        <v>545</v>
      </c>
      <c r="AH417" s="391" t="s">
        <v>4092</v>
      </c>
      <c r="AI417" s="391" t="s">
        <v>1920</v>
      </c>
      <c r="AJ417" s="391">
        <v>0</v>
      </c>
      <c r="AK417" s="390">
        <v>44743</v>
      </c>
      <c r="AL417" s="389">
        <v>100</v>
      </c>
      <c r="AM417" s="391" t="s">
        <v>548</v>
      </c>
      <c r="AN417" s="391" t="s">
        <v>549</v>
      </c>
      <c r="AO417" s="391" t="s">
        <v>4093</v>
      </c>
    </row>
    <row r="418" spans="1:43" ht="16" thickBot="1">
      <c r="A418" s="387" t="s">
        <v>1717</v>
      </c>
      <c r="B418" s="387" t="s">
        <v>4094</v>
      </c>
      <c r="C418" s="387" t="s">
        <v>4095</v>
      </c>
      <c r="D418" s="387" t="s">
        <v>4096</v>
      </c>
      <c r="E418" s="387">
        <v>30</v>
      </c>
      <c r="F418" s="387" t="s">
        <v>559</v>
      </c>
      <c r="G418" s="387">
        <v>30</v>
      </c>
      <c r="H418" s="387" t="s">
        <v>559</v>
      </c>
      <c r="I418" s="387" t="s">
        <v>560</v>
      </c>
      <c r="J418" s="387" t="s">
        <v>4097</v>
      </c>
      <c r="K418" s="387" t="s">
        <v>4098</v>
      </c>
      <c r="L418" s="387" t="s">
        <v>562</v>
      </c>
      <c r="M418" s="387" t="s">
        <v>563</v>
      </c>
      <c r="N418" s="388">
        <v>31.47</v>
      </c>
      <c r="O418" s="388">
        <v>14</v>
      </c>
      <c r="P418" s="387" t="s">
        <v>611</v>
      </c>
      <c r="Q418" s="387" t="s">
        <v>668</v>
      </c>
      <c r="R418" s="387" t="s">
        <v>4099</v>
      </c>
      <c r="S418" s="387" t="s">
        <v>614</v>
      </c>
      <c r="T418" s="387" t="s">
        <v>160</v>
      </c>
      <c r="U418" s="388">
        <v>36652</v>
      </c>
      <c r="V418" s="387" t="s">
        <v>543</v>
      </c>
      <c r="W418" s="387" t="s">
        <v>543</v>
      </c>
      <c r="X418" s="387" t="s">
        <v>543</v>
      </c>
      <c r="Y418" s="387" t="s">
        <v>543</v>
      </c>
      <c r="Z418" s="387" t="s">
        <v>543</v>
      </c>
      <c r="AA418" s="388" t="s">
        <v>543</v>
      </c>
      <c r="AB418" s="388" t="s">
        <v>543</v>
      </c>
      <c r="AC418" s="387" t="s">
        <v>543</v>
      </c>
      <c r="AD418" s="389">
        <v>50</v>
      </c>
      <c r="AE418" s="390">
        <v>45047</v>
      </c>
      <c r="AF418" s="390">
        <v>46142</v>
      </c>
      <c r="AG418" s="391" t="s">
        <v>545</v>
      </c>
      <c r="AH418" s="391" t="s">
        <v>4100</v>
      </c>
      <c r="AI418" s="391" t="s">
        <v>565</v>
      </c>
      <c r="AJ418" s="391">
        <v>0</v>
      </c>
      <c r="AK418" s="390">
        <v>45047</v>
      </c>
      <c r="AL418" s="389">
        <v>100</v>
      </c>
      <c r="AM418" s="391" t="s">
        <v>548</v>
      </c>
      <c r="AN418" s="391" t="s">
        <v>549</v>
      </c>
      <c r="AO418" s="391" t="s">
        <v>4101</v>
      </c>
    </row>
    <row r="419" spans="1:43" ht="16" thickBot="1">
      <c r="A419" s="387" t="s">
        <v>2294</v>
      </c>
      <c r="B419" s="387" t="s">
        <v>2671</v>
      </c>
      <c r="C419" s="387" t="s">
        <v>4102</v>
      </c>
      <c r="D419" s="387" t="s">
        <v>4103</v>
      </c>
      <c r="E419" s="387">
        <v>60</v>
      </c>
      <c r="F419" s="387" t="s">
        <v>4104</v>
      </c>
      <c r="G419" s="387">
        <v>60</v>
      </c>
      <c r="H419" s="387" t="s">
        <v>4104</v>
      </c>
      <c r="I419" s="387" t="s">
        <v>4105</v>
      </c>
      <c r="J419" s="387" t="s">
        <v>4106</v>
      </c>
      <c r="K419" s="387" t="s">
        <v>4107</v>
      </c>
      <c r="L419" s="387" t="s">
        <v>1975</v>
      </c>
      <c r="M419" s="387" t="s">
        <v>1976</v>
      </c>
      <c r="N419" s="388">
        <v>104.7</v>
      </c>
      <c r="O419" s="388">
        <v>14</v>
      </c>
      <c r="P419" s="387" t="s">
        <v>538</v>
      </c>
      <c r="Q419" s="387" t="s">
        <v>539</v>
      </c>
      <c r="R419" s="387" t="s">
        <v>4108</v>
      </c>
      <c r="S419" s="387" t="s">
        <v>541</v>
      </c>
      <c r="T419" s="387" t="s">
        <v>757</v>
      </c>
      <c r="U419" s="388">
        <v>359520</v>
      </c>
      <c r="V419" s="387">
        <v>6004405010002</v>
      </c>
      <c r="W419" s="387" t="s">
        <v>543</v>
      </c>
      <c r="X419" s="387" t="s">
        <v>543</v>
      </c>
      <c r="Y419" s="387">
        <v>16004405010009</v>
      </c>
      <c r="Z419" s="387" t="s">
        <v>543</v>
      </c>
      <c r="AA419" s="388" t="s">
        <v>543</v>
      </c>
      <c r="AB419" s="388" t="s">
        <v>543</v>
      </c>
      <c r="AC419" s="387" t="s">
        <v>543</v>
      </c>
      <c r="AD419" s="389">
        <v>1</v>
      </c>
      <c r="AE419" s="390">
        <v>44013</v>
      </c>
      <c r="AF419" s="390">
        <v>45107</v>
      </c>
      <c r="AG419" s="390">
        <v>45107</v>
      </c>
      <c r="AH419" s="391" t="s">
        <v>4109</v>
      </c>
      <c r="AI419" s="391" t="s">
        <v>1979</v>
      </c>
      <c r="AJ419" s="391">
        <v>55</v>
      </c>
      <c r="AK419" s="390">
        <v>44774</v>
      </c>
      <c r="AL419" s="389">
        <v>100</v>
      </c>
      <c r="AM419" s="391" t="s">
        <v>548</v>
      </c>
      <c r="AN419" s="391" t="s">
        <v>545</v>
      </c>
      <c r="AO419" s="391" t="s">
        <v>4110</v>
      </c>
    </row>
    <row r="420" spans="1:43" ht="16" thickBot="1">
      <c r="A420" s="387" t="s">
        <v>1748</v>
      </c>
      <c r="B420" s="387" t="s">
        <v>2943</v>
      </c>
      <c r="C420" s="387" t="s">
        <v>4111</v>
      </c>
      <c r="D420" s="387" t="s">
        <v>4112</v>
      </c>
      <c r="E420" s="387">
        <v>2</v>
      </c>
      <c r="F420" s="387" t="s">
        <v>531</v>
      </c>
      <c r="G420" s="387">
        <v>2</v>
      </c>
      <c r="H420" s="387" t="s">
        <v>531</v>
      </c>
      <c r="I420" s="387" t="s">
        <v>1751</v>
      </c>
      <c r="J420" s="387" t="s">
        <v>4113</v>
      </c>
      <c r="K420" s="387" t="s">
        <v>4114</v>
      </c>
      <c r="L420" s="387" t="s">
        <v>2312</v>
      </c>
      <c r="M420" s="387" t="s">
        <v>2313</v>
      </c>
      <c r="N420" s="388">
        <v>4.7</v>
      </c>
      <c r="O420" s="388">
        <v>14</v>
      </c>
      <c r="P420" s="387" t="s">
        <v>538</v>
      </c>
      <c r="Q420" s="387" t="s">
        <v>539</v>
      </c>
      <c r="R420" s="387" t="s">
        <v>4115</v>
      </c>
      <c r="S420" s="387" t="s">
        <v>541</v>
      </c>
      <c r="T420" s="387" t="s">
        <v>757</v>
      </c>
      <c r="U420" s="388">
        <v>1423413</v>
      </c>
      <c r="V420" s="387">
        <v>6009802416211</v>
      </c>
      <c r="W420" s="387">
        <v>6009802416211</v>
      </c>
      <c r="X420" s="387" t="s">
        <v>543</v>
      </c>
      <c r="Y420" s="387">
        <v>16009802416218</v>
      </c>
      <c r="Z420" s="387" t="s">
        <v>543</v>
      </c>
      <c r="AA420" s="388" t="s">
        <v>543</v>
      </c>
      <c r="AB420" s="388" t="s">
        <v>543</v>
      </c>
      <c r="AC420" s="387">
        <v>703587001</v>
      </c>
      <c r="AD420" s="389">
        <v>400</v>
      </c>
      <c r="AE420" s="390">
        <v>44317</v>
      </c>
      <c r="AF420" s="390">
        <v>45412</v>
      </c>
      <c r="AG420" s="391" t="s">
        <v>545</v>
      </c>
      <c r="AH420" s="391" t="s">
        <v>4116</v>
      </c>
      <c r="AI420" s="391" t="s">
        <v>2314</v>
      </c>
      <c r="AJ420" s="391">
        <v>0</v>
      </c>
      <c r="AK420" s="390">
        <v>44317</v>
      </c>
      <c r="AL420" s="389">
        <v>90</v>
      </c>
      <c r="AM420" s="391" t="s">
        <v>548</v>
      </c>
      <c r="AN420" s="391" t="s">
        <v>549</v>
      </c>
      <c r="AO420" s="391" t="s">
        <v>4117</v>
      </c>
    </row>
    <row r="421" spans="1:43" ht="16" thickBot="1">
      <c r="A421" s="387" t="s">
        <v>1748</v>
      </c>
      <c r="B421" s="387" t="s">
        <v>2943</v>
      </c>
      <c r="C421" s="387" t="s">
        <v>4111</v>
      </c>
      <c r="D421" s="387" t="s">
        <v>4112</v>
      </c>
      <c r="E421" s="387">
        <v>2</v>
      </c>
      <c r="F421" s="387" t="s">
        <v>531</v>
      </c>
      <c r="G421" s="387">
        <v>2</v>
      </c>
      <c r="H421" s="387" t="s">
        <v>531</v>
      </c>
      <c r="I421" s="387" t="s">
        <v>1751</v>
      </c>
      <c r="J421" s="387" t="s">
        <v>4113</v>
      </c>
      <c r="K421" s="387" t="s">
        <v>4118</v>
      </c>
      <c r="L421" s="387" t="s">
        <v>1955</v>
      </c>
      <c r="M421" s="387" t="s">
        <v>1956</v>
      </c>
      <c r="N421" s="388">
        <v>7.22</v>
      </c>
      <c r="O421" s="388">
        <v>14</v>
      </c>
      <c r="P421" s="387" t="s">
        <v>538</v>
      </c>
      <c r="Q421" s="387" t="s">
        <v>539</v>
      </c>
      <c r="R421" s="387" t="s">
        <v>4115</v>
      </c>
      <c r="S421" s="387" t="s">
        <v>541</v>
      </c>
      <c r="T421" s="387" t="s">
        <v>757</v>
      </c>
      <c r="U421" s="388">
        <v>158157</v>
      </c>
      <c r="V421" s="387">
        <v>6006267001563</v>
      </c>
      <c r="W421" s="387">
        <v>6006267001563</v>
      </c>
      <c r="X421" s="387" t="s">
        <v>543</v>
      </c>
      <c r="Y421" s="387">
        <v>16006267001560</v>
      </c>
      <c r="Z421" s="387" t="s">
        <v>543</v>
      </c>
      <c r="AA421" s="388" t="s">
        <v>543</v>
      </c>
      <c r="AB421" s="388" t="s">
        <v>543</v>
      </c>
      <c r="AC421" s="387">
        <v>701050003</v>
      </c>
      <c r="AD421" s="389" t="s">
        <v>2308</v>
      </c>
      <c r="AE421" s="390">
        <v>44317</v>
      </c>
      <c r="AF421" s="390">
        <v>45412</v>
      </c>
      <c r="AG421" s="391" t="s">
        <v>545</v>
      </c>
      <c r="AH421" s="391" t="s">
        <v>4116</v>
      </c>
      <c r="AI421" s="391" t="s">
        <v>1959</v>
      </c>
      <c r="AJ421" s="391">
        <v>0</v>
      </c>
      <c r="AK421" s="390">
        <v>44317</v>
      </c>
      <c r="AL421" s="389">
        <v>10</v>
      </c>
      <c r="AM421" s="391" t="s">
        <v>548</v>
      </c>
      <c r="AN421" s="391" t="s">
        <v>549</v>
      </c>
      <c r="AO421" s="391" t="s">
        <v>4117</v>
      </c>
    </row>
    <row r="422" spans="1:43" ht="16" thickBot="1">
      <c r="A422" s="387" t="s">
        <v>1748</v>
      </c>
      <c r="B422" s="387" t="s">
        <v>2949</v>
      </c>
      <c r="C422" s="387" t="s">
        <v>4119</v>
      </c>
      <c r="D422" s="387" t="s">
        <v>4120</v>
      </c>
      <c r="E422" s="387">
        <v>10</v>
      </c>
      <c r="F422" s="387" t="s">
        <v>531</v>
      </c>
      <c r="G422" s="387">
        <v>10</v>
      </c>
      <c r="H422" s="387" t="s">
        <v>531</v>
      </c>
      <c r="I422" s="387" t="s">
        <v>1751</v>
      </c>
      <c r="J422" s="387" t="s">
        <v>4113</v>
      </c>
      <c r="K422" s="387" t="s">
        <v>4121</v>
      </c>
      <c r="L422" s="387" t="s">
        <v>2312</v>
      </c>
      <c r="M422" s="387" t="s">
        <v>2313</v>
      </c>
      <c r="N422" s="388">
        <v>10.199999999999999</v>
      </c>
      <c r="O422" s="388">
        <v>14</v>
      </c>
      <c r="P422" s="387" t="s">
        <v>538</v>
      </c>
      <c r="Q422" s="387" t="s">
        <v>539</v>
      </c>
      <c r="R422" s="387" t="s">
        <v>4115</v>
      </c>
      <c r="S422" s="387" t="s">
        <v>541</v>
      </c>
      <c r="T422" s="387" t="s">
        <v>757</v>
      </c>
      <c r="U422" s="388">
        <v>370850</v>
      </c>
      <c r="V422" s="387">
        <v>6009802416228</v>
      </c>
      <c r="W422" s="387">
        <v>6009802416228</v>
      </c>
      <c r="X422" s="387" t="s">
        <v>543</v>
      </c>
      <c r="Y422" s="387">
        <v>16009802416225</v>
      </c>
      <c r="Z422" s="387" t="s">
        <v>543</v>
      </c>
      <c r="AA422" s="388" t="s">
        <v>543</v>
      </c>
      <c r="AB422" s="388" t="s">
        <v>543</v>
      </c>
      <c r="AC422" s="387">
        <v>703668001</v>
      </c>
      <c r="AD422" s="389">
        <v>200</v>
      </c>
      <c r="AE422" s="390">
        <v>44317</v>
      </c>
      <c r="AF422" s="390">
        <v>45412</v>
      </c>
      <c r="AG422" s="391" t="s">
        <v>545</v>
      </c>
      <c r="AH422" s="391" t="s">
        <v>4122</v>
      </c>
      <c r="AI422" s="391" t="s">
        <v>2314</v>
      </c>
      <c r="AJ422" s="391">
        <v>0</v>
      </c>
      <c r="AK422" s="390">
        <v>44317</v>
      </c>
      <c r="AL422" s="389">
        <v>100</v>
      </c>
      <c r="AM422" s="391" t="s">
        <v>548</v>
      </c>
      <c r="AN422" s="391" t="s">
        <v>549</v>
      </c>
      <c r="AO422" s="391" t="s">
        <v>4123</v>
      </c>
    </row>
    <row r="423" spans="1:43" ht="16" thickBot="1">
      <c r="A423" s="387" t="s">
        <v>1729</v>
      </c>
      <c r="B423" s="387" t="s">
        <v>972</v>
      </c>
      <c r="C423" s="387" t="s">
        <v>4124</v>
      </c>
      <c r="D423" s="387" t="s">
        <v>4125</v>
      </c>
      <c r="E423" s="387">
        <v>100</v>
      </c>
      <c r="F423" s="387" t="s">
        <v>531</v>
      </c>
      <c r="G423" s="387" t="s">
        <v>543</v>
      </c>
      <c r="H423" s="387" t="s">
        <v>531</v>
      </c>
      <c r="I423" s="387" t="s">
        <v>848</v>
      </c>
      <c r="J423" s="387" t="s">
        <v>4126</v>
      </c>
      <c r="K423" s="387" t="s">
        <v>4127</v>
      </c>
      <c r="L423" s="387" t="s">
        <v>1809</v>
      </c>
      <c r="M423" s="387" t="s">
        <v>1810</v>
      </c>
      <c r="N423" s="388">
        <v>6.57</v>
      </c>
      <c r="O423" s="388">
        <v>14</v>
      </c>
      <c r="P423" s="387" t="s">
        <v>538</v>
      </c>
      <c r="Q423" s="387" t="s">
        <v>539</v>
      </c>
      <c r="R423" s="387" t="s">
        <v>4128</v>
      </c>
      <c r="S423" s="387" t="s">
        <v>171</v>
      </c>
      <c r="T423" s="387" t="s">
        <v>542</v>
      </c>
      <c r="U423" s="388">
        <v>1186060</v>
      </c>
      <c r="V423" s="387">
        <v>6006845002197</v>
      </c>
      <c r="W423" s="387">
        <v>6006845002197</v>
      </c>
      <c r="X423" s="387" t="s">
        <v>543</v>
      </c>
      <c r="Y423" s="387">
        <v>16006845002194</v>
      </c>
      <c r="Z423" s="387" t="s">
        <v>543</v>
      </c>
      <c r="AA423" s="388" t="s">
        <v>543</v>
      </c>
      <c r="AB423" s="388" t="s">
        <v>543</v>
      </c>
      <c r="AC423" s="387" t="s">
        <v>543</v>
      </c>
      <c r="AD423" s="389">
        <v>100</v>
      </c>
      <c r="AE423" s="390">
        <v>44105</v>
      </c>
      <c r="AF423" s="390">
        <v>45199</v>
      </c>
      <c r="AG423" s="390">
        <v>45199</v>
      </c>
      <c r="AH423" s="391" t="s">
        <v>4129</v>
      </c>
      <c r="AI423" s="391" t="s">
        <v>1813</v>
      </c>
      <c r="AJ423" s="391">
        <v>0</v>
      </c>
      <c r="AK423" s="390">
        <v>44105</v>
      </c>
      <c r="AL423" s="389">
        <v>100</v>
      </c>
      <c r="AM423" s="391" t="s">
        <v>548</v>
      </c>
      <c r="AN423" s="391" t="s">
        <v>545</v>
      </c>
      <c r="AO423" s="391" t="s">
        <v>4130</v>
      </c>
    </row>
    <row r="424" spans="1:43" ht="16" thickBot="1">
      <c r="A424" s="387" t="s">
        <v>1717</v>
      </c>
      <c r="B424" s="387" t="s">
        <v>4131</v>
      </c>
      <c r="C424" s="387" t="s">
        <v>4132</v>
      </c>
      <c r="D424" s="387" t="s">
        <v>4133</v>
      </c>
      <c r="E424" s="387">
        <v>28</v>
      </c>
      <c r="F424" s="387" t="s">
        <v>559</v>
      </c>
      <c r="G424" s="387">
        <v>28</v>
      </c>
      <c r="H424" s="387" t="s">
        <v>559</v>
      </c>
      <c r="I424" s="387" t="s">
        <v>560</v>
      </c>
      <c r="J424" s="387" t="s">
        <v>4134</v>
      </c>
      <c r="K424" s="387" t="s">
        <v>4135</v>
      </c>
      <c r="L424" s="387" t="s">
        <v>2031</v>
      </c>
      <c r="M424" s="387" t="s">
        <v>2032</v>
      </c>
      <c r="N424" s="388">
        <v>7.73</v>
      </c>
      <c r="O424" s="388">
        <v>14</v>
      </c>
      <c r="P424" s="387" t="s">
        <v>538</v>
      </c>
      <c r="Q424" s="387" t="s">
        <v>539</v>
      </c>
      <c r="R424" s="387" t="s">
        <v>4136</v>
      </c>
      <c r="S424" s="387" t="s">
        <v>171</v>
      </c>
      <c r="T424" s="387" t="s">
        <v>542</v>
      </c>
      <c r="U424" s="388">
        <v>6551945</v>
      </c>
      <c r="V424" s="387" t="s">
        <v>543</v>
      </c>
      <c r="W424" s="387" t="s">
        <v>543</v>
      </c>
      <c r="X424" s="387" t="s">
        <v>543</v>
      </c>
      <c r="Y424" s="387" t="s">
        <v>543</v>
      </c>
      <c r="Z424" s="387" t="s">
        <v>543</v>
      </c>
      <c r="AA424" s="388" t="s">
        <v>543</v>
      </c>
      <c r="AB424" s="388" t="s">
        <v>543</v>
      </c>
      <c r="AC424" s="387" t="s">
        <v>543</v>
      </c>
      <c r="AD424" s="389">
        <v>50</v>
      </c>
      <c r="AE424" s="390">
        <v>45047</v>
      </c>
      <c r="AF424" s="390">
        <v>46142</v>
      </c>
      <c r="AG424" s="391" t="s">
        <v>545</v>
      </c>
      <c r="AH424" s="391" t="s">
        <v>4137</v>
      </c>
      <c r="AI424" s="391" t="s">
        <v>2033</v>
      </c>
      <c r="AJ424" s="391">
        <v>0</v>
      </c>
      <c r="AK424" s="390">
        <v>45047</v>
      </c>
      <c r="AL424" s="389">
        <v>30</v>
      </c>
      <c r="AM424" s="391" t="s">
        <v>548</v>
      </c>
      <c r="AN424" s="391" t="s">
        <v>549</v>
      </c>
      <c r="AO424" s="391" t="s">
        <v>4138</v>
      </c>
      <c r="AP424" s="372">
        <f>N424/E424</f>
        <v>0.27607142857142858</v>
      </c>
      <c r="AQ424" s="372">
        <f>AP424</f>
        <v>0.27607142857142858</v>
      </c>
    </row>
    <row r="425" spans="1:43" ht="16" thickBot="1">
      <c r="A425" s="387" t="s">
        <v>1717</v>
      </c>
      <c r="B425" s="387" t="s">
        <v>4139</v>
      </c>
      <c r="C425" s="387" t="s">
        <v>4140</v>
      </c>
      <c r="D425" s="387" t="s">
        <v>4141</v>
      </c>
      <c r="E425" s="387">
        <v>56</v>
      </c>
      <c r="F425" s="387" t="s">
        <v>559</v>
      </c>
      <c r="G425" s="387">
        <v>56</v>
      </c>
      <c r="H425" s="387" t="s">
        <v>559</v>
      </c>
      <c r="I425" s="387" t="s">
        <v>560</v>
      </c>
      <c r="J425" s="387" t="s">
        <v>4134</v>
      </c>
      <c r="K425" s="387" t="s">
        <v>4135</v>
      </c>
      <c r="L425" s="387" t="s">
        <v>2031</v>
      </c>
      <c r="M425" s="387" t="s">
        <v>2032</v>
      </c>
      <c r="N425" s="388">
        <v>14.13</v>
      </c>
      <c r="O425" s="388">
        <v>14</v>
      </c>
      <c r="P425" s="387" t="s">
        <v>538</v>
      </c>
      <c r="Q425" s="387" t="s">
        <v>539</v>
      </c>
      <c r="R425" s="387" t="s">
        <v>4136</v>
      </c>
      <c r="S425" s="387" t="s">
        <v>171</v>
      </c>
      <c r="T425" s="387" t="s">
        <v>542</v>
      </c>
      <c r="U425" s="388">
        <v>577875</v>
      </c>
      <c r="V425" s="387" t="s">
        <v>543</v>
      </c>
      <c r="W425" s="387" t="s">
        <v>543</v>
      </c>
      <c r="X425" s="387" t="s">
        <v>543</v>
      </c>
      <c r="Y425" s="387" t="s">
        <v>543</v>
      </c>
      <c r="Z425" s="387" t="s">
        <v>543</v>
      </c>
      <c r="AA425" s="388" t="s">
        <v>543</v>
      </c>
      <c r="AB425" s="388" t="s">
        <v>543</v>
      </c>
      <c r="AC425" s="387" t="s">
        <v>543</v>
      </c>
      <c r="AD425" s="389">
        <v>50</v>
      </c>
      <c r="AE425" s="390">
        <v>45047</v>
      </c>
      <c r="AF425" s="390">
        <v>46142</v>
      </c>
      <c r="AG425" s="391" t="s">
        <v>545</v>
      </c>
      <c r="AH425" s="391" t="s">
        <v>4142</v>
      </c>
      <c r="AI425" s="391" t="s">
        <v>2033</v>
      </c>
      <c r="AJ425" s="391">
        <v>0</v>
      </c>
      <c r="AK425" s="390">
        <v>45047</v>
      </c>
      <c r="AL425" s="389">
        <v>30</v>
      </c>
      <c r="AM425" s="391" t="s">
        <v>548</v>
      </c>
      <c r="AN425" s="391" t="s">
        <v>549</v>
      </c>
      <c r="AO425" s="391" t="s">
        <v>4138</v>
      </c>
      <c r="AP425" s="372">
        <f t="shared" ref="AP425:AP426" si="13">N425/E425</f>
        <v>0.25232142857142859</v>
      </c>
      <c r="AQ425" s="372">
        <f t="shared" ref="AQ425:AQ426" si="14">AP425</f>
        <v>0.25232142857142859</v>
      </c>
    </row>
    <row r="426" spans="1:43" ht="16" thickBot="1">
      <c r="A426" s="387" t="s">
        <v>1717</v>
      </c>
      <c r="B426" s="387" t="s">
        <v>4143</v>
      </c>
      <c r="C426" s="387" t="s">
        <v>4144</v>
      </c>
      <c r="D426" s="387" t="s">
        <v>4145</v>
      </c>
      <c r="E426" s="387">
        <v>84</v>
      </c>
      <c r="F426" s="387" t="s">
        <v>559</v>
      </c>
      <c r="G426" s="387">
        <v>84</v>
      </c>
      <c r="H426" s="387" t="s">
        <v>559</v>
      </c>
      <c r="I426" s="387" t="s">
        <v>560</v>
      </c>
      <c r="J426" s="387" t="s">
        <v>4134</v>
      </c>
      <c r="K426" s="387" t="s">
        <v>4135</v>
      </c>
      <c r="L426" s="387" t="s">
        <v>2031</v>
      </c>
      <c r="M426" s="387" t="s">
        <v>2032</v>
      </c>
      <c r="N426" s="388">
        <v>20.56</v>
      </c>
      <c r="O426" s="388">
        <v>14</v>
      </c>
      <c r="P426" s="387" t="s">
        <v>538</v>
      </c>
      <c r="Q426" s="387" t="s">
        <v>539</v>
      </c>
      <c r="R426" s="387" t="s">
        <v>4136</v>
      </c>
      <c r="S426" s="387" t="s">
        <v>171</v>
      </c>
      <c r="T426" s="387" t="s">
        <v>542</v>
      </c>
      <c r="U426" s="388">
        <v>809921</v>
      </c>
      <c r="V426" s="387" t="s">
        <v>543</v>
      </c>
      <c r="W426" s="387" t="s">
        <v>543</v>
      </c>
      <c r="X426" s="387" t="s">
        <v>543</v>
      </c>
      <c r="Y426" s="387" t="s">
        <v>543</v>
      </c>
      <c r="Z426" s="387" t="s">
        <v>543</v>
      </c>
      <c r="AA426" s="388" t="s">
        <v>543</v>
      </c>
      <c r="AB426" s="388" t="s">
        <v>543</v>
      </c>
      <c r="AC426" s="387" t="s">
        <v>543</v>
      </c>
      <c r="AD426" s="389">
        <v>50</v>
      </c>
      <c r="AE426" s="390">
        <v>45047</v>
      </c>
      <c r="AF426" s="390">
        <v>46142</v>
      </c>
      <c r="AG426" s="391" t="s">
        <v>545</v>
      </c>
      <c r="AH426" s="391" t="s">
        <v>4146</v>
      </c>
      <c r="AI426" s="391" t="s">
        <v>2033</v>
      </c>
      <c r="AJ426" s="391">
        <v>0</v>
      </c>
      <c r="AK426" s="390">
        <v>45047</v>
      </c>
      <c r="AL426" s="389">
        <v>30</v>
      </c>
      <c r="AM426" s="391" t="s">
        <v>548</v>
      </c>
      <c r="AN426" s="391" t="s">
        <v>549</v>
      </c>
      <c r="AO426" s="391" t="s">
        <v>4138</v>
      </c>
      <c r="AP426" s="372">
        <f t="shared" si="13"/>
        <v>0.24476190476190474</v>
      </c>
      <c r="AQ426" s="372">
        <f t="shared" si="14"/>
        <v>0.24476190476190474</v>
      </c>
    </row>
    <row r="427" spans="1:43" ht="16" thickBot="1">
      <c r="A427" s="387" t="s">
        <v>2166</v>
      </c>
      <c r="B427" s="387" t="s">
        <v>1009</v>
      </c>
      <c r="C427" s="387" t="s">
        <v>4147</v>
      </c>
      <c r="D427" s="387" t="s">
        <v>4148</v>
      </c>
      <c r="E427" s="387">
        <v>1</v>
      </c>
      <c r="F427" s="387" t="s">
        <v>3961</v>
      </c>
      <c r="G427" s="387">
        <v>1</v>
      </c>
      <c r="H427" s="387" t="s">
        <v>3961</v>
      </c>
      <c r="I427" s="387" t="s">
        <v>3734</v>
      </c>
      <c r="J427" s="387" t="s">
        <v>4149</v>
      </c>
      <c r="K427" s="387" t="s">
        <v>4150</v>
      </c>
      <c r="L427" s="387" t="s">
        <v>1793</v>
      </c>
      <c r="M427" s="387" t="s">
        <v>1794</v>
      </c>
      <c r="N427" s="388">
        <v>377.99</v>
      </c>
      <c r="O427" s="388">
        <v>14</v>
      </c>
      <c r="P427" s="387" t="s">
        <v>538</v>
      </c>
      <c r="Q427" s="387" t="s">
        <v>539</v>
      </c>
      <c r="R427" s="387" t="s">
        <v>4151</v>
      </c>
      <c r="S427" s="387" t="s">
        <v>541</v>
      </c>
      <c r="T427" s="387" t="s">
        <v>1908</v>
      </c>
      <c r="U427" s="388">
        <v>85648</v>
      </c>
      <c r="V427" s="387">
        <v>6009646070983</v>
      </c>
      <c r="W427" s="387">
        <v>6009646070983</v>
      </c>
      <c r="X427" s="387" t="s">
        <v>543</v>
      </c>
      <c r="Y427" s="387" t="s">
        <v>543</v>
      </c>
      <c r="Z427" s="387" t="s">
        <v>543</v>
      </c>
      <c r="AA427" s="388" t="s">
        <v>543</v>
      </c>
      <c r="AB427" s="388" t="s">
        <v>543</v>
      </c>
      <c r="AC427" s="387">
        <v>3000141001</v>
      </c>
      <c r="AD427" s="389">
        <v>5</v>
      </c>
      <c r="AE427" s="390">
        <v>44743</v>
      </c>
      <c r="AF427" s="390">
        <v>45473</v>
      </c>
      <c r="AG427" s="390">
        <v>45473</v>
      </c>
      <c r="AH427" s="391" t="s">
        <v>4152</v>
      </c>
      <c r="AI427" s="391" t="s">
        <v>1797</v>
      </c>
      <c r="AJ427" s="391">
        <v>8</v>
      </c>
      <c r="AK427" s="390">
        <v>44958</v>
      </c>
      <c r="AL427" s="389">
        <v>100</v>
      </c>
      <c r="AM427" s="391" t="s">
        <v>548</v>
      </c>
      <c r="AN427" s="391" t="s">
        <v>549</v>
      </c>
      <c r="AO427" s="391" t="s">
        <v>4153</v>
      </c>
    </row>
    <row r="428" spans="1:43" ht="16" thickBot="1">
      <c r="A428" s="387" t="s">
        <v>2166</v>
      </c>
      <c r="B428" s="387" t="s">
        <v>987</v>
      </c>
      <c r="C428" s="387" t="s">
        <v>4154</v>
      </c>
      <c r="D428" s="387" t="s">
        <v>4155</v>
      </c>
      <c r="E428" s="387">
        <v>1</v>
      </c>
      <c r="F428" s="387" t="s">
        <v>3961</v>
      </c>
      <c r="G428" s="387">
        <v>1</v>
      </c>
      <c r="H428" s="387" t="s">
        <v>3961</v>
      </c>
      <c r="I428" s="387" t="s">
        <v>3734</v>
      </c>
      <c r="J428" s="387" t="s">
        <v>4149</v>
      </c>
      <c r="K428" s="387" t="s">
        <v>4156</v>
      </c>
      <c r="L428" s="387" t="s">
        <v>1793</v>
      </c>
      <c r="M428" s="387" t="s">
        <v>1794</v>
      </c>
      <c r="N428" s="388">
        <v>584.32000000000005</v>
      </c>
      <c r="O428" s="388">
        <v>14</v>
      </c>
      <c r="P428" s="387" t="s">
        <v>538</v>
      </c>
      <c r="Q428" s="387" t="s">
        <v>539</v>
      </c>
      <c r="R428" s="387" t="s">
        <v>4151</v>
      </c>
      <c r="S428" s="387" t="s">
        <v>541</v>
      </c>
      <c r="T428" s="387" t="s">
        <v>1908</v>
      </c>
      <c r="U428" s="388">
        <v>6884</v>
      </c>
      <c r="V428" s="387">
        <v>6009646070990</v>
      </c>
      <c r="W428" s="387">
        <v>6009646070990</v>
      </c>
      <c r="X428" s="387" t="s">
        <v>543</v>
      </c>
      <c r="Y428" s="387" t="s">
        <v>543</v>
      </c>
      <c r="Z428" s="387" t="s">
        <v>543</v>
      </c>
      <c r="AA428" s="388" t="s">
        <v>543</v>
      </c>
      <c r="AB428" s="388" t="s">
        <v>543</v>
      </c>
      <c r="AC428" s="387">
        <v>3000142001</v>
      </c>
      <c r="AD428" s="389">
        <v>5</v>
      </c>
      <c r="AE428" s="390">
        <v>44743</v>
      </c>
      <c r="AF428" s="390">
        <v>45473</v>
      </c>
      <c r="AG428" s="390">
        <v>45473</v>
      </c>
      <c r="AH428" s="391" t="s">
        <v>4157</v>
      </c>
      <c r="AI428" s="391" t="s">
        <v>1797</v>
      </c>
      <c r="AJ428" s="391">
        <v>8</v>
      </c>
      <c r="AK428" s="390">
        <v>44958</v>
      </c>
      <c r="AL428" s="389">
        <v>100</v>
      </c>
      <c r="AM428" s="391" t="s">
        <v>548</v>
      </c>
      <c r="AN428" s="391" t="s">
        <v>549</v>
      </c>
      <c r="AO428" s="391" t="s">
        <v>4158</v>
      </c>
    </row>
    <row r="429" spans="1:43" ht="16" thickBot="1">
      <c r="A429" s="387" t="s">
        <v>1766</v>
      </c>
      <c r="B429" s="387" t="s">
        <v>3089</v>
      </c>
      <c r="C429" s="387" t="s">
        <v>4159</v>
      </c>
      <c r="D429" s="387" t="s">
        <v>4160</v>
      </c>
      <c r="E429" s="387">
        <v>100</v>
      </c>
      <c r="F429" s="387" t="s">
        <v>584</v>
      </c>
      <c r="G429" s="387">
        <v>100</v>
      </c>
      <c r="H429" s="387" t="s">
        <v>584</v>
      </c>
      <c r="I429" s="387" t="s">
        <v>585</v>
      </c>
      <c r="J429" s="387" t="s">
        <v>4161</v>
      </c>
      <c r="K429" s="387" t="s">
        <v>4162</v>
      </c>
      <c r="L429" s="387" t="s">
        <v>576</v>
      </c>
      <c r="M429" s="387" t="s">
        <v>577</v>
      </c>
      <c r="N429" s="388">
        <v>54.04</v>
      </c>
      <c r="O429" s="388">
        <v>14</v>
      </c>
      <c r="P429" s="387" t="s">
        <v>538</v>
      </c>
      <c r="Q429" s="387" t="s">
        <v>539</v>
      </c>
      <c r="R429" s="387" t="s">
        <v>4163</v>
      </c>
      <c r="S429" s="387" t="s">
        <v>541</v>
      </c>
      <c r="T429" s="387" t="s">
        <v>542</v>
      </c>
      <c r="U429" s="388">
        <v>100860</v>
      </c>
      <c r="V429" s="387">
        <v>6009688290011</v>
      </c>
      <c r="W429" s="387">
        <v>6009688290011</v>
      </c>
      <c r="X429" s="387" t="s">
        <v>543</v>
      </c>
      <c r="Y429" s="387">
        <v>16009688290018</v>
      </c>
      <c r="Z429" s="387" t="s">
        <v>543</v>
      </c>
      <c r="AA429" s="388" t="s">
        <v>543</v>
      </c>
      <c r="AB429" s="388" t="s">
        <v>543</v>
      </c>
      <c r="AC429" s="387" t="s">
        <v>543</v>
      </c>
      <c r="AD429" s="389">
        <v>75</v>
      </c>
      <c r="AE429" s="390">
        <v>44470</v>
      </c>
      <c r="AF429" s="390">
        <v>45199</v>
      </c>
      <c r="AG429" s="391" t="s">
        <v>545</v>
      </c>
      <c r="AH429" s="391" t="s">
        <v>4164</v>
      </c>
      <c r="AI429" s="391" t="s">
        <v>580</v>
      </c>
      <c r="AJ429" s="391">
        <v>0</v>
      </c>
      <c r="AK429" s="390">
        <v>44470</v>
      </c>
      <c r="AL429" s="389">
        <v>100</v>
      </c>
      <c r="AM429" s="391" t="s">
        <v>548</v>
      </c>
      <c r="AN429" s="391" t="s">
        <v>549</v>
      </c>
      <c r="AO429" s="391" t="s">
        <v>4165</v>
      </c>
      <c r="AP429" s="372">
        <f>N429/E429</f>
        <v>0.54039999999999999</v>
      </c>
      <c r="AQ429" s="372">
        <f>SUMPRODUCT(AP429:AP433,U429:U433)/SUM(U429:U433)</f>
        <v>0.55532131597376833</v>
      </c>
    </row>
    <row r="430" spans="1:43" ht="16" thickBot="1">
      <c r="A430" s="387" t="s">
        <v>1766</v>
      </c>
      <c r="B430" s="387" t="s">
        <v>4166</v>
      </c>
      <c r="C430" s="387" t="s">
        <v>4167</v>
      </c>
      <c r="D430" s="387" t="s">
        <v>4168</v>
      </c>
      <c r="E430" s="387">
        <v>20</v>
      </c>
      <c r="F430" s="387" t="s">
        <v>584</v>
      </c>
      <c r="G430" s="387">
        <v>20</v>
      </c>
      <c r="H430" s="387" t="s">
        <v>584</v>
      </c>
      <c r="I430" s="387" t="s">
        <v>585</v>
      </c>
      <c r="J430" s="387" t="s">
        <v>4161</v>
      </c>
      <c r="K430" s="387" t="s">
        <v>4162</v>
      </c>
      <c r="L430" s="387" t="s">
        <v>576</v>
      </c>
      <c r="M430" s="387" t="s">
        <v>577</v>
      </c>
      <c r="N430" s="388">
        <v>12.45</v>
      </c>
      <c r="O430" s="388">
        <v>14</v>
      </c>
      <c r="P430" s="387" t="s">
        <v>538</v>
      </c>
      <c r="Q430" s="387" t="s">
        <v>539</v>
      </c>
      <c r="R430" s="387" t="s">
        <v>4163</v>
      </c>
      <c r="S430" s="387" t="s">
        <v>541</v>
      </c>
      <c r="T430" s="387" t="s">
        <v>542</v>
      </c>
      <c r="U430" s="388">
        <v>749032</v>
      </c>
      <c r="V430" s="387">
        <v>6009688290028</v>
      </c>
      <c r="W430" s="387" t="s">
        <v>543</v>
      </c>
      <c r="X430" s="387" t="s">
        <v>543</v>
      </c>
      <c r="Y430" s="387">
        <v>16009688290025</v>
      </c>
      <c r="Z430" s="387" t="s">
        <v>543</v>
      </c>
      <c r="AA430" s="388" t="s">
        <v>543</v>
      </c>
      <c r="AB430" s="388" t="s">
        <v>543</v>
      </c>
      <c r="AC430" s="387" t="s">
        <v>543</v>
      </c>
      <c r="AD430" s="389">
        <v>500</v>
      </c>
      <c r="AE430" s="390">
        <v>44470</v>
      </c>
      <c r="AF430" s="390">
        <v>45199</v>
      </c>
      <c r="AG430" s="391" t="s">
        <v>545</v>
      </c>
      <c r="AH430" s="391" t="s">
        <v>4169</v>
      </c>
      <c r="AI430" s="391" t="s">
        <v>580</v>
      </c>
      <c r="AJ430" s="391">
        <v>0</v>
      </c>
      <c r="AK430" s="390">
        <v>44470</v>
      </c>
      <c r="AL430" s="389">
        <v>20</v>
      </c>
      <c r="AM430" s="391" t="s">
        <v>548</v>
      </c>
      <c r="AN430" s="391" t="s">
        <v>549</v>
      </c>
      <c r="AO430" s="391" t="s">
        <v>4165</v>
      </c>
      <c r="AP430" s="372">
        <f t="shared" ref="AP430:AP433" si="15">N430/E430</f>
        <v>0.62249999999999994</v>
      </c>
    </row>
    <row r="431" spans="1:43" ht="16" thickBot="1">
      <c r="A431" s="387" t="s">
        <v>1766</v>
      </c>
      <c r="B431" s="387" t="s">
        <v>4166</v>
      </c>
      <c r="C431" s="387" t="s">
        <v>4167</v>
      </c>
      <c r="D431" s="387" t="s">
        <v>4168</v>
      </c>
      <c r="E431" s="387">
        <v>20</v>
      </c>
      <c r="F431" s="387" t="s">
        <v>584</v>
      </c>
      <c r="G431" s="387">
        <v>20</v>
      </c>
      <c r="H431" s="387" t="s">
        <v>584</v>
      </c>
      <c r="I431" s="387" t="s">
        <v>585</v>
      </c>
      <c r="J431" s="387" t="s">
        <v>4161</v>
      </c>
      <c r="K431" s="387" t="s">
        <v>4170</v>
      </c>
      <c r="L431" s="387" t="s">
        <v>2062</v>
      </c>
      <c r="M431" s="387" t="s">
        <v>2063</v>
      </c>
      <c r="N431" s="388">
        <v>11.05</v>
      </c>
      <c r="O431" s="388">
        <v>14</v>
      </c>
      <c r="P431" s="387" t="s">
        <v>538</v>
      </c>
      <c r="Q431" s="387" t="s">
        <v>539</v>
      </c>
      <c r="R431" s="387" t="s">
        <v>4163</v>
      </c>
      <c r="S431" s="387" t="s">
        <v>541</v>
      </c>
      <c r="T431" s="387" t="s">
        <v>542</v>
      </c>
      <c r="U431" s="388">
        <v>2996128</v>
      </c>
      <c r="V431" s="387">
        <v>606110530521</v>
      </c>
      <c r="W431" s="387" t="s">
        <v>543</v>
      </c>
      <c r="X431" s="387" t="s">
        <v>543</v>
      </c>
      <c r="Y431" s="387" t="s">
        <v>543</v>
      </c>
      <c r="Z431" s="387" t="s">
        <v>543</v>
      </c>
      <c r="AA431" s="388" t="s">
        <v>543</v>
      </c>
      <c r="AB431" s="388" t="s">
        <v>543</v>
      </c>
      <c r="AC431" s="387" t="s">
        <v>543</v>
      </c>
      <c r="AD431" s="389">
        <v>600</v>
      </c>
      <c r="AE431" s="390">
        <v>44470</v>
      </c>
      <c r="AF431" s="390">
        <v>45199</v>
      </c>
      <c r="AG431" s="390">
        <v>45199</v>
      </c>
      <c r="AH431" s="391" t="s">
        <v>4169</v>
      </c>
      <c r="AI431" s="391" t="s">
        <v>2064</v>
      </c>
      <c r="AJ431" s="391">
        <v>24</v>
      </c>
      <c r="AK431" s="390">
        <v>45047</v>
      </c>
      <c r="AL431" s="389">
        <v>80</v>
      </c>
      <c r="AM431" s="391" t="s">
        <v>548</v>
      </c>
      <c r="AN431" s="391" t="s">
        <v>549</v>
      </c>
      <c r="AO431" s="391" t="s">
        <v>4165</v>
      </c>
      <c r="AP431" s="372">
        <f t="shared" si="15"/>
        <v>0.55249999999999999</v>
      </c>
    </row>
    <row r="432" spans="1:43" ht="16" thickBot="1">
      <c r="A432" s="387" t="s">
        <v>1766</v>
      </c>
      <c r="B432" s="387" t="s">
        <v>4171</v>
      </c>
      <c r="C432" s="387" t="s">
        <v>4172</v>
      </c>
      <c r="D432" s="387" t="s">
        <v>4173</v>
      </c>
      <c r="E432" s="387">
        <v>40</v>
      </c>
      <c r="F432" s="387" t="s">
        <v>584</v>
      </c>
      <c r="G432" s="387">
        <v>40</v>
      </c>
      <c r="H432" s="387" t="s">
        <v>584</v>
      </c>
      <c r="I432" s="387" t="s">
        <v>585</v>
      </c>
      <c r="J432" s="387" t="s">
        <v>4161</v>
      </c>
      <c r="K432" s="387" t="s">
        <v>4174</v>
      </c>
      <c r="L432" s="387" t="s">
        <v>1829</v>
      </c>
      <c r="M432" s="387" t="s">
        <v>1830</v>
      </c>
      <c r="N432" s="388">
        <v>22.37</v>
      </c>
      <c r="O432" s="388">
        <v>14</v>
      </c>
      <c r="P432" s="387" t="s">
        <v>538</v>
      </c>
      <c r="Q432" s="387" t="s">
        <v>539</v>
      </c>
      <c r="R432" s="387" t="s">
        <v>4163</v>
      </c>
      <c r="S432" s="387" t="s">
        <v>541</v>
      </c>
      <c r="T432" s="387" t="s">
        <v>542</v>
      </c>
      <c r="U432" s="388">
        <v>928101</v>
      </c>
      <c r="V432" s="387">
        <v>6009694780735</v>
      </c>
      <c r="W432" s="387" t="s">
        <v>543</v>
      </c>
      <c r="X432" s="387" t="s">
        <v>543</v>
      </c>
      <c r="Y432" s="387">
        <v>16009694780749</v>
      </c>
      <c r="Z432" s="387" t="s">
        <v>543</v>
      </c>
      <c r="AA432" s="388" t="s">
        <v>543</v>
      </c>
      <c r="AB432" s="388" t="s">
        <v>543</v>
      </c>
      <c r="AC432" s="387" t="s">
        <v>543</v>
      </c>
      <c r="AD432" s="389">
        <v>300</v>
      </c>
      <c r="AE432" s="390">
        <v>44470</v>
      </c>
      <c r="AF432" s="390">
        <v>45199</v>
      </c>
      <c r="AG432" s="390">
        <v>45199</v>
      </c>
      <c r="AH432" s="391" t="s">
        <v>4175</v>
      </c>
      <c r="AI432" s="391" t="s">
        <v>1833</v>
      </c>
      <c r="AJ432" s="391">
        <v>16</v>
      </c>
      <c r="AK432" s="390">
        <v>45047</v>
      </c>
      <c r="AL432" s="389">
        <v>30</v>
      </c>
      <c r="AM432" s="391" t="s">
        <v>548</v>
      </c>
      <c r="AN432" s="391" t="s">
        <v>549</v>
      </c>
      <c r="AO432" s="391" t="s">
        <v>4165</v>
      </c>
      <c r="AP432" s="372">
        <f t="shared" si="15"/>
        <v>0.55925000000000002</v>
      </c>
    </row>
    <row r="433" spans="1:42" ht="16" thickBot="1">
      <c r="A433" s="387" t="s">
        <v>1766</v>
      </c>
      <c r="B433" s="387" t="s">
        <v>4171</v>
      </c>
      <c r="C433" s="387" t="s">
        <v>4172</v>
      </c>
      <c r="D433" s="387" t="s">
        <v>4173</v>
      </c>
      <c r="E433" s="387">
        <v>40</v>
      </c>
      <c r="F433" s="387" t="s">
        <v>584</v>
      </c>
      <c r="G433" s="387">
        <v>40</v>
      </c>
      <c r="H433" s="387" t="s">
        <v>584</v>
      </c>
      <c r="I433" s="387" t="s">
        <v>585</v>
      </c>
      <c r="J433" s="387" t="s">
        <v>4161</v>
      </c>
      <c r="K433" s="387" t="s">
        <v>4170</v>
      </c>
      <c r="L433" s="387" t="s">
        <v>2062</v>
      </c>
      <c r="M433" s="387" t="s">
        <v>2063</v>
      </c>
      <c r="N433" s="388">
        <v>21.4</v>
      </c>
      <c r="O433" s="388">
        <v>14</v>
      </c>
      <c r="P433" s="387" t="s">
        <v>538</v>
      </c>
      <c r="Q433" s="387" t="s">
        <v>539</v>
      </c>
      <c r="R433" s="387" t="s">
        <v>4163</v>
      </c>
      <c r="S433" s="387" t="s">
        <v>541</v>
      </c>
      <c r="T433" s="387" t="s">
        <v>542</v>
      </c>
      <c r="U433" s="388">
        <v>2165569</v>
      </c>
      <c r="V433" s="387">
        <v>606110530538</v>
      </c>
      <c r="W433" s="387" t="s">
        <v>543</v>
      </c>
      <c r="X433" s="387" t="s">
        <v>543</v>
      </c>
      <c r="Y433" s="387" t="s">
        <v>543</v>
      </c>
      <c r="Z433" s="387" t="s">
        <v>543</v>
      </c>
      <c r="AA433" s="388" t="s">
        <v>543</v>
      </c>
      <c r="AB433" s="388" t="s">
        <v>543</v>
      </c>
      <c r="AC433" s="387" t="s">
        <v>543</v>
      </c>
      <c r="AD433" s="389">
        <v>600</v>
      </c>
      <c r="AE433" s="390">
        <v>44470</v>
      </c>
      <c r="AF433" s="390">
        <v>45199</v>
      </c>
      <c r="AG433" s="390">
        <v>45199</v>
      </c>
      <c r="AH433" s="391" t="s">
        <v>4175</v>
      </c>
      <c r="AI433" s="391" t="s">
        <v>2064</v>
      </c>
      <c r="AJ433" s="391">
        <v>24</v>
      </c>
      <c r="AK433" s="390">
        <v>45047</v>
      </c>
      <c r="AL433" s="389">
        <v>70</v>
      </c>
      <c r="AM433" s="391" t="s">
        <v>548</v>
      </c>
      <c r="AN433" s="391" t="s">
        <v>549</v>
      </c>
      <c r="AO433" s="391" t="s">
        <v>4165</v>
      </c>
      <c r="AP433" s="372">
        <f t="shared" si="15"/>
        <v>0.53499999999999992</v>
      </c>
    </row>
    <row r="434" spans="1:42" ht="16" thickBot="1">
      <c r="A434" s="387" t="s">
        <v>1766</v>
      </c>
      <c r="B434" s="387" t="s">
        <v>3188</v>
      </c>
      <c r="C434" s="387" t="s">
        <v>4176</v>
      </c>
      <c r="D434" s="387" t="s">
        <v>4177</v>
      </c>
      <c r="E434" s="387">
        <v>100</v>
      </c>
      <c r="F434" s="387" t="s">
        <v>531</v>
      </c>
      <c r="G434" s="387">
        <v>100</v>
      </c>
      <c r="H434" s="387" t="s">
        <v>531</v>
      </c>
      <c r="I434" s="387" t="s">
        <v>1838</v>
      </c>
      <c r="J434" s="387" t="s">
        <v>4178</v>
      </c>
      <c r="K434" s="387" t="s">
        <v>4179</v>
      </c>
      <c r="L434" s="387" t="s">
        <v>1955</v>
      </c>
      <c r="M434" s="387" t="s">
        <v>1956</v>
      </c>
      <c r="N434" s="388">
        <v>16.79</v>
      </c>
      <c r="O434" s="388">
        <v>14</v>
      </c>
      <c r="P434" s="387" t="s">
        <v>538</v>
      </c>
      <c r="Q434" s="387" t="s">
        <v>539</v>
      </c>
      <c r="R434" s="387" t="s">
        <v>4180</v>
      </c>
      <c r="S434" s="387" t="s">
        <v>541</v>
      </c>
      <c r="T434" s="387" t="s">
        <v>757</v>
      </c>
      <c r="U434" s="388">
        <v>281145</v>
      </c>
      <c r="V434" s="387">
        <v>6009607272012</v>
      </c>
      <c r="W434" s="387">
        <v>6009607272012</v>
      </c>
      <c r="X434" s="387" t="s">
        <v>543</v>
      </c>
      <c r="Y434" s="387">
        <v>6009607271992</v>
      </c>
      <c r="Z434" s="387" t="s">
        <v>543</v>
      </c>
      <c r="AA434" s="388" t="s">
        <v>543</v>
      </c>
      <c r="AB434" s="388" t="s">
        <v>543</v>
      </c>
      <c r="AC434" s="387">
        <v>3000365001</v>
      </c>
      <c r="AD434" s="389">
        <v>10</v>
      </c>
      <c r="AE434" s="390">
        <v>44470</v>
      </c>
      <c r="AF434" s="390">
        <v>45199</v>
      </c>
      <c r="AG434" s="391" t="s">
        <v>545</v>
      </c>
      <c r="AH434" s="391" t="s">
        <v>4181</v>
      </c>
      <c r="AI434" s="391" t="s">
        <v>1959</v>
      </c>
      <c r="AJ434" s="391">
        <v>0</v>
      </c>
      <c r="AK434" s="390">
        <v>44470</v>
      </c>
      <c r="AL434" s="389">
        <v>100</v>
      </c>
      <c r="AM434" s="391" t="s">
        <v>548</v>
      </c>
      <c r="AN434" s="391" t="s">
        <v>549</v>
      </c>
      <c r="AO434" s="391" t="s">
        <v>4182</v>
      </c>
    </row>
    <row r="435" spans="1:42" ht="16" thickBot="1">
      <c r="A435" s="387" t="s">
        <v>1766</v>
      </c>
      <c r="B435" s="387" t="s">
        <v>3180</v>
      </c>
      <c r="C435" s="387" t="s">
        <v>4183</v>
      </c>
      <c r="D435" s="387" t="s">
        <v>4184</v>
      </c>
      <c r="E435" s="387">
        <v>28</v>
      </c>
      <c r="F435" s="387" t="s">
        <v>559</v>
      </c>
      <c r="G435" s="387">
        <v>28</v>
      </c>
      <c r="H435" s="387" t="s">
        <v>559</v>
      </c>
      <c r="I435" s="387" t="s">
        <v>560</v>
      </c>
      <c r="J435" s="387" t="s">
        <v>4178</v>
      </c>
      <c r="K435" s="387" t="s">
        <v>4185</v>
      </c>
      <c r="L435" s="387" t="s">
        <v>1905</v>
      </c>
      <c r="M435" s="387" t="s">
        <v>1906</v>
      </c>
      <c r="N435" s="388">
        <v>31.45</v>
      </c>
      <c r="O435" s="388">
        <v>14</v>
      </c>
      <c r="P435" s="387" t="s">
        <v>538</v>
      </c>
      <c r="Q435" s="387" t="s">
        <v>539</v>
      </c>
      <c r="R435" s="387" t="s">
        <v>4180</v>
      </c>
      <c r="S435" s="387" t="s">
        <v>171</v>
      </c>
      <c r="T435" s="387" t="s">
        <v>542</v>
      </c>
      <c r="U435" s="388">
        <v>490310</v>
      </c>
      <c r="V435" s="387">
        <v>6004405007194</v>
      </c>
      <c r="W435" s="387" t="s">
        <v>543</v>
      </c>
      <c r="X435" s="387" t="s">
        <v>543</v>
      </c>
      <c r="Y435" s="387" t="s">
        <v>543</v>
      </c>
      <c r="Z435" s="387" t="s">
        <v>543</v>
      </c>
      <c r="AA435" s="388" t="s">
        <v>543</v>
      </c>
      <c r="AB435" s="388" t="s">
        <v>543</v>
      </c>
      <c r="AC435" s="387" t="s">
        <v>543</v>
      </c>
      <c r="AD435" s="389">
        <v>100</v>
      </c>
      <c r="AE435" s="390">
        <v>44470</v>
      </c>
      <c r="AF435" s="390">
        <v>45199</v>
      </c>
      <c r="AG435" s="390">
        <v>45199</v>
      </c>
      <c r="AH435" s="391" t="s">
        <v>4186</v>
      </c>
      <c r="AI435" s="391" t="s">
        <v>1910</v>
      </c>
      <c r="AJ435" s="391">
        <v>15</v>
      </c>
      <c r="AK435" s="390">
        <v>45047</v>
      </c>
      <c r="AL435" s="389">
        <v>100</v>
      </c>
      <c r="AM435" s="391" t="s">
        <v>548</v>
      </c>
      <c r="AN435" s="391" t="s">
        <v>549</v>
      </c>
      <c r="AO435" s="391" t="s">
        <v>4187</v>
      </c>
    </row>
    <row r="436" spans="1:42" ht="16" thickBot="1">
      <c r="A436" s="387" t="s">
        <v>1766</v>
      </c>
      <c r="B436" s="387" t="s">
        <v>3285</v>
      </c>
      <c r="C436" s="387" t="s">
        <v>4188</v>
      </c>
      <c r="D436" s="387" t="s">
        <v>4189</v>
      </c>
      <c r="E436" s="387">
        <v>35</v>
      </c>
      <c r="F436" s="387" t="s">
        <v>531</v>
      </c>
      <c r="G436" s="387">
        <v>35</v>
      </c>
      <c r="H436" s="387" t="s">
        <v>531</v>
      </c>
      <c r="I436" s="387" t="s">
        <v>744</v>
      </c>
      <c r="J436" s="387" t="s">
        <v>4178</v>
      </c>
      <c r="K436" s="387" t="s">
        <v>4190</v>
      </c>
      <c r="L436" s="387" t="s">
        <v>1916</v>
      </c>
      <c r="M436" s="387" t="s">
        <v>1917</v>
      </c>
      <c r="N436" s="388">
        <v>171.16</v>
      </c>
      <c r="O436" s="388">
        <v>14</v>
      </c>
      <c r="P436" s="387" t="s">
        <v>538</v>
      </c>
      <c r="Q436" s="387" t="s">
        <v>539</v>
      </c>
      <c r="R436" s="387" t="s">
        <v>4180</v>
      </c>
      <c r="S436" s="387" t="s">
        <v>171</v>
      </c>
      <c r="T436" s="387" t="s">
        <v>542</v>
      </c>
      <c r="U436" s="388">
        <v>91990</v>
      </c>
      <c r="V436" s="387">
        <v>6001137102531</v>
      </c>
      <c r="W436" s="387">
        <v>6001137102531</v>
      </c>
      <c r="X436" s="387" t="s">
        <v>543</v>
      </c>
      <c r="Y436" s="387" t="s">
        <v>543</v>
      </c>
      <c r="Z436" s="387" t="s">
        <v>543</v>
      </c>
      <c r="AA436" s="388" t="s">
        <v>543</v>
      </c>
      <c r="AB436" s="388" t="s">
        <v>543</v>
      </c>
      <c r="AC436" s="387">
        <v>883686002</v>
      </c>
      <c r="AD436" s="389">
        <v>1</v>
      </c>
      <c r="AE436" s="390">
        <v>44470</v>
      </c>
      <c r="AF436" s="390">
        <v>45199</v>
      </c>
      <c r="AG436" s="391" t="s">
        <v>545</v>
      </c>
      <c r="AH436" s="391" t="s">
        <v>4191</v>
      </c>
      <c r="AI436" s="391" t="s">
        <v>1920</v>
      </c>
      <c r="AJ436" s="391">
        <v>0</v>
      </c>
      <c r="AK436" s="390">
        <v>44470</v>
      </c>
      <c r="AL436" s="389">
        <v>100</v>
      </c>
      <c r="AM436" s="391" t="s">
        <v>548</v>
      </c>
      <c r="AN436" s="391" t="s">
        <v>549</v>
      </c>
      <c r="AO436" s="391" t="s">
        <v>4192</v>
      </c>
    </row>
    <row r="437" spans="1:42" ht="16" thickBot="1">
      <c r="A437" s="387" t="s">
        <v>1766</v>
      </c>
      <c r="B437" s="387" t="s">
        <v>3277</v>
      </c>
      <c r="C437" s="387" t="s">
        <v>4193</v>
      </c>
      <c r="D437" s="387" t="s">
        <v>4194</v>
      </c>
      <c r="E437" s="387">
        <v>14</v>
      </c>
      <c r="F437" s="387" t="s">
        <v>559</v>
      </c>
      <c r="G437" s="387">
        <v>14</v>
      </c>
      <c r="H437" s="387" t="s">
        <v>559</v>
      </c>
      <c r="I437" s="387" t="s">
        <v>560</v>
      </c>
      <c r="J437" s="387" t="s">
        <v>4178</v>
      </c>
      <c r="K437" s="387" t="s">
        <v>4195</v>
      </c>
      <c r="L437" s="387" t="s">
        <v>1905</v>
      </c>
      <c r="M437" s="387" t="s">
        <v>1906</v>
      </c>
      <c r="N437" s="388">
        <v>9.67</v>
      </c>
      <c r="O437" s="388">
        <v>14</v>
      </c>
      <c r="P437" s="387" t="s">
        <v>538</v>
      </c>
      <c r="Q437" s="387" t="s">
        <v>539</v>
      </c>
      <c r="R437" s="387" t="s">
        <v>4180</v>
      </c>
      <c r="S437" s="387" t="s">
        <v>171</v>
      </c>
      <c r="T437" s="387" t="s">
        <v>542</v>
      </c>
      <c r="U437" s="388">
        <v>203640</v>
      </c>
      <c r="V437" s="387">
        <v>6001135505457</v>
      </c>
      <c r="W437" s="387" t="s">
        <v>543</v>
      </c>
      <c r="X437" s="387" t="s">
        <v>543</v>
      </c>
      <c r="Y437" s="387" t="s">
        <v>543</v>
      </c>
      <c r="Z437" s="387" t="s">
        <v>543</v>
      </c>
      <c r="AA437" s="388" t="s">
        <v>543</v>
      </c>
      <c r="AB437" s="388" t="s">
        <v>543</v>
      </c>
      <c r="AC437" s="387" t="s">
        <v>543</v>
      </c>
      <c r="AD437" s="389">
        <v>100</v>
      </c>
      <c r="AE437" s="390">
        <v>44470</v>
      </c>
      <c r="AF437" s="390">
        <v>45199</v>
      </c>
      <c r="AG437" s="390">
        <v>45199</v>
      </c>
      <c r="AH437" s="391" t="s">
        <v>4196</v>
      </c>
      <c r="AI437" s="391" t="s">
        <v>1910</v>
      </c>
      <c r="AJ437" s="391">
        <v>15</v>
      </c>
      <c r="AK437" s="390">
        <v>45047</v>
      </c>
      <c r="AL437" s="389">
        <v>100</v>
      </c>
      <c r="AM437" s="391" t="s">
        <v>548</v>
      </c>
      <c r="AN437" s="391" t="s">
        <v>549</v>
      </c>
      <c r="AO437" s="391" t="s">
        <v>4197</v>
      </c>
    </row>
    <row r="438" spans="1:42" ht="16" thickBot="1">
      <c r="A438" s="387" t="s">
        <v>2166</v>
      </c>
      <c r="B438" s="387" t="s">
        <v>634</v>
      </c>
      <c r="C438" s="387" t="s">
        <v>4198</v>
      </c>
      <c r="D438" s="387" t="s">
        <v>4199</v>
      </c>
      <c r="E438" s="387">
        <v>20</v>
      </c>
      <c r="F438" s="387" t="s">
        <v>559</v>
      </c>
      <c r="G438" s="387">
        <v>10</v>
      </c>
      <c r="H438" s="387" t="s">
        <v>559</v>
      </c>
      <c r="I438" s="387" t="s">
        <v>560</v>
      </c>
      <c r="J438" s="387" t="s">
        <v>4200</v>
      </c>
      <c r="K438" s="387" t="s">
        <v>4201</v>
      </c>
      <c r="L438" s="387" t="s">
        <v>1819</v>
      </c>
      <c r="M438" s="387" t="s">
        <v>1820</v>
      </c>
      <c r="N438" s="388">
        <v>8722.27</v>
      </c>
      <c r="O438" s="388">
        <v>14</v>
      </c>
      <c r="P438" s="387" t="s">
        <v>538</v>
      </c>
      <c r="Q438" s="387" t="s">
        <v>539</v>
      </c>
      <c r="R438" s="387" t="s">
        <v>4202</v>
      </c>
      <c r="S438" s="387" t="s">
        <v>541</v>
      </c>
      <c r="T438" s="387" t="s">
        <v>1908</v>
      </c>
      <c r="U438" s="388">
        <v>544</v>
      </c>
      <c r="V438" s="387">
        <v>6009609472366</v>
      </c>
      <c r="W438" s="387" t="s">
        <v>543</v>
      </c>
      <c r="X438" s="387" t="s">
        <v>543</v>
      </c>
      <c r="Y438" s="387" t="s">
        <v>543</v>
      </c>
      <c r="Z438" s="387" t="s">
        <v>543</v>
      </c>
      <c r="AA438" s="388" t="s">
        <v>543</v>
      </c>
      <c r="AB438" s="388" t="s">
        <v>543</v>
      </c>
      <c r="AC438" s="387">
        <v>710159001</v>
      </c>
      <c r="AD438" s="389">
        <v>1</v>
      </c>
      <c r="AE438" s="390">
        <v>44743</v>
      </c>
      <c r="AF438" s="390">
        <v>45473</v>
      </c>
      <c r="AG438" s="391" t="s">
        <v>545</v>
      </c>
      <c r="AH438" s="391" t="s">
        <v>4203</v>
      </c>
      <c r="AI438" s="391" t="s">
        <v>1823</v>
      </c>
      <c r="AJ438" s="391">
        <v>0</v>
      </c>
      <c r="AK438" s="390">
        <v>44743</v>
      </c>
      <c r="AL438" s="389">
        <v>100</v>
      </c>
      <c r="AM438" s="391" t="s">
        <v>548</v>
      </c>
      <c r="AN438" s="391" t="s">
        <v>549</v>
      </c>
      <c r="AO438" s="391" t="s">
        <v>4204</v>
      </c>
    </row>
    <row r="439" spans="1:42" ht="16" thickBot="1">
      <c r="A439" s="387" t="s">
        <v>2166</v>
      </c>
      <c r="B439" s="387" t="s">
        <v>1013</v>
      </c>
      <c r="C439" s="387" t="s">
        <v>4205</v>
      </c>
      <c r="D439" s="387" t="s">
        <v>4206</v>
      </c>
      <c r="E439" s="387">
        <v>1</v>
      </c>
      <c r="F439" s="387" t="s">
        <v>1780</v>
      </c>
      <c r="G439" s="387">
        <v>20</v>
      </c>
      <c r="H439" s="387" t="s">
        <v>1780</v>
      </c>
      <c r="I439" s="387" t="s">
        <v>1751</v>
      </c>
      <c r="J439" s="387" t="s">
        <v>4200</v>
      </c>
      <c r="K439" s="387" t="s">
        <v>4207</v>
      </c>
      <c r="L439" s="387" t="s">
        <v>1793</v>
      </c>
      <c r="M439" s="387" t="s">
        <v>1794</v>
      </c>
      <c r="N439" s="388">
        <v>418.8</v>
      </c>
      <c r="O439" s="388">
        <v>14</v>
      </c>
      <c r="P439" s="387" t="s">
        <v>538</v>
      </c>
      <c r="Q439" s="387" t="s">
        <v>539</v>
      </c>
      <c r="R439" s="387" t="s">
        <v>4202</v>
      </c>
      <c r="S439" s="387" t="s">
        <v>541</v>
      </c>
      <c r="T439" s="387" t="s">
        <v>1908</v>
      </c>
      <c r="U439" s="388">
        <v>2548</v>
      </c>
      <c r="V439" s="387">
        <v>6009646070532</v>
      </c>
      <c r="W439" s="387">
        <v>6009646070532</v>
      </c>
      <c r="X439" s="387" t="s">
        <v>543</v>
      </c>
      <c r="Y439" s="387" t="s">
        <v>543</v>
      </c>
      <c r="Z439" s="387" t="s">
        <v>543</v>
      </c>
      <c r="AA439" s="388" t="s">
        <v>543</v>
      </c>
      <c r="AB439" s="388" t="s">
        <v>543</v>
      </c>
      <c r="AC439" s="387">
        <v>716356001</v>
      </c>
      <c r="AD439" s="389">
        <v>5</v>
      </c>
      <c r="AE439" s="390">
        <v>44743</v>
      </c>
      <c r="AF439" s="390">
        <v>45473</v>
      </c>
      <c r="AG439" s="390">
        <v>45473</v>
      </c>
      <c r="AH439" s="391" t="s">
        <v>4208</v>
      </c>
      <c r="AI439" s="391" t="s">
        <v>1797</v>
      </c>
      <c r="AJ439" s="391">
        <v>8</v>
      </c>
      <c r="AK439" s="390">
        <v>44958</v>
      </c>
      <c r="AL439" s="389">
        <v>100</v>
      </c>
      <c r="AM439" s="391" t="s">
        <v>548</v>
      </c>
      <c r="AN439" s="391" t="s">
        <v>549</v>
      </c>
      <c r="AO439" s="391" t="s">
        <v>4209</v>
      </c>
    </row>
    <row r="440" spans="1:42" ht="16" thickBot="1">
      <c r="A440" s="387" t="s">
        <v>2177</v>
      </c>
      <c r="B440" s="387" t="s">
        <v>2252</v>
      </c>
      <c r="C440" s="387" t="s">
        <v>4210</v>
      </c>
      <c r="D440" s="387" t="s">
        <v>4211</v>
      </c>
      <c r="E440" s="387">
        <v>15</v>
      </c>
      <c r="F440" s="387" t="s">
        <v>2180</v>
      </c>
      <c r="G440" s="387">
        <v>15</v>
      </c>
      <c r="H440" s="387" t="s">
        <v>2180</v>
      </c>
      <c r="I440" s="387" t="s">
        <v>2720</v>
      </c>
      <c r="J440" s="387" t="s">
        <v>4212</v>
      </c>
      <c r="K440" s="387" t="s">
        <v>4213</v>
      </c>
      <c r="L440" s="387" t="s">
        <v>535</v>
      </c>
      <c r="M440" s="387" t="s">
        <v>536</v>
      </c>
      <c r="N440" s="388">
        <v>14.89</v>
      </c>
      <c r="O440" s="388">
        <v>14</v>
      </c>
      <c r="P440" s="387" t="s">
        <v>538</v>
      </c>
      <c r="Q440" s="387" t="s">
        <v>539</v>
      </c>
      <c r="R440" s="387" t="s">
        <v>4214</v>
      </c>
      <c r="S440" s="387" t="s">
        <v>171</v>
      </c>
      <c r="T440" s="387" t="s">
        <v>542</v>
      </c>
      <c r="U440" s="388">
        <v>1824982</v>
      </c>
      <c r="V440" s="387">
        <v>6001390959415</v>
      </c>
      <c r="W440" s="387">
        <v>6001390954984</v>
      </c>
      <c r="X440" s="387" t="s">
        <v>543</v>
      </c>
      <c r="Y440" s="387">
        <v>16001390954981</v>
      </c>
      <c r="Z440" s="387" t="s">
        <v>543</v>
      </c>
      <c r="AA440" s="388" t="s">
        <v>543</v>
      </c>
      <c r="AB440" s="388" t="s">
        <v>543</v>
      </c>
      <c r="AC440" s="387" t="s">
        <v>543</v>
      </c>
      <c r="AD440" s="389">
        <v>84</v>
      </c>
      <c r="AE440" s="390">
        <v>44013</v>
      </c>
      <c r="AF440" s="390">
        <v>45107</v>
      </c>
      <c r="AG440" s="390">
        <v>45107</v>
      </c>
      <c r="AH440" s="391" t="s">
        <v>4215</v>
      </c>
      <c r="AI440" s="391" t="s">
        <v>547</v>
      </c>
      <c r="AJ440" s="391">
        <v>57</v>
      </c>
      <c r="AK440" s="390">
        <v>45047</v>
      </c>
      <c r="AL440" s="389">
        <v>100</v>
      </c>
      <c r="AM440" s="391" t="s">
        <v>548</v>
      </c>
      <c r="AN440" s="391" t="s">
        <v>545</v>
      </c>
      <c r="AO440" s="391" t="s">
        <v>4216</v>
      </c>
    </row>
    <row r="441" spans="1:42" ht="16" thickBot="1">
      <c r="A441" s="387" t="s">
        <v>2583</v>
      </c>
      <c r="B441" s="387" t="s">
        <v>996</v>
      </c>
      <c r="C441" s="387" t="s">
        <v>4217</v>
      </c>
      <c r="D441" s="387" t="s">
        <v>4218</v>
      </c>
      <c r="E441" s="387">
        <v>20</v>
      </c>
      <c r="F441" s="387" t="s">
        <v>2180</v>
      </c>
      <c r="G441" s="387">
        <v>20</v>
      </c>
      <c r="H441" s="387" t="s">
        <v>2180</v>
      </c>
      <c r="I441" s="387" t="s">
        <v>2720</v>
      </c>
      <c r="J441" s="387" t="s">
        <v>4219</v>
      </c>
      <c r="K441" s="387" t="s">
        <v>4220</v>
      </c>
      <c r="L441" s="387" t="s">
        <v>562</v>
      </c>
      <c r="M441" s="387" t="s">
        <v>563</v>
      </c>
      <c r="N441" s="388">
        <v>638.25</v>
      </c>
      <c r="O441" s="388">
        <v>14</v>
      </c>
      <c r="P441" s="387" t="s">
        <v>538</v>
      </c>
      <c r="Q441" s="387" t="s">
        <v>539</v>
      </c>
      <c r="R441" s="387" t="s">
        <v>4221</v>
      </c>
      <c r="S441" s="387" t="s">
        <v>541</v>
      </c>
      <c r="T441" s="387" t="s">
        <v>1908</v>
      </c>
      <c r="U441" s="388">
        <v>7614</v>
      </c>
      <c r="V441" s="387">
        <v>6003787034033</v>
      </c>
      <c r="W441" s="387">
        <v>6003787034033</v>
      </c>
      <c r="X441" s="387" t="s">
        <v>543</v>
      </c>
      <c r="Y441" s="387" t="s">
        <v>543</v>
      </c>
      <c r="Z441" s="387" t="s">
        <v>543</v>
      </c>
      <c r="AA441" s="388" t="s">
        <v>543</v>
      </c>
      <c r="AB441" s="388" t="s">
        <v>543</v>
      </c>
      <c r="AC441" s="387">
        <v>722367015</v>
      </c>
      <c r="AD441" s="389">
        <v>20</v>
      </c>
      <c r="AE441" s="390">
        <v>44949</v>
      </c>
      <c r="AF441" s="390">
        <v>45473</v>
      </c>
      <c r="AG441" s="391" t="s">
        <v>545</v>
      </c>
      <c r="AH441" s="391" t="s">
        <v>4222</v>
      </c>
      <c r="AI441" s="391" t="s">
        <v>565</v>
      </c>
      <c r="AJ441" s="391">
        <v>0</v>
      </c>
      <c r="AK441" s="390">
        <v>44949</v>
      </c>
      <c r="AL441" s="389">
        <v>100</v>
      </c>
      <c r="AM441" s="391" t="s">
        <v>548</v>
      </c>
      <c r="AN441" s="391" t="s">
        <v>549</v>
      </c>
      <c r="AO441" s="391" t="s">
        <v>4223</v>
      </c>
    </row>
    <row r="442" spans="1:42" ht="16" thickBot="1">
      <c r="A442" s="387" t="s">
        <v>1717</v>
      </c>
      <c r="B442" s="387" t="s">
        <v>4224</v>
      </c>
      <c r="C442" s="387" t="s">
        <v>4225</v>
      </c>
      <c r="D442" s="387" t="s">
        <v>4226</v>
      </c>
      <c r="E442" s="387">
        <v>100</v>
      </c>
      <c r="F442" s="387" t="s">
        <v>584</v>
      </c>
      <c r="G442" s="387">
        <v>100</v>
      </c>
      <c r="H442" s="387" t="s">
        <v>584</v>
      </c>
      <c r="I442" s="387" t="s">
        <v>585</v>
      </c>
      <c r="J442" s="387" t="s">
        <v>4227</v>
      </c>
      <c r="K442" s="387" t="s">
        <v>4228</v>
      </c>
      <c r="L442" s="387" t="s">
        <v>2062</v>
      </c>
      <c r="M442" s="387" t="s">
        <v>2063</v>
      </c>
      <c r="N442" s="388">
        <v>21.26</v>
      </c>
      <c r="O442" s="388">
        <v>14</v>
      </c>
      <c r="P442" s="387" t="s">
        <v>538</v>
      </c>
      <c r="Q442" s="387" t="s">
        <v>539</v>
      </c>
      <c r="R442" s="387" t="s">
        <v>4229</v>
      </c>
      <c r="S442" s="387" t="s">
        <v>171</v>
      </c>
      <c r="T442" s="387" t="s">
        <v>542</v>
      </c>
      <c r="U442" s="388">
        <v>372863</v>
      </c>
      <c r="V442" s="387" t="s">
        <v>543</v>
      </c>
      <c r="W442" s="387" t="s">
        <v>543</v>
      </c>
      <c r="X442" s="387" t="s">
        <v>543</v>
      </c>
      <c r="Y442" s="387" t="s">
        <v>543</v>
      </c>
      <c r="Z442" s="387" t="s">
        <v>543</v>
      </c>
      <c r="AA442" s="388" t="s">
        <v>543</v>
      </c>
      <c r="AB442" s="388" t="s">
        <v>543</v>
      </c>
      <c r="AC442" s="387" t="s">
        <v>543</v>
      </c>
      <c r="AD442" s="389">
        <v>100</v>
      </c>
      <c r="AE442" s="390">
        <v>45047</v>
      </c>
      <c r="AF442" s="390">
        <v>46142</v>
      </c>
      <c r="AG442" s="391" t="s">
        <v>545</v>
      </c>
      <c r="AH442" s="391" t="s">
        <v>4230</v>
      </c>
      <c r="AI442" s="391" t="s">
        <v>2064</v>
      </c>
      <c r="AJ442" s="391">
        <v>0</v>
      </c>
      <c r="AK442" s="390">
        <v>45047</v>
      </c>
      <c r="AL442" s="389">
        <v>20</v>
      </c>
      <c r="AM442" s="391" t="s">
        <v>548</v>
      </c>
      <c r="AN442" s="391" t="s">
        <v>549</v>
      </c>
      <c r="AO442" s="391" t="s">
        <v>4231</v>
      </c>
    </row>
    <row r="443" spans="1:42" ht="16" thickBot="1">
      <c r="A443" s="387" t="s">
        <v>1717</v>
      </c>
      <c r="B443" s="387" t="s">
        <v>4224</v>
      </c>
      <c r="C443" s="387" t="s">
        <v>4225</v>
      </c>
      <c r="D443" s="387" t="s">
        <v>4226</v>
      </c>
      <c r="E443" s="387">
        <v>100</v>
      </c>
      <c r="F443" s="387" t="s">
        <v>584</v>
      </c>
      <c r="G443" s="387">
        <v>100</v>
      </c>
      <c r="H443" s="387" t="s">
        <v>584</v>
      </c>
      <c r="I443" s="387" t="s">
        <v>585</v>
      </c>
      <c r="J443" s="387" t="s">
        <v>4227</v>
      </c>
      <c r="K443" s="387" t="s">
        <v>4232</v>
      </c>
      <c r="L443" s="387" t="s">
        <v>2141</v>
      </c>
      <c r="M443" s="387" t="s">
        <v>2142</v>
      </c>
      <c r="N443" s="388">
        <v>19.03</v>
      </c>
      <c r="O443" s="388">
        <v>14</v>
      </c>
      <c r="P443" s="387" t="s">
        <v>538</v>
      </c>
      <c r="Q443" s="387" t="s">
        <v>539</v>
      </c>
      <c r="R443" s="387" t="s">
        <v>4229</v>
      </c>
      <c r="S443" s="387" t="s">
        <v>171</v>
      </c>
      <c r="T443" s="387" t="s">
        <v>542</v>
      </c>
      <c r="U443" s="388">
        <v>1491452</v>
      </c>
      <c r="V443" s="387">
        <v>614143105852</v>
      </c>
      <c r="W443" s="387" t="s">
        <v>543</v>
      </c>
      <c r="X443" s="387" t="s">
        <v>543</v>
      </c>
      <c r="Y443" s="387">
        <v>6141431058521</v>
      </c>
      <c r="Z443" s="387" t="s">
        <v>543</v>
      </c>
      <c r="AA443" s="388" t="s">
        <v>543</v>
      </c>
      <c r="AB443" s="388" t="s">
        <v>543</v>
      </c>
      <c r="AC443" s="387">
        <v>838713018</v>
      </c>
      <c r="AD443" s="389">
        <v>100</v>
      </c>
      <c r="AE443" s="390">
        <v>45047</v>
      </c>
      <c r="AF443" s="390">
        <v>46142</v>
      </c>
      <c r="AG443" s="391" t="s">
        <v>545</v>
      </c>
      <c r="AH443" s="391" t="s">
        <v>4230</v>
      </c>
      <c r="AI443" s="391" t="s">
        <v>2144</v>
      </c>
      <c r="AJ443" s="391">
        <v>0</v>
      </c>
      <c r="AK443" s="390">
        <v>45047</v>
      </c>
      <c r="AL443" s="389">
        <v>80</v>
      </c>
      <c r="AM443" s="391" t="s">
        <v>548</v>
      </c>
      <c r="AN443" s="391" t="s">
        <v>549</v>
      </c>
      <c r="AO443" s="391" t="s">
        <v>4231</v>
      </c>
    </row>
    <row r="444" spans="1:42" ht="16" thickBot="1">
      <c r="A444" s="387" t="s">
        <v>1717</v>
      </c>
      <c r="B444" s="387" t="s">
        <v>4233</v>
      </c>
      <c r="C444" s="387" t="s">
        <v>4234</v>
      </c>
      <c r="D444" s="387" t="s">
        <v>4235</v>
      </c>
      <c r="E444" s="387">
        <v>28</v>
      </c>
      <c r="F444" s="387" t="s">
        <v>584</v>
      </c>
      <c r="G444" s="387">
        <v>28</v>
      </c>
      <c r="H444" s="387" t="s">
        <v>584</v>
      </c>
      <c r="I444" s="387" t="s">
        <v>585</v>
      </c>
      <c r="J444" s="387" t="s">
        <v>4227</v>
      </c>
      <c r="K444" s="387" t="s">
        <v>4236</v>
      </c>
      <c r="L444" s="387" t="s">
        <v>1829</v>
      </c>
      <c r="M444" s="387" t="s">
        <v>1830</v>
      </c>
      <c r="N444" s="388">
        <v>6.88</v>
      </c>
      <c r="O444" s="388">
        <v>14</v>
      </c>
      <c r="P444" s="387" t="s">
        <v>538</v>
      </c>
      <c r="Q444" s="387" t="s">
        <v>539</v>
      </c>
      <c r="R444" s="387" t="s">
        <v>4229</v>
      </c>
      <c r="S444" s="387" t="s">
        <v>171</v>
      </c>
      <c r="T444" s="387" t="s">
        <v>542</v>
      </c>
      <c r="U444" s="388">
        <v>895489</v>
      </c>
      <c r="V444" s="387">
        <v>6009694781671</v>
      </c>
      <c r="W444" s="387">
        <v>6009694781671</v>
      </c>
      <c r="X444" s="387" t="s">
        <v>543</v>
      </c>
      <c r="Y444" s="387">
        <v>16009694781678</v>
      </c>
      <c r="Z444" s="387" t="s">
        <v>543</v>
      </c>
      <c r="AA444" s="388" t="s">
        <v>543</v>
      </c>
      <c r="AB444" s="388" t="s">
        <v>543</v>
      </c>
      <c r="AC444" s="387">
        <v>719658001</v>
      </c>
      <c r="AD444" s="389">
        <v>10</v>
      </c>
      <c r="AE444" s="390">
        <v>45047</v>
      </c>
      <c r="AF444" s="390">
        <v>46142</v>
      </c>
      <c r="AG444" s="391" t="s">
        <v>545</v>
      </c>
      <c r="AH444" s="391" t="s">
        <v>4237</v>
      </c>
      <c r="AI444" s="391" t="s">
        <v>1833</v>
      </c>
      <c r="AJ444" s="391">
        <v>0</v>
      </c>
      <c r="AK444" s="390">
        <v>45047</v>
      </c>
      <c r="AL444" s="389">
        <v>20</v>
      </c>
      <c r="AM444" s="391" t="s">
        <v>548</v>
      </c>
      <c r="AN444" s="391" t="s">
        <v>549</v>
      </c>
      <c r="AO444" s="391" t="s">
        <v>4231</v>
      </c>
    </row>
    <row r="445" spans="1:42" ht="16" thickBot="1">
      <c r="A445" s="387" t="s">
        <v>1717</v>
      </c>
      <c r="B445" s="387" t="s">
        <v>4233</v>
      </c>
      <c r="C445" s="387" t="s">
        <v>4234</v>
      </c>
      <c r="D445" s="387" t="s">
        <v>4235</v>
      </c>
      <c r="E445" s="387">
        <v>28</v>
      </c>
      <c r="F445" s="387" t="s">
        <v>584</v>
      </c>
      <c r="G445" s="387">
        <v>28</v>
      </c>
      <c r="H445" s="387" t="s">
        <v>584</v>
      </c>
      <c r="I445" s="387" t="s">
        <v>585</v>
      </c>
      <c r="J445" s="387" t="s">
        <v>4227</v>
      </c>
      <c r="K445" s="387" t="s">
        <v>4232</v>
      </c>
      <c r="L445" s="387" t="s">
        <v>2141</v>
      </c>
      <c r="M445" s="387" t="s">
        <v>2142</v>
      </c>
      <c r="N445" s="388">
        <v>6.06</v>
      </c>
      <c r="O445" s="388">
        <v>14</v>
      </c>
      <c r="P445" s="387" t="s">
        <v>538</v>
      </c>
      <c r="Q445" s="387" t="s">
        <v>539</v>
      </c>
      <c r="R445" s="387" t="s">
        <v>4229</v>
      </c>
      <c r="S445" s="387" t="s">
        <v>171</v>
      </c>
      <c r="T445" s="387" t="s">
        <v>542</v>
      </c>
      <c r="U445" s="388">
        <v>3581956</v>
      </c>
      <c r="V445" s="387">
        <v>614143105845</v>
      </c>
      <c r="W445" s="387" t="s">
        <v>543</v>
      </c>
      <c r="X445" s="387" t="s">
        <v>543</v>
      </c>
      <c r="Y445" s="387">
        <v>6141431058451</v>
      </c>
      <c r="Z445" s="387" t="s">
        <v>543</v>
      </c>
      <c r="AA445" s="388" t="s">
        <v>543</v>
      </c>
      <c r="AB445" s="388" t="s">
        <v>543</v>
      </c>
      <c r="AC445" s="387" t="s">
        <v>543</v>
      </c>
      <c r="AD445" s="389">
        <v>10</v>
      </c>
      <c r="AE445" s="390">
        <v>45047</v>
      </c>
      <c r="AF445" s="390">
        <v>46142</v>
      </c>
      <c r="AG445" s="391" t="s">
        <v>545</v>
      </c>
      <c r="AH445" s="391" t="s">
        <v>4237</v>
      </c>
      <c r="AI445" s="391" t="s">
        <v>2144</v>
      </c>
      <c r="AJ445" s="391">
        <v>0</v>
      </c>
      <c r="AK445" s="390">
        <v>45047</v>
      </c>
      <c r="AL445" s="389">
        <v>80</v>
      </c>
      <c r="AM445" s="391" t="s">
        <v>548</v>
      </c>
      <c r="AN445" s="391" t="s">
        <v>549</v>
      </c>
      <c r="AO445" s="391" t="s">
        <v>4231</v>
      </c>
    </row>
    <row r="446" spans="1:42" ht="16" thickBot="1">
      <c r="A446" s="387" t="s">
        <v>1717</v>
      </c>
      <c r="B446" s="387" t="s">
        <v>4238</v>
      </c>
      <c r="C446" s="387" t="s">
        <v>4239</v>
      </c>
      <c r="D446" s="387" t="s">
        <v>4240</v>
      </c>
      <c r="E446" s="387">
        <v>28</v>
      </c>
      <c r="F446" s="387" t="s">
        <v>559</v>
      </c>
      <c r="G446" s="387">
        <v>28</v>
      </c>
      <c r="H446" s="387" t="s">
        <v>559</v>
      </c>
      <c r="I446" s="387" t="s">
        <v>560</v>
      </c>
      <c r="J446" s="387" t="s">
        <v>4227</v>
      </c>
      <c r="K446" s="387" t="s">
        <v>4241</v>
      </c>
      <c r="L446" s="387" t="s">
        <v>535</v>
      </c>
      <c r="M446" s="387" t="s">
        <v>536</v>
      </c>
      <c r="N446" s="388">
        <v>11.31</v>
      </c>
      <c r="O446" s="388">
        <v>14</v>
      </c>
      <c r="P446" s="387" t="s">
        <v>538</v>
      </c>
      <c r="Q446" s="387" t="s">
        <v>539</v>
      </c>
      <c r="R446" s="387" t="s">
        <v>4229</v>
      </c>
      <c r="S446" s="387" t="s">
        <v>171</v>
      </c>
      <c r="T446" s="387" t="s">
        <v>542</v>
      </c>
      <c r="U446" s="388">
        <v>444019</v>
      </c>
      <c r="V446" s="387" t="s">
        <v>543</v>
      </c>
      <c r="W446" s="387" t="s">
        <v>543</v>
      </c>
      <c r="X446" s="387" t="s">
        <v>543</v>
      </c>
      <c r="Y446" s="387" t="s">
        <v>543</v>
      </c>
      <c r="Z446" s="387" t="s">
        <v>543</v>
      </c>
      <c r="AA446" s="388" t="s">
        <v>543</v>
      </c>
      <c r="AB446" s="388" t="s">
        <v>543</v>
      </c>
      <c r="AC446" s="387" t="s">
        <v>543</v>
      </c>
      <c r="AD446" s="389">
        <v>100</v>
      </c>
      <c r="AE446" s="390">
        <v>45047</v>
      </c>
      <c r="AF446" s="390">
        <v>46142</v>
      </c>
      <c r="AG446" s="391" t="s">
        <v>545</v>
      </c>
      <c r="AH446" s="391" t="s">
        <v>4242</v>
      </c>
      <c r="AI446" s="391" t="s">
        <v>547</v>
      </c>
      <c r="AJ446" s="391">
        <v>0</v>
      </c>
      <c r="AK446" s="390">
        <v>45047</v>
      </c>
      <c r="AL446" s="389">
        <v>75</v>
      </c>
      <c r="AM446" s="391" t="s">
        <v>548</v>
      </c>
      <c r="AN446" s="391" t="s">
        <v>549</v>
      </c>
      <c r="AO446" s="391" t="s">
        <v>4243</v>
      </c>
    </row>
    <row r="447" spans="1:42" ht="16" thickBot="1">
      <c r="A447" s="387" t="s">
        <v>1748</v>
      </c>
      <c r="B447" s="387" t="s">
        <v>2671</v>
      </c>
      <c r="C447" s="387" t="s">
        <v>4244</v>
      </c>
      <c r="D447" s="387" t="s">
        <v>4245</v>
      </c>
      <c r="E447" s="387">
        <v>1</v>
      </c>
      <c r="F447" s="387" t="s">
        <v>531</v>
      </c>
      <c r="G447" s="387">
        <v>1</v>
      </c>
      <c r="H447" s="387" t="s">
        <v>531</v>
      </c>
      <c r="I447" s="387" t="s">
        <v>1751</v>
      </c>
      <c r="J447" s="387" t="s">
        <v>4246</v>
      </c>
      <c r="K447" s="387" t="s">
        <v>4247</v>
      </c>
      <c r="L447" s="387" t="s">
        <v>4248</v>
      </c>
      <c r="M447" s="387" t="s">
        <v>4249</v>
      </c>
      <c r="N447" s="388">
        <v>36.06</v>
      </c>
      <c r="O447" s="388">
        <v>14</v>
      </c>
      <c r="P447" s="387" t="s">
        <v>538</v>
      </c>
      <c r="Q447" s="387" t="s">
        <v>539</v>
      </c>
      <c r="R447" s="387" t="s">
        <v>4250</v>
      </c>
      <c r="S447" s="387" t="s">
        <v>541</v>
      </c>
      <c r="T447" s="387" t="s">
        <v>542</v>
      </c>
      <c r="U447" s="388">
        <v>1507530</v>
      </c>
      <c r="V447" s="387">
        <v>600610212008</v>
      </c>
      <c r="W447" s="387" t="s">
        <v>543</v>
      </c>
      <c r="X447" s="387" t="s">
        <v>543</v>
      </c>
      <c r="Y447" s="387">
        <v>1600610210005</v>
      </c>
      <c r="Z447" s="387" t="s">
        <v>543</v>
      </c>
      <c r="AA447" s="388" t="s">
        <v>543</v>
      </c>
      <c r="AB447" s="388" t="s">
        <v>543</v>
      </c>
      <c r="AC447" s="387">
        <v>726672004</v>
      </c>
      <c r="AD447" s="389">
        <v>5</v>
      </c>
      <c r="AE447" s="390">
        <v>44317</v>
      </c>
      <c r="AF447" s="390">
        <v>45412</v>
      </c>
      <c r="AG447" s="391" t="s">
        <v>545</v>
      </c>
      <c r="AH447" s="391" t="s">
        <v>4251</v>
      </c>
      <c r="AI447" s="391" t="s">
        <v>4252</v>
      </c>
      <c r="AJ447" s="391">
        <v>0</v>
      </c>
      <c r="AK447" s="390">
        <v>44317</v>
      </c>
      <c r="AL447" s="389">
        <v>100</v>
      </c>
      <c r="AM447" s="391" t="s">
        <v>548</v>
      </c>
      <c r="AN447" s="391" t="s">
        <v>549</v>
      </c>
      <c r="AO447" s="391" t="s">
        <v>4253</v>
      </c>
    </row>
    <row r="448" spans="1:42" ht="16" thickBot="1">
      <c r="A448" s="387" t="s">
        <v>2412</v>
      </c>
      <c r="B448" s="387" t="s">
        <v>2679</v>
      </c>
      <c r="C448" s="387" t="s">
        <v>4254</v>
      </c>
      <c r="D448" s="387" t="s">
        <v>4255</v>
      </c>
      <c r="E448" s="387">
        <v>120</v>
      </c>
      <c r="F448" s="387" t="s">
        <v>2405</v>
      </c>
      <c r="G448" s="387">
        <v>120</v>
      </c>
      <c r="H448" s="387" t="s">
        <v>2405</v>
      </c>
      <c r="I448" s="387" t="s">
        <v>2438</v>
      </c>
      <c r="J448" s="387" t="s">
        <v>4256</v>
      </c>
      <c r="K448" s="387" t="s">
        <v>4257</v>
      </c>
      <c r="L448" s="387" t="s">
        <v>675</v>
      </c>
      <c r="M448" s="387" t="s">
        <v>676</v>
      </c>
      <c r="N448" s="388">
        <v>24.81</v>
      </c>
      <c r="O448" s="388">
        <v>14</v>
      </c>
      <c r="P448" s="387" t="s">
        <v>538</v>
      </c>
      <c r="Q448" s="387" t="s">
        <v>539</v>
      </c>
      <c r="R448" s="387" t="s">
        <v>4258</v>
      </c>
      <c r="S448" s="387" t="s">
        <v>614</v>
      </c>
      <c r="T448" s="387" t="s">
        <v>542</v>
      </c>
      <c r="U448" s="388">
        <v>3600000</v>
      </c>
      <c r="V448" s="387">
        <v>6006352014386</v>
      </c>
      <c r="W448" s="387">
        <v>6006352014393</v>
      </c>
      <c r="X448" s="387" t="s">
        <v>543</v>
      </c>
      <c r="Y448" s="387">
        <v>6006352017141</v>
      </c>
      <c r="Z448" s="387" t="s">
        <v>543</v>
      </c>
      <c r="AA448" s="388" t="s">
        <v>543</v>
      </c>
      <c r="AB448" s="388" t="s">
        <v>543</v>
      </c>
      <c r="AC448" s="387" t="s">
        <v>543</v>
      </c>
      <c r="AD448" s="389" t="s">
        <v>2440</v>
      </c>
      <c r="AE448" s="390">
        <v>44137</v>
      </c>
      <c r="AF448" s="390">
        <v>45107</v>
      </c>
      <c r="AG448" s="390">
        <v>45107</v>
      </c>
      <c r="AH448" s="391" t="s">
        <v>4259</v>
      </c>
      <c r="AI448" s="391" t="s">
        <v>679</v>
      </c>
      <c r="AJ448" s="391">
        <v>3</v>
      </c>
      <c r="AK448" s="390">
        <v>45047</v>
      </c>
      <c r="AL448" s="389">
        <v>95</v>
      </c>
      <c r="AM448" s="391" t="s">
        <v>548</v>
      </c>
      <c r="AN448" s="391" t="s">
        <v>545</v>
      </c>
      <c r="AO448" s="391" t="s">
        <v>4260</v>
      </c>
    </row>
    <row r="449" spans="1:43" ht="16" thickBot="1">
      <c r="A449" s="387" t="s">
        <v>1717</v>
      </c>
      <c r="B449" s="387" t="s">
        <v>4261</v>
      </c>
      <c r="C449" s="387" t="s">
        <v>4262</v>
      </c>
      <c r="D449" s="387" t="s">
        <v>4263</v>
      </c>
      <c r="E449" s="387">
        <v>100</v>
      </c>
      <c r="F449" s="387" t="s">
        <v>559</v>
      </c>
      <c r="G449" s="387" t="s">
        <v>543</v>
      </c>
      <c r="H449" s="387" t="s">
        <v>559</v>
      </c>
      <c r="I449" s="387" t="s">
        <v>560</v>
      </c>
      <c r="J449" s="387" t="s">
        <v>4264</v>
      </c>
      <c r="K449" s="387" t="s">
        <v>4265</v>
      </c>
      <c r="L449" s="387" t="s">
        <v>1771</v>
      </c>
      <c r="M449" s="387" t="s">
        <v>1772</v>
      </c>
      <c r="N449" s="388">
        <v>12.11</v>
      </c>
      <c r="O449" s="388">
        <v>14</v>
      </c>
      <c r="P449" s="387" t="s">
        <v>538</v>
      </c>
      <c r="Q449" s="387" t="s">
        <v>539</v>
      </c>
      <c r="R449" s="387" t="s">
        <v>4266</v>
      </c>
      <c r="S449" s="387" t="s">
        <v>171</v>
      </c>
      <c r="T449" s="387" t="s">
        <v>542</v>
      </c>
      <c r="U449" s="388">
        <v>660841</v>
      </c>
      <c r="V449" s="387">
        <v>6006882000491</v>
      </c>
      <c r="W449" s="387">
        <v>6006882000491</v>
      </c>
      <c r="X449" s="387" t="s">
        <v>543</v>
      </c>
      <c r="Y449" s="387">
        <v>16006882000498</v>
      </c>
      <c r="Z449" s="387" t="s">
        <v>543</v>
      </c>
      <c r="AA449" s="388" t="s">
        <v>543</v>
      </c>
      <c r="AB449" s="388" t="s">
        <v>543</v>
      </c>
      <c r="AC449" s="387">
        <v>810967015</v>
      </c>
      <c r="AD449" s="389">
        <v>200</v>
      </c>
      <c r="AE449" s="390">
        <v>45047</v>
      </c>
      <c r="AF449" s="390">
        <v>46142</v>
      </c>
      <c r="AG449" s="391" t="s">
        <v>545</v>
      </c>
      <c r="AH449" s="391" t="s">
        <v>4267</v>
      </c>
      <c r="AI449" s="391" t="s">
        <v>1776</v>
      </c>
      <c r="AJ449" s="391">
        <v>0</v>
      </c>
      <c r="AK449" s="390">
        <v>45047</v>
      </c>
      <c r="AL449" s="389">
        <v>100</v>
      </c>
      <c r="AM449" s="391" t="s">
        <v>548</v>
      </c>
      <c r="AN449" s="391" t="s">
        <v>549</v>
      </c>
      <c r="AO449" s="391" t="s">
        <v>4268</v>
      </c>
      <c r="AP449" s="372">
        <f>N449/E449</f>
        <v>0.1211</v>
      </c>
      <c r="AQ449" s="372">
        <f>SUMPRODUCT(AP449:AP451,U449:U451)/SUM(U449:U451)</f>
        <v>0.19315423345580862</v>
      </c>
    </row>
    <row r="450" spans="1:43" ht="16" thickBot="1">
      <c r="A450" s="387" t="s">
        <v>1717</v>
      </c>
      <c r="B450" s="387" t="s">
        <v>4269</v>
      </c>
      <c r="C450" s="387" t="s">
        <v>4270</v>
      </c>
      <c r="D450" s="387" t="s">
        <v>4271</v>
      </c>
      <c r="E450" s="387">
        <v>28</v>
      </c>
      <c r="F450" s="387" t="s">
        <v>559</v>
      </c>
      <c r="G450" s="387" t="s">
        <v>543</v>
      </c>
      <c r="H450" s="387" t="s">
        <v>559</v>
      </c>
      <c r="I450" s="387" t="s">
        <v>560</v>
      </c>
      <c r="J450" s="387" t="s">
        <v>4264</v>
      </c>
      <c r="K450" s="387" t="s">
        <v>4265</v>
      </c>
      <c r="L450" s="387" t="s">
        <v>1771</v>
      </c>
      <c r="M450" s="387" t="s">
        <v>1772</v>
      </c>
      <c r="N450" s="388">
        <v>4.75</v>
      </c>
      <c r="O450" s="388">
        <v>14</v>
      </c>
      <c r="P450" s="387" t="s">
        <v>538</v>
      </c>
      <c r="Q450" s="387" t="s">
        <v>539</v>
      </c>
      <c r="R450" s="387" t="s">
        <v>4266</v>
      </c>
      <c r="S450" s="387" t="s">
        <v>171</v>
      </c>
      <c r="T450" s="387" t="s">
        <v>542</v>
      </c>
      <c r="U450" s="388">
        <v>12420000</v>
      </c>
      <c r="V450" s="387">
        <v>6006882000064</v>
      </c>
      <c r="W450" s="387">
        <v>6006882000064</v>
      </c>
      <c r="X450" s="387" t="s">
        <v>543</v>
      </c>
      <c r="Y450" s="387">
        <v>16006882000061</v>
      </c>
      <c r="Z450" s="387" t="s">
        <v>543</v>
      </c>
      <c r="AA450" s="388" t="s">
        <v>543</v>
      </c>
      <c r="AB450" s="388" t="s">
        <v>543</v>
      </c>
      <c r="AC450" s="387" t="s">
        <v>543</v>
      </c>
      <c r="AD450" s="389">
        <v>28</v>
      </c>
      <c r="AE450" s="390">
        <v>45047</v>
      </c>
      <c r="AF450" s="390">
        <v>46142</v>
      </c>
      <c r="AG450" s="391" t="s">
        <v>545</v>
      </c>
      <c r="AH450" s="391" t="s">
        <v>4272</v>
      </c>
      <c r="AI450" s="391" t="s">
        <v>1776</v>
      </c>
      <c r="AJ450" s="391">
        <v>0</v>
      </c>
      <c r="AK450" s="390">
        <v>45047</v>
      </c>
      <c r="AL450" s="389">
        <v>43.17</v>
      </c>
      <c r="AM450" s="391" t="s">
        <v>548</v>
      </c>
      <c r="AN450" s="391" t="s">
        <v>549</v>
      </c>
      <c r="AO450" s="391" t="s">
        <v>4268</v>
      </c>
      <c r="AP450" s="372">
        <f t="shared" ref="AP450:AP451" si="16">N450/E450</f>
        <v>0.16964285714285715</v>
      </c>
    </row>
    <row r="451" spans="1:43" ht="16" thickBot="1">
      <c r="A451" s="387" t="s">
        <v>1717</v>
      </c>
      <c r="B451" s="387" t="s">
        <v>4269</v>
      </c>
      <c r="C451" s="387" t="s">
        <v>4270</v>
      </c>
      <c r="D451" s="387" t="s">
        <v>4271</v>
      </c>
      <c r="E451" s="387">
        <v>28</v>
      </c>
      <c r="F451" s="387" t="s">
        <v>559</v>
      </c>
      <c r="G451" s="387" t="s">
        <v>543</v>
      </c>
      <c r="H451" s="387" t="s">
        <v>559</v>
      </c>
      <c r="I451" s="387" t="s">
        <v>560</v>
      </c>
      <c r="J451" s="387" t="s">
        <v>4264</v>
      </c>
      <c r="K451" s="387" t="s">
        <v>4273</v>
      </c>
      <c r="L451" s="387" t="s">
        <v>2031</v>
      </c>
      <c r="M451" s="387" t="s">
        <v>2032</v>
      </c>
      <c r="N451" s="388">
        <v>5.99</v>
      </c>
      <c r="O451" s="388">
        <v>14</v>
      </c>
      <c r="P451" s="387" t="s">
        <v>538</v>
      </c>
      <c r="Q451" s="387" t="s">
        <v>539</v>
      </c>
      <c r="R451" s="387" t="s">
        <v>4266</v>
      </c>
      <c r="S451" s="387" t="s">
        <v>171</v>
      </c>
      <c r="T451" s="387" t="s">
        <v>542</v>
      </c>
      <c r="U451" s="388">
        <v>16348424</v>
      </c>
      <c r="V451" s="387" t="s">
        <v>543</v>
      </c>
      <c r="W451" s="387" t="s">
        <v>543</v>
      </c>
      <c r="X451" s="387" t="s">
        <v>543</v>
      </c>
      <c r="Y451" s="387" t="s">
        <v>543</v>
      </c>
      <c r="Z451" s="387" t="s">
        <v>543</v>
      </c>
      <c r="AA451" s="388" t="s">
        <v>543</v>
      </c>
      <c r="AB451" s="388" t="s">
        <v>543</v>
      </c>
      <c r="AC451" s="387" t="s">
        <v>543</v>
      </c>
      <c r="AD451" s="389">
        <v>50</v>
      </c>
      <c r="AE451" s="390">
        <v>45047</v>
      </c>
      <c r="AF451" s="390">
        <v>46142</v>
      </c>
      <c r="AG451" s="391" t="s">
        <v>545</v>
      </c>
      <c r="AH451" s="391" t="s">
        <v>4272</v>
      </c>
      <c r="AI451" s="391" t="s">
        <v>2033</v>
      </c>
      <c r="AJ451" s="391">
        <v>0</v>
      </c>
      <c r="AK451" s="390">
        <v>45047</v>
      </c>
      <c r="AL451" s="389">
        <v>56.83</v>
      </c>
      <c r="AM451" s="391" t="s">
        <v>548</v>
      </c>
      <c r="AN451" s="391" t="s">
        <v>549</v>
      </c>
      <c r="AO451" s="391" t="s">
        <v>4268</v>
      </c>
      <c r="AP451" s="372">
        <f t="shared" si="16"/>
        <v>0.21392857142857144</v>
      </c>
    </row>
    <row r="452" spans="1:43" ht="16" thickBot="1">
      <c r="A452" s="387" t="s">
        <v>1729</v>
      </c>
      <c r="B452" s="387" t="s">
        <v>990</v>
      </c>
      <c r="C452" s="387" t="s">
        <v>4274</v>
      </c>
      <c r="D452" s="387" t="s">
        <v>4275</v>
      </c>
      <c r="E452" s="387">
        <v>1</v>
      </c>
      <c r="F452" s="387" t="s">
        <v>2746</v>
      </c>
      <c r="G452" s="387">
        <v>1</v>
      </c>
      <c r="H452" s="387" t="s">
        <v>2746</v>
      </c>
      <c r="I452" s="387" t="s">
        <v>532</v>
      </c>
      <c r="J452" s="387" t="s">
        <v>4276</v>
      </c>
      <c r="K452" s="387" t="s">
        <v>4277</v>
      </c>
      <c r="L452" s="387" t="s">
        <v>1735</v>
      </c>
      <c r="M452" s="387" t="s">
        <v>1736</v>
      </c>
      <c r="N452" s="388">
        <v>29</v>
      </c>
      <c r="O452" s="388">
        <v>14</v>
      </c>
      <c r="P452" s="387" t="s">
        <v>379</v>
      </c>
      <c r="Q452" s="387" t="s">
        <v>160</v>
      </c>
      <c r="R452" s="387" t="s">
        <v>4278</v>
      </c>
      <c r="S452" s="387" t="s">
        <v>160</v>
      </c>
      <c r="T452" s="387" t="s">
        <v>160</v>
      </c>
      <c r="U452" s="388">
        <v>9354</v>
      </c>
      <c r="V452" s="387" t="s">
        <v>543</v>
      </c>
      <c r="W452" s="387" t="s">
        <v>543</v>
      </c>
      <c r="X452" s="387" t="s">
        <v>543</v>
      </c>
      <c r="Y452" s="387" t="s">
        <v>543</v>
      </c>
      <c r="Z452" s="387" t="s">
        <v>543</v>
      </c>
      <c r="AA452" s="388" t="s">
        <v>543</v>
      </c>
      <c r="AB452" s="388" t="s">
        <v>543</v>
      </c>
      <c r="AC452" s="387" t="s">
        <v>543</v>
      </c>
      <c r="AD452" s="389">
        <v>20</v>
      </c>
      <c r="AE452" s="390">
        <v>44105</v>
      </c>
      <c r="AF452" s="390">
        <v>45199</v>
      </c>
      <c r="AG452" s="390">
        <v>45199</v>
      </c>
      <c r="AH452" s="391" t="s">
        <v>545</v>
      </c>
      <c r="AI452" s="391" t="s">
        <v>1739</v>
      </c>
      <c r="AJ452" s="391">
        <v>0</v>
      </c>
      <c r="AK452" s="390">
        <v>44105</v>
      </c>
      <c r="AL452" s="389">
        <v>100</v>
      </c>
      <c r="AM452" s="391" t="s">
        <v>548</v>
      </c>
      <c r="AN452" s="391" t="s">
        <v>545</v>
      </c>
      <c r="AO452" s="391" t="s">
        <v>4279</v>
      </c>
    </row>
    <row r="453" spans="1:43" ht="16" thickBot="1">
      <c r="A453" s="387" t="s">
        <v>2412</v>
      </c>
      <c r="B453" s="387" t="s">
        <v>2776</v>
      </c>
      <c r="C453" s="387" t="s">
        <v>4280</v>
      </c>
      <c r="D453" s="387" t="s">
        <v>4281</v>
      </c>
      <c r="E453" s="387">
        <v>120</v>
      </c>
      <c r="F453" s="387" t="s">
        <v>2405</v>
      </c>
      <c r="G453" s="387">
        <v>50</v>
      </c>
      <c r="H453" s="387" t="s">
        <v>2405</v>
      </c>
      <c r="I453" s="387" t="s">
        <v>2406</v>
      </c>
      <c r="J453" s="387" t="s">
        <v>4282</v>
      </c>
      <c r="K453" s="387" t="s">
        <v>4283</v>
      </c>
      <c r="L453" s="387" t="s">
        <v>675</v>
      </c>
      <c r="M453" s="387" t="s">
        <v>676</v>
      </c>
      <c r="N453" s="388">
        <v>70.89</v>
      </c>
      <c r="O453" s="388">
        <v>14</v>
      </c>
      <c r="P453" s="387" t="s">
        <v>538</v>
      </c>
      <c r="Q453" s="387" t="s">
        <v>539</v>
      </c>
      <c r="R453" s="387" t="s">
        <v>4284</v>
      </c>
      <c r="S453" s="387" t="s">
        <v>171</v>
      </c>
      <c r="T453" s="387" t="s">
        <v>542</v>
      </c>
      <c r="U453" s="388">
        <v>50254</v>
      </c>
      <c r="V453" s="387">
        <v>60063520011446</v>
      </c>
      <c r="W453" s="387" t="s">
        <v>543</v>
      </c>
      <c r="X453" s="387" t="s">
        <v>543</v>
      </c>
      <c r="Y453" s="387">
        <v>6006352011453</v>
      </c>
      <c r="Z453" s="387" t="s">
        <v>543</v>
      </c>
      <c r="AA453" s="388" t="s">
        <v>543</v>
      </c>
      <c r="AB453" s="388" t="s">
        <v>543</v>
      </c>
      <c r="AC453" s="387">
        <v>710307001</v>
      </c>
      <c r="AD453" s="389">
        <v>160</v>
      </c>
      <c r="AE453" s="390">
        <v>44137</v>
      </c>
      <c r="AF453" s="390">
        <v>45107</v>
      </c>
      <c r="AG453" s="390">
        <v>45107</v>
      </c>
      <c r="AH453" s="391" t="s">
        <v>4285</v>
      </c>
      <c r="AI453" s="391" t="s">
        <v>679</v>
      </c>
      <c r="AJ453" s="391">
        <v>3</v>
      </c>
      <c r="AK453" s="390">
        <v>45047</v>
      </c>
      <c r="AL453" s="389">
        <v>100</v>
      </c>
      <c r="AM453" s="391" t="s">
        <v>548</v>
      </c>
      <c r="AN453" s="391" t="s">
        <v>545</v>
      </c>
      <c r="AO453" s="391" t="s">
        <v>4286</v>
      </c>
    </row>
    <row r="454" spans="1:43" ht="16" thickBot="1">
      <c r="A454" s="387" t="s">
        <v>3010</v>
      </c>
      <c r="B454" s="387" t="s">
        <v>3296</v>
      </c>
      <c r="C454" s="387" t="s">
        <v>4287</v>
      </c>
      <c r="D454" s="387" t="s">
        <v>4288</v>
      </c>
      <c r="E454" s="387">
        <v>1</v>
      </c>
      <c r="F454" s="387" t="s">
        <v>4289</v>
      </c>
      <c r="G454" s="387">
        <v>1</v>
      </c>
      <c r="H454" s="387" t="s">
        <v>770</v>
      </c>
      <c r="I454" s="387" t="s">
        <v>1708</v>
      </c>
      <c r="J454" s="387" t="s">
        <v>4290</v>
      </c>
      <c r="K454" s="387" t="s">
        <v>4291</v>
      </c>
      <c r="L454" s="387" t="s">
        <v>654</v>
      </c>
      <c r="M454" s="387" t="s">
        <v>655</v>
      </c>
      <c r="N454" s="388">
        <v>63.25</v>
      </c>
      <c r="O454" s="388">
        <v>14</v>
      </c>
      <c r="P454" s="387" t="s">
        <v>538</v>
      </c>
      <c r="Q454" s="387" t="s">
        <v>539</v>
      </c>
      <c r="R454" s="387" t="s">
        <v>4292</v>
      </c>
      <c r="S454" s="387" t="s">
        <v>541</v>
      </c>
      <c r="T454" s="387" t="s">
        <v>542</v>
      </c>
      <c r="U454" s="388">
        <v>990450</v>
      </c>
      <c r="V454" s="387">
        <v>6004405002700</v>
      </c>
      <c r="W454" s="387">
        <v>6004405002700</v>
      </c>
      <c r="X454" s="387" t="s">
        <v>543</v>
      </c>
      <c r="Y454" s="387">
        <v>16004405012317</v>
      </c>
      <c r="Z454" s="387" t="s">
        <v>543</v>
      </c>
      <c r="AA454" s="388" t="s">
        <v>543</v>
      </c>
      <c r="AB454" s="388" t="s">
        <v>543</v>
      </c>
      <c r="AC454" s="387">
        <v>814210007</v>
      </c>
      <c r="AD454" s="389" t="s">
        <v>4293</v>
      </c>
      <c r="AE454" s="390">
        <v>44620</v>
      </c>
      <c r="AF454" s="390">
        <v>45199</v>
      </c>
      <c r="AG454" s="390">
        <v>45199</v>
      </c>
      <c r="AH454" s="391" t="s">
        <v>4294</v>
      </c>
      <c r="AI454" s="391" t="s">
        <v>658</v>
      </c>
      <c r="AJ454" s="391">
        <v>2</v>
      </c>
      <c r="AK454" s="390">
        <v>45047</v>
      </c>
      <c r="AL454" s="389">
        <v>100</v>
      </c>
      <c r="AM454" s="391" t="s">
        <v>548</v>
      </c>
      <c r="AN454" s="391" t="s">
        <v>549</v>
      </c>
      <c r="AO454" s="391" t="s">
        <v>4295</v>
      </c>
    </row>
    <row r="455" spans="1:43" ht="16" thickBot="1">
      <c r="A455" s="387" t="s">
        <v>1729</v>
      </c>
      <c r="B455" s="387" t="s">
        <v>982</v>
      </c>
      <c r="C455" s="387" t="s">
        <v>4296</v>
      </c>
      <c r="D455" s="387" t="s">
        <v>4297</v>
      </c>
      <c r="E455" s="387">
        <v>100</v>
      </c>
      <c r="F455" s="387" t="s">
        <v>531</v>
      </c>
      <c r="G455" s="387">
        <v>100</v>
      </c>
      <c r="H455" s="387" t="s">
        <v>531</v>
      </c>
      <c r="I455" s="387" t="s">
        <v>532</v>
      </c>
      <c r="J455" s="387" t="s">
        <v>4298</v>
      </c>
      <c r="K455" s="387" t="s">
        <v>4299</v>
      </c>
      <c r="L455" s="387" t="s">
        <v>1819</v>
      </c>
      <c r="M455" s="387" t="s">
        <v>1820</v>
      </c>
      <c r="N455" s="388">
        <v>267.57</v>
      </c>
      <c r="O455" s="388">
        <v>14</v>
      </c>
      <c r="P455" s="387" t="s">
        <v>538</v>
      </c>
      <c r="Q455" s="387" t="s">
        <v>539</v>
      </c>
      <c r="R455" s="387" t="s">
        <v>4300</v>
      </c>
      <c r="S455" s="387" t="s">
        <v>171</v>
      </c>
      <c r="T455" s="387" t="s">
        <v>542</v>
      </c>
      <c r="U455" s="388">
        <v>50070</v>
      </c>
      <c r="V455" s="387">
        <v>6001375320421</v>
      </c>
      <c r="W455" s="387" t="s">
        <v>543</v>
      </c>
      <c r="X455" s="387" t="s">
        <v>543</v>
      </c>
      <c r="Y455" s="387" t="s">
        <v>543</v>
      </c>
      <c r="Z455" s="387" t="s">
        <v>543</v>
      </c>
      <c r="AA455" s="388" t="s">
        <v>543</v>
      </c>
      <c r="AB455" s="388" t="s">
        <v>543</v>
      </c>
      <c r="AC455" s="387">
        <v>839515006</v>
      </c>
      <c r="AD455" s="389">
        <v>75</v>
      </c>
      <c r="AE455" s="390">
        <v>44105</v>
      </c>
      <c r="AF455" s="390">
        <v>45199</v>
      </c>
      <c r="AG455" s="390">
        <v>45199</v>
      </c>
      <c r="AH455" s="391" t="s">
        <v>4301</v>
      </c>
      <c r="AI455" s="391" t="s">
        <v>1823</v>
      </c>
      <c r="AJ455" s="391">
        <v>21</v>
      </c>
      <c r="AK455" s="390">
        <v>45047</v>
      </c>
      <c r="AL455" s="389">
        <v>100</v>
      </c>
      <c r="AM455" s="391" t="s">
        <v>548</v>
      </c>
      <c r="AN455" s="391" t="s">
        <v>545</v>
      </c>
      <c r="AO455" s="391" t="s">
        <v>4302</v>
      </c>
    </row>
    <row r="456" spans="1:43" ht="16" thickBot="1">
      <c r="A456" s="387" t="s">
        <v>1748</v>
      </c>
      <c r="B456" s="387" t="s">
        <v>2692</v>
      </c>
      <c r="C456" s="387" t="s">
        <v>4303</v>
      </c>
      <c r="D456" s="387" t="s">
        <v>4304</v>
      </c>
      <c r="E456" s="387">
        <v>2</v>
      </c>
      <c r="F456" s="387" t="s">
        <v>531</v>
      </c>
      <c r="G456" s="387">
        <v>2</v>
      </c>
      <c r="H456" s="387" t="s">
        <v>531</v>
      </c>
      <c r="I456" s="387" t="s">
        <v>1751</v>
      </c>
      <c r="J456" s="387" t="s">
        <v>4298</v>
      </c>
      <c r="K456" s="387" t="s">
        <v>4305</v>
      </c>
      <c r="L456" s="387" t="s">
        <v>1975</v>
      </c>
      <c r="M456" s="387" t="s">
        <v>1976</v>
      </c>
      <c r="N456" s="388">
        <v>2.98</v>
      </c>
      <c r="O456" s="388">
        <v>14</v>
      </c>
      <c r="P456" s="387" t="s">
        <v>538</v>
      </c>
      <c r="Q456" s="387" t="s">
        <v>539</v>
      </c>
      <c r="R456" s="387" t="s">
        <v>4300</v>
      </c>
      <c r="S456" s="387" t="s">
        <v>541</v>
      </c>
      <c r="T456" s="387" t="s">
        <v>542</v>
      </c>
      <c r="U456" s="388">
        <v>7085900</v>
      </c>
      <c r="V456" s="387">
        <v>6004405009808</v>
      </c>
      <c r="W456" s="387">
        <v>6004405009808</v>
      </c>
      <c r="X456" s="387" t="s">
        <v>543</v>
      </c>
      <c r="Y456" s="387">
        <v>16004405009805</v>
      </c>
      <c r="Z456" s="387" t="s">
        <v>543</v>
      </c>
      <c r="AA456" s="388" t="s">
        <v>543</v>
      </c>
      <c r="AB456" s="388" t="s">
        <v>543</v>
      </c>
      <c r="AC456" s="387">
        <v>801623006</v>
      </c>
      <c r="AD456" s="389">
        <v>10</v>
      </c>
      <c r="AE456" s="390">
        <v>44317</v>
      </c>
      <c r="AF456" s="390">
        <v>45412</v>
      </c>
      <c r="AG456" s="390">
        <v>45412</v>
      </c>
      <c r="AH456" s="391" t="s">
        <v>4306</v>
      </c>
      <c r="AI456" s="391" t="s">
        <v>1979</v>
      </c>
      <c r="AJ456" s="391">
        <v>9</v>
      </c>
      <c r="AK456" s="390">
        <v>44896</v>
      </c>
      <c r="AL456" s="389">
        <v>100</v>
      </c>
      <c r="AM456" s="391" t="s">
        <v>548</v>
      </c>
      <c r="AN456" s="391" t="s">
        <v>549</v>
      </c>
      <c r="AO456" s="391" t="s">
        <v>4307</v>
      </c>
    </row>
    <row r="457" spans="1:43" ht="16" thickBot="1">
      <c r="A457" s="387" t="s">
        <v>1748</v>
      </c>
      <c r="B457" s="387" t="s">
        <v>2679</v>
      </c>
      <c r="C457" s="387" t="s">
        <v>4308</v>
      </c>
      <c r="D457" s="387" t="s">
        <v>4309</v>
      </c>
      <c r="E457" s="387">
        <v>25</v>
      </c>
      <c r="F457" s="387" t="s">
        <v>531</v>
      </c>
      <c r="G457" s="387">
        <v>25</v>
      </c>
      <c r="H457" s="387" t="s">
        <v>531</v>
      </c>
      <c r="I457" s="387" t="s">
        <v>1751</v>
      </c>
      <c r="J457" s="387" t="s">
        <v>4298</v>
      </c>
      <c r="K457" s="387" t="s">
        <v>4310</v>
      </c>
      <c r="L457" s="387" t="s">
        <v>1955</v>
      </c>
      <c r="M457" s="387" t="s">
        <v>1956</v>
      </c>
      <c r="N457" s="388">
        <v>23.92</v>
      </c>
      <c r="O457" s="388">
        <v>14</v>
      </c>
      <c r="P457" s="387" t="s">
        <v>538</v>
      </c>
      <c r="Q457" s="387" t="s">
        <v>539</v>
      </c>
      <c r="R457" s="387" t="s">
        <v>4300</v>
      </c>
      <c r="S457" s="387" t="s">
        <v>541</v>
      </c>
      <c r="T457" s="387" t="s">
        <v>542</v>
      </c>
      <c r="U457" s="388">
        <v>245280</v>
      </c>
      <c r="V457" s="387">
        <v>6006267000689</v>
      </c>
      <c r="W457" s="387">
        <v>6006267000689</v>
      </c>
      <c r="X457" s="387" t="s">
        <v>543</v>
      </c>
      <c r="Y457" s="387">
        <v>16006260006860</v>
      </c>
      <c r="Z457" s="387" t="s">
        <v>543</v>
      </c>
      <c r="AA457" s="388" t="s">
        <v>543</v>
      </c>
      <c r="AB457" s="388" t="s">
        <v>543</v>
      </c>
      <c r="AC457" s="387">
        <v>799955019</v>
      </c>
      <c r="AD457" s="389" t="s">
        <v>2308</v>
      </c>
      <c r="AE457" s="390">
        <v>44317</v>
      </c>
      <c r="AF457" s="390">
        <v>45412</v>
      </c>
      <c r="AG457" s="391" t="s">
        <v>545</v>
      </c>
      <c r="AH457" s="391" t="s">
        <v>4311</v>
      </c>
      <c r="AI457" s="391" t="s">
        <v>1959</v>
      </c>
      <c r="AJ457" s="391">
        <v>0</v>
      </c>
      <c r="AK457" s="390">
        <v>44317</v>
      </c>
      <c r="AL457" s="389">
        <v>100</v>
      </c>
      <c r="AM457" s="391" t="s">
        <v>548</v>
      </c>
      <c r="AN457" s="391" t="s">
        <v>549</v>
      </c>
      <c r="AO457" s="391" t="s">
        <v>4312</v>
      </c>
    </row>
    <row r="458" spans="1:43" ht="16" thickBot="1">
      <c r="A458" s="387" t="s">
        <v>1717</v>
      </c>
      <c r="B458" s="387" t="s">
        <v>4313</v>
      </c>
      <c r="C458" s="387" t="s">
        <v>4314</v>
      </c>
      <c r="D458" s="387" t="s">
        <v>4315</v>
      </c>
      <c r="E458" s="387">
        <v>112</v>
      </c>
      <c r="F458" s="387" t="s">
        <v>559</v>
      </c>
      <c r="G458" s="387" t="s">
        <v>543</v>
      </c>
      <c r="H458" s="387" t="s">
        <v>559</v>
      </c>
      <c r="I458" s="387" t="s">
        <v>560</v>
      </c>
      <c r="J458" s="387" t="s">
        <v>4298</v>
      </c>
      <c r="K458" s="387" t="s">
        <v>4316</v>
      </c>
      <c r="L458" s="387" t="s">
        <v>4317</v>
      </c>
      <c r="M458" s="387" t="s">
        <v>4318</v>
      </c>
      <c r="N458" s="388">
        <v>14.23</v>
      </c>
      <c r="O458" s="388">
        <v>14</v>
      </c>
      <c r="P458" s="387" t="s">
        <v>538</v>
      </c>
      <c r="Q458" s="387" t="s">
        <v>539</v>
      </c>
      <c r="R458" s="387" t="s">
        <v>4300</v>
      </c>
      <c r="S458" s="387" t="s">
        <v>171</v>
      </c>
      <c r="T458" s="387" t="s">
        <v>542</v>
      </c>
      <c r="U458" s="388">
        <v>404425</v>
      </c>
      <c r="V458" s="387" t="s">
        <v>543</v>
      </c>
      <c r="W458" s="387" t="s">
        <v>543</v>
      </c>
      <c r="X458" s="387" t="s">
        <v>543</v>
      </c>
      <c r="Y458" s="387" t="s">
        <v>543</v>
      </c>
      <c r="Z458" s="387" t="s">
        <v>543</v>
      </c>
      <c r="AA458" s="388" t="s">
        <v>543</v>
      </c>
      <c r="AB458" s="388" t="s">
        <v>543</v>
      </c>
      <c r="AC458" s="387" t="s">
        <v>543</v>
      </c>
      <c r="AD458" s="389">
        <v>300</v>
      </c>
      <c r="AE458" s="390">
        <v>45047</v>
      </c>
      <c r="AF458" s="390">
        <v>46142</v>
      </c>
      <c r="AG458" s="391" t="s">
        <v>545</v>
      </c>
      <c r="AH458" s="391" t="s">
        <v>4319</v>
      </c>
      <c r="AI458" s="391" t="s">
        <v>4320</v>
      </c>
      <c r="AJ458" s="391">
        <v>0</v>
      </c>
      <c r="AK458" s="390">
        <v>45047</v>
      </c>
      <c r="AL458" s="389">
        <v>100</v>
      </c>
      <c r="AM458" s="391" t="s">
        <v>548</v>
      </c>
      <c r="AN458" s="391" t="s">
        <v>549</v>
      </c>
      <c r="AO458" s="391" t="s">
        <v>4321</v>
      </c>
    </row>
    <row r="459" spans="1:43" ht="16" thickBot="1">
      <c r="A459" s="387" t="s">
        <v>1717</v>
      </c>
      <c r="B459" s="387" t="s">
        <v>4322</v>
      </c>
      <c r="C459" s="387" t="s">
        <v>4323</v>
      </c>
      <c r="D459" s="387" t="s">
        <v>4324</v>
      </c>
      <c r="E459" s="387">
        <v>28</v>
      </c>
      <c r="F459" s="387" t="s">
        <v>559</v>
      </c>
      <c r="G459" s="387">
        <v>28</v>
      </c>
      <c r="H459" s="387" t="s">
        <v>559</v>
      </c>
      <c r="I459" s="387" t="s">
        <v>560</v>
      </c>
      <c r="J459" s="387" t="s">
        <v>4298</v>
      </c>
      <c r="K459" s="387" t="s">
        <v>4316</v>
      </c>
      <c r="L459" s="387" t="s">
        <v>4317</v>
      </c>
      <c r="M459" s="387" t="s">
        <v>4318</v>
      </c>
      <c r="N459" s="388">
        <v>4.28</v>
      </c>
      <c r="O459" s="388">
        <v>14</v>
      </c>
      <c r="P459" s="387" t="s">
        <v>538</v>
      </c>
      <c r="Q459" s="387" t="s">
        <v>539</v>
      </c>
      <c r="R459" s="387" t="s">
        <v>4300</v>
      </c>
      <c r="S459" s="387" t="s">
        <v>171</v>
      </c>
      <c r="T459" s="387" t="s">
        <v>542</v>
      </c>
      <c r="U459" s="388">
        <v>3440501</v>
      </c>
      <c r="V459" s="387" t="s">
        <v>543</v>
      </c>
      <c r="W459" s="387" t="s">
        <v>543</v>
      </c>
      <c r="X459" s="387" t="s">
        <v>543</v>
      </c>
      <c r="Y459" s="387" t="s">
        <v>543</v>
      </c>
      <c r="Z459" s="387" t="s">
        <v>543</v>
      </c>
      <c r="AA459" s="388" t="s">
        <v>543</v>
      </c>
      <c r="AB459" s="388" t="s">
        <v>543</v>
      </c>
      <c r="AC459" s="387" t="s">
        <v>543</v>
      </c>
      <c r="AD459" s="389">
        <v>300</v>
      </c>
      <c r="AE459" s="390">
        <v>45047</v>
      </c>
      <c r="AF459" s="390">
        <v>46142</v>
      </c>
      <c r="AG459" s="391" t="s">
        <v>545</v>
      </c>
      <c r="AH459" s="391" t="s">
        <v>4325</v>
      </c>
      <c r="AI459" s="391" t="s">
        <v>4320</v>
      </c>
      <c r="AJ459" s="391">
        <v>0</v>
      </c>
      <c r="AK459" s="390">
        <v>45047</v>
      </c>
      <c r="AL459" s="389">
        <v>40</v>
      </c>
      <c r="AM459" s="391" t="s">
        <v>548</v>
      </c>
      <c r="AN459" s="391" t="s">
        <v>549</v>
      </c>
      <c r="AO459" s="391" t="s">
        <v>4321</v>
      </c>
      <c r="AP459" s="372">
        <f>N459/E459</f>
        <v>0.15285714285714286</v>
      </c>
      <c r="AQ459" s="372">
        <f>SUMPRODUCT(AP459:AP460,U459:U460)/SUM(U459:U460)</f>
        <v>0.1577857140947122</v>
      </c>
    </row>
    <row r="460" spans="1:43" ht="16" thickBot="1">
      <c r="A460" s="387" t="s">
        <v>1717</v>
      </c>
      <c r="B460" s="387" t="s">
        <v>4322</v>
      </c>
      <c r="C460" s="387" t="s">
        <v>4323</v>
      </c>
      <c r="D460" s="387" t="s">
        <v>4324</v>
      </c>
      <c r="E460" s="387">
        <v>28</v>
      </c>
      <c r="F460" s="387" t="s">
        <v>559</v>
      </c>
      <c r="G460" s="387">
        <v>28</v>
      </c>
      <c r="H460" s="387" t="s">
        <v>559</v>
      </c>
      <c r="I460" s="387" t="s">
        <v>560</v>
      </c>
      <c r="J460" s="387" t="s">
        <v>4298</v>
      </c>
      <c r="K460" s="387" t="s">
        <v>4326</v>
      </c>
      <c r="L460" s="387" t="s">
        <v>1886</v>
      </c>
      <c r="M460" s="387" t="s">
        <v>1887</v>
      </c>
      <c r="N460" s="388">
        <v>4.51</v>
      </c>
      <c r="O460" s="388">
        <v>14</v>
      </c>
      <c r="P460" s="387" t="s">
        <v>538</v>
      </c>
      <c r="Q460" s="387" t="s">
        <v>539</v>
      </c>
      <c r="R460" s="387" t="s">
        <v>4300</v>
      </c>
      <c r="S460" s="387" t="s">
        <v>171</v>
      </c>
      <c r="T460" s="387" t="s">
        <v>542</v>
      </c>
      <c r="U460" s="388">
        <v>5160751</v>
      </c>
      <c r="V460" s="387">
        <v>6009691110887</v>
      </c>
      <c r="W460" s="387" t="s">
        <v>543</v>
      </c>
      <c r="X460" s="387" t="s">
        <v>543</v>
      </c>
      <c r="Y460" s="387">
        <v>16009691110884</v>
      </c>
      <c r="Z460" s="387" t="s">
        <v>543</v>
      </c>
      <c r="AA460" s="388" t="s">
        <v>543</v>
      </c>
      <c r="AB460" s="388" t="s">
        <v>543</v>
      </c>
      <c r="AC460" s="387" t="s">
        <v>4327</v>
      </c>
      <c r="AD460" s="389">
        <v>10</v>
      </c>
      <c r="AE460" s="390">
        <v>45047</v>
      </c>
      <c r="AF460" s="390">
        <v>46142</v>
      </c>
      <c r="AG460" s="390">
        <v>46142</v>
      </c>
      <c r="AH460" s="391" t="s">
        <v>4325</v>
      </c>
      <c r="AI460" s="391" t="s">
        <v>1889</v>
      </c>
      <c r="AJ460" s="391">
        <v>0</v>
      </c>
      <c r="AK460" s="390">
        <v>45047</v>
      </c>
      <c r="AL460" s="389">
        <v>60</v>
      </c>
      <c r="AM460" s="391" t="s">
        <v>548</v>
      </c>
      <c r="AN460" s="391" t="s">
        <v>549</v>
      </c>
      <c r="AO460" s="391" t="s">
        <v>4321</v>
      </c>
      <c r="AP460" s="372">
        <f t="shared" ref="AP460" si="17">N460/E460</f>
        <v>0.16107142857142856</v>
      </c>
    </row>
    <row r="461" spans="1:43" ht="16" thickBot="1">
      <c r="A461" s="387" t="s">
        <v>1717</v>
      </c>
      <c r="B461" s="387" t="s">
        <v>4328</v>
      </c>
      <c r="C461" s="387" t="s">
        <v>4329</v>
      </c>
      <c r="D461" s="387" t="s">
        <v>4330</v>
      </c>
      <c r="E461" s="387">
        <v>56</v>
      </c>
      <c r="F461" s="387" t="s">
        <v>559</v>
      </c>
      <c r="G461" s="387" t="s">
        <v>543</v>
      </c>
      <c r="H461" s="387" t="s">
        <v>559</v>
      </c>
      <c r="I461" s="387" t="s">
        <v>560</v>
      </c>
      <c r="J461" s="387" t="s">
        <v>4298</v>
      </c>
      <c r="K461" s="387" t="s">
        <v>4331</v>
      </c>
      <c r="L461" s="387" t="s">
        <v>2062</v>
      </c>
      <c r="M461" s="387" t="s">
        <v>2063</v>
      </c>
      <c r="N461" s="388">
        <v>8.3800000000000008</v>
      </c>
      <c r="O461" s="388">
        <v>14</v>
      </c>
      <c r="P461" s="387" t="s">
        <v>538</v>
      </c>
      <c r="Q461" s="387" t="s">
        <v>539</v>
      </c>
      <c r="R461" s="387" t="s">
        <v>4300</v>
      </c>
      <c r="S461" s="387" t="s">
        <v>171</v>
      </c>
      <c r="T461" s="387" t="s">
        <v>542</v>
      </c>
      <c r="U461" s="388">
        <v>1243070</v>
      </c>
      <c r="V461" s="387">
        <v>6009880832521</v>
      </c>
      <c r="W461" s="387" t="s">
        <v>543</v>
      </c>
      <c r="X461" s="387" t="s">
        <v>543</v>
      </c>
      <c r="Y461" s="387">
        <v>16009880832528</v>
      </c>
      <c r="Z461" s="387" t="s">
        <v>543</v>
      </c>
      <c r="AA461" s="388" t="s">
        <v>543</v>
      </c>
      <c r="AB461" s="388" t="s">
        <v>543</v>
      </c>
      <c r="AC461" s="387" t="s">
        <v>543</v>
      </c>
      <c r="AD461" s="389">
        <v>200</v>
      </c>
      <c r="AE461" s="390">
        <v>45047</v>
      </c>
      <c r="AF461" s="390">
        <v>46142</v>
      </c>
      <c r="AG461" s="390">
        <v>46142</v>
      </c>
      <c r="AH461" s="391" t="s">
        <v>4332</v>
      </c>
      <c r="AI461" s="391" t="s">
        <v>2064</v>
      </c>
      <c r="AJ461" s="391">
        <v>0</v>
      </c>
      <c r="AK461" s="390">
        <v>45047</v>
      </c>
      <c r="AL461" s="389">
        <v>40</v>
      </c>
      <c r="AM461" s="391" t="s">
        <v>548</v>
      </c>
      <c r="AN461" s="391" t="s">
        <v>549</v>
      </c>
      <c r="AO461" s="391" t="s">
        <v>4321</v>
      </c>
      <c r="AP461" s="372">
        <f>N461/E461</f>
        <v>0.14964285714285716</v>
      </c>
      <c r="AQ461" s="372">
        <f>SUMPRODUCT(AP461:AP462,U461:U462)/SUM(U461:U462)</f>
        <v>0.14064285714285715</v>
      </c>
    </row>
    <row r="462" spans="1:43" ht="16" thickBot="1">
      <c r="A462" s="387" t="s">
        <v>1717</v>
      </c>
      <c r="B462" s="387" t="s">
        <v>4328</v>
      </c>
      <c r="C462" s="387" t="s">
        <v>4329</v>
      </c>
      <c r="D462" s="387" t="s">
        <v>4330</v>
      </c>
      <c r="E462" s="387">
        <v>56</v>
      </c>
      <c r="F462" s="387" t="s">
        <v>559</v>
      </c>
      <c r="G462" s="387" t="s">
        <v>543</v>
      </c>
      <c r="H462" s="387" t="s">
        <v>559</v>
      </c>
      <c r="I462" s="387" t="s">
        <v>560</v>
      </c>
      <c r="J462" s="387" t="s">
        <v>4298</v>
      </c>
      <c r="K462" s="387" t="s">
        <v>4316</v>
      </c>
      <c r="L462" s="387" t="s">
        <v>4317</v>
      </c>
      <c r="M462" s="387" t="s">
        <v>4318</v>
      </c>
      <c r="N462" s="388">
        <v>7.54</v>
      </c>
      <c r="O462" s="388">
        <v>14</v>
      </c>
      <c r="P462" s="387" t="s">
        <v>538</v>
      </c>
      <c r="Q462" s="387" t="s">
        <v>539</v>
      </c>
      <c r="R462" s="387" t="s">
        <v>4300</v>
      </c>
      <c r="S462" s="387" t="s">
        <v>171</v>
      </c>
      <c r="T462" s="387" t="s">
        <v>542</v>
      </c>
      <c r="U462" s="388">
        <v>1864605</v>
      </c>
      <c r="V462" s="387" t="s">
        <v>543</v>
      </c>
      <c r="W462" s="387" t="s">
        <v>543</v>
      </c>
      <c r="X462" s="387" t="s">
        <v>543</v>
      </c>
      <c r="Y462" s="387" t="s">
        <v>543</v>
      </c>
      <c r="Z462" s="387" t="s">
        <v>543</v>
      </c>
      <c r="AA462" s="388" t="s">
        <v>543</v>
      </c>
      <c r="AB462" s="388" t="s">
        <v>543</v>
      </c>
      <c r="AC462" s="387" t="s">
        <v>543</v>
      </c>
      <c r="AD462" s="389">
        <v>300</v>
      </c>
      <c r="AE462" s="390">
        <v>45047</v>
      </c>
      <c r="AF462" s="390">
        <v>46142</v>
      </c>
      <c r="AG462" s="390">
        <v>46142</v>
      </c>
      <c r="AH462" s="391" t="s">
        <v>4332</v>
      </c>
      <c r="AI462" s="391" t="s">
        <v>4320</v>
      </c>
      <c r="AJ462" s="391">
        <v>0</v>
      </c>
      <c r="AK462" s="390">
        <v>45047</v>
      </c>
      <c r="AL462" s="389">
        <v>60</v>
      </c>
      <c r="AM462" s="391" t="s">
        <v>548</v>
      </c>
      <c r="AN462" s="391" t="s">
        <v>549</v>
      </c>
      <c r="AO462" s="391" t="s">
        <v>4321</v>
      </c>
      <c r="AP462" s="372">
        <f t="shared" ref="AP462" si="18">N462/E462</f>
        <v>0.13464285714285715</v>
      </c>
    </row>
    <row r="463" spans="1:43" ht="16" thickBot="1">
      <c r="A463" s="387" t="s">
        <v>1717</v>
      </c>
      <c r="B463" s="387" t="s">
        <v>4333</v>
      </c>
      <c r="C463" s="387" t="s">
        <v>4334</v>
      </c>
      <c r="D463" s="387" t="s">
        <v>4335</v>
      </c>
      <c r="E463" s="387">
        <v>84</v>
      </c>
      <c r="F463" s="387" t="s">
        <v>559</v>
      </c>
      <c r="G463" s="387" t="s">
        <v>543</v>
      </c>
      <c r="H463" s="387" t="s">
        <v>559</v>
      </c>
      <c r="I463" s="387" t="s">
        <v>560</v>
      </c>
      <c r="J463" s="387" t="s">
        <v>4298</v>
      </c>
      <c r="K463" s="387" t="s">
        <v>4316</v>
      </c>
      <c r="L463" s="387" t="s">
        <v>4317</v>
      </c>
      <c r="M463" s="387" t="s">
        <v>4318</v>
      </c>
      <c r="N463" s="388">
        <v>11.34</v>
      </c>
      <c r="O463" s="388">
        <v>14</v>
      </c>
      <c r="P463" s="387" t="s">
        <v>538</v>
      </c>
      <c r="Q463" s="387" t="s">
        <v>539</v>
      </c>
      <c r="R463" s="387" t="s">
        <v>4300</v>
      </c>
      <c r="S463" s="387" t="s">
        <v>171</v>
      </c>
      <c r="T463" s="387" t="s">
        <v>542</v>
      </c>
      <c r="U463" s="388">
        <v>649435</v>
      </c>
      <c r="V463" s="387" t="s">
        <v>543</v>
      </c>
      <c r="W463" s="387" t="s">
        <v>543</v>
      </c>
      <c r="X463" s="387" t="s">
        <v>543</v>
      </c>
      <c r="Y463" s="387" t="s">
        <v>543</v>
      </c>
      <c r="Z463" s="387" t="s">
        <v>543</v>
      </c>
      <c r="AA463" s="388" t="s">
        <v>543</v>
      </c>
      <c r="AB463" s="388" t="s">
        <v>543</v>
      </c>
      <c r="AC463" s="387" t="s">
        <v>543</v>
      </c>
      <c r="AD463" s="389">
        <v>300</v>
      </c>
      <c r="AE463" s="390">
        <v>45047</v>
      </c>
      <c r="AF463" s="390">
        <v>46142</v>
      </c>
      <c r="AG463" s="391" t="s">
        <v>545</v>
      </c>
      <c r="AH463" s="391" t="s">
        <v>4336</v>
      </c>
      <c r="AI463" s="391" t="s">
        <v>4320</v>
      </c>
      <c r="AJ463" s="391">
        <v>0</v>
      </c>
      <c r="AK463" s="390">
        <v>45047</v>
      </c>
      <c r="AL463" s="389">
        <v>100</v>
      </c>
      <c r="AM463" s="391" t="s">
        <v>548</v>
      </c>
      <c r="AN463" s="391" t="s">
        <v>549</v>
      </c>
      <c r="AO463" s="391" t="s">
        <v>4321</v>
      </c>
    </row>
    <row r="464" spans="1:43" ht="16" thickBot="1">
      <c r="A464" s="387" t="s">
        <v>1717</v>
      </c>
      <c r="B464" s="387" t="s">
        <v>4337</v>
      </c>
      <c r="C464" s="387" t="s">
        <v>4338</v>
      </c>
      <c r="D464" s="387" t="s">
        <v>4339</v>
      </c>
      <c r="E464" s="387">
        <v>100</v>
      </c>
      <c r="F464" s="387" t="s">
        <v>559</v>
      </c>
      <c r="G464" s="387" t="s">
        <v>543</v>
      </c>
      <c r="H464" s="387" t="s">
        <v>559</v>
      </c>
      <c r="I464" s="387" t="s">
        <v>560</v>
      </c>
      <c r="J464" s="387" t="s">
        <v>4298</v>
      </c>
      <c r="K464" s="387" t="s">
        <v>4340</v>
      </c>
      <c r="L464" s="387" t="s">
        <v>1819</v>
      </c>
      <c r="M464" s="387" t="s">
        <v>1820</v>
      </c>
      <c r="N464" s="388">
        <v>3167.1</v>
      </c>
      <c r="O464" s="388">
        <v>14</v>
      </c>
      <c r="P464" s="387" t="s">
        <v>538</v>
      </c>
      <c r="Q464" s="387" t="s">
        <v>539</v>
      </c>
      <c r="R464" s="387" t="s">
        <v>4300</v>
      </c>
      <c r="S464" s="387" t="s">
        <v>171</v>
      </c>
      <c r="T464" s="387" t="s">
        <v>757</v>
      </c>
      <c r="U464" s="388">
        <v>12184</v>
      </c>
      <c r="V464" s="387">
        <v>6005317004059</v>
      </c>
      <c r="W464" s="387">
        <v>6005317004059</v>
      </c>
      <c r="X464" s="387" t="s">
        <v>543</v>
      </c>
      <c r="Y464" s="387">
        <v>26005317004053</v>
      </c>
      <c r="Z464" s="387" t="s">
        <v>543</v>
      </c>
      <c r="AA464" s="388" t="s">
        <v>543</v>
      </c>
      <c r="AB464" s="388" t="s">
        <v>543</v>
      </c>
      <c r="AC464" s="387">
        <v>735957010</v>
      </c>
      <c r="AD464" s="389">
        <v>72</v>
      </c>
      <c r="AE464" s="390">
        <v>45047</v>
      </c>
      <c r="AF464" s="390">
        <v>46142</v>
      </c>
      <c r="AG464" s="391" t="s">
        <v>545</v>
      </c>
      <c r="AH464" s="391" t="s">
        <v>4341</v>
      </c>
      <c r="AI464" s="391" t="s">
        <v>1823</v>
      </c>
      <c r="AJ464" s="391">
        <v>0</v>
      </c>
      <c r="AK464" s="390">
        <v>45047</v>
      </c>
      <c r="AL464" s="389">
        <v>100</v>
      </c>
      <c r="AM464" s="391" t="s">
        <v>548</v>
      </c>
      <c r="AN464" s="391" t="s">
        <v>549</v>
      </c>
      <c r="AO464" s="391" t="s">
        <v>4342</v>
      </c>
    </row>
    <row r="465" spans="1:41" ht="16" thickBot="1">
      <c r="A465" s="387" t="s">
        <v>1748</v>
      </c>
      <c r="B465" s="387" t="s">
        <v>4343</v>
      </c>
      <c r="C465" s="387" t="s">
        <v>4344</v>
      </c>
      <c r="D465" s="387" t="s">
        <v>4345</v>
      </c>
      <c r="E465" s="387">
        <v>5</v>
      </c>
      <c r="F465" s="387" t="s">
        <v>531</v>
      </c>
      <c r="G465" s="387">
        <v>5</v>
      </c>
      <c r="H465" s="387" t="s">
        <v>531</v>
      </c>
      <c r="I465" s="387" t="s">
        <v>1751</v>
      </c>
      <c r="J465" s="387" t="s">
        <v>4298</v>
      </c>
      <c r="K465" s="387" t="s">
        <v>4346</v>
      </c>
      <c r="L465" s="387" t="s">
        <v>2312</v>
      </c>
      <c r="M465" s="387" t="s">
        <v>2313</v>
      </c>
      <c r="N465" s="388">
        <v>5.55</v>
      </c>
      <c r="O465" s="388">
        <v>14</v>
      </c>
      <c r="P465" s="387" t="s">
        <v>538</v>
      </c>
      <c r="Q465" s="387" t="s">
        <v>539</v>
      </c>
      <c r="R465" s="387" t="s">
        <v>4300</v>
      </c>
      <c r="S465" s="387" t="s">
        <v>541</v>
      </c>
      <c r="T465" s="387" t="s">
        <v>542</v>
      </c>
      <c r="U465" s="388">
        <v>342230</v>
      </c>
      <c r="V465" s="387" t="s">
        <v>543</v>
      </c>
      <c r="W465" s="387" t="s">
        <v>543</v>
      </c>
      <c r="X465" s="387" t="s">
        <v>543</v>
      </c>
      <c r="Y465" s="387" t="s">
        <v>543</v>
      </c>
      <c r="Z465" s="387" t="s">
        <v>543</v>
      </c>
      <c r="AA465" s="388" t="s">
        <v>543</v>
      </c>
      <c r="AB465" s="388" t="s">
        <v>543</v>
      </c>
      <c r="AC465" s="387" t="s">
        <v>543</v>
      </c>
      <c r="AD465" s="389">
        <v>300</v>
      </c>
      <c r="AE465" s="390">
        <v>44317</v>
      </c>
      <c r="AF465" s="390">
        <v>45412</v>
      </c>
      <c r="AG465" s="391" t="s">
        <v>545</v>
      </c>
      <c r="AH465" s="391" t="s">
        <v>4347</v>
      </c>
      <c r="AI465" s="391" t="s">
        <v>2314</v>
      </c>
      <c r="AJ465" s="391">
        <v>0</v>
      </c>
      <c r="AK465" s="390">
        <v>44317</v>
      </c>
      <c r="AL465" s="389">
        <v>100</v>
      </c>
      <c r="AM465" s="391" t="s">
        <v>548</v>
      </c>
      <c r="AN465" s="391" t="s">
        <v>549</v>
      </c>
      <c r="AO465" s="391" t="s">
        <v>4348</v>
      </c>
    </row>
    <row r="466" spans="1:41" ht="16" thickBot="1">
      <c r="A466" s="387" t="s">
        <v>1717</v>
      </c>
      <c r="B466" s="387" t="s">
        <v>4349</v>
      </c>
      <c r="C466" s="387" t="s">
        <v>4350</v>
      </c>
      <c r="D466" s="387" t="s">
        <v>4351</v>
      </c>
      <c r="E466" s="387">
        <v>100</v>
      </c>
      <c r="F466" s="387" t="s">
        <v>584</v>
      </c>
      <c r="G466" s="387">
        <v>100</v>
      </c>
      <c r="H466" s="387" t="s">
        <v>584</v>
      </c>
      <c r="I466" s="387" t="s">
        <v>585</v>
      </c>
      <c r="J466" s="387" t="s">
        <v>4352</v>
      </c>
      <c r="K466" s="387" t="s">
        <v>4353</v>
      </c>
      <c r="L466" s="387" t="s">
        <v>1905</v>
      </c>
      <c r="M466" s="387" t="s">
        <v>1906</v>
      </c>
      <c r="N466" s="388">
        <v>50</v>
      </c>
      <c r="O466" s="388">
        <v>14</v>
      </c>
      <c r="P466" s="387" t="s">
        <v>611</v>
      </c>
      <c r="Q466" s="387" t="s">
        <v>3396</v>
      </c>
      <c r="R466" s="387" t="s">
        <v>4354</v>
      </c>
      <c r="S466" s="387" t="s">
        <v>614</v>
      </c>
      <c r="T466" s="387" t="s">
        <v>160</v>
      </c>
      <c r="U466" s="388">
        <v>51112</v>
      </c>
      <c r="V466" s="387">
        <v>6006823003130</v>
      </c>
      <c r="W466" s="387">
        <v>6006823003130</v>
      </c>
      <c r="X466" s="387" t="s">
        <v>543</v>
      </c>
      <c r="Y466" s="387">
        <v>16006823002468</v>
      </c>
      <c r="Z466" s="387" t="s">
        <v>543</v>
      </c>
      <c r="AA466" s="388" t="s">
        <v>543</v>
      </c>
      <c r="AB466" s="388" t="s">
        <v>543</v>
      </c>
      <c r="AC466" s="387">
        <v>721740001</v>
      </c>
      <c r="AD466" s="389">
        <v>10</v>
      </c>
      <c r="AE466" s="390">
        <v>45047</v>
      </c>
      <c r="AF466" s="390">
        <v>46142</v>
      </c>
      <c r="AG466" s="391" t="s">
        <v>545</v>
      </c>
      <c r="AH466" s="391" t="s">
        <v>4355</v>
      </c>
      <c r="AI466" s="391" t="s">
        <v>1910</v>
      </c>
      <c r="AJ466" s="391">
        <v>0</v>
      </c>
      <c r="AK466" s="390">
        <v>45047</v>
      </c>
      <c r="AL466" s="389">
        <v>100</v>
      </c>
      <c r="AM466" s="391" t="s">
        <v>548</v>
      </c>
      <c r="AN466" s="391" t="s">
        <v>549</v>
      </c>
      <c r="AO466" s="391" t="s">
        <v>4356</v>
      </c>
    </row>
    <row r="467" spans="1:41" ht="16" thickBot="1">
      <c r="A467" s="387" t="s">
        <v>1717</v>
      </c>
      <c r="B467" s="387" t="s">
        <v>4357</v>
      </c>
      <c r="C467" s="387" t="s">
        <v>4358</v>
      </c>
      <c r="D467" s="387" t="s">
        <v>4359</v>
      </c>
      <c r="E467" s="387">
        <v>100</v>
      </c>
      <c r="F467" s="387" t="s">
        <v>584</v>
      </c>
      <c r="G467" s="387">
        <v>100</v>
      </c>
      <c r="H467" s="387" t="s">
        <v>584</v>
      </c>
      <c r="I467" s="387" t="s">
        <v>585</v>
      </c>
      <c r="J467" s="387" t="s">
        <v>4352</v>
      </c>
      <c r="K467" s="387" t="s">
        <v>4360</v>
      </c>
      <c r="L467" s="387" t="s">
        <v>1905</v>
      </c>
      <c r="M467" s="387" t="s">
        <v>1906</v>
      </c>
      <c r="N467" s="388">
        <v>97.38</v>
      </c>
      <c r="O467" s="388">
        <v>14</v>
      </c>
      <c r="P467" s="387" t="s">
        <v>611</v>
      </c>
      <c r="Q467" s="387" t="s">
        <v>3396</v>
      </c>
      <c r="R467" s="387" t="s">
        <v>4354</v>
      </c>
      <c r="S467" s="387" t="s">
        <v>614</v>
      </c>
      <c r="T467" s="387" t="s">
        <v>160</v>
      </c>
      <c r="U467" s="388">
        <v>18459</v>
      </c>
      <c r="V467" s="387" t="s">
        <v>543</v>
      </c>
      <c r="W467" s="387" t="s">
        <v>543</v>
      </c>
      <c r="X467" s="387" t="s">
        <v>543</v>
      </c>
      <c r="Y467" s="387" t="s">
        <v>543</v>
      </c>
      <c r="Z467" s="387" t="s">
        <v>543</v>
      </c>
      <c r="AA467" s="388" t="s">
        <v>543</v>
      </c>
      <c r="AB467" s="388" t="s">
        <v>543</v>
      </c>
      <c r="AC467" s="387" t="s">
        <v>543</v>
      </c>
      <c r="AD467" s="389">
        <v>10</v>
      </c>
      <c r="AE467" s="390">
        <v>45047</v>
      </c>
      <c r="AF467" s="390">
        <v>46142</v>
      </c>
      <c r="AG467" s="391" t="s">
        <v>545</v>
      </c>
      <c r="AH467" s="391" t="s">
        <v>545</v>
      </c>
      <c r="AI467" s="391" t="s">
        <v>1910</v>
      </c>
      <c r="AJ467" s="391">
        <v>0</v>
      </c>
      <c r="AK467" s="390">
        <v>45047</v>
      </c>
      <c r="AL467" s="389">
        <v>100</v>
      </c>
      <c r="AM467" s="391" t="s">
        <v>548</v>
      </c>
      <c r="AN467" s="391" t="s">
        <v>549</v>
      </c>
      <c r="AO467" s="391" t="s">
        <v>4361</v>
      </c>
    </row>
    <row r="468" spans="1:41" ht="16" thickBot="1">
      <c r="A468" s="387" t="s">
        <v>1717</v>
      </c>
      <c r="B468" s="387" t="s">
        <v>4362</v>
      </c>
      <c r="C468" s="387" t="s">
        <v>4363</v>
      </c>
      <c r="D468" s="387" t="s">
        <v>4364</v>
      </c>
      <c r="E468" s="387">
        <v>100</v>
      </c>
      <c r="F468" s="387" t="s">
        <v>584</v>
      </c>
      <c r="G468" s="387">
        <v>100</v>
      </c>
      <c r="H468" s="387" t="s">
        <v>584</v>
      </c>
      <c r="I468" s="387" t="s">
        <v>585</v>
      </c>
      <c r="J468" s="387" t="s">
        <v>4352</v>
      </c>
      <c r="K468" s="387" t="s">
        <v>4365</v>
      </c>
      <c r="L468" s="387" t="s">
        <v>1905</v>
      </c>
      <c r="M468" s="387" t="s">
        <v>1906</v>
      </c>
      <c r="N468" s="388">
        <v>123.7</v>
      </c>
      <c r="O468" s="388">
        <v>14</v>
      </c>
      <c r="P468" s="387" t="s">
        <v>611</v>
      </c>
      <c r="Q468" s="387" t="s">
        <v>3396</v>
      </c>
      <c r="R468" s="387" t="s">
        <v>4354</v>
      </c>
      <c r="S468" s="387" t="s">
        <v>614</v>
      </c>
      <c r="T468" s="387" t="s">
        <v>160</v>
      </c>
      <c r="U468" s="388">
        <v>1832</v>
      </c>
      <c r="V468" s="387" t="s">
        <v>543</v>
      </c>
      <c r="W468" s="387" t="s">
        <v>543</v>
      </c>
      <c r="X468" s="387" t="s">
        <v>543</v>
      </c>
      <c r="Y468" s="387" t="s">
        <v>543</v>
      </c>
      <c r="Z468" s="387" t="s">
        <v>543</v>
      </c>
      <c r="AA468" s="388" t="s">
        <v>543</v>
      </c>
      <c r="AB468" s="388" t="s">
        <v>543</v>
      </c>
      <c r="AC468" s="387" t="s">
        <v>543</v>
      </c>
      <c r="AD468" s="389">
        <v>10</v>
      </c>
      <c r="AE468" s="390">
        <v>45047</v>
      </c>
      <c r="AF468" s="390">
        <v>46142</v>
      </c>
      <c r="AG468" s="391" t="s">
        <v>545</v>
      </c>
      <c r="AH468" s="391" t="s">
        <v>545</v>
      </c>
      <c r="AI468" s="391" t="s">
        <v>1910</v>
      </c>
      <c r="AJ468" s="391">
        <v>0</v>
      </c>
      <c r="AK468" s="390">
        <v>45047</v>
      </c>
      <c r="AL468" s="389">
        <v>100</v>
      </c>
      <c r="AM468" s="391" t="s">
        <v>548</v>
      </c>
      <c r="AN468" s="391" t="s">
        <v>549</v>
      </c>
      <c r="AO468" s="391" t="s">
        <v>4366</v>
      </c>
    </row>
    <row r="469" spans="1:41" ht="16" thickBot="1">
      <c r="A469" s="387" t="s">
        <v>2387</v>
      </c>
      <c r="B469" s="387" t="s">
        <v>581</v>
      </c>
      <c r="C469" s="387" t="s">
        <v>4367</v>
      </c>
      <c r="D469" s="387" t="s">
        <v>4368</v>
      </c>
      <c r="E469" s="387">
        <v>7.5</v>
      </c>
      <c r="F469" s="387" t="s">
        <v>531</v>
      </c>
      <c r="G469" s="387">
        <v>7.5</v>
      </c>
      <c r="H469" s="387" t="s">
        <v>531</v>
      </c>
      <c r="I469" s="387" t="s">
        <v>3734</v>
      </c>
      <c r="J469" s="387" t="s">
        <v>4369</v>
      </c>
      <c r="K469" s="387" t="s">
        <v>4370</v>
      </c>
      <c r="L469" s="387" t="s">
        <v>3128</v>
      </c>
      <c r="M469" s="387" t="s">
        <v>3129</v>
      </c>
      <c r="N469" s="388">
        <v>490.69</v>
      </c>
      <c r="O469" s="388">
        <v>14</v>
      </c>
      <c r="P469" s="387" t="s">
        <v>611</v>
      </c>
      <c r="Q469" s="387" t="s">
        <v>612</v>
      </c>
      <c r="R469" s="387" t="s">
        <v>4371</v>
      </c>
      <c r="S469" s="387" t="s">
        <v>614</v>
      </c>
      <c r="T469" s="387" t="s">
        <v>160</v>
      </c>
      <c r="U469" s="388">
        <v>4682</v>
      </c>
      <c r="V469" s="387">
        <v>6006118001643</v>
      </c>
      <c r="W469" s="387">
        <v>6006118001643</v>
      </c>
      <c r="X469" s="387" t="s">
        <v>543</v>
      </c>
      <c r="Y469" s="387">
        <v>60061180016436</v>
      </c>
      <c r="Z469" s="387" t="s">
        <v>543</v>
      </c>
      <c r="AA469" s="388" t="s">
        <v>543</v>
      </c>
      <c r="AB469" s="388" t="s">
        <v>543</v>
      </c>
      <c r="AC469" s="387">
        <v>700229002</v>
      </c>
      <c r="AD469" s="389">
        <v>5</v>
      </c>
      <c r="AE469" s="390">
        <v>44378</v>
      </c>
      <c r="AF469" s="390">
        <v>45473</v>
      </c>
      <c r="AG469" s="391" t="s">
        <v>545</v>
      </c>
      <c r="AH469" s="391" t="s">
        <v>4372</v>
      </c>
      <c r="AI469" s="391" t="s">
        <v>3131</v>
      </c>
      <c r="AJ469" s="391">
        <v>0</v>
      </c>
      <c r="AK469" s="390">
        <v>44378</v>
      </c>
      <c r="AL469" s="389">
        <v>100</v>
      </c>
      <c r="AM469" s="391" t="s">
        <v>548</v>
      </c>
      <c r="AN469" s="391" t="s">
        <v>549</v>
      </c>
      <c r="AO469" s="391" t="s">
        <v>4373</v>
      </c>
    </row>
    <row r="470" spans="1:41" ht="16" thickBot="1">
      <c r="A470" s="387" t="s">
        <v>2387</v>
      </c>
      <c r="B470" s="387" t="s">
        <v>637</v>
      </c>
      <c r="C470" s="387" t="s">
        <v>4374</v>
      </c>
      <c r="D470" s="387" t="s">
        <v>4375</v>
      </c>
      <c r="E470" s="387">
        <v>20</v>
      </c>
      <c r="F470" s="387" t="s">
        <v>531</v>
      </c>
      <c r="G470" s="387">
        <v>20</v>
      </c>
      <c r="H470" s="387" t="s">
        <v>531</v>
      </c>
      <c r="I470" s="387" t="s">
        <v>1751</v>
      </c>
      <c r="J470" s="387" t="s">
        <v>4376</v>
      </c>
      <c r="K470" s="387" t="s">
        <v>4377</v>
      </c>
      <c r="L470" s="387" t="s">
        <v>3128</v>
      </c>
      <c r="M470" s="387" t="s">
        <v>3129</v>
      </c>
      <c r="N470" s="388">
        <v>171.49</v>
      </c>
      <c r="O470" s="388">
        <v>14</v>
      </c>
      <c r="P470" s="387" t="s">
        <v>611</v>
      </c>
      <c r="Q470" s="387" t="s">
        <v>612</v>
      </c>
      <c r="R470" s="387" t="s">
        <v>4378</v>
      </c>
      <c r="S470" s="387" t="s">
        <v>614</v>
      </c>
      <c r="T470" s="387" t="s">
        <v>160</v>
      </c>
      <c r="U470" s="388">
        <v>41360</v>
      </c>
      <c r="V470" s="387">
        <v>6005943000470</v>
      </c>
      <c r="W470" s="387">
        <v>6005943000470</v>
      </c>
      <c r="X470" s="387" t="s">
        <v>543</v>
      </c>
      <c r="Y470" s="387">
        <v>60059430004708</v>
      </c>
      <c r="Z470" s="387" t="s">
        <v>543</v>
      </c>
      <c r="AA470" s="388" t="s">
        <v>543</v>
      </c>
      <c r="AB470" s="388" t="s">
        <v>543</v>
      </c>
      <c r="AC470" s="387">
        <v>839175019</v>
      </c>
      <c r="AD470" s="389">
        <v>10</v>
      </c>
      <c r="AE470" s="390">
        <v>44378</v>
      </c>
      <c r="AF470" s="390">
        <v>45473</v>
      </c>
      <c r="AG470" s="391" t="s">
        <v>545</v>
      </c>
      <c r="AH470" s="391" t="s">
        <v>4379</v>
      </c>
      <c r="AI470" s="391" t="s">
        <v>3131</v>
      </c>
      <c r="AJ470" s="391">
        <v>0</v>
      </c>
      <c r="AK470" s="390">
        <v>44378</v>
      </c>
      <c r="AL470" s="389">
        <v>100</v>
      </c>
      <c r="AM470" s="391" t="s">
        <v>548</v>
      </c>
      <c r="AN470" s="391" t="s">
        <v>549</v>
      </c>
      <c r="AO470" s="391" t="s">
        <v>4380</v>
      </c>
    </row>
    <row r="471" spans="1:41" ht="16" thickBot="1">
      <c r="A471" s="387" t="s">
        <v>3010</v>
      </c>
      <c r="B471" s="387" t="s">
        <v>4381</v>
      </c>
      <c r="C471" s="387" t="s">
        <v>4382</v>
      </c>
      <c r="D471" s="387" t="s">
        <v>4383</v>
      </c>
      <c r="E471" s="387">
        <v>1</v>
      </c>
      <c r="F471" s="387" t="s">
        <v>1780</v>
      </c>
      <c r="G471" s="387">
        <v>1</v>
      </c>
      <c r="H471" s="387" t="s">
        <v>1780</v>
      </c>
      <c r="I471" s="387" t="s">
        <v>1751</v>
      </c>
      <c r="J471" s="387" t="s">
        <v>4384</v>
      </c>
      <c r="K471" s="387" t="s">
        <v>4385</v>
      </c>
      <c r="L471" s="387" t="s">
        <v>2559</v>
      </c>
      <c r="M471" s="387" t="s">
        <v>2560</v>
      </c>
      <c r="N471" s="388">
        <v>724.5</v>
      </c>
      <c r="O471" s="388">
        <v>14</v>
      </c>
      <c r="P471" s="387" t="s">
        <v>538</v>
      </c>
      <c r="Q471" s="387" t="s">
        <v>539</v>
      </c>
      <c r="R471" s="387" t="s">
        <v>4386</v>
      </c>
      <c r="S471" s="387" t="s">
        <v>171</v>
      </c>
      <c r="T471" s="387" t="s">
        <v>757</v>
      </c>
      <c r="U471" s="388">
        <v>38895</v>
      </c>
      <c r="V471" s="387">
        <v>6009880416301</v>
      </c>
      <c r="W471" s="387" t="s">
        <v>543</v>
      </c>
      <c r="X471" s="387" t="s">
        <v>543</v>
      </c>
      <c r="Y471" s="387" t="s">
        <v>543</v>
      </c>
      <c r="Z471" s="387" t="s">
        <v>543</v>
      </c>
      <c r="AA471" s="388" t="s">
        <v>543</v>
      </c>
      <c r="AB471" s="388" t="s">
        <v>543</v>
      </c>
      <c r="AC471" s="387" t="s">
        <v>543</v>
      </c>
      <c r="AD471" s="389" t="s">
        <v>4387</v>
      </c>
      <c r="AE471" s="390">
        <v>44620</v>
      </c>
      <c r="AF471" s="390">
        <v>45199</v>
      </c>
      <c r="AG471" s="391" t="s">
        <v>545</v>
      </c>
      <c r="AH471" s="391" t="s">
        <v>4388</v>
      </c>
      <c r="AI471" s="391" t="s">
        <v>2563</v>
      </c>
      <c r="AJ471" s="391">
        <v>0</v>
      </c>
      <c r="AK471" s="390">
        <v>44620</v>
      </c>
      <c r="AL471" s="389">
        <v>100</v>
      </c>
      <c r="AM471" s="391" t="s">
        <v>548</v>
      </c>
      <c r="AN471" s="391" t="s">
        <v>549</v>
      </c>
      <c r="AO471" s="391" t="s">
        <v>4389</v>
      </c>
    </row>
    <row r="472" spans="1:41" ht="16" thickBot="1">
      <c r="A472" s="387" t="s">
        <v>2166</v>
      </c>
      <c r="B472" s="387" t="s">
        <v>2577</v>
      </c>
      <c r="C472" s="387" t="s">
        <v>4390</v>
      </c>
      <c r="D472" s="387" t="s">
        <v>4391</v>
      </c>
      <c r="E472" s="387">
        <v>1</v>
      </c>
      <c r="F472" s="387" t="s">
        <v>1780</v>
      </c>
      <c r="G472" s="387">
        <v>1</v>
      </c>
      <c r="H472" s="387" t="s">
        <v>1780</v>
      </c>
      <c r="I472" s="387" t="s">
        <v>1751</v>
      </c>
      <c r="J472" s="387" t="s">
        <v>4392</v>
      </c>
      <c r="K472" s="387" t="s">
        <v>4393</v>
      </c>
      <c r="L472" s="387" t="s">
        <v>2141</v>
      </c>
      <c r="M472" s="387" t="s">
        <v>2142</v>
      </c>
      <c r="N472" s="388">
        <v>249.02</v>
      </c>
      <c r="O472" s="388">
        <v>14</v>
      </c>
      <c r="P472" s="387" t="s">
        <v>538</v>
      </c>
      <c r="Q472" s="387" t="s">
        <v>539</v>
      </c>
      <c r="R472" s="387" t="s">
        <v>4394</v>
      </c>
      <c r="S472" s="387" t="s">
        <v>171</v>
      </c>
      <c r="T472" s="387" t="s">
        <v>1908</v>
      </c>
      <c r="U472" s="388">
        <v>25754</v>
      </c>
      <c r="V472" s="387">
        <v>781718734325</v>
      </c>
      <c r="W472" s="387">
        <v>781718734417</v>
      </c>
      <c r="X472" s="387" t="s">
        <v>543</v>
      </c>
      <c r="Y472" s="387">
        <v>7817187344171</v>
      </c>
      <c r="Z472" s="387" t="s">
        <v>543</v>
      </c>
      <c r="AA472" s="388" t="s">
        <v>543</v>
      </c>
      <c r="AB472" s="388" t="s">
        <v>543</v>
      </c>
      <c r="AC472" s="387" t="s">
        <v>543</v>
      </c>
      <c r="AD472" s="389">
        <v>20</v>
      </c>
      <c r="AE472" s="390">
        <v>44743</v>
      </c>
      <c r="AF472" s="390">
        <v>45473</v>
      </c>
      <c r="AG472" s="390">
        <v>45473</v>
      </c>
      <c r="AH472" s="391" t="s">
        <v>4395</v>
      </c>
      <c r="AI472" s="391" t="s">
        <v>2144</v>
      </c>
      <c r="AJ472" s="391">
        <v>12</v>
      </c>
      <c r="AK472" s="390">
        <v>45047</v>
      </c>
      <c r="AL472" s="389">
        <v>100</v>
      </c>
      <c r="AM472" s="391" t="s">
        <v>548</v>
      </c>
      <c r="AN472" s="391" t="s">
        <v>549</v>
      </c>
      <c r="AO472" s="391" t="s">
        <v>4396</v>
      </c>
    </row>
    <row r="473" spans="1:41" ht="16" thickBot="1">
      <c r="A473" s="387" t="s">
        <v>2166</v>
      </c>
      <c r="B473" s="387" t="s">
        <v>2943</v>
      </c>
      <c r="C473" s="387" t="s">
        <v>4397</v>
      </c>
      <c r="D473" s="387" t="s">
        <v>4398</v>
      </c>
      <c r="E473" s="387">
        <v>1</v>
      </c>
      <c r="F473" s="387" t="s">
        <v>1780</v>
      </c>
      <c r="G473" s="387">
        <v>1</v>
      </c>
      <c r="H473" s="387" t="s">
        <v>1780</v>
      </c>
      <c r="I473" s="387" t="s">
        <v>1751</v>
      </c>
      <c r="J473" s="387" t="s">
        <v>4392</v>
      </c>
      <c r="K473" s="387" t="s">
        <v>4399</v>
      </c>
      <c r="L473" s="387" t="s">
        <v>2141</v>
      </c>
      <c r="M473" s="387" t="s">
        <v>2142</v>
      </c>
      <c r="N473" s="388">
        <v>110.42</v>
      </c>
      <c r="O473" s="388">
        <v>14</v>
      </c>
      <c r="P473" s="387" t="s">
        <v>538</v>
      </c>
      <c r="Q473" s="387" t="s">
        <v>539</v>
      </c>
      <c r="R473" s="387" t="s">
        <v>4394</v>
      </c>
      <c r="S473" s="387" t="s">
        <v>171</v>
      </c>
      <c r="T473" s="387" t="s">
        <v>1908</v>
      </c>
      <c r="U473" s="388">
        <v>2664</v>
      </c>
      <c r="V473" s="387">
        <v>781718734332</v>
      </c>
      <c r="W473" s="387">
        <v>781718734424</v>
      </c>
      <c r="X473" s="387" t="s">
        <v>543</v>
      </c>
      <c r="Y473" s="387">
        <v>7817187344241</v>
      </c>
      <c r="Z473" s="387" t="s">
        <v>543</v>
      </c>
      <c r="AA473" s="388" t="s">
        <v>543</v>
      </c>
      <c r="AB473" s="388" t="s">
        <v>543</v>
      </c>
      <c r="AC473" s="387" t="s">
        <v>543</v>
      </c>
      <c r="AD473" s="389">
        <v>20</v>
      </c>
      <c r="AE473" s="390">
        <v>44743</v>
      </c>
      <c r="AF473" s="390">
        <v>45473</v>
      </c>
      <c r="AG473" s="390">
        <v>45473</v>
      </c>
      <c r="AH473" s="391" t="s">
        <v>4400</v>
      </c>
      <c r="AI473" s="391" t="s">
        <v>2144</v>
      </c>
      <c r="AJ473" s="391">
        <v>12</v>
      </c>
      <c r="AK473" s="390">
        <v>45047</v>
      </c>
      <c r="AL473" s="389">
        <v>100</v>
      </c>
      <c r="AM473" s="391" t="s">
        <v>548</v>
      </c>
      <c r="AN473" s="391" t="s">
        <v>549</v>
      </c>
      <c r="AO473" s="391" t="s">
        <v>4401</v>
      </c>
    </row>
    <row r="474" spans="1:41" ht="16" thickBot="1">
      <c r="A474" s="387" t="s">
        <v>1766</v>
      </c>
      <c r="B474" s="387" t="s">
        <v>3302</v>
      </c>
      <c r="C474" s="387" t="s">
        <v>4402</v>
      </c>
      <c r="D474" s="387" t="s">
        <v>4403</v>
      </c>
      <c r="E474" s="387">
        <v>2</v>
      </c>
      <c r="F474" s="387" t="s">
        <v>531</v>
      </c>
      <c r="G474" s="387">
        <v>2</v>
      </c>
      <c r="H474" s="387" t="s">
        <v>531</v>
      </c>
      <c r="I474" s="387" t="s">
        <v>1751</v>
      </c>
      <c r="J474" s="387" t="s">
        <v>4404</v>
      </c>
      <c r="K474" s="387" t="s">
        <v>4405</v>
      </c>
      <c r="L474" s="387" t="s">
        <v>1955</v>
      </c>
      <c r="M474" s="387" t="s">
        <v>1956</v>
      </c>
      <c r="N474" s="388">
        <v>4.7699999999999996</v>
      </c>
      <c r="O474" s="388">
        <v>14</v>
      </c>
      <c r="P474" s="387" t="s">
        <v>538</v>
      </c>
      <c r="Q474" s="387" t="s">
        <v>539</v>
      </c>
      <c r="R474" s="387" t="s">
        <v>4406</v>
      </c>
      <c r="S474" s="387" t="s">
        <v>171</v>
      </c>
      <c r="T474" s="387" t="s">
        <v>757</v>
      </c>
      <c r="U474" s="388">
        <v>633215</v>
      </c>
      <c r="V474" s="387" t="s">
        <v>543</v>
      </c>
      <c r="W474" s="387" t="s">
        <v>543</v>
      </c>
      <c r="X474" s="387" t="s">
        <v>543</v>
      </c>
      <c r="Y474" s="387" t="s">
        <v>543</v>
      </c>
      <c r="Z474" s="387" t="s">
        <v>543</v>
      </c>
      <c r="AA474" s="388" t="s">
        <v>543</v>
      </c>
      <c r="AB474" s="388" t="s">
        <v>543</v>
      </c>
      <c r="AC474" s="387" t="s">
        <v>543</v>
      </c>
      <c r="AD474" s="389">
        <v>10</v>
      </c>
      <c r="AE474" s="390">
        <v>44470</v>
      </c>
      <c r="AF474" s="390">
        <v>45199</v>
      </c>
      <c r="AG474" s="391" t="s">
        <v>545</v>
      </c>
      <c r="AH474" s="391" t="s">
        <v>4407</v>
      </c>
      <c r="AI474" s="391" t="s">
        <v>1959</v>
      </c>
      <c r="AJ474" s="391">
        <v>0</v>
      </c>
      <c r="AK474" s="390">
        <v>44470</v>
      </c>
      <c r="AL474" s="389">
        <v>100</v>
      </c>
      <c r="AM474" s="391" t="s">
        <v>548</v>
      </c>
      <c r="AN474" s="391" t="s">
        <v>549</v>
      </c>
      <c r="AO474" s="391" t="s">
        <v>4408</v>
      </c>
    </row>
    <row r="475" spans="1:41" ht="16" thickBot="1">
      <c r="A475" s="387" t="s">
        <v>1766</v>
      </c>
      <c r="B475" s="387" t="s">
        <v>3353</v>
      </c>
      <c r="C475" s="387" t="s">
        <v>4409</v>
      </c>
      <c r="D475" s="387" t="s">
        <v>4410</v>
      </c>
      <c r="E475" s="387">
        <v>2</v>
      </c>
      <c r="F475" s="387" t="s">
        <v>531</v>
      </c>
      <c r="G475" s="387">
        <v>2</v>
      </c>
      <c r="H475" s="387" t="s">
        <v>531</v>
      </c>
      <c r="I475" s="387" t="s">
        <v>1751</v>
      </c>
      <c r="J475" s="387" t="s">
        <v>4404</v>
      </c>
      <c r="K475" s="387" t="s">
        <v>4411</v>
      </c>
      <c r="L475" s="387" t="s">
        <v>1955</v>
      </c>
      <c r="M475" s="387" t="s">
        <v>1956</v>
      </c>
      <c r="N475" s="388">
        <v>6.54</v>
      </c>
      <c r="O475" s="388">
        <v>14</v>
      </c>
      <c r="P475" s="387" t="s">
        <v>538</v>
      </c>
      <c r="Q475" s="387" t="s">
        <v>539</v>
      </c>
      <c r="R475" s="387" t="s">
        <v>4406</v>
      </c>
      <c r="S475" s="387" t="s">
        <v>171</v>
      </c>
      <c r="T475" s="387" t="s">
        <v>757</v>
      </c>
      <c r="U475" s="388">
        <v>1741860</v>
      </c>
      <c r="V475" s="387">
        <v>6006267000641</v>
      </c>
      <c r="W475" s="387">
        <v>6006267000641</v>
      </c>
      <c r="X475" s="387" t="s">
        <v>543</v>
      </c>
      <c r="Y475" s="387">
        <v>16006267000648</v>
      </c>
      <c r="Z475" s="387" t="s">
        <v>543</v>
      </c>
      <c r="AA475" s="388" t="s">
        <v>543</v>
      </c>
      <c r="AB475" s="388" t="s">
        <v>543</v>
      </c>
      <c r="AC475" s="387">
        <v>701046003</v>
      </c>
      <c r="AD475" s="389">
        <v>10</v>
      </c>
      <c r="AE475" s="390">
        <v>44470</v>
      </c>
      <c r="AF475" s="390">
        <v>45199</v>
      </c>
      <c r="AG475" s="391" t="s">
        <v>545</v>
      </c>
      <c r="AH475" s="391" t="s">
        <v>4412</v>
      </c>
      <c r="AI475" s="391" t="s">
        <v>1959</v>
      </c>
      <c r="AJ475" s="391">
        <v>0</v>
      </c>
      <c r="AK475" s="390">
        <v>44470</v>
      </c>
      <c r="AL475" s="389">
        <v>100</v>
      </c>
      <c r="AM475" s="391" t="s">
        <v>548</v>
      </c>
      <c r="AN475" s="391" t="s">
        <v>549</v>
      </c>
      <c r="AO475" s="391" t="s">
        <v>4413</v>
      </c>
    </row>
    <row r="476" spans="1:41" ht="16" thickBot="1">
      <c r="A476" s="387" t="s">
        <v>1717</v>
      </c>
      <c r="B476" s="387" t="s">
        <v>4414</v>
      </c>
      <c r="C476" s="387" t="s">
        <v>4415</v>
      </c>
      <c r="D476" s="387" t="s">
        <v>4416</v>
      </c>
      <c r="E476" s="387">
        <v>28</v>
      </c>
      <c r="F476" s="387" t="s">
        <v>559</v>
      </c>
      <c r="G476" s="387" t="s">
        <v>543</v>
      </c>
      <c r="H476" s="387" t="s">
        <v>559</v>
      </c>
      <c r="I476" s="387" t="s">
        <v>560</v>
      </c>
      <c r="J476" s="387" t="s">
        <v>4417</v>
      </c>
      <c r="K476" s="387" t="s">
        <v>4418</v>
      </c>
      <c r="L476" s="387" t="s">
        <v>2141</v>
      </c>
      <c r="M476" s="387" t="s">
        <v>2142</v>
      </c>
      <c r="N476" s="388">
        <v>3.35</v>
      </c>
      <c r="O476" s="388">
        <v>14</v>
      </c>
      <c r="P476" s="387" t="s">
        <v>538</v>
      </c>
      <c r="Q476" s="387" t="s">
        <v>539</v>
      </c>
      <c r="R476" s="387" t="s">
        <v>4419</v>
      </c>
      <c r="S476" s="387" t="s">
        <v>171</v>
      </c>
      <c r="T476" s="387" t="s">
        <v>542</v>
      </c>
      <c r="U476" s="388">
        <v>3229627</v>
      </c>
      <c r="V476" s="387">
        <v>614143105616</v>
      </c>
      <c r="W476" s="387">
        <v>614143105616</v>
      </c>
      <c r="X476" s="387" t="s">
        <v>543</v>
      </c>
      <c r="Y476" s="387">
        <v>10614143105613</v>
      </c>
      <c r="Z476" s="387" t="s">
        <v>543</v>
      </c>
      <c r="AA476" s="388" t="s">
        <v>543</v>
      </c>
      <c r="AB476" s="388" t="s">
        <v>543</v>
      </c>
      <c r="AC476" s="387">
        <v>781258023</v>
      </c>
      <c r="AD476" s="389">
        <v>100</v>
      </c>
      <c r="AE476" s="390">
        <v>45047</v>
      </c>
      <c r="AF476" s="390">
        <v>46142</v>
      </c>
      <c r="AG476" s="391" t="s">
        <v>545</v>
      </c>
      <c r="AH476" s="391" t="s">
        <v>4420</v>
      </c>
      <c r="AI476" s="391" t="s">
        <v>2144</v>
      </c>
      <c r="AJ476" s="391">
        <v>0</v>
      </c>
      <c r="AK476" s="390">
        <v>45047</v>
      </c>
      <c r="AL476" s="389">
        <v>70</v>
      </c>
      <c r="AM476" s="391" t="s">
        <v>548</v>
      </c>
      <c r="AN476" s="391" t="s">
        <v>549</v>
      </c>
      <c r="AO476" s="391" t="s">
        <v>4421</v>
      </c>
    </row>
    <row r="477" spans="1:41" ht="16" thickBot="1">
      <c r="A477" s="387" t="s">
        <v>1717</v>
      </c>
      <c r="B477" s="387" t="s">
        <v>4414</v>
      </c>
      <c r="C477" s="387" t="s">
        <v>4415</v>
      </c>
      <c r="D477" s="387" t="s">
        <v>4416</v>
      </c>
      <c r="E477" s="387">
        <v>28</v>
      </c>
      <c r="F477" s="387" t="s">
        <v>559</v>
      </c>
      <c r="G477" s="387" t="s">
        <v>543</v>
      </c>
      <c r="H477" s="387" t="s">
        <v>559</v>
      </c>
      <c r="I477" s="387" t="s">
        <v>560</v>
      </c>
      <c r="J477" s="387" t="s">
        <v>4417</v>
      </c>
      <c r="K477" s="387" t="s">
        <v>4422</v>
      </c>
      <c r="L477" s="387" t="s">
        <v>2062</v>
      </c>
      <c r="M477" s="387" t="s">
        <v>2063</v>
      </c>
      <c r="N477" s="388">
        <v>3.67</v>
      </c>
      <c r="O477" s="388">
        <v>14</v>
      </c>
      <c r="P477" s="387" t="s">
        <v>538</v>
      </c>
      <c r="Q477" s="387" t="s">
        <v>539</v>
      </c>
      <c r="R477" s="387" t="s">
        <v>4419</v>
      </c>
      <c r="S477" s="387" t="s">
        <v>171</v>
      </c>
      <c r="T477" s="387" t="s">
        <v>542</v>
      </c>
      <c r="U477" s="388">
        <v>1384126</v>
      </c>
      <c r="V477" s="387">
        <v>6009880832064</v>
      </c>
      <c r="W477" s="387" t="s">
        <v>543</v>
      </c>
      <c r="X477" s="387" t="s">
        <v>543</v>
      </c>
      <c r="Y477" s="387">
        <v>16009880832061</v>
      </c>
      <c r="Z477" s="387" t="s">
        <v>543</v>
      </c>
      <c r="AA477" s="388" t="s">
        <v>543</v>
      </c>
      <c r="AB477" s="388" t="s">
        <v>543</v>
      </c>
      <c r="AC477" s="387" t="s">
        <v>543</v>
      </c>
      <c r="AD477" s="389">
        <v>300</v>
      </c>
      <c r="AE477" s="390">
        <v>45047</v>
      </c>
      <c r="AF477" s="390">
        <v>46142</v>
      </c>
      <c r="AG477" s="391" t="s">
        <v>545</v>
      </c>
      <c r="AH477" s="391" t="s">
        <v>4420</v>
      </c>
      <c r="AI477" s="391" t="s">
        <v>2064</v>
      </c>
      <c r="AJ477" s="391">
        <v>0</v>
      </c>
      <c r="AK477" s="390">
        <v>45047</v>
      </c>
      <c r="AL477" s="389">
        <v>30</v>
      </c>
      <c r="AM477" s="391" t="s">
        <v>548</v>
      </c>
      <c r="AN477" s="391" t="s">
        <v>549</v>
      </c>
      <c r="AO477" s="391" t="s">
        <v>4421</v>
      </c>
    </row>
    <row r="478" spans="1:41" ht="16" thickBot="1">
      <c r="A478" s="387" t="s">
        <v>1717</v>
      </c>
      <c r="B478" s="387" t="s">
        <v>4423</v>
      </c>
      <c r="C478" s="387" t="s">
        <v>4424</v>
      </c>
      <c r="D478" s="387" t="s">
        <v>4425</v>
      </c>
      <c r="E478" s="387">
        <v>56</v>
      </c>
      <c r="F478" s="387" t="s">
        <v>559</v>
      </c>
      <c r="G478" s="387" t="s">
        <v>543</v>
      </c>
      <c r="H478" s="387" t="s">
        <v>559</v>
      </c>
      <c r="I478" s="387" t="s">
        <v>560</v>
      </c>
      <c r="J478" s="387" t="s">
        <v>4417</v>
      </c>
      <c r="K478" s="387" t="s">
        <v>4418</v>
      </c>
      <c r="L478" s="387" t="s">
        <v>2141</v>
      </c>
      <c r="M478" s="387" t="s">
        <v>2142</v>
      </c>
      <c r="N478" s="388">
        <v>4.99</v>
      </c>
      <c r="O478" s="388">
        <v>14</v>
      </c>
      <c r="P478" s="387" t="s">
        <v>538</v>
      </c>
      <c r="Q478" s="387" t="s">
        <v>539</v>
      </c>
      <c r="R478" s="387" t="s">
        <v>4419</v>
      </c>
      <c r="S478" s="387" t="s">
        <v>171</v>
      </c>
      <c r="T478" s="387" t="s">
        <v>542</v>
      </c>
      <c r="U478" s="388">
        <v>2747209</v>
      </c>
      <c r="V478" s="387">
        <v>614143105630</v>
      </c>
      <c r="W478" s="387">
        <v>614143105630</v>
      </c>
      <c r="X478" s="387" t="s">
        <v>543</v>
      </c>
      <c r="Y478" s="387">
        <v>10614143105637</v>
      </c>
      <c r="Z478" s="387" t="s">
        <v>543</v>
      </c>
      <c r="AA478" s="388" t="s">
        <v>543</v>
      </c>
      <c r="AB478" s="388" t="s">
        <v>543</v>
      </c>
      <c r="AC478" s="387">
        <v>781258024</v>
      </c>
      <c r="AD478" s="389">
        <v>100</v>
      </c>
      <c r="AE478" s="390">
        <v>45047</v>
      </c>
      <c r="AF478" s="390">
        <v>46142</v>
      </c>
      <c r="AG478" s="391" t="s">
        <v>545</v>
      </c>
      <c r="AH478" s="391" t="s">
        <v>4426</v>
      </c>
      <c r="AI478" s="391" t="s">
        <v>2144</v>
      </c>
      <c r="AJ478" s="391">
        <v>0</v>
      </c>
      <c r="AK478" s="390">
        <v>45047</v>
      </c>
      <c r="AL478" s="389">
        <v>80</v>
      </c>
      <c r="AM478" s="391" t="s">
        <v>548</v>
      </c>
      <c r="AN478" s="391" t="s">
        <v>549</v>
      </c>
      <c r="AO478" s="391" t="s">
        <v>4421</v>
      </c>
    </row>
    <row r="479" spans="1:41" ht="16" thickBot="1">
      <c r="A479" s="387" t="s">
        <v>1717</v>
      </c>
      <c r="B479" s="387" t="s">
        <v>4423</v>
      </c>
      <c r="C479" s="387" t="s">
        <v>4424</v>
      </c>
      <c r="D479" s="387" t="s">
        <v>4425</v>
      </c>
      <c r="E479" s="387">
        <v>56</v>
      </c>
      <c r="F479" s="387" t="s">
        <v>559</v>
      </c>
      <c r="G479" s="387" t="s">
        <v>543</v>
      </c>
      <c r="H479" s="387" t="s">
        <v>559</v>
      </c>
      <c r="I479" s="387" t="s">
        <v>560</v>
      </c>
      <c r="J479" s="387" t="s">
        <v>4417</v>
      </c>
      <c r="K479" s="387" t="s">
        <v>4422</v>
      </c>
      <c r="L479" s="387" t="s">
        <v>2062</v>
      </c>
      <c r="M479" s="387" t="s">
        <v>2063</v>
      </c>
      <c r="N479" s="388">
        <v>6.05</v>
      </c>
      <c r="O479" s="388">
        <v>14</v>
      </c>
      <c r="P479" s="387" t="s">
        <v>538</v>
      </c>
      <c r="Q479" s="387" t="s">
        <v>539</v>
      </c>
      <c r="R479" s="387" t="s">
        <v>4419</v>
      </c>
      <c r="S479" s="387" t="s">
        <v>171</v>
      </c>
      <c r="T479" s="387" t="s">
        <v>542</v>
      </c>
      <c r="U479" s="388">
        <v>686802</v>
      </c>
      <c r="V479" s="387">
        <v>6009880832071</v>
      </c>
      <c r="W479" s="387" t="s">
        <v>543</v>
      </c>
      <c r="X479" s="387" t="s">
        <v>543</v>
      </c>
      <c r="Y479" s="387">
        <v>16009880832078</v>
      </c>
      <c r="Z479" s="387" t="s">
        <v>543</v>
      </c>
      <c r="AA479" s="388" t="s">
        <v>543</v>
      </c>
      <c r="AB479" s="388" t="s">
        <v>543</v>
      </c>
      <c r="AC479" s="387" t="s">
        <v>543</v>
      </c>
      <c r="AD479" s="389">
        <v>300</v>
      </c>
      <c r="AE479" s="390">
        <v>45047</v>
      </c>
      <c r="AF479" s="390">
        <v>46142</v>
      </c>
      <c r="AG479" s="391" t="s">
        <v>545</v>
      </c>
      <c r="AH479" s="391" t="s">
        <v>4426</v>
      </c>
      <c r="AI479" s="391" t="s">
        <v>2064</v>
      </c>
      <c r="AJ479" s="391">
        <v>0</v>
      </c>
      <c r="AK479" s="390">
        <v>45047</v>
      </c>
      <c r="AL479" s="389">
        <v>20</v>
      </c>
      <c r="AM479" s="391" t="s">
        <v>548</v>
      </c>
      <c r="AN479" s="391" t="s">
        <v>549</v>
      </c>
      <c r="AO479" s="391" t="s">
        <v>4421</v>
      </c>
    </row>
    <row r="480" spans="1:41" ht="16" thickBot="1">
      <c r="A480" s="387" t="s">
        <v>1717</v>
      </c>
      <c r="B480" s="387" t="s">
        <v>4427</v>
      </c>
      <c r="C480" s="387" t="s">
        <v>4428</v>
      </c>
      <c r="D480" s="387" t="s">
        <v>4429</v>
      </c>
      <c r="E480" s="387">
        <v>84</v>
      </c>
      <c r="F480" s="387" t="s">
        <v>559</v>
      </c>
      <c r="G480" s="387" t="s">
        <v>543</v>
      </c>
      <c r="H480" s="387" t="s">
        <v>559</v>
      </c>
      <c r="I480" s="387" t="s">
        <v>560</v>
      </c>
      <c r="J480" s="387" t="s">
        <v>4417</v>
      </c>
      <c r="K480" s="387" t="s">
        <v>4418</v>
      </c>
      <c r="L480" s="387" t="s">
        <v>2141</v>
      </c>
      <c r="M480" s="387" t="s">
        <v>2142</v>
      </c>
      <c r="N480" s="388">
        <v>6.38</v>
      </c>
      <c r="O480" s="388">
        <v>14</v>
      </c>
      <c r="P480" s="387" t="s">
        <v>538</v>
      </c>
      <c r="Q480" s="387" t="s">
        <v>539</v>
      </c>
      <c r="R480" s="387" t="s">
        <v>4419</v>
      </c>
      <c r="S480" s="387" t="s">
        <v>171</v>
      </c>
      <c r="T480" s="387" t="s">
        <v>542</v>
      </c>
      <c r="U480" s="388">
        <v>1244729</v>
      </c>
      <c r="V480" s="387">
        <v>614143105623</v>
      </c>
      <c r="W480" s="387">
        <v>614143105623</v>
      </c>
      <c r="X480" s="387" t="s">
        <v>543</v>
      </c>
      <c r="Y480" s="387">
        <v>10614143105620</v>
      </c>
      <c r="Z480" s="387" t="s">
        <v>543</v>
      </c>
      <c r="AA480" s="388" t="s">
        <v>543</v>
      </c>
      <c r="AB480" s="388" t="s">
        <v>543</v>
      </c>
      <c r="AC480" s="387">
        <v>781258025</v>
      </c>
      <c r="AD480" s="389">
        <v>100</v>
      </c>
      <c r="AE480" s="390">
        <v>45047</v>
      </c>
      <c r="AF480" s="390">
        <v>46142</v>
      </c>
      <c r="AG480" s="391" t="s">
        <v>545</v>
      </c>
      <c r="AH480" s="391" t="s">
        <v>4430</v>
      </c>
      <c r="AI480" s="391" t="s">
        <v>2144</v>
      </c>
      <c r="AJ480" s="391">
        <v>0</v>
      </c>
      <c r="AK480" s="390">
        <v>45047</v>
      </c>
      <c r="AL480" s="389">
        <v>100</v>
      </c>
      <c r="AM480" s="391" t="s">
        <v>548</v>
      </c>
      <c r="AN480" s="391" t="s">
        <v>549</v>
      </c>
      <c r="AO480" s="391" t="s">
        <v>4421</v>
      </c>
    </row>
    <row r="481" spans="1:41" ht="16" thickBot="1">
      <c r="A481" s="387" t="s">
        <v>1717</v>
      </c>
      <c r="B481" s="387" t="s">
        <v>4431</v>
      </c>
      <c r="C481" s="387" t="s">
        <v>4432</v>
      </c>
      <c r="D481" s="387" t="s">
        <v>4433</v>
      </c>
      <c r="E481" s="387">
        <v>28</v>
      </c>
      <c r="F481" s="387" t="s">
        <v>559</v>
      </c>
      <c r="G481" s="387">
        <v>28</v>
      </c>
      <c r="H481" s="387" t="s">
        <v>559</v>
      </c>
      <c r="I481" s="387" t="s">
        <v>560</v>
      </c>
      <c r="J481" s="387" t="s">
        <v>4434</v>
      </c>
      <c r="K481" s="387" t="s">
        <v>4435</v>
      </c>
      <c r="L481" s="387" t="s">
        <v>1886</v>
      </c>
      <c r="M481" s="387" t="s">
        <v>1887</v>
      </c>
      <c r="N481" s="388">
        <v>3.34</v>
      </c>
      <c r="O481" s="388">
        <v>14</v>
      </c>
      <c r="P481" s="387" t="s">
        <v>538</v>
      </c>
      <c r="Q481" s="387" t="s">
        <v>539</v>
      </c>
      <c r="R481" s="387" t="s">
        <v>4436</v>
      </c>
      <c r="S481" s="387" t="s">
        <v>171</v>
      </c>
      <c r="T481" s="387" t="s">
        <v>542</v>
      </c>
      <c r="U481" s="388">
        <v>558183</v>
      </c>
      <c r="V481" s="387" t="s">
        <v>543</v>
      </c>
      <c r="W481" s="387" t="s">
        <v>543</v>
      </c>
      <c r="X481" s="387" t="s">
        <v>543</v>
      </c>
      <c r="Y481" s="387" t="s">
        <v>543</v>
      </c>
      <c r="Z481" s="387" t="s">
        <v>543</v>
      </c>
      <c r="AA481" s="388" t="s">
        <v>543</v>
      </c>
      <c r="AB481" s="388" t="s">
        <v>543</v>
      </c>
      <c r="AC481" s="387" t="s">
        <v>543</v>
      </c>
      <c r="AD481" s="389">
        <v>10</v>
      </c>
      <c r="AE481" s="390">
        <v>45047</v>
      </c>
      <c r="AF481" s="390">
        <v>46142</v>
      </c>
      <c r="AG481" s="391" t="s">
        <v>545</v>
      </c>
      <c r="AH481" s="391" t="s">
        <v>4437</v>
      </c>
      <c r="AI481" s="391" t="s">
        <v>1889</v>
      </c>
      <c r="AJ481" s="391">
        <v>0</v>
      </c>
      <c r="AK481" s="390">
        <v>45047</v>
      </c>
      <c r="AL481" s="389">
        <v>20</v>
      </c>
      <c r="AM481" s="391" t="s">
        <v>548</v>
      </c>
      <c r="AN481" s="391" t="s">
        <v>549</v>
      </c>
      <c r="AO481" s="391" t="s">
        <v>4438</v>
      </c>
    </row>
    <row r="482" spans="1:41" ht="16" thickBot="1">
      <c r="A482" s="387" t="s">
        <v>1717</v>
      </c>
      <c r="B482" s="387" t="s">
        <v>4431</v>
      </c>
      <c r="C482" s="387" t="s">
        <v>4432</v>
      </c>
      <c r="D482" s="387" t="s">
        <v>4433</v>
      </c>
      <c r="E482" s="387">
        <v>28</v>
      </c>
      <c r="F482" s="387" t="s">
        <v>559</v>
      </c>
      <c r="G482" s="387">
        <v>28</v>
      </c>
      <c r="H482" s="387" t="s">
        <v>559</v>
      </c>
      <c r="I482" s="387" t="s">
        <v>560</v>
      </c>
      <c r="J482" s="387" t="s">
        <v>4434</v>
      </c>
      <c r="K482" s="387" t="s">
        <v>4439</v>
      </c>
      <c r="L482" s="387" t="s">
        <v>2141</v>
      </c>
      <c r="M482" s="387" t="s">
        <v>2142</v>
      </c>
      <c r="N482" s="388">
        <v>2.78</v>
      </c>
      <c r="O482" s="388">
        <v>14</v>
      </c>
      <c r="P482" s="387" t="s">
        <v>538</v>
      </c>
      <c r="Q482" s="387" t="s">
        <v>539</v>
      </c>
      <c r="R482" s="387" t="s">
        <v>4436</v>
      </c>
      <c r="S482" s="387" t="s">
        <v>171</v>
      </c>
      <c r="T482" s="387" t="s">
        <v>542</v>
      </c>
      <c r="U482" s="388">
        <v>2232732</v>
      </c>
      <c r="V482" s="387">
        <v>614143105753</v>
      </c>
      <c r="W482" s="387" t="s">
        <v>543</v>
      </c>
      <c r="X482" s="387" t="s">
        <v>543</v>
      </c>
      <c r="Y482" s="387">
        <v>6141431057531</v>
      </c>
      <c r="Z482" s="387" t="s">
        <v>543</v>
      </c>
      <c r="AA482" s="388" t="s">
        <v>543</v>
      </c>
      <c r="AB482" s="388" t="s">
        <v>543</v>
      </c>
      <c r="AC482" s="387" t="s">
        <v>543</v>
      </c>
      <c r="AD482" s="389">
        <v>100</v>
      </c>
      <c r="AE482" s="390">
        <v>45047</v>
      </c>
      <c r="AF482" s="390">
        <v>46142</v>
      </c>
      <c r="AG482" s="391" t="s">
        <v>545</v>
      </c>
      <c r="AH482" s="391" t="s">
        <v>4437</v>
      </c>
      <c r="AI482" s="391" t="s">
        <v>2144</v>
      </c>
      <c r="AJ482" s="391">
        <v>0</v>
      </c>
      <c r="AK482" s="390">
        <v>45047</v>
      </c>
      <c r="AL482" s="389">
        <v>80</v>
      </c>
      <c r="AM482" s="391" t="s">
        <v>548</v>
      </c>
      <c r="AN482" s="391" t="s">
        <v>549</v>
      </c>
      <c r="AO482" s="391" t="s">
        <v>4438</v>
      </c>
    </row>
    <row r="483" spans="1:41" ht="16" thickBot="1">
      <c r="A483" s="387" t="s">
        <v>1717</v>
      </c>
      <c r="B483" s="387" t="s">
        <v>4440</v>
      </c>
      <c r="C483" s="387" t="s">
        <v>4441</v>
      </c>
      <c r="D483" s="387" t="s">
        <v>4442</v>
      </c>
      <c r="E483" s="387">
        <v>28</v>
      </c>
      <c r="F483" s="387" t="s">
        <v>559</v>
      </c>
      <c r="G483" s="387">
        <v>28</v>
      </c>
      <c r="H483" s="387" t="s">
        <v>559</v>
      </c>
      <c r="I483" s="387" t="s">
        <v>560</v>
      </c>
      <c r="J483" s="387" t="s">
        <v>4434</v>
      </c>
      <c r="K483" s="387" t="s">
        <v>4443</v>
      </c>
      <c r="L483" s="387" t="s">
        <v>2062</v>
      </c>
      <c r="M483" s="387" t="s">
        <v>2063</v>
      </c>
      <c r="N483" s="388">
        <v>5.12</v>
      </c>
      <c r="O483" s="388">
        <v>14</v>
      </c>
      <c r="P483" s="387" t="s">
        <v>538</v>
      </c>
      <c r="Q483" s="387" t="s">
        <v>539</v>
      </c>
      <c r="R483" s="387" t="s">
        <v>4436</v>
      </c>
      <c r="S483" s="387" t="s">
        <v>171</v>
      </c>
      <c r="T483" s="387" t="s">
        <v>542</v>
      </c>
      <c r="U483" s="388">
        <v>1137223</v>
      </c>
      <c r="V483" s="387" t="s">
        <v>543</v>
      </c>
      <c r="W483" s="387" t="s">
        <v>543</v>
      </c>
      <c r="X483" s="387" t="s">
        <v>543</v>
      </c>
      <c r="Y483" s="387" t="s">
        <v>543</v>
      </c>
      <c r="Z483" s="387" t="s">
        <v>543</v>
      </c>
      <c r="AA483" s="388" t="s">
        <v>543</v>
      </c>
      <c r="AB483" s="388" t="s">
        <v>543</v>
      </c>
      <c r="AC483" s="387" t="s">
        <v>543</v>
      </c>
      <c r="AD483" s="389">
        <v>200</v>
      </c>
      <c r="AE483" s="390">
        <v>45047</v>
      </c>
      <c r="AF483" s="390">
        <v>46142</v>
      </c>
      <c r="AG483" s="391" t="s">
        <v>545</v>
      </c>
      <c r="AH483" s="391" t="s">
        <v>4444</v>
      </c>
      <c r="AI483" s="391" t="s">
        <v>2064</v>
      </c>
      <c r="AJ483" s="391">
        <v>0</v>
      </c>
      <c r="AK483" s="390">
        <v>45047</v>
      </c>
      <c r="AL483" s="389">
        <v>20</v>
      </c>
      <c r="AM483" s="391" t="s">
        <v>548</v>
      </c>
      <c r="AN483" s="391" t="s">
        <v>549</v>
      </c>
      <c r="AO483" s="391" t="s">
        <v>4445</v>
      </c>
    </row>
    <row r="484" spans="1:41" ht="16" thickBot="1">
      <c r="A484" s="387" t="s">
        <v>1717</v>
      </c>
      <c r="B484" s="387" t="s">
        <v>4440</v>
      </c>
      <c r="C484" s="387" t="s">
        <v>4441</v>
      </c>
      <c r="D484" s="387" t="s">
        <v>4442</v>
      </c>
      <c r="E484" s="387">
        <v>28</v>
      </c>
      <c r="F484" s="387" t="s">
        <v>559</v>
      </c>
      <c r="G484" s="387">
        <v>28</v>
      </c>
      <c r="H484" s="387" t="s">
        <v>559</v>
      </c>
      <c r="I484" s="387" t="s">
        <v>560</v>
      </c>
      <c r="J484" s="387" t="s">
        <v>4434</v>
      </c>
      <c r="K484" s="387" t="s">
        <v>4446</v>
      </c>
      <c r="L484" s="387" t="s">
        <v>2141</v>
      </c>
      <c r="M484" s="387" t="s">
        <v>2142</v>
      </c>
      <c r="N484" s="388">
        <v>4.32</v>
      </c>
      <c r="O484" s="388">
        <v>14</v>
      </c>
      <c r="P484" s="387" t="s">
        <v>538</v>
      </c>
      <c r="Q484" s="387" t="s">
        <v>539</v>
      </c>
      <c r="R484" s="387" t="s">
        <v>4436</v>
      </c>
      <c r="S484" s="387" t="s">
        <v>171</v>
      </c>
      <c r="T484" s="387" t="s">
        <v>542</v>
      </c>
      <c r="U484" s="388">
        <v>4548893</v>
      </c>
      <c r="V484" s="387">
        <v>614143105760</v>
      </c>
      <c r="W484" s="387" t="s">
        <v>543</v>
      </c>
      <c r="X484" s="387" t="s">
        <v>543</v>
      </c>
      <c r="Y484" s="387">
        <v>6141431057601</v>
      </c>
      <c r="Z484" s="387" t="s">
        <v>543</v>
      </c>
      <c r="AA484" s="388" t="s">
        <v>543</v>
      </c>
      <c r="AB484" s="388" t="s">
        <v>543</v>
      </c>
      <c r="AC484" s="387" t="s">
        <v>543</v>
      </c>
      <c r="AD484" s="389">
        <v>100</v>
      </c>
      <c r="AE484" s="390">
        <v>45047</v>
      </c>
      <c r="AF484" s="390">
        <v>46142</v>
      </c>
      <c r="AG484" s="391" t="s">
        <v>545</v>
      </c>
      <c r="AH484" s="391" t="s">
        <v>4444</v>
      </c>
      <c r="AI484" s="391" t="s">
        <v>2144</v>
      </c>
      <c r="AJ484" s="391">
        <v>0</v>
      </c>
      <c r="AK484" s="390">
        <v>45047</v>
      </c>
      <c r="AL484" s="389">
        <v>80</v>
      </c>
      <c r="AM484" s="391" t="s">
        <v>548</v>
      </c>
      <c r="AN484" s="391" t="s">
        <v>549</v>
      </c>
      <c r="AO484" s="391" t="s">
        <v>4445</v>
      </c>
    </row>
    <row r="485" spans="1:41" ht="16" thickBot="1">
      <c r="A485" s="387" t="s">
        <v>1717</v>
      </c>
      <c r="B485" s="387" t="s">
        <v>4447</v>
      </c>
      <c r="C485" s="387" t="s">
        <v>4448</v>
      </c>
      <c r="D485" s="387" t="s">
        <v>4449</v>
      </c>
      <c r="E485" s="387">
        <v>28</v>
      </c>
      <c r="F485" s="387" t="s">
        <v>559</v>
      </c>
      <c r="G485" s="387">
        <v>28</v>
      </c>
      <c r="H485" s="387" t="s">
        <v>559</v>
      </c>
      <c r="I485" s="387" t="s">
        <v>560</v>
      </c>
      <c r="J485" s="387" t="s">
        <v>4434</v>
      </c>
      <c r="K485" s="387" t="s">
        <v>4450</v>
      </c>
      <c r="L485" s="387" t="s">
        <v>2141</v>
      </c>
      <c r="M485" s="387" t="s">
        <v>2142</v>
      </c>
      <c r="N485" s="388">
        <v>6.27</v>
      </c>
      <c r="O485" s="388">
        <v>14</v>
      </c>
      <c r="P485" s="387" t="s">
        <v>538</v>
      </c>
      <c r="Q485" s="387" t="s">
        <v>539</v>
      </c>
      <c r="R485" s="387" t="s">
        <v>4436</v>
      </c>
      <c r="S485" s="387" t="s">
        <v>171</v>
      </c>
      <c r="T485" s="387" t="s">
        <v>542</v>
      </c>
      <c r="U485" s="388">
        <v>2926732</v>
      </c>
      <c r="V485" s="387">
        <v>614143105777</v>
      </c>
      <c r="W485" s="387" t="s">
        <v>543</v>
      </c>
      <c r="X485" s="387" t="s">
        <v>543</v>
      </c>
      <c r="Y485" s="387">
        <v>6141431057771</v>
      </c>
      <c r="Z485" s="387" t="s">
        <v>543</v>
      </c>
      <c r="AA485" s="388" t="s">
        <v>543</v>
      </c>
      <c r="AB485" s="388" t="s">
        <v>543</v>
      </c>
      <c r="AC485" s="387" t="s">
        <v>543</v>
      </c>
      <c r="AD485" s="389">
        <v>100</v>
      </c>
      <c r="AE485" s="390">
        <v>45047</v>
      </c>
      <c r="AF485" s="390">
        <v>46142</v>
      </c>
      <c r="AG485" s="391" t="s">
        <v>545</v>
      </c>
      <c r="AH485" s="391" t="s">
        <v>4451</v>
      </c>
      <c r="AI485" s="391" t="s">
        <v>2144</v>
      </c>
      <c r="AJ485" s="391">
        <v>0</v>
      </c>
      <c r="AK485" s="390">
        <v>45047</v>
      </c>
      <c r="AL485" s="389">
        <v>60</v>
      </c>
      <c r="AM485" s="391" t="s">
        <v>548</v>
      </c>
      <c r="AN485" s="391" t="s">
        <v>549</v>
      </c>
      <c r="AO485" s="391" t="s">
        <v>4452</v>
      </c>
    </row>
    <row r="486" spans="1:41" ht="16" thickBot="1">
      <c r="A486" s="387" t="s">
        <v>1717</v>
      </c>
      <c r="B486" s="387" t="s">
        <v>4447</v>
      </c>
      <c r="C486" s="387" t="s">
        <v>4448</v>
      </c>
      <c r="D486" s="387" t="s">
        <v>4449</v>
      </c>
      <c r="E486" s="387">
        <v>28</v>
      </c>
      <c r="F486" s="387" t="s">
        <v>559</v>
      </c>
      <c r="G486" s="387">
        <v>28</v>
      </c>
      <c r="H486" s="387" t="s">
        <v>559</v>
      </c>
      <c r="I486" s="387" t="s">
        <v>560</v>
      </c>
      <c r="J486" s="387" t="s">
        <v>4434</v>
      </c>
      <c r="K486" s="387" t="s">
        <v>4453</v>
      </c>
      <c r="L486" s="387" t="s">
        <v>1886</v>
      </c>
      <c r="M486" s="387" t="s">
        <v>1887</v>
      </c>
      <c r="N486" s="388">
        <v>6.34</v>
      </c>
      <c r="O486" s="388">
        <v>14</v>
      </c>
      <c r="P486" s="387" t="s">
        <v>538</v>
      </c>
      <c r="Q486" s="387" t="s">
        <v>539</v>
      </c>
      <c r="R486" s="387" t="s">
        <v>4436</v>
      </c>
      <c r="S486" s="387" t="s">
        <v>171</v>
      </c>
      <c r="T486" s="387" t="s">
        <v>542</v>
      </c>
      <c r="U486" s="388">
        <v>1951154</v>
      </c>
      <c r="V486" s="387" t="s">
        <v>543</v>
      </c>
      <c r="W486" s="387" t="s">
        <v>543</v>
      </c>
      <c r="X486" s="387" t="s">
        <v>543</v>
      </c>
      <c r="Y486" s="387" t="s">
        <v>543</v>
      </c>
      <c r="Z486" s="387" t="s">
        <v>543</v>
      </c>
      <c r="AA486" s="388" t="s">
        <v>543</v>
      </c>
      <c r="AB486" s="388" t="s">
        <v>543</v>
      </c>
      <c r="AC486" s="387" t="s">
        <v>543</v>
      </c>
      <c r="AD486" s="389">
        <v>10</v>
      </c>
      <c r="AE486" s="390">
        <v>45047</v>
      </c>
      <c r="AF486" s="390">
        <v>46142</v>
      </c>
      <c r="AG486" s="391" t="s">
        <v>545</v>
      </c>
      <c r="AH486" s="391" t="s">
        <v>4451</v>
      </c>
      <c r="AI486" s="391" t="s">
        <v>1889</v>
      </c>
      <c r="AJ486" s="391">
        <v>0</v>
      </c>
      <c r="AK486" s="390">
        <v>45047</v>
      </c>
      <c r="AL486" s="389">
        <v>40</v>
      </c>
      <c r="AM486" s="391" t="s">
        <v>548</v>
      </c>
      <c r="AN486" s="391" t="s">
        <v>549</v>
      </c>
      <c r="AO486" s="391" t="s">
        <v>4452</v>
      </c>
    </row>
    <row r="487" spans="1:41" ht="16" thickBot="1">
      <c r="A487" s="387" t="s">
        <v>1748</v>
      </c>
      <c r="B487" s="387" t="s">
        <v>2776</v>
      </c>
      <c r="C487" s="387" t="s">
        <v>4454</v>
      </c>
      <c r="D487" s="387" t="s">
        <v>4455</v>
      </c>
      <c r="E487" s="387">
        <v>1</v>
      </c>
      <c r="F487" s="387" t="s">
        <v>531</v>
      </c>
      <c r="G487" s="387">
        <v>1</v>
      </c>
      <c r="H487" s="387" t="s">
        <v>531</v>
      </c>
      <c r="I487" s="387" t="s">
        <v>1751</v>
      </c>
      <c r="J487" s="387" t="s">
        <v>4456</v>
      </c>
      <c r="K487" s="387" t="s">
        <v>4457</v>
      </c>
      <c r="L487" s="387" t="s">
        <v>3984</v>
      </c>
      <c r="M487" s="387" t="s">
        <v>3985</v>
      </c>
      <c r="N487" s="388">
        <v>394.98</v>
      </c>
      <c r="O487" s="388">
        <v>14</v>
      </c>
      <c r="P487" s="387" t="s">
        <v>538</v>
      </c>
      <c r="Q487" s="387" t="s">
        <v>539</v>
      </c>
      <c r="R487" s="387" t="s">
        <v>4458</v>
      </c>
      <c r="S487" s="387" t="s">
        <v>541</v>
      </c>
      <c r="T487" s="387" t="s">
        <v>757</v>
      </c>
      <c r="U487" s="388">
        <v>30050</v>
      </c>
      <c r="V487" s="387">
        <v>6006338000747</v>
      </c>
      <c r="W487" s="387" t="s">
        <v>543</v>
      </c>
      <c r="X487" s="387" t="s">
        <v>543</v>
      </c>
      <c r="Y487" s="387">
        <v>6006338000747</v>
      </c>
      <c r="Z487" s="387" t="s">
        <v>543</v>
      </c>
      <c r="AA487" s="388" t="s">
        <v>543</v>
      </c>
      <c r="AB487" s="388" t="s">
        <v>543</v>
      </c>
      <c r="AC487" s="387">
        <v>821365002</v>
      </c>
      <c r="AD487" s="389">
        <v>1</v>
      </c>
      <c r="AE487" s="390">
        <v>44317</v>
      </c>
      <c r="AF487" s="390">
        <v>45412</v>
      </c>
      <c r="AG487" s="391" t="s">
        <v>545</v>
      </c>
      <c r="AH487" s="391" t="s">
        <v>4459</v>
      </c>
      <c r="AI487" s="391" t="s">
        <v>3988</v>
      </c>
      <c r="AJ487" s="391">
        <v>0</v>
      </c>
      <c r="AK487" s="390">
        <v>44317</v>
      </c>
      <c r="AL487" s="389">
        <v>100</v>
      </c>
      <c r="AM487" s="391" t="s">
        <v>548</v>
      </c>
      <c r="AN487" s="391" t="s">
        <v>549</v>
      </c>
      <c r="AO487" s="391" t="s">
        <v>4460</v>
      </c>
    </row>
    <row r="488" spans="1:41" ht="16" thickBot="1">
      <c r="A488" s="387" t="s">
        <v>2387</v>
      </c>
      <c r="B488" s="387" t="s">
        <v>680</v>
      </c>
      <c r="C488" s="387" t="s">
        <v>4461</v>
      </c>
      <c r="D488" s="387" t="s">
        <v>4462</v>
      </c>
      <c r="E488" s="387">
        <v>1</v>
      </c>
      <c r="F488" s="387" t="s">
        <v>3238</v>
      </c>
      <c r="G488" s="387">
        <v>1</v>
      </c>
      <c r="H488" s="387" t="s">
        <v>3238</v>
      </c>
      <c r="I488" s="387" t="s">
        <v>3239</v>
      </c>
      <c r="J488" s="387" t="s">
        <v>4463</v>
      </c>
      <c r="K488" s="387" t="s">
        <v>4464</v>
      </c>
      <c r="L488" s="387" t="s">
        <v>4465</v>
      </c>
      <c r="M488" s="387" t="s">
        <v>4466</v>
      </c>
      <c r="N488" s="388">
        <v>0</v>
      </c>
      <c r="O488" s="388">
        <v>14</v>
      </c>
      <c r="P488" s="387" t="s">
        <v>538</v>
      </c>
      <c r="Q488" s="387" t="s">
        <v>160</v>
      </c>
      <c r="R488" s="387" t="s">
        <v>1745</v>
      </c>
      <c r="S488" s="387" t="s">
        <v>541</v>
      </c>
      <c r="T488" s="387" t="s">
        <v>542</v>
      </c>
      <c r="U488" s="388">
        <v>532000</v>
      </c>
      <c r="V488" s="387">
        <v>858745005046</v>
      </c>
      <c r="W488" s="387">
        <v>858745005046</v>
      </c>
      <c r="X488" s="387" t="s">
        <v>543</v>
      </c>
      <c r="Y488" s="387" t="s">
        <v>543</v>
      </c>
      <c r="Z488" s="387" t="s">
        <v>543</v>
      </c>
      <c r="AA488" s="388" t="s">
        <v>543</v>
      </c>
      <c r="AB488" s="388" t="s">
        <v>543</v>
      </c>
      <c r="AC488" s="387" t="s">
        <v>543</v>
      </c>
      <c r="AD488" s="389">
        <v>10</v>
      </c>
      <c r="AE488" s="390">
        <v>44378</v>
      </c>
      <c r="AF488" s="390">
        <v>45473</v>
      </c>
      <c r="AG488" s="390">
        <v>45473</v>
      </c>
      <c r="AH488" s="391" t="s">
        <v>4467</v>
      </c>
      <c r="AI488" s="391" t="s">
        <v>4468</v>
      </c>
      <c r="AJ488" s="391">
        <v>0</v>
      </c>
      <c r="AK488" s="390">
        <v>44378</v>
      </c>
      <c r="AL488" s="389">
        <v>100</v>
      </c>
      <c r="AM488" s="391" t="s">
        <v>548</v>
      </c>
      <c r="AN488" s="391" t="s">
        <v>549</v>
      </c>
      <c r="AO488" s="391" t="s">
        <v>4469</v>
      </c>
    </row>
    <row r="489" spans="1:41" ht="16" thickBot="1">
      <c r="A489" s="387" t="s">
        <v>1729</v>
      </c>
      <c r="B489" s="387" t="s">
        <v>975</v>
      </c>
      <c r="C489" s="387" t="s">
        <v>4470</v>
      </c>
      <c r="D489" s="387" t="s">
        <v>4471</v>
      </c>
      <c r="E489" s="387">
        <v>1</v>
      </c>
      <c r="F489" s="387" t="s">
        <v>2746</v>
      </c>
      <c r="G489" s="387">
        <v>50</v>
      </c>
      <c r="H489" s="387" t="s">
        <v>2746</v>
      </c>
      <c r="I489" s="387" t="s">
        <v>532</v>
      </c>
      <c r="J489" s="387" t="s">
        <v>4472</v>
      </c>
      <c r="K489" s="387" t="s">
        <v>4473</v>
      </c>
      <c r="L489" s="387" t="s">
        <v>1975</v>
      </c>
      <c r="M489" s="387" t="s">
        <v>1976</v>
      </c>
      <c r="N489" s="388">
        <v>40.25</v>
      </c>
      <c r="O489" s="388">
        <v>14</v>
      </c>
      <c r="P489" s="387" t="s">
        <v>379</v>
      </c>
      <c r="Q489" s="387" t="s">
        <v>160</v>
      </c>
      <c r="R489" s="387" t="s">
        <v>4474</v>
      </c>
      <c r="S489" s="387" t="s">
        <v>160</v>
      </c>
      <c r="T489" s="387" t="s">
        <v>160</v>
      </c>
      <c r="U489" s="388">
        <v>70960</v>
      </c>
      <c r="V489" s="387">
        <v>6005894000352</v>
      </c>
      <c r="W489" s="387" t="s">
        <v>543</v>
      </c>
      <c r="X489" s="387" t="s">
        <v>543</v>
      </c>
      <c r="Y489" s="387" t="s">
        <v>543</v>
      </c>
      <c r="Z489" s="387" t="s">
        <v>543</v>
      </c>
      <c r="AA489" s="388" t="s">
        <v>543</v>
      </c>
      <c r="AB489" s="388" t="s">
        <v>543</v>
      </c>
      <c r="AC489" s="387" t="s">
        <v>543</v>
      </c>
      <c r="AD489" s="389">
        <v>10</v>
      </c>
      <c r="AE489" s="390">
        <v>44105</v>
      </c>
      <c r="AF489" s="390">
        <v>45199</v>
      </c>
      <c r="AG489" s="390">
        <v>45199</v>
      </c>
      <c r="AH489" s="391" t="s">
        <v>4475</v>
      </c>
      <c r="AI489" s="391" t="s">
        <v>1979</v>
      </c>
      <c r="AJ489" s="391">
        <v>0</v>
      </c>
      <c r="AK489" s="390">
        <v>44105</v>
      </c>
      <c r="AL489" s="389">
        <v>100</v>
      </c>
      <c r="AM489" s="391" t="s">
        <v>548</v>
      </c>
      <c r="AN489" s="391" t="s">
        <v>545</v>
      </c>
      <c r="AO489" s="391" t="s">
        <v>4476</v>
      </c>
    </row>
    <row r="490" spans="1:41" ht="16" thickBot="1">
      <c r="A490" s="387" t="s">
        <v>1729</v>
      </c>
      <c r="B490" s="387" t="s">
        <v>643</v>
      </c>
      <c r="C490" s="387" t="s">
        <v>4477</v>
      </c>
      <c r="D490" s="387" t="s">
        <v>4478</v>
      </c>
      <c r="E490" s="387">
        <v>5</v>
      </c>
      <c r="F490" s="387" t="s">
        <v>2746</v>
      </c>
      <c r="G490" s="387">
        <v>1</v>
      </c>
      <c r="H490" s="387" t="s">
        <v>2746</v>
      </c>
      <c r="I490" s="387" t="s">
        <v>532</v>
      </c>
      <c r="J490" s="387" t="s">
        <v>4472</v>
      </c>
      <c r="K490" s="387" t="s">
        <v>4479</v>
      </c>
      <c r="L490" s="387" t="s">
        <v>1975</v>
      </c>
      <c r="M490" s="387" t="s">
        <v>1976</v>
      </c>
      <c r="N490" s="388">
        <v>163.30000000000001</v>
      </c>
      <c r="O490" s="388">
        <v>14</v>
      </c>
      <c r="P490" s="387" t="s">
        <v>379</v>
      </c>
      <c r="Q490" s="387" t="s">
        <v>160</v>
      </c>
      <c r="R490" s="387" t="s">
        <v>4474</v>
      </c>
      <c r="S490" s="387" t="s">
        <v>160</v>
      </c>
      <c r="T490" s="387" t="s">
        <v>160</v>
      </c>
      <c r="U490" s="388">
        <v>7850</v>
      </c>
      <c r="V490" s="387">
        <v>6009697612842</v>
      </c>
      <c r="W490" s="387" t="s">
        <v>543</v>
      </c>
      <c r="X490" s="387" t="s">
        <v>543</v>
      </c>
      <c r="Y490" s="387" t="s">
        <v>543</v>
      </c>
      <c r="Z490" s="387" t="s">
        <v>543</v>
      </c>
      <c r="AA490" s="388" t="s">
        <v>543</v>
      </c>
      <c r="AB490" s="388" t="s">
        <v>543</v>
      </c>
      <c r="AC490" s="387" t="s">
        <v>543</v>
      </c>
      <c r="AD490" s="389">
        <v>4</v>
      </c>
      <c r="AE490" s="390">
        <v>44105</v>
      </c>
      <c r="AF490" s="390">
        <v>45199</v>
      </c>
      <c r="AG490" s="390">
        <v>45199</v>
      </c>
      <c r="AH490" s="391" t="s">
        <v>4480</v>
      </c>
      <c r="AI490" s="391" t="s">
        <v>1979</v>
      </c>
      <c r="AJ490" s="391">
        <v>0</v>
      </c>
      <c r="AK490" s="390">
        <v>44105</v>
      </c>
      <c r="AL490" s="389">
        <v>100</v>
      </c>
      <c r="AM490" s="391" t="s">
        <v>548</v>
      </c>
      <c r="AN490" s="391" t="s">
        <v>545</v>
      </c>
      <c r="AO490" s="391" t="s">
        <v>4476</v>
      </c>
    </row>
    <row r="491" spans="1:41" ht="16" thickBot="1">
      <c r="A491" s="387" t="s">
        <v>1729</v>
      </c>
      <c r="B491" s="387" t="s">
        <v>970</v>
      </c>
      <c r="C491" s="387" t="s">
        <v>4481</v>
      </c>
      <c r="D491" s="387" t="s">
        <v>4482</v>
      </c>
      <c r="E491" s="387">
        <v>500</v>
      </c>
      <c r="F491" s="387" t="s">
        <v>531</v>
      </c>
      <c r="G491" s="387" t="s">
        <v>543</v>
      </c>
      <c r="H491" s="387" t="s">
        <v>531</v>
      </c>
      <c r="I491" s="387" t="s">
        <v>1732</v>
      </c>
      <c r="J491" s="387" t="s">
        <v>4483</v>
      </c>
      <c r="K491" s="387" t="s">
        <v>4484</v>
      </c>
      <c r="L491" s="387" t="s">
        <v>1735</v>
      </c>
      <c r="M491" s="387" t="s">
        <v>1736</v>
      </c>
      <c r="N491" s="388">
        <v>22</v>
      </c>
      <c r="O491" s="388">
        <v>14</v>
      </c>
      <c r="P491" s="387" t="s">
        <v>538</v>
      </c>
      <c r="Q491" s="387" t="s">
        <v>539</v>
      </c>
      <c r="R491" s="387" t="s">
        <v>4485</v>
      </c>
      <c r="S491" s="387" t="s">
        <v>171</v>
      </c>
      <c r="T491" s="387" t="s">
        <v>757</v>
      </c>
      <c r="U491" s="388">
        <v>10726</v>
      </c>
      <c r="V491" s="387">
        <v>6009801887975</v>
      </c>
      <c r="W491" s="387" t="s">
        <v>543</v>
      </c>
      <c r="X491" s="387" t="s">
        <v>543</v>
      </c>
      <c r="Y491" s="387" t="s">
        <v>543</v>
      </c>
      <c r="Z491" s="387" t="s">
        <v>543</v>
      </c>
      <c r="AA491" s="388" t="s">
        <v>543</v>
      </c>
      <c r="AB491" s="388" t="s">
        <v>543</v>
      </c>
      <c r="AC491" s="387" t="s">
        <v>543</v>
      </c>
      <c r="AD491" s="389">
        <v>20</v>
      </c>
      <c r="AE491" s="390">
        <v>44105</v>
      </c>
      <c r="AF491" s="390">
        <v>45199</v>
      </c>
      <c r="AG491" s="390">
        <v>45199</v>
      </c>
      <c r="AH491" s="391" t="s">
        <v>4486</v>
      </c>
      <c r="AI491" s="391" t="s">
        <v>1739</v>
      </c>
      <c r="AJ491" s="391">
        <v>0</v>
      </c>
      <c r="AK491" s="390">
        <v>44105</v>
      </c>
      <c r="AL491" s="389">
        <v>100</v>
      </c>
      <c r="AM491" s="391" t="s">
        <v>548</v>
      </c>
      <c r="AN491" s="391" t="s">
        <v>545</v>
      </c>
      <c r="AO491" s="391" t="s">
        <v>4487</v>
      </c>
    </row>
    <row r="492" spans="1:41" ht="16" thickBot="1">
      <c r="A492" s="387" t="s">
        <v>2177</v>
      </c>
      <c r="B492" s="387" t="s">
        <v>987</v>
      </c>
      <c r="C492" s="387" t="s">
        <v>4488</v>
      </c>
      <c r="D492" s="387" t="s">
        <v>4489</v>
      </c>
      <c r="E492" s="387">
        <v>12</v>
      </c>
      <c r="F492" s="387" t="s">
        <v>2567</v>
      </c>
      <c r="G492" s="387" t="s">
        <v>543</v>
      </c>
      <c r="H492" s="387" t="s">
        <v>2567</v>
      </c>
      <c r="I492" s="387" t="s">
        <v>2568</v>
      </c>
      <c r="J492" s="387" t="s">
        <v>4483</v>
      </c>
      <c r="K492" s="387" t="s">
        <v>4490</v>
      </c>
      <c r="L492" s="387" t="s">
        <v>535</v>
      </c>
      <c r="M492" s="387" t="s">
        <v>536</v>
      </c>
      <c r="N492" s="388">
        <v>47.12</v>
      </c>
      <c r="O492" s="388">
        <v>14</v>
      </c>
      <c r="P492" s="387" t="s">
        <v>538</v>
      </c>
      <c r="Q492" s="387" t="s">
        <v>539</v>
      </c>
      <c r="R492" s="387" t="s">
        <v>4485</v>
      </c>
      <c r="S492" s="387" t="s">
        <v>171</v>
      </c>
      <c r="T492" s="387" t="s">
        <v>757</v>
      </c>
      <c r="U492" s="388">
        <v>78370</v>
      </c>
      <c r="V492" s="387">
        <v>6001390978799</v>
      </c>
      <c r="W492" s="387">
        <v>6001390978805</v>
      </c>
      <c r="X492" s="387" t="s">
        <v>543</v>
      </c>
      <c r="Y492" s="387">
        <v>26001390978809</v>
      </c>
      <c r="Z492" s="387" t="s">
        <v>543</v>
      </c>
      <c r="AA492" s="388" t="s">
        <v>543</v>
      </c>
      <c r="AB492" s="388" t="s">
        <v>543</v>
      </c>
      <c r="AC492" s="387" t="s">
        <v>543</v>
      </c>
      <c r="AD492" s="389">
        <v>18</v>
      </c>
      <c r="AE492" s="390">
        <v>44013</v>
      </c>
      <c r="AF492" s="390">
        <v>45107</v>
      </c>
      <c r="AG492" s="390">
        <v>45107</v>
      </c>
      <c r="AH492" s="391" t="s">
        <v>4491</v>
      </c>
      <c r="AI492" s="391" t="s">
        <v>547</v>
      </c>
      <c r="AJ492" s="391">
        <v>57</v>
      </c>
      <c r="AK492" s="390">
        <v>45047</v>
      </c>
      <c r="AL492" s="389">
        <v>100</v>
      </c>
      <c r="AM492" s="391" t="s">
        <v>548</v>
      </c>
      <c r="AN492" s="391" t="s">
        <v>545</v>
      </c>
      <c r="AO492" s="391" t="s">
        <v>4492</v>
      </c>
    </row>
    <row r="493" spans="1:41" ht="16" thickBot="1">
      <c r="A493" s="387" t="s">
        <v>2177</v>
      </c>
      <c r="B493" s="387" t="s">
        <v>634</v>
      </c>
      <c r="C493" s="387" t="s">
        <v>4493</v>
      </c>
      <c r="D493" s="387" t="s">
        <v>4494</v>
      </c>
      <c r="E493" s="387">
        <v>12</v>
      </c>
      <c r="F493" s="387" t="s">
        <v>2567</v>
      </c>
      <c r="G493" s="387">
        <v>1</v>
      </c>
      <c r="H493" s="387" t="s">
        <v>2567</v>
      </c>
      <c r="I493" s="387" t="s">
        <v>2568</v>
      </c>
      <c r="J493" s="387" t="s">
        <v>4483</v>
      </c>
      <c r="K493" s="387" t="s">
        <v>4495</v>
      </c>
      <c r="L493" s="387" t="s">
        <v>535</v>
      </c>
      <c r="M493" s="387" t="s">
        <v>536</v>
      </c>
      <c r="N493" s="388">
        <v>47.12</v>
      </c>
      <c r="O493" s="388">
        <v>14</v>
      </c>
      <c r="P493" s="387" t="s">
        <v>538</v>
      </c>
      <c r="Q493" s="387" t="s">
        <v>539</v>
      </c>
      <c r="R493" s="387" t="s">
        <v>4485</v>
      </c>
      <c r="S493" s="387" t="s">
        <v>171</v>
      </c>
      <c r="T493" s="387" t="s">
        <v>757</v>
      </c>
      <c r="U493" s="388">
        <v>47060</v>
      </c>
      <c r="V493" s="387">
        <v>6001390978812</v>
      </c>
      <c r="W493" s="387">
        <v>6001390978812</v>
      </c>
      <c r="X493" s="387" t="s">
        <v>543</v>
      </c>
      <c r="Y493" s="387">
        <v>16001390978812</v>
      </c>
      <c r="Z493" s="387" t="s">
        <v>543</v>
      </c>
      <c r="AA493" s="388" t="s">
        <v>543</v>
      </c>
      <c r="AB493" s="388" t="s">
        <v>543</v>
      </c>
      <c r="AC493" s="387">
        <v>835463001</v>
      </c>
      <c r="AD493" s="389">
        <v>18</v>
      </c>
      <c r="AE493" s="390">
        <v>44013</v>
      </c>
      <c r="AF493" s="390">
        <v>45107</v>
      </c>
      <c r="AG493" s="390">
        <v>45107</v>
      </c>
      <c r="AH493" s="391" t="s">
        <v>4496</v>
      </c>
      <c r="AI493" s="391" t="s">
        <v>547</v>
      </c>
      <c r="AJ493" s="391">
        <v>57</v>
      </c>
      <c r="AK493" s="390">
        <v>45047</v>
      </c>
      <c r="AL493" s="389">
        <v>100</v>
      </c>
      <c r="AM493" s="391" t="s">
        <v>548</v>
      </c>
      <c r="AN493" s="391" t="s">
        <v>545</v>
      </c>
      <c r="AO493" s="391" t="s">
        <v>4497</v>
      </c>
    </row>
    <row r="494" spans="1:41" ht="16" thickBot="1">
      <c r="A494" s="387" t="s">
        <v>1729</v>
      </c>
      <c r="B494" s="387" t="s">
        <v>1001</v>
      </c>
      <c r="C494" s="387" t="s">
        <v>4498</v>
      </c>
      <c r="D494" s="387" t="s">
        <v>4499</v>
      </c>
      <c r="E494" s="387">
        <v>100</v>
      </c>
      <c r="F494" s="387" t="s">
        <v>531</v>
      </c>
      <c r="G494" s="387" t="s">
        <v>543</v>
      </c>
      <c r="H494" s="387" t="s">
        <v>531</v>
      </c>
      <c r="I494" s="387" t="s">
        <v>2464</v>
      </c>
      <c r="J494" s="387" t="s">
        <v>4500</v>
      </c>
      <c r="K494" s="387" t="s">
        <v>4501</v>
      </c>
      <c r="L494" s="387" t="s">
        <v>1809</v>
      </c>
      <c r="M494" s="387" t="s">
        <v>1810</v>
      </c>
      <c r="N494" s="388">
        <v>2.93</v>
      </c>
      <c r="O494" s="388">
        <v>14</v>
      </c>
      <c r="P494" s="387" t="s">
        <v>538</v>
      </c>
      <c r="Q494" s="387" t="s">
        <v>539</v>
      </c>
      <c r="R494" s="387" t="s">
        <v>4502</v>
      </c>
      <c r="S494" s="387" t="s">
        <v>614</v>
      </c>
      <c r="T494" s="387" t="s">
        <v>757</v>
      </c>
      <c r="U494" s="388">
        <v>1405952</v>
      </c>
      <c r="V494" s="387">
        <v>6006845002449</v>
      </c>
      <c r="W494" s="387">
        <v>6006845002449</v>
      </c>
      <c r="X494" s="387" t="s">
        <v>543</v>
      </c>
      <c r="Y494" s="387">
        <v>26006845002443</v>
      </c>
      <c r="Z494" s="387" t="s">
        <v>543</v>
      </c>
      <c r="AA494" s="388" t="s">
        <v>543</v>
      </c>
      <c r="AB494" s="388" t="s">
        <v>543</v>
      </c>
      <c r="AC494" s="387" t="s">
        <v>543</v>
      </c>
      <c r="AD494" s="389">
        <v>100</v>
      </c>
      <c r="AE494" s="390">
        <v>44105</v>
      </c>
      <c r="AF494" s="390">
        <v>45199</v>
      </c>
      <c r="AG494" s="390">
        <v>45199</v>
      </c>
      <c r="AH494" s="391" t="s">
        <v>4503</v>
      </c>
      <c r="AI494" s="391" t="s">
        <v>1813</v>
      </c>
      <c r="AJ494" s="391">
        <v>0</v>
      </c>
      <c r="AK494" s="390">
        <v>44105</v>
      </c>
      <c r="AL494" s="389">
        <v>100</v>
      </c>
      <c r="AM494" s="391" t="s">
        <v>548</v>
      </c>
      <c r="AN494" s="391" t="s">
        <v>545</v>
      </c>
      <c r="AO494" s="391" t="s">
        <v>4504</v>
      </c>
    </row>
    <row r="495" spans="1:41" ht="16" thickBot="1">
      <c r="A495" s="387" t="s">
        <v>1748</v>
      </c>
      <c r="B495" s="387" t="s">
        <v>2738</v>
      </c>
      <c r="C495" s="387" t="s">
        <v>4505</v>
      </c>
      <c r="D495" s="387" t="s">
        <v>4506</v>
      </c>
      <c r="E495" s="387">
        <v>2</v>
      </c>
      <c r="F495" s="387" t="s">
        <v>531</v>
      </c>
      <c r="G495" s="387">
        <v>1</v>
      </c>
      <c r="H495" s="387" t="s">
        <v>531</v>
      </c>
      <c r="I495" s="387" t="s">
        <v>1751</v>
      </c>
      <c r="J495" s="387" t="s">
        <v>4507</v>
      </c>
      <c r="K495" s="387" t="s">
        <v>4508</v>
      </c>
      <c r="L495" s="387" t="s">
        <v>535</v>
      </c>
      <c r="M495" s="387" t="s">
        <v>536</v>
      </c>
      <c r="N495" s="388">
        <v>12.84</v>
      </c>
      <c r="O495" s="388">
        <v>14</v>
      </c>
      <c r="P495" s="387" t="s">
        <v>538</v>
      </c>
      <c r="Q495" s="387" t="s">
        <v>3396</v>
      </c>
      <c r="R495" s="387" t="s">
        <v>4509</v>
      </c>
      <c r="S495" s="387" t="s">
        <v>614</v>
      </c>
      <c r="T495" s="387" t="s">
        <v>160</v>
      </c>
      <c r="U495" s="388">
        <v>622200</v>
      </c>
      <c r="V495" s="387" t="s">
        <v>543</v>
      </c>
      <c r="W495" s="387" t="s">
        <v>543</v>
      </c>
      <c r="X495" s="387" t="s">
        <v>543</v>
      </c>
      <c r="Y495" s="387" t="s">
        <v>543</v>
      </c>
      <c r="Z495" s="387" t="s">
        <v>543</v>
      </c>
      <c r="AA495" s="388" t="s">
        <v>543</v>
      </c>
      <c r="AB495" s="388" t="s">
        <v>543</v>
      </c>
      <c r="AC495" s="387" t="s">
        <v>543</v>
      </c>
      <c r="AD495" s="389">
        <v>10</v>
      </c>
      <c r="AE495" s="390">
        <v>44317</v>
      </c>
      <c r="AF495" s="390">
        <v>45412</v>
      </c>
      <c r="AG495" s="391" t="s">
        <v>545</v>
      </c>
      <c r="AH495" s="391" t="s">
        <v>4510</v>
      </c>
      <c r="AI495" s="391" t="s">
        <v>547</v>
      </c>
      <c r="AJ495" s="391">
        <v>0</v>
      </c>
      <c r="AK495" s="390">
        <v>44317</v>
      </c>
      <c r="AL495" s="389">
        <v>100</v>
      </c>
      <c r="AM495" s="391" t="s">
        <v>548</v>
      </c>
      <c r="AN495" s="391" t="s">
        <v>549</v>
      </c>
      <c r="AO495" s="391" t="s">
        <v>4511</v>
      </c>
    </row>
    <row r="496" spans="1:41" ht="16" thickBot="1">
      <c r="A496" s="387" t="s">
        <v>2294</v>
      </c>
      <c r="B496" s="387" t="s">
        <v>4166</v>
      </c>
      <c r="C496" s="387" t="s">
        <v>4512</v>
      </c>
      <c r="D496" s="387" t="s">
        <v>4513</v>
      </c>
      <c r="E496" s="387">
        <v>30</v>
      </c>
      <c r="F496" s="387" t="s">
        <v>2405</v>
      </c>
      <c r="G496" s="387">
        <v>12</v>
      </c>
      <c r="H496" s="387" t="s">
        <v>2405</v>
      </c>
      <c r="I496" s="387" t="s">
        <v>2406</v>
      </c>
      <c r="J496" s="387" t="s">
        <v>4507</v>
      </c>
      <c r="K496" s="387" t="s">
        <v>4514</v>
      </c>
      <c r="L496" s="387" t="s">
        <v>1945</v>
      </c>
      <c r="M496" s="387" t="s">
        <v>1946</v>
      </c>
      <c r="N496" s="388">
        <v>285.16000000000003</v>
      </c>
      <c r="O496" s="388">
        <v>14</v>
      </c>
      <c r="P496" s="387" t="s">
        <v>538</v>
      </c>
      <c r="Q496" s="387" t="s">
        <v>3396</v>
      </c>
      <c r="R496" s="387" t="s">
        <v>4515</v>
      </c>
      <c r="S496" s="387" t="s">
        <v>614</v>
      </c>
      <c r="T496" s="387" t="s">
        <v>160</v>
      </c>
      <c r="U496" s="388">
        <v>41954</v>
      </c>
      <c r="V496" s="387">
        <v>6005534002975</v>
      </c>
      <c r="W496" s="387" t="s">
        <v>543</v>
      </c>
      <c r="X496" s="387" t="s">
        <v>543</v>
      </c>
      <c r="Y496" s="387" t="s">
        <v>543</v>
      </c>
      <c r="Z496" s="387" t="s">
        <v>543</v>
      </c>
      <c r="AA496" s="388" t="s">
        <v>543</v>
      </c>
      <c r="AB496" s="388" t="s">
        <v>543</v>
      </c>
      <c r="AC496" s="387">
        <v>721596001</v>
      </c>
      <c r="AD496" s="389">
        <v>1</v>
      </c>
      <c r="AE496" s="390">
        <v>44013</v>
      </c>
      <c r="AF496" s="390">
        <v>45107</v>
      </c>
      <c r="AG496" s="390">
        <v>45107</v>
      </c>
      <c r="AH496" s="391" t="s">
        <v>4516</v>
      </c>
      <c r="AI496" s="391" t="s">
        <v>1949</v>
      </c>
      <c r="AJ496" s="391">
        <v>0</v>
      </c>
      <c r="AK496" s="390">
        <v>44013</v>
      </c>
      <c r="AL496" s="389">
        <v>100</v>
      </c>
      <c r="AM496" s="391" t="s">
        <v>548</v>
      </c>
      <c r="AN496" s="391" t="s">
        <v>545</v>
      </c>
      <c r="AO496" s="391" t="s">
        <v>4517</v>
      </c>
    </row>
    <row r="497" spans="1:41" ht="16" thickBot="1">
      <c r="A497" s="387" t="s">
        <v>2166</v>
      </c>
      <c r="B497" s="387" t="s">
        <v>2949</v>
      </c>
      <c r="C497" s="387" t="s">
        <v>4518</v>
      </c>
      <c r="D497" s="387" t="s">
        <v>4519</v>
      </c>
      <c r="E497" s="387">
        <v>1</v>
      </c>
      <c r="F497" s="387" t="s">
        <v>3961</v>
      </c>
      <c r="G497" s="387">
        <v>1</v>
      </c>
      <c r="H497" s="387" t="s">
        <v>3961</v>
      </c>
      <c r="I497" s="387" t="s">
        <v>3734</v>
      </c>
      <c r="J497" s="387" t="s">
        <v>4520</v>
      </c>
      <c r="K497" s="387" t="s">
        <v>4521</v>
      </c>
      <c r="L497" s="387" t="s">
        <v>2635</v>
      </c>
      <c r="M497" s="387" t="s">
        <v>2636</v>
      </c>
      <c r="N497" s="388">
        <v>816.5</v>
      </c>
      <c r="O497" s="388">
        <v>10</v>
      </c>
      <c r="P497" s="387" t="s">
        <v>538</v>
      </c>
      <c r="Q497" s="387" t="s">
        <v>539</v>
      </c>
      <c r="R497" s="387" t="s">
        <v>4522</v>
      </c>
      <c r="S497" s="387" t="s">
        <v>171</v>
      </c>
      <c r="T497" s="387" t="s">
        <v>1908</v>
      </c>
      <c r="U497" s="388">
        <v>61110</v>
      </c>
      <c r="V497" s="387" t="s">
        <v>543</v>
      </c>
      <c r="W497" s="387" t="s">
        <v>543</v>
      </c>
      <c r="X497" s="387" t="s">
        <v>543</v>
      </c>
      <c r="Y497" s="387" t="s">
        <v>543</v>
      </c>
      <c r="Z497" s="387" t="s">
        <v>543</v>
      </c>
      <c r="AA497" s="388" t="s">
        <v>543</v>
      </c>
      <c r="AB497" s="388" t="s">
        <v>543</v>
      </c>
      <c r="AC497" s="387" t="s">
        <v>543</v>
      </c>
      <c r="AD497" s="389">
        <v>10</v>
      </c>
      <c r="AE497" s="390">
        <v>44743</v>
      </c>
      <c r="AF497" s="390">
        <v>45473</v>
      </c>
      <c r="AG497" s="391" t="s">
        <v>545</v>
      </c>
      <c r="AH497" s="391" t="s">
        <v>4523</v>
      </c>
      <c r="AI497" s="391" t="s">
        <v>2639</v>
      </c>
      <c r="AJ497" s="391">
        <v>0</v>
      </c>
      <c r="AK497" s="390">
        <v>44743</v>
      </c>
      <c r="AL497" s="389">
        <v>100</v>
      </c>
      <c r="AM497" s="391" t="s">
        <v>548</v>
      </c>
      <c r="AN497" s="391" t="s">
        <v>549</v>
      </c>
      <c r="AO497" s="391" t="s">
        <v>4524</v>
      </c>
    </row>
    <row r="498" spans="1:41" ht="16" thickBot="1">
      <c r="A498" s="387" t="s">
        <v>2166</v>
      </c>
      <c r="B498" s="387" t="s">
        <v>2622</v>
      </c>
      <c r="C498" s="387" t="s">
        <v>4525</v>
      </c>
      <c r="D498" s="387" t="s">
        <v>4526</v>
      </c>
      <c r="E498" s="387">
        <v>1</v>
      </c>
      <c r="F498" s="387" t="s">
        <v>3961</v>
      </c>
      <c r="G498" s="387">
        <v>1</v>
      </c>
      <c r="H498" s="387" t="s">
        <v>3961</v>
      </c>
      <c r="I498" s="387" t="s">
        <v>3734</v>
      </c>
      <c r="J498" s="387" t="s">
        <v>4520</v>
      </c>
      <c r="K498" s="387" t="s">
        <v>4527</v>
      </c>
      <c r="L498" s="387" t="s">
        <v>2635</v>
      </c>
      <c r="M498" s="387" t="s">
        <v>2636</v>
      </c>
      <c r="N498" s="388">
        <v>483</v>
      </c>
      <c r="O498" s="388">
        <v>10</v>
      </c>
      <c r="P498" s="387" t="s">
        <v>538</v>
      </c>
      <c r="Q498" s="387" t="s">
        <v>539</v>
      </c>
      <c r="R498" s="387" t="s">
        <v>4522</v>
      </c>
      <c r="S498" s="387" t="s">
        <v>171</v>
      </c>
      <c r="T498" s="387" t="s">
        <v>1908</v>
      </c>
      <c r="U498" s="388">
        <v>7772</v>
      </c>
      <c r="V498" s="387" t="s">
        <v>543</v>
      </c>
      <c r="W498" s="387" t="s">
        <v>543</v>
      </c>
      <c r="X498" s="387" t="s">
        <v>543</v>
      </c>
      <c r="Y498" s="387" t="s">
        <v>543</v>
      </c>
      <c r="Z498" s="387" t="s">
        <v>543</v>
      </c>
      <c r="AA498" s="388" t="s">
        <v>543</v>
      </c>
      <c r="AB498" s="388" t="s">
        <v>543</v>
      </c>
      <c r="AC498" s="387">
        <v>781215005</v>
      </c>
      <c r="AD498" s="389">
        <v>10</v>
      </c>
      <c r="AE498" s="390">
        <v>44743</v>
      </c>
      <c r="AF498" s="390">
        <v>45473</v>
      </c>
      <c r="AG498" s="391" t="s">
        <v>545</v>
      </c>
      <c r="AH498" s="391" t="s">
        <v>4528</v>
      </c>
      <c r="AI498" s="391" t="s">
        <v>2639</v>
      </c>
      <c r="AJ498" s="391">
        <v>0</v>
      </c>
      <c r="AK498" s="390">
        <v>44743</v>
      </c>
      <c r="AL498" s="389">
        <v>100</v>
      </c>
      <c r="AM498" s="391" t="s">
        <v>548</v>
      </c>
      <c r="AN498" s="391" t="s">
        <v>549</v>
      </c>
      <c r="AO498" s="391" t="s">
        <v>4529</v>
      </c>
    </row>
    <row r="499" spans="1:41" ht="16" thickBot="1">
      <c r="A499" s="387" t="s">
        <v>2166</v>
      </c>
      <c r="B499" s="387" t="s">
        <v>2671</v>
      </c>
      <c r="C499" s="387" t="s">
        <v>4530</v>
      </c>
      <c r="D499" s="387" t="s">
        <v>4531</v>
      </c>
      <c r="E499" s="387">
        <v>1</v>
      </c>
      <c r="F499" s="387" t="s">
        <v>1780</v>
      </c>
      <c r="G499" s="387">
        <v>1</v>
      </c>
      <c r="H499" s="387" t="s">
        <v>1780</v>
      </c>
      <c r="I499" s="387" t="s">
        <v>1751</v>
      </c>
      <c r="J499" s="387" t="s">
        <v>4532</v>
      </c>
      <c r="K499" s="387" t="s">
        <v>4533</v>
      </c>
      <c r="L499" s="387" t="s">
        <v>1955</v>
      </c>
      <c r="M499" s="387" t="s">
        <v>1956</v>
      </c>
      <c r="N499" s="388">
        <v>8.1999999999999993</v>
      </c>
      <c r="O499" s="388">
        <v>14</v>
      </c>
      <c r="P499" s="387" t="s">
        <v>538</v>
      </c>
      <c r="Q499" s="387" t="s">
        <v>539</v>
      </c>
      <c r="R499" s="387" t="s">
        <v>4534</v>
      </c>
      <c r="S499" s="387" t="s">
        <v>541</v>
      </c>
      <c r="T499" s="387" t="s">
        <v>1908</v>
      </c>
      <c r="U499" s="388">
        <v>65620</v>
      </c>
      <c r="V499" s="387" t="s">
        <v>543</v>
      </c>
      <c r="W499" s="387">
        <v>6009607271480</v>
      </c>
      <c r="X499" s="387" t="s">
        <v>543</v>
      </c>
      <c r="Y499" s="387" t="s">
        <v>543</v>
      </c>
      <c r="Z499" s="387" t="s">
        <v>543</v>
      </c>
      <c r="AA499" s="388" t="s">
        <v>543</v>
      </c>
      <c r="AB499" s="388" t="s">
        <v>543</v>
      </c>
      <c r="AC499" s="387">
        <v>720942001</v>
      </c>
      <c r="AD499" s="389">
        <v>5</v>
      </c>
      <c r="AE499" s="390">
        <v>44743</v>
      </c>
      <c r="AF499" s="390">
        <v>45473</v>
      </c>
      <c r="AG499" s="391" t="s">
        <v>545</v>
      </c>
      <c r="AH499" s="391" t="s">
        <v>4535</v>
      </c>
      <c r="AI499" s="391" t="s">
        <v>1959</v>
      </c>
      <c r="AJ499" s="391">
        <v>0</v>
      </c>
      <c r="AK499" s="390">
        <v>44743</v>
      </c>
      <c r="AL499" s="389">
        <v>100</v>
      </c>
      <c r="AM499" s="391" t="s">
        <v>548</v>
      </c>
      <c r="AN499" s="391" t="s">
        <v>549</v>
      </c>
      <c r="AO499" s="391" t="s">
        <v>4536</v>
      </c>
    </row>
    <row r="500" spans="1:41" ht="16" thickBot="1">
      <c r="A500" s="387" t="s">
        <v>2166</v>
      </c>
      <c r="B500" s="387" t="s">
        <v>2692</v>
      </c>
      <c r="C500" s="387" t="s">
        <v>4537</v>
      </c>
      <c r="D500" s="387" t="s">
        <v>4538</v>
      </c>
      <c r="E500" s="387">
        <v>3</v>
      </c>
      <c r="F500" s="387" t="s">
        <v>531</v>
      </c>
      <c r="G500" s="387">
        <v>3</v>
      </c>
      <c r="H500" s="387" t="s">
        <v>531</v>
      </c>
      <c r="I500" s="387" t="s">
        <v>1751</v>
      </c>
      <c r="J500" s="387" t="s">
        <v>4532</v>
      </c>
      <c r="K500" s="387" t="s">
        <v>4539</v>
      </c>
      <c r="L500" s="387" t="s">
        <v>1955</v>
      </c>
      <c r="M500" s="387" t="s">
        <v>1956</v>
      </c>
      <c r="N500" s="388">
        <v>15.48</v>
      </c>
      <c r="O500" s="388">
        <v>14</v>
      </c>
      <c r="P500" s="387" t="s">
        <v>538</v>
      </c>
      <c r="Q500" s="387" t="s">
        <v>539</v>
      </c>
      <c r="R500" s="387" t="s">
        <v>4534</v>
      </c>
      <c r="S500" s="387" t="s">
        <v>171</v>
      </c>
      <c r="T500" s="387" t="s">
        <v>757</v>
      </c>
      <c r="U500" s="388">
        <v>29116</v>
      </c>
      <c r="V500" s="387" t="s">
        <v>543</v>
      </c>
      <c r="W500" s="387">
        <v>6009607271497</v>
      </c>
      <c r="X500" s="387" t="s">
        <v>543</v>
      </c>
      <c r="Y500" s="387" t="s">
        <v>543</v>
      </c>
      <c r="Z500" s="387" t="s">
        <v>543</v>
      </c>
      <c r="AA500" s="388" t="s">
        <v>543</v>
      </c>
      <c r="AB500" s="388" t="s">
        <v>543</v>
      </c>
      <c r="AC500" s="387">
        <v>720943001</v>
      </c>
      <c r="AD500" s="389">
        <v>5</v>
      </c>
      <c r="AE500" s="390">
        <v>44743</v>
      </c>
      <c r="AF500" s="390">
        <v>45473</v>
      </c>
      <c r="AG500" s="391" t="s">
        <v>545</v>
      </c>
      <c r="AH500" s="391" t="s">
        <v>4540</v>
      </c>
      <c r="AI500" s="391" t="s">
        <v>1959</v>
      </c>
      <c r="AJ500" s="391">
        <v>0</v>
      </c>
      <c r="AK500" s="390">
        <v>44743</v>
      </c>
      <c r="AL500" s="389">
        <v>100</v>
      </c>
      <c r="AM500" s="391" t="s">
        <v>548</v>
      </c>
      <c r="AN500" s="391" t="s">
        <v>549</v>
      </c>
      <c r="AO500" s="391" t="s">
        <v>4541</v>
      </c>
    </row>
    <row r="501" spans="1:41" ht="16" thickBot="1">
      <c r="A501" s="387" t="s">
        <v>2743</v>
      </c>
      <c r="B501" s="387" t="s">
        <v>643</v>
      </c>
      <c r="C501" s="387" t="s">
        <v>4542</v>
      </c>
      <c r="D501" s="387" t="s">
        <v>4543</v>
      </c>
      <c r="E501" s="387">
        <v>200</v>
      </c>
      <c r="F501" s="387" t="s">
        <v>531</v>
      </c>
      <c r="G501" s="387">
        <v>200</v>
      </c>
      <c r="H501" s="387" t="s">
        <v>531</v>
      </c>
      <c r="I501" s="387" t="s">
        <v>1838</v>
      </c>
      <c r="J501" s="387" t="s">
        <v>4544</v>
      </c>
      <c r="K501" s="387" t="s">
        <v>4545</v>
      </c>
      <c r="L501" s="387" t="s">
        <v>1975</v>
      </c>
      <c r="M501" s="387" t="s">
        <v>1976</v>
      </c>
      <c r="N501" s="388">
        <v>9.33</v>
      </c>
      <c r="O501" s="388">
        <v>14</v>
      </c>
      <c r="P501" s="387" t="s">
        <v>538</v>
      </c>
      <c r="Q501" s="387" t="s">
        <v>539</v>
      </c>
      <c r="R501" s="387" t="s">
        <v>3620</v>
      </c>
      <c r="S501" s="387" t="s">
        <v>171</v>
      </c>
      <c r="T501" s="387" t="s">
        <v>757</v>
      </c>
      <c r="U501" s="388">
        <v>916130</v>
      </c>
      <c r="V501" s="387">
        <v>6003252000532</v>
      </c>
      <c r="W501" s="387">
        <v>6003252000532</v>
      </c>
      <c r="X501" s="387" t="s">
        <v>543</v>
      </c>
      <c r="Y501" s="387">
        <v>16003252000539</v>
      </c>
      <c r="Z501" s="387" t="s">
        <v>543</v>
      </c>
      <c r="AA501" s="388" t="s">
        <v>543</v>
      </c>
      <c r="AB501" s="388" t="s">
        <v>543</v>
      </c>
      <c r="AC501" s="387">
        <v>801372003</v>
      </c>
      <c r="AD501" s="389">
        <v>36</v>
      </c>
      <c r="AE501" s="390">
        <v>44105</v>
      </c>
      <c r="AF501" s="390">
        <v>45199</v>
      </c>
      <c r="AG501" s="390">
        <v>45199</v>
      </c>
      <c r="AH501" s="391" t="s">
        <v>4546</v>
      </c>
      <c r="AI501" s="391" t="s">
        <v>1979</v>
      </c>
      <c r="AJ501" s="391">
        <v>10</v>
      </c>
      <c r="AK501" s="390">
        <v>44866</v>
      </c>
      <c r="AL501" s="389">
        <v>100</v>
      </c>
      <c r="AM501" s="391" t="s">
        <v>548</v>
      </c>
      <c r="AN501" s="391" t="s">
        <v>545</v>
      </c>
      <c r="AO501" s="391" t="s">
        <v>4547</v>
      </c>
    </row>
    <row r="502" spans="1:41" ht="16" thickBot="1">
      <c r="A502" s="387" t="s">
        <v>2743</v>
      </c>
      <c r="B502" s="387" t="s">
        <v>970</v>
      </c>
      <c r="C502" s="387" t="s">
        <v>4548</v>
      </c>
      <c r="D502" s="387" t="s">
        <v>4549</v>
      </c>
      <c r="E502" s="387">
        <v>500</v>
      </c>
      <c r="F502" s="387" t="s">
        <v>531</v>
      </c>
      <c r="G502" s="387">
        <v>500</v>
      </c>
      <c r="H502" s="387" t="s">
        <v>531</v>
      </c>
      <c r="I502" s="387" t="s">
        <v>1838</v>
      </c>
      <c r="J502" s="387" t="s">
        <v>4544</v>
      </c>
      <c r="K502" s="387" t="s">
        <v>4550</v>
      </c>
      <c r="L502" s="387" t="s">
        <v>1975</v>
      </c>
      <c r="M502" s="387" t="s">
        <v>1976</v>
      </c>
      <c r="N502" s="388">
        <v>12.86</v>
      </c>
      <c r="O502" s="388">
        <v>14</v>
      </c>
      <c r="P502" s="387" t="s">
        <v>538</v>
      </c>
      <c r="Q502" s="387" t="s">
        <v>539</v>
      </c>
      <c r="R502" s="387" t="s">
        <v>3620</v>
      </c>
      <c r="S502" s="387" t="s">
        <v>171</v>
      </c>
      <c r="T502" s="387" t="s">
        <v>757</v>
      </c>
      <c r="U502" s="388">
        <v>579640</v>
      </c>
      <c r="V502" s="387">
        <v>6003252000426</v>
      </c>
      <c r="W502" s="387">
        <v>6003252000426</v>
      </c>
      <c r="X502" s="387" t="s">
        <v>543</v>
      </c>
      <c r="Y502" s="387">
        <v>16003252000423</v>
      </c>
      <c r="Z502" s="387" t="s">
        <v>543</v>
      </c>
      <c r="AA502" s="388" t="s">
        <v>543</v>
      </c>
      <c r="AB502" s="388" t="s">
        <v>543</v>
      </c>
      <c r="AC502" s="387">
        <v>801364019</v>
      </c>
      <c r="AD502" s="389">
        <v>18</v>
      </c>
      <c r="AE502" s="390">
        <v>44105</v>
      </c>
      <c r="AF502" s="390">
        <v>45199</v>
      </c>
      <c r="AG502" s="390">
        <v>45199</v>
      </c>
      <c r="AH502" s="391" t="s">
        <v>4551</v>
      </c>
      <c r="AI502" s="391" t="s">
        <v>1979</v>
      </c>
      <c r="AJ502" s="391">
        <v>10</v>
      </c>
      <c r="AK502" s="390">
        <v>44866</v>
      </c>
      <c r="AL502" s="389">
        <v>100</v>
      </c>
      <c r="AM502" s="391" t="s">
        <v>548</v>
      </c>
      <c r="AN502" s="391" t="s">
        <v>545</v>
      </c>
      <c r="AO502" s="391" t="s">
        <v>4547</v>
      </c>
    </row>
    <row r="503" spans="1:41" ht="16" thickBot="1">
      <c r="A503" s="387" t="s">
        <v>1717</v>
      </c>
      <c r="B503" s="387" t="s">
        <v>4552</v>
      </c>
      <c r="C503" s="387" t="s">
        <v>4553</v>
      </c>
      <c r="D503" s="387" t="s">
        <v>4554</v>
      </c>
      <c r="E503" s="387">
        <v>100</v>
      </c>
      <c r="F503" s="387" t="s">
        <v>559</v>
      </c>
      <c r="G503" s="387">
        <v>100</v>
      </c>
      <c r="H503" s="387" t="s">
        <v>559</v>
      </c>
      <c r="I503" s="387" t="s">
        <v>560</v>
      </c>
      <c r="J503" s="387" t="s">
        <v>4555</v>
      </c>
      <c r="K503" s="387" t="s">
        <v>4556</v>
      </c>
      <c r="L503" s="387" t="s">
        <v>2141</v>
      </c>
      <c r="M503" s="387" t="s">
        <v>2142</v>
      </c>
      <c r="N503" s="388">
        <v>15.18</v>
      </c>
      <c r="O503" s="388">
        <v>14</v>
      </c>
      <c r="P503" s="387" t="s">
        <v>538</v>
      </c>
      <c r="Q503" s="387" t="s">
        <v>539</v>
      </c>
      <c r="R503" s="387" t="s">
        <v>4557</v>
      </c>
      <c r="S503" s="387" t="s">
        <v>171</v>
      </c>
      <c r="T503" s="387" t="s">
        <v>542</v>
      </c>
      <c r="U503" s="388">
        <v>309576</v>
      </c>
      <c r="V503" s="387">
        <v>614143105708</v>
      </c>
      <c r="W503" s="387">
        <v>614143105708</v>
      </c>
      <c r="X503" s="387" t="s">
        <v>543</v>
      </c>
      <c r="Y503" s="387">
        <v>10614143105705</v>
      </c>
      <c r="Z503" s="387" t="s">
        <v>543</v>
      </c>
      <c r="AA503" s="388" t="s">
        <v>543</v>
      </c>
      <c r="AB503" s="388" t="s">
        <v>543</v>
      </c>
      <c r="AC503" s="387">
        <v>730335012</v>
      </c>
      <c r="AD503" s="389">
        <v>200</v>
      </c>
      <c r="AE503" s="390">
        <v>45047</v>
      </c>
      <c r="AF503" s="390">
        <v>46142</v>
      </c>
      <c r="AG503" s="391" t="s">
        <v>545</v>
      </c>
      <c r="AH503" s="391" t="s">
        <v>4558</v>
      </c>
      <c r="AI503" s="391" t="s">
        <v>2144</v>
      </c>
      <c r="AJ503" s="391">
        <v>0</v>
      </c>
      <c r="AK503" s="390">
        <v>45047</v>
      </c>
      <c r="AL503" s="389">
        <v>100</v>
      </c>
      <c r="AM503" s="391" t="s">
        <v>548</v>
      </c>
      <c r="AN503" s="391" t="s">
        <v>549</v>
      </c>
      <c r="AO503" s="391" t="s">
        <v>4559</v>
      </c>
    </row>
    <row r="504" spans="1:41" ht="16" thickBot="1">
      <c r="A504" s="387" t="s">
        <v>1717</v>
      </c>
      <c r="B504" s="387" t="s">
        <v>4560</v>
      </c>
      <c r="C504" s="387" t="s">
        <v>4561</v>
      </c>
      <c r="D504" s="387" t="s">
        <v>4562</v>
      </c>
      <c r="E504" s="387">
        <v>100</v>
      </c>
      <c r="F504" s="387" t="s">
        <v>559</v>
      </c>
      <c r="G504" s="387">
        <v>100</v>
      </c>
      <c r="H504" s="387" t="s">
        <v>559</v>
      </c>
      <c r="I504" s="387" t="s">
        <v>560</v>
      </c>
      <c r="J504" s="387" t="s">
        <v>4555</v>
      </c>
      <c r="K504" s="387" t="s">
        <v>4563</v>
      </c>
      <c r="L504" s="387" t="s">
        <v>2141</v>
      </c>
      <c r="M504" s="387" t="s">
        <v>2142</v>
      </c>
      <c r="N504" s="388">
        <v>19.489999999999998</v>
      </c>
      <c r="O504" s="388">
        <v>14</v>
      </c>
      <c r="P504" s="387" t="s">
        <v>538</v>
      </c>
      <c r="Q504" s="387" t="s">
        <v>539</v>
      </c>
      <c r="R504" s="387" t="s">
        <v>4557</v>
      </c>
      <c r="S504" s="387" t="s">
        <v>171</v>
      </c>
      <c r="T504" s="387" t="s">
        <v>542</v>
      </c>
      <c r="U504" s="388">
        <v>378556</v>
      </c>
      <c r="V504" s="387">
        <v>614143105715</v>
      </c>
      <c r="W504" s="387" t="s">
        <v>543</v>
      </c>
      <c r="X504" s="387" t="s">
        <v>543</v>
      </c>
      <c r="Y504" s="387">
        <v>6141431057151</v>
      </c>
      <c r="Z504" s="387" t="s">
        <v>543</v>
      </c>
      <c r="AA504" s="388" t="s">
        <v>543</v>
      </c>
      <c r="AB504" s="388" t="s">
        <v>543</v>
      </c>
      <c r="AC504" s="387">
        <v>730327028</v>
      </c>
      <c r="AD504" s="389">
        <v>200</v>
      </c>
      <c r="AE504" s="390">
        <v>45047</v>
      </c>
      <c r="AF504" s="390">
        <v>46142</v>
      </c>
      <c r="AG504" s="391" t="s">
        <v>545</v>
      </c>
      <c r="AH504" s="391" t="s">
        <v>4564</v>
      </c>
      <c r="AI504" s="391" t="s">
        <v>2144</v>
      </c>
      <c r="AJ504" s="391">
        <v>0</v>
      </c>
      <c r="AK504" s="390">
        <v>45047</v>
      </c>
      <c r="AL504" s="389">
        <v>100</v>
      </c>
      <c r="AM504" s="391" t="s">
        <v>548</v>
      </c>
      <c r="AN504" s="391" t="s">
        <v>549</v>
      </c>
      <c r="AO504" s="391" t="s">
        <v>4565</v>
      </c>
    </row>
    <row r="505" spans="1:41" ht="16" thickBot="1">
      <c r="A505" s="387" t="s">
        <v>1717</v>
      </c>
      <c r="B505" s="387" t="s">
        <v>4566</v>
      </c>
      <c r="C505" s="387" t="s">
        <v>4567</v>
      </c>
      <c r="D505" s="387" t="s">
        <v>4568</v>
      </c>
      <c r="E505" s="387">
        <v>28</v>
      </c>
      <c r="F505" s="387" t="s">
        <v>559</v>
      </c>
      <c r="G505" s="387">
        <v>28</v>
      </c>
      <c r="H505" s="387" t="s">
        <v>559</v>
      </c>
      <c r="I505" s="387" t="s">
        <v>560</v>
      </c>
      <c r="J505" s="387" t="s">
        <v>4555</v>
      </c>
      <c r="K505" s="387" t="s">
        <v>4563</v>
      </c>
      <c r="L505" s="387" t="s">
        <v>2141</v>
      </c>
      <c r="M505" s="387" t="s">
        <v>2142</v>
      </c>
      <c r="N505" s="388">
        <v>5.6</v>
      </c>
      <c r="O505" s="388">
        <v>14</v>
      </c>
      <c r="P505" s="387" t="s">
        <v>538</v>
      </c>
      <c r="Q505" s="387" t="s">
        <v>539</v>
      </c>
      <c r="R505" s="387" t="s">
        <v>4557</v>
      </c>
      <c r="S505" s="387" t="s">
        <v>171</v>
      </c>
      <c r="T505" s="387" t="s">
        <v>542</v>
      </c>
      <c r="U505" s="388">
        <v>1415286</v>
      </c>
      <c r="V505" s="387">
        <v>614143127069</v>
      </c>
      <c r="W505" s="387" t="s">
        <v>543</v>
      </c>
      <c r="X505" s="387" t="s">
        <v>543</v>
      </c>
      <c r="Y505" s="387">
        <v>6141431270691</v>
      </c>
      <c r="Z505" s="387" t="s">
        <v>543</v>
      </c>
      <c r="AA505" s="388" t="s">
        <v>543</v>
      </c>
      <c r="AB505" s="388" t="s">
        <v>543</v>
      </c>
      <c r="AC505" s="387" t="s">
        <v>543</v>
      </c>
      <c r="AD505" s="389">
        <v>100</v>
      </c>
      <c r="AE505" s="390">
        <v>45047</v>
      </c>
      <c r="AF505" s="390">
        <v>46142</v>
      </c>
      <c r="AG505" s="391" t="s">
        <v>545</v>
      </c>
      <c r="AH505" s="391" t="s">
        <v>4569</v>
      </c>
      <c r="AI505" s="391" t="s">
        <v>2144</v>
      </c>
      <c r="AJ505" s="391">
        <v>0</v>
      </c>
      <c r="AK505" s="390">
        <v>45047</v>
      </c>
      <c r="AL505" s="389">
        <v>100</v>
      </c>
      <c r="AM505" s="391" t="s">
        <v>548</v>
      </c>
      <c r="AN505" s="391" t="s">
        <v>549</v>
      </c>
      <c r="AO505" s="391" t="s">
        <v>4565</v>
      </c>
    </row>
    <row r="506" spans="1:41" ht="16" thickBot="1">
      <c r="A506" s="387" t="s">
        <v>1717</v>
      </c>
      <c r="B506" s="387" t="s">
        <v>4570</v>
      </c>
      <c r="C506" s="387" t="s">
        <v>4571</v>
      </c>
      <c r="D506" s="387" t="s">
        <v>4572</v>
      </c>
      <c r="E506" s="387">
        <v>56</v>
      </c>
      <c r="F506" s="387" t="s">
        <v>559</v>
      </c>
      <c r="G506" s="387">
        <v>56</v>
      </c>
      <c r="H506" s="387" t="s">
        <v>559</v>
      </c>
      <c r="I506" s="387" t="s">
        <v>560</v>
      </c>
      <c r="J506" s="387" t="s">
        <v>4555</v>
      </c>
      <c r="K506" s="387" t="s">
        <v>4563</v>
      </c>
      <c r="L506" s="387" t="s">
        <v>2141</v>
      </c>
      <c r="M506" s="387" t="s">
        <v>2142</v>
      </c>
      <c r="N506" s="388">
        <v>12.33</v>
      </c>
      <c r="O506" s="388">
        <v>14</v>
      </c>
      <c r="P506" s="387" t="s">
        <v>538</v>
      </c>
      <c r="Q506" s="387" t="s">
        <v>539</v>
      </c>
      <c r="R506" s="387" t="s">
        <v>4557</v>
      </c>
      <c r="S506" s="387" t="s">
        <v>171</v>
      </c>
      <c r="T506" s="387" t="s">
        <v>542</v>
      </c>
      <c r="U506" s="388">
        <v>246875</v>
      </c>
      <c r="V506" s="387">
        <v>614143127076</v>
      </c>
      <c r="W506" s="387" t="s">
        <v>543</v>
      </c>
      <c r="X506" s="387" t="s">
        <v>543</v>
      </c>
      <c r="Y506" s="387" t="s">
        <v>543</v>
      </c>
      <c r="Z506" s="387">
        <v>6141431270761</v>
      </c>
      <c r="AA506" s="388" t="s">
        <v>543</v>
      </c>
      <c r="AB506" s="388" t="s">
        <v>543</v>
      </c>
      <c r="AC506" s="387" t="s">
        <v>543</v>
      </c>
      <c r="AD506" s="389">
        <v>50</v>
      </c>
      <c r="AE506" s="390">
        <v>45047</v>
      </c>
      <c r="AF506" s="390">
        <v>46142</v>
      </c>
      <c r="AG506" s="391" t="s">
        <v>545</v>
      </c>
      <c r="AH506" s="391" t="s">
        <v>4573</v>
      </c>
      <c r="AI506" s="391" t="s">
        <v>2144</v>
      </c>
      <c r="AJ506" s="391">
        <v>0</v>
      </c>
      <c r="AK506" s="390">
        <v>45047</v>
      </c>
      <c r="AL506" s="389">
        <v>100</v>
      </c>
      <c r="AM506" s="391" t="s">
        <v>548</v>
      </c>
      <c r="AN506" s="391" t="s">
        <v>549</v>
      </c>
      <c r="AO506" s="391" t="s">
        <v>4565</v>
      </c>
    </row>
    <row r="507" spans="1:41" ht="16" thickBot="1">
      <c r="A507" s="387" t="s">
        <v>1729</v>
      </c>
      <c r="B507" s="387" t="s">
        <v>967</v>
      </c>
      <c r="C507" s="387" t="s">
        <v>4574</v>
      </c>
      <c r="D507" s="387" t="s">
        <v>4575</v>
      </c>
      <c r="E507" s="387">
        <v>250</v>
      </c>
      <c r="F507" s="387" t="s">
        <v>531</v>
      </c>
      <c r="G507" s="387">
        <v>250</v>
      </c>
      <c r="H507" s="387" t="s">
        <v>531</v>
      </c>
      <c r="I507" s="387" t="s">
        <v>1732</v>
      </c>
      <c r="J507" s="387" t="s">
        <v>4576</v>
      </c>
      <c r="K507" s="387" t="s">
        <v>4577</v>
      </c>
      <c r="L507" s="387" t="s">
        <v>2704</v>
      </c>
      <c r="M507" s="387" t="s">
        <v>2705</v>
      </c>
      <c r="N507" s="388">
        <v>462.26</v>
      </c>
      <c r="O507" s="388">
        <v>14</v>
      </c>
      <c r="P507" s="387" t="s">
        <v>538</v>
      </c>
      <c r="Q507" s="387" t="s">
        <v>539</v>
      </c>
      <c r="R507" s="387" t="s">
        <v>4578</v>
      </c>
      <c r="S507" s="387" t="s">
        <v>171</v>
      </c>
      <c r="T507" s="387" t="s">
        <v>757</v>
      </c>
      <c r="U507" s="388">
        <v>1485</v>
      </c>
      <c r="V507" s="387">
        <v>6006056166169</v>
      </c>
      <c r="W507" s="387">
        <v>18904026614373</v>
      </c>
      <c r="X507" s="387" t="s">
        <v>543</v>
      </c>
      <c r="Y507" s="387">
        <v>606110913669</v>
      </c>
      <c r="Z507" s="387" t="s">
        <v>543</v>
      </c>
      <c r="AA507" s="388" t="s">
        <v>543</v>
      </c>
      <c r="AB507" s="388" t="s">
        <v>543</v>
      </c>
      <c r="AC507" s="387">
        <v>709640001</v>
      </c>
      <c r="AD507" s="389">
        <v>144</v>
      </c>
      <c r="AE507" s="390">
        <v>44105</v>
      </c>
      <c r="AF507" s="390">
        <v>45199</v>
      </c>
      <c r="AG507" s="390">
        <v>45199</v>
      </c>
      <c r="AH507" s="391" t="s">
        <v>4579</v>
      </c>
      <c r="AI507" s="391" t="s">
        <v>2708</v>
      </c>
      <c r="AJ507" s="391">
        <v>14</v>
      </c>
      <c r="AK507" s="390">
        <v>44866</v>
      </c>
      <c r="AL507" s="389">
        <v>100</v>
      </c>
      <c r="AM507" s="391" t="s">
        <v>548</v>
      </c>
      <c r="AN507" s="391" t="s">
        <v>545</v>
      </c>
      <c r="AO507" s="391" t="s">
        <v>4580</v>
      </c>
    </row>
    <row r="508" spans="1:41" ht="16" thickBot="1">
      <c r="A508" s="387" t="s">
        <v>1922</v>
      </c>
      <c r="B508" s="387" t="s">
        <v>2814</v>
      </c>
      <c r="C508" s="387" t="s">
        <v>4581</v>
      </c>
      <c r="D508" s="387" t="s">
        <v>4582</v>
      </c>
      <c r="E508" s="387">
        <v>5</v>
      </c>
      <c r="F508" s="387" t="s">
        <v>531</v>
      </c>
      <c r="G508" s="387">
        <v>25000</v>
      </c>
      <c r="H508" s="387" t="s">
        <v>4583</v>
      </c>
      <c r="I508" s="387" t="s">
        <v>1751</v>
      </c>
      <c r="J508" s="387" t="s">
        <v>4584</v>
      </c>
      <c r="K508" s="387" t="s">
        <v>4585</v>
      </c>
      <c r="L508" s="387" t="s">
        <v>1955</v>
      </c>
      <c r="M508" s="387" t="s">
        <v>1956</v>
      </c>
      <c r="N508" s="388">
        <v>69.599999999999994</v>
      </c>
      <c r="O508" s="388">
        <v>14</v>
      </c>
      <c r="P508" s="387" t="s">
        <v>538</v>
      </c>
      <c r="Q508" s="387" t="s">
        <v>539</v>
      </c>
      <c r="R508" s="387" t="s">
        <v>4586</v>
      </c>
      <c r="S508" s="387" t="s">
        <v>541</v>
      </c>
      <c r="T508" s="387" t="s">
        <v>757</v>
      </c>
      <c r="U508" s="388">
        <v>946240</v>
      </c>
      <c r="V508" s="387">
        <v>6006267000825</v>
      </c>
      <c r="W508" s="387">
        <v>6006267000825</v>
      </c>
      <c r="X508" s="387" t="s">
        <v>543</v>
      </c>
      <c r="Y508" s="387">
        <v>16006267000822</v>
      </c>
      <c r="Z508" s="387" t="s">
        <v>543</v>
      </c>
      <c r="AA508" s="388" t="s">
        <v>543</v>
      </c>
      <c r="AB508" s="388" t="s">
        <v>543</v>
      </c>
      <c r="AC508" s="387">
        <v>782262007</v>
      </c>
      <c r="AD508" s="389" t="s">
        <v>1755</v>
      </c>
      <c r="AE508" s="390">
        <v>44620</v>
      </c>
      <c r="AF508" s="390">
        <v>45412</v>
      </c>
      <c r="AG508" s="391" t="s">
        <v>545</v>
      </c>
      <c r="AH508" s="391" t="s">
        <v>4587</v>
      </c>
      <c r="AI508" s="391" t="s">
        <v>1959</v>
      </c>
      <c r="AJ508" s="391">
        <v>0</v>
      </c>
      <c r="AK508" s="390">
        <v>44620</v>
      </c>
      <c r="AL508" s="389">
        <v>100</v>
      </c>
      <c r="AM508" s="391" t="s">
        <v>548</v>
      </c>
      <c r="AN508" s="391" t="s">
        <v>549</v>
      </c>
      <c r="AO508" s="391" t="s">
        <v>4588</v>
      </c>
    </row>
    <row r="509" spans="1:41" ht="16" thickBot="1">
      <c r="A509" s="387" t="s">
        <v>1922</v>
      </c>
      <c r="B509" s="387" t="s">
        <v>2799</v>
      </c>
      <c r="C509" s="387" t="s">
        <v>4589</v>
      </c>
      <c r="D509" s="387" t="s">
        <v>4590</v>
      </c>
      <c r="E509" s="387">
        <v>5</v>
      </c>
      <c r="F509" s="387" t="s">
        <v>531</v>
      </c>
      <c r="G509" s="387">
        <v>5000</v>
      </c>
      <c r="H509" s="387" t="s">
        <v>4583</v>
      </c>
      <c r="I509" s="387" t="s">
        <v>1751</v>
      </c>
      <c r="J509" s="387" t="s">
        <v>4584</v>
      </c>
      <c r="K509" s="387" t="s">
        <v>4591</v>
      </c>
      <c r="L509" s="387" t="s">
        <v>1955</v>
      </c>
      <c r="M509" s="387" t="s">
        <v>1956</v>
      </c>
      <c r="N509" s="388">
        <v>30.32</v>
      </c>
      <c r="O509" s="388">
        <v>14</v>
      </c>
      <c r="P509" s="387" t="s">
        <v>538</v>
      </c>
      <c r="Q509" s="387" t="s">
        <v>539</v>
      </c>
      <c r="R509" s="387" t="s">
        <v>4586</v>
      </c>
      <c r="S509" s="387" t="s">
        <v>541</v>
      </c>
      <c r="T509" s="387" t="s">
        <v>757</v>
      </c>
      <c r="U509" s="388">
        <v>693310</v>
      </c>
      <c r="V509" s="387">
        <v>6006267000801</v>
      </c>
      <c r="W509" s="387">
        <v>6006267000801</v>
      </c>
      <c r="X509" s="387" t="s">
        <v>543</v>
      </c>
      <c r="Y509" s="387">
        <v>16006267000808</v>
      </c>
      <c r="Z509" s="387" t="s">
        <v>543</v>
      </c>
      <c r="AA509" s="388" t="s">
        <v>543</v>
      </c>
      <c r="AB509" s="388" t="s">
        <v>543</v>
      </c>
      <c r="AC509" s="387">
        <v>782254004</v>
      </c>
      <c r="AD509" s="389" t="s">
        <v>1755</v>
      </c>
      <c r="AE509" s="390">
        <v>44620</v>
      </c>
      <c r="AF509" s="390">
        <v>45412</v>
      </c>
      <c r="AG509" s="391" t="s">
        <v>545</v>
      </c>
      <c r="AH509" s="391" t="s">
        <v>4592</v>
      </c>
      <c r="AI509" s="391" t="s">
        <v>1959</v>
      </c>
      <c r="AJ509" s="391">
        <v>0</v>
      </c>
      <c r="AK509" s="390">
        <v>44620</v>
      </c>
      <c r="AL509" s="389">
        <v>100</v>
      </c>
      <c r="AM509" s="391" t="s">
        <v>548</v>
      </c>
      <c r="AN509" s="391" t="s">
        <v>549</v>
      </c>
      <c r="AO509" s="391" t="s">
        <v>4593</v>
      </c>
    </row>
    <row r="510" spans="1:41" ht="16" thickBot="1">
      <c r="A510" s="387" t="s">
        <v>1835</v>
      </c>
      <c r="B510" s="387" t="s">
        <v>554</v>
      </c>
      <c r="C510" s="387" t="s">
        <v>4594</v>
      </c>
      <c r="D510" s="387" t="s">
        <v>4595</v>
      </c>
      <c r="E510" s="387">
        <v>1</v>
      </c>
      <c r="F510" s="387" t="s">
        <v>1780</v>
      </c>
      <c r="G510" s="387">
        <v>1</v>
      </c>
      <c r="H510" s="387" t="s">
        <v>1780</v>
      </c>
      <c r="I510" s="387" t="s">
        <v>1751</v>
      </c>
      <c r="J510" s="387" t="s">
        <v>4596</v>
      </c>
      <c r="K510" s="387" t="s">
        <v>4597</v>
      </c>
      <c r="L510" s="387" t="s">
        <v>1841</v>
      </c>
      <c r="M510" s="387" t="s">
        <v>1842</v>
      </c>
      <c r="N510" s="388">
        <v>3515.48</v>
      </c>
      <c r="O510" s="388">
        <v>14</v>
      </c>
      <c r="P510" s="387" t="s">
        <v>3824</v>
      </c>
      <c r="Q510" s="387" t="s">
        <v>160</v>
      </c>
      <c r="R510" s="387" t="s">
        <v>4598</v>
      </c>
      <c r="S510" s="387" t="s">
        <v>160</v>
      </c>
      <c r="T510" s="387" t="s">
        <v>160</v>
      </c>
      <c r="U510" s="388">
        <v>2095</v>
      </c>
      <c r="V510" s="387" t="s">
        <v>543</v>
      </c>
      <c r="W510" s="387" t="s">
        <v>543</v>
      </c>
      <c r="X510" s="387" t="s">
        <v>543</v>
      </c>
      <c r="Y510" s="387" t="s">
        <v>543</v>
      </c>
      <c r="Z510" s="387" t="s">
        <v>543</v>
      </c>
      <c r="AA510" s="388" t="s">
        <v>543</v>
      </c>
      <c r="AB510" s="388" t="s">
        <v>543</v>
      </c>
      <c r="AC510" s="387" t="s">
        <v>543</v>
      </c>
      <c r="AD510" s="389">
        <v>10</v>
      </c>
      <c r="AE510" s="390">
        <v>44974</v>
      </c>
      <c r="AF510" s="390">
        <v>45657</v>
      </c>
      <c r="AG510" s="391" t="s">
        <v>545</v>
      </c>
      <c r="AH510" s="391" t="s">
        <v>4599</v>
      </c>
      <c r="AI510" s="391" t="s">
        <v>1845</v>
      </c>
      <c r="AJ510" s="391">
        <v>0</v>
      </c>
      <c r="AK510" s="390">
        <v>44974</v>
      </c>
      <c r="AL510" s="389">
        <v>100</v>
      </c>
      <c r="AM510" s="391" t="s">
        <v>548</v>
      </c>
      <c r="AN510" s="391" t="s">
        <v>549</v>
      </c>
      <c r="AO510" s="391" t="s">
        <v>4600</v>
      </c>
    </row>
    <row r="511" spans="1:41" ht="16" thickBot="1">
      <c r="A511" s="387" t="s">
        <v>1835</v>
      </c>
      <c r="B511" s="387" t="s">
        <v>2127</v>
      </c>
      <c r="C511" s="387" t="s">
        <v>4601</v>
      </c>
      <c r="D511" s="387" t="s">
        <v>4602</v>
      </c>
      <c r="E511" s="387">
        <v>1</v>
      </c>
      <c r="F511" s="387" t="s">
        <v>1780</v>
      </c>
      <c r="G511" s="387">
        <v>1</v>
      </c>
      <c r="H511" s="387" t="s">
        <v>1780</v>
      </c>
      <c r="I511" s="387" t="s">
        <v>1751</v>
      </c>
      <c r="J511" s="387" t="s">
        <v>4603</v>
      </c>
      <c r="K511" s="387" t="s">
        <v>4604</v>
      </c>
      <c r="L511" s="387" t="s">
        <v>1841</v>
      </c>
      <c r="M511" s="387" t="s">
        <v>1842</v>
      </c>
      <c r="N511" s="388">
        <v>1757.73</v>
      </c>
      <c r="O511" s="388">
        <v>14</v>
      </c>
      <c r="P511" s="387" t="s">
        <v>3824</v>
      </c>
      <c r="Q511" s="387" t="s">
        <v>160</v>
      </c>
      <c r="R511" s="387" t="s">
        <v>4598</v>
      </c>
      <c r="S511" s="387" t="s">
        <v>160</v>
      </c>
      <c r="T511" s="387" t="s">
        <v>160</v>
      </c>
      <c r="U511" s="388">
        <v>3471</v>
      </c>
      <c r="V511" s="387" t="s">
        <v>543</v>
      </c>
      <c r="W511" s="387" t="s">
        <v>543</v>
      </c>
      <c r="X511" s="387" t="s">
        <v>543</v>
      </c>
      <c r="Y511" s="387" t="s">
        <v>543</v>
      </c>
      <c r="Z511" s="387" t="s">
        <v>543</v>
      </c>
      <c r="AA511" s="388" t="s">
        <v>543</v>
      </c>
      <c r="AB511" s="388" t="s">
        <v>543</v>
      </c>
      <c r="AC511" s="387" t="s">
        <v>543</v>
      </c>
      <c r="AD511" s="389">
        <v>15</v>
      </c>
      <c r="AE511" s="390">
        <v>44974</v>
      </c>
      <c r="AF511" s="390">
        <v>45657</v>
      </c>
      <c r="AG511" s="391" t="s">
        <v>545</v>
      </c>
      <c r="AH511" s="391" t="s">
        <v>4605</v>
      </c>
      <c r="AI511" s="391" t="s">
        <v>1845</v>
      </c>
      <c r="AJ511" s="391">
        <v>0</v>
      </c>
      <c r="AK511" s="390">
        <v>44974</v>
      </c>
      <c r="AL511" s="389">
        <v>100</v>
      </c>
      <c r="AM511" s="391" t="s">
        <v>548</v>
      </c>
      <c r="AN511" s="391" t="s">
        <v>549</v>
      </c>
      <c r="AO511" s="391" t="s">
        <v>4606</v>
      </c>
    </row>
    <row r="512" spans="1:41" ht="16" thickBot="1">
      <c r="A512" s="387" t="s">
        <v>2601</v>
      </c>
      <c r="B512" s="387" t="s">
        <v>537</v>
      </c>
      <c r="C512" s="387" t="s">
        <v>4607</v>
      </c>
      <c r="D512" s="387" t="s">
        <v>4608</v>
      </c>
      <c r="E512" s="387">
        <v>1</v>
      </c>
      <c r="F512" s="387" t="s">
        <v>1780</v>
      </c>
      <c r="G512" s="387">
        <v>1</v>
      </c>
      <c r="H512" s="387" t="s">
        <v>1780</v>
      </c>
      <c r="I512" s="387" t="s">
        <v>1751</v>
      </c>
      <c r="J512" s="387" t="s">
        <v>4609</v>
      </c>
      <c r="K512" s="387" t="s">
        <v>4610</v>
      </c>
      <c r="L512" s="387" t="s">
        <v>1975</v>
      </c>
      <c r="M512" s="387" t="s">
        <v>1976</v>
      </c>
      <c r="N512" s="388">
        <v>18628.64</v>
      </c>
      <c r="O512" s="388">
        <v>14</v>
      </c>
      <c r="P512" s="387" t="s">
        <v>538</v>
      </c>
      <c r="Q512" s="387" t="s">
        <v>539</v>
      </c>
      <c r="R512" s="387" t="s">
        <v>4611</v>
      </c>
      <c r="S512" s="387" t="s">
        <v>171</v>
      </c>
      <c r="T512" s="387" t="s">
        <v>1908</v>
      </c>
      <c r="U512" s="388">
        <v>5710</v>
      </c>
      <c r="V512" s="387" t="s">
        <v>543</v>
      </c>
      <c r="W512" s="387" t="s">
        <v>543</v>
      </c>
      <c r="X512" s="387" t="s">
        <v>543</v>
      </c>
      <c r="Y512" s="387" t="s">
        <v>543</v>
      </c>
      <c r="Z512" s="387" t="s">
        <v>543</v>
      </c>
      <c r="AA512" s="388" t="s">
        <v>543</v>
      </c>
      <c r="AB512" s="388" t="s">
        <v>543</v>
      </c>
      <c r="AC512" s="387">
        <v>852899009</v>
      </c>
      <c r="AD512" s="389">
        <v>1</v>
      </c>
      <c r="AE512" s="390">
        <v>44927</v>
      </c>
      <c r="AF512" s="390">
        <v>45657</v>
      </c>
      <c r="AG512" s="391" t="s">
        <v>545</v>
      </c>
      <c r="AH512" s="391" t="s">
        <v>4612</v>
      </c>
      <c r="AI512" s="391" t="s">
        <v>1979</v>
      </c>
      <c r="AJ512" s="391">
        <v>0</v>
      </c>
      <c r="AK512" s="390">
        <v>44927</v>
      </c>
      <c r="AL512" s="389">
        <v>100</v>
      </c>
      <c r="AM512" s="391" t="s">
        <v>548</v>
      </c>
      <c r="AN512" s="391" t="s">
        <v>549</v>
      </c>
      <c r="AO512" s="391" t="s">
        <v>4613</v>
      </c>
    </row>
    <row r="513" spans="1:43" ht="16" thickBot="1">
      <c r="A513" s="387" t="s">
        <v>2601</v>
      </c>
      <c r="B513" s="387" t="s">
        <v>965</v>
      </c>
      <c r="C513" s="387" t="s">
        <v>4614</v>
      </c>
      <c r="D513" s="387" t="s">
        <v>4615</v>
      </c>
      <c r="E513" s="387">
        <v>1</v>
      </c>
      <c r="F513" s="387" t="s">
        <v>1780</v>
      </c>
      <c r="G513" s="387">
        <v>1</v>
      </c>
      <c r="H513" s="387" t="s">
        <v>1780</v>
      </c>
      <c r="I513" s="387" t="s">
        <v>1751</v>
      </c>
      <c r="J513" s="387" t="s">
        <v>4609</v>
      </c>
      <c r="K513" s="387" t="s">
        <v>4616</v>
      </c>
      <c r="L513" s="387" t="s">
        <v>1975</v>
      </c>
      <c r="M513" s="387" t="s">
        <v>1976</v>
      </c>
      <c r="N513" s="388">
        <v>9314.1299999999992</v>
      </c>
      <c r="O513" s="388">
        <v>14</v>
      </c>
      <c r="P513" s="387" t="s">
        <v>538</v>
      </c>
      <c r="Q513" s="387" t="s">
        <v>539</v>
      </c>
      <c r="R513" s="387" t="s">
        <v>4611</v>
      </c>
      <c r="S513" s="387" t="s">
        <v>171</v>
      </c>
      <c r="T513" s="387" t="s">
        <v>1908</v>
      </c>
      <c r="U513" s="388">
        <v>2834</v>
      </c>
      <c r="V513" s="387" t="s">
        <v>543</v>
      </c>
      <c r="W513" s="387" t="s">
        <v>543</v>
      </c>
      <c r="X513" s="387" t="s">
        <v>543</v>
      </c>
      <c r="Y513" s="387" t="s">
        <v>543</v>
      </c>
      <c r="Z513" s="387" t="s">
        <v>543</v>
      </c>
      <c r="AA513" s="388" t="s">
        <v>543</v>
      </c>
      <c r="AB513" s="388" t="s">
        <v>543</v>
      </c>
      <c r="AC513" s="387">
        <v>852902018</v>
      </c>
      <c r="AD513" s="389">
        <v>1</v>
      </c>
      <c r="AE513" s="390">
        <v>44927</v>
      </c>
      <c r="AF513" s="390">
        <v>45657</v>
      </c>
      <c r="AG513" s="391" t="s">
        <v>545</v>
      </c>
      <c r="AH513" s="391" t="s">
        <v>4617</v>
      </c>
      <c r="AI513" s="391" t="s">
        <v>1979</v>
      </c>
      <c r="AJ513" s="391">
        <v>0</v>
      </c>
      <c r="AK513" s="390">
        <v>44927</v>
      </c>
      <c r="AL513" s="389">
        <v>100</v>
      </c>
      <c r="AM513" s="391" t="s">
        <v>548</v>
      </c>
      <c r="AN513" s="391" t="s">
        <v>549</v>
      </c>
      <c r="AO513" s="391" t="s">
        <v>4618</v>
      </c>
    </row>
    <row r="514" spans="1:43" ht="16" thickBot="1">
      <c r="A514" s="387" t="s">
        <v>1835</v>
      </c>
      <c r="B514" s="387" t="s">
        <v>1890</v>
      </c>
      <c r="C514" s="387" t="s">
        <v>4619</v>
      </c>
      <c r="D514" s="387" t="s">
        <v>4620</v>
      </c>
      <c r="E514" s="387">
        <v>1</v>
      </c>
      <c r="F514" s="387" t="s">
        <v>1780</v>
      </c>
      <c r="G514" s="387">
        <v>1</v>
      </c>
      <c r="H514" s="387" t="s">
        <v>1780</v>
      </c>
      <c r="I514" s="387" t="s">
        <v>1751</v>
      </c>
      <c r="J514" s="387" t="s">
        <v>4621</v>
      </c>
      <c r="K514" s="387" t="s">
        <v>4622</v>
      </c>
      <c r="L514" s="387" t="s">
        <v>1841</v>
      </c>
      <c r="M514" s="387" t="s">
        <v>1842</v>
      </c>
      <c r="N514" s="388">
        <v>2186.5</v>
      </c>
      <c r="O514" s="388">
        <v>14</v>
      </c>
      <c r="P514" s="387" t="s">
        <v>538</v>
      </c>
      <c r="Q514" s="387" t="s">
        <v>539</v>
      </c>
      <c r="R514" s="387" t="s">
        <v>4623</v>
      </c>
      <c r="S514" s="387" t="s">
        <v>171</v>
      </c>
      <c r="T514" s="387" t="s">
        <v>757</v>
      </c>
      <c r="U514" s="388">
        <v>28940</v>
      </c>
      <c r="V514" s="387" t="s">
        <v>543</v>
      </c>
      <c r="W514" s="387" t="s">
        <v>543</v>
      </c>
      <c r="X514" s="387" t="s">
        <v>543</v>
      </c>
      <c r="Y514" s="387" t="s">
        <v>543</v>
      </c>
      <c r="Z514" s="387" t="s">
        <v>543</v>
      </c>
      <c r="AA514" s="388" t="s">
        <v>543</v>
      </c>
      <c r="AB514" s="388" t="s">
        <v>543</v>
      </c>
      <c r="AC514" s="387">
        <v>800767004</v>
      </c>
      <c r="AD514" s="389">
        <v>15</v>
      </c>
      <c r="AE514" s="390">
        <v>44974</v>
      </c>
      <c r="AF514" s="390">
        <v>45657</v>
      </c>
      <c r="AG514" s="391" t="s">
        <v>545</v>
      </c>
      <c r="AH514" s="391" t="s">
        <v>4624</v>
      </c>
      <c r="AI514" s="391" t="s">
        <v>1845</v>
      </c>
      <c r="AJ514" s="391">
        <v>0</v>
      </c>
      <c r="AK514" s="390">
        <v>44974</v>
      </c>
      <c r="AL514" s="389">
        <v>100</v>
      </c>
      <c r="AM514" s="391" t="s">
        <v>548</v>
      </c>
      <c r="AN514" s="391" t="s">
        <v>549</v>
      </c>
      <c r="AO514" s="391" t="s">
        <v>4625</v>
      </c>
    </row>
    <row r="515" spans="1:43" ht="16" thickBot="1">
      <c r="A515" s="387" t="s">
        <v>2601</v>
      </c>
      <c r="B515" s="387" t="s">
        <v>651</v>
      </c>
      <c r="C515" s="387" t="s">
        <v>4626</v>
      </c>
      <c r="D515" s="387" t="s">
        <v>4627</v>
      </c>
      <c r="E515" s="387">
        <v>1</v>
      </c>
      <c r="F515" s="387" t="s">
        <v>1780</v>
      </c>
      <c r="G515" s="387">
        <v>1</v>
      </c>
      <c r="H515" s="387" t="s">
        <v>1780</v>
      </c>
      <c r="I515" s="387" t="s">
        <v>1751</v>
      </c>
      <c r="J515" s="387" t="s">
        <v>4628</v>
      </c>
      <c r="K515" s="387" t="s">
        <v>4629</v>
      </c>
      <c r="L515" s="387" t="s">
        <v>3984</v>
      </c>
      <c r="M515" s="387" t="s">
        <v>3985</v>
      </c>
      <c r="N515" s="388">
        <v>17551.54</v>
      </c>
      <c r="O515" s="388">
        <v>14</v>
      </c>
      <c r="P515" s="387" t="s">
        <v>538</v>
      </c>
      <c r="Q515" s="387" t="s">
        <v>539</v>
      </c>
      <c r="R515" s="387" t="s">
        <v>4630</v>
      </c>
      <c r="S515" s="387" t="s">
        <v>171</v>
      </c>
      <c r="T515" s="387" t="s">
        <v>1908</v>
      </c>
      <c r="U515" s="388">
        <v>2877</v>
      </c>
      <c r="V515" s="387" t="s">
        <v>543</v>
      </c>
      <c r="W515" s="387" t="s">
        <v>543</v>
      </c>
      <c r="X515" s="387" t="s">
        <v>543</v>
      </c>
      <c r="Y515" s="387" t="s">
        <v>543</v>
      </c>
      <c r="Z515" s="387" t="s">
        <v>543</v>
      </c>
      <c r="AA515" s="388" t="s">
        <v>543</v>
      </c>
      <c r="AB515" s="388" t="s">
        <v>543</v>
      </c>
      <c r="AC515" s="387">
        <v>717182001</v>
      </c>
      <c r="AD515" s="389">
        <v>1</v>
      </c>
      <c r="AE515" s="390">
        <v>44927</v>
      </c>
      <c r="AF515" s="390">
        <v>45657</v>
      </c>
      <c r="AG515" s="391" t="s">
        <v>545</v>
      </c>
      <c r="AH515" s="391" t="s">
        <v>4631</v>
      </c>
      <c r="AI515" s="391" t="s">
        <v>3988</v>
      </c>
      <c r="AJ515" s="391">
        <v>0</v>
      </c>
      <c r="AK515" s="390">
        <v>44927</v>
      </c>
      <c r="AL515" s="389">
        <v>100</v>
      </c>
      <c r="AM515" s="391" t="s">
        <v>548</v>
      </c>
      <c r="AN515" s="391" t="s">
        <v>549</v>
      </c>
      <c r="AO515" s="391" t="s">
        <v>4632</v>
      </c>
    </row>
    <row r="516" spans="1:43" ht="16" thickBot="1">
      <c r="A516" s="387" t="s">
        <v>2601</v>
      </c>
      <c r="B516" s="387" t="s">
        <v>989</v>
      </c>
      <c r="C516" s="387" t="s">
        <v>4633</v>
      </c>
      <c r="D516" s="387" t="s">
        <v>4634</v>
      </c>
      <c r="E516" s="387">
        <v>1</v>
      </c>
      <c r="F516" s="387" t="s">
        <v>1780</v>
      </c>
      <c r="G516" s="387">
        <v>1</v>
      </c>
      <c r="H516" s="387" t="s">
        <v>1780</v>
      </c>
      <c r="I516" s="387" t="s">
        <v>1751</v>
      </c>
      <c r="J516" s="387" t="s">
        <v>4628</v>
      </c>
      <c r="K516" s="387" t="s">
        <v>4635</v>
      </c>
      <c r="L516" s="387" t="s">
        <v>3984</v>
      </c>
      <c r="M516" s="387" t="s">
        <v>3985</v>
      </c>
      <c r="N516" s="388">
        <v>43878.86</v>
      </c>
      <c r="O516" s="388">
        <v>14</v>
      </c>
      <c r="P516" s="387" t="s">
        <v>538</v>
      </c>
      <c r="Q516" s="387" t="s">
        <v>539</v>
      </c>
      <c r="R516" s="387" t="s">
        <v>4630</v>
      </c>
      <c r="S516" s="387" t="s">
        <v>171</v>
      </c>
      <c r="T516" s="387" t="s">
        <v>1908</v>
      </c>
      <c r="U516" s="388">
        <v>310</v>
      </c>
      <c r="V516" s="387" t="s">
        <v>543</v>
      </c>
      <c r="W516" s="387" t="s">
        <v>543</v>
      </c>
      <c r="X516" s="387" t="s">
        <v>543</v>
      </c>
      <c r="Y516" s="387" t="s">
        <v>543</v>
      </c>
      <c r="Z516" s="387" t="s">
        <v>543</v>
      </c>
      <c r="AA516" s="388" t="s">
        <v>543</v>
      </c>
      <c r="AB516" s="388" t="s">
        <v>543</v>
      </c>
      <c r="AC516" s="387">
        <v>717183001</v>
      </c>
      <c r="AD516" s="389">
        <v>1</v>
      </c>
      <c r="AE516" s="390">
        <v>44927</v>
      </c>
      <c r="AF516" s="390">
        <v>45657</v>
      </c>
      <c r="AG516" s="391" t="s">
        <v>545</v>
      </c>
      <c r="AH516" s="391" t="s">
        <v>4636</v>
      </c>
      <c r="AI516" s="391" t="s">
        <v>3988</v>
      </c>
      <c r="AJ516" s="391">
        <v>0</v>
      </c>
      <c r="AK516" s="390">
        <v>44927</v>
      </c>
      <c r="AL516" s="389">
        <v>100</v>
      </c>
      <c r="AM516" s="391" t="s">
        <v>548</v>
      </c>
      <c r="AN516" s="391" t="s">
        <v>549</v>
      </c>
      <c r="AO516" s="391" t="s">
        <v>4637</v>
      </c>
    </row>
    <row r="517" spans="1:43" ht="16" thickBot="1">
      <c r="A517" s="387" t="s">
        <v>2601</v>
      </c>
      <c r="B517" s="387" t="s">
        <v>1003</v>
      </c>
      <c r="C517" s="387" t="s">
        <v>4638</v>
      </c>
      <c r="D517" s="387" t="s">
        <v>4639</v>
      </c>
      <c r="E517" s="387">
        <v>1</v>
      </c>
      <c r="F517" s="387" t="s">
        <v>1780</v>
      </c>
      <c r="G517" s="387">
        <v>1</v>
      </c>
      <c r="H517" s="387" t="s">
        <v>1780</v>
      </c>
      <c r="I517" s="387" t="s">
        <v>1751</v>
      </c>
      <c r="J517" s="387" t="s">
        <v>4628</v>
      </c>
      <c r="K517" s="387" t="s">
        <v>4640</v>
      </c>
      <c r="L517" s="387" t="s">
        <v>3984</v>
      </c>
      <c r="M517" s="387" t="s">
        <v>3985</v>
      </c>
      <c r="N517" s="388">
        <v>8775.77</v>
      </c>
      <c r="O517" s="388">
        <v>14</v>
      </c>
      <c r="P517" s="387" t="s">
        <v>538</v>
      </c>
      <c r="Q517" s="387" t="s">
        <v>539</v>
      </c>
      <c r="R517" s="387" t="s">
        <v>4630</v>
      </c>
      <c r="S517" s="387" t="s">
        <v>171</v>
      </c>
      <c r="T517" s="387" t="s">
        <v>1908</v>
      </c>
      <c r="U517" s="388">
        <v>2025</v>
      </c>
      <c r="V517" s="387" t="s">
        <v>543</v>
      </c>
      <c r="W517" s="387" t="s">
        <v>543</v>
      </c>
      <c r="X517" s="387" t="s">
        <v>543</v>
      </c>
      <c r="Y517" s="387" t="s">
        <v>543</v>
      </c>
      <c r="Z517" s="387" t="s">
        <v>543</v>
      </c>
      <c r="AA517" s="388" t="s">
        <v>543</v>
      </c>
      <c r="AB517" s="388" t="s">
        <v>543</v>
      </c>
      <c r="AC517" s="387">
        <v>717176001</v>
      </c>
      <c r="AD517" s="389">
        <v>1</v>
      </c>
      <c r="AE517" s="390">
        <v>44927</v>
      </c>
      <c r="AF517" s="390">
        <v>45657</v>
      </c>
      <c r="AG517" s="391" t="s">
        <v>545</v>
      </c>
      <c r="AH517" s="391" t="s">
        <v>4641</v>
      </c>
      <c r="AI517" s="391" t="s">
        <v>3988</v>
      </c>
      <c r="AJ517" s="391">
        <v>0</v>
      </c>
      <c r="AK517" s="390">
        <v>44927</v>
      </c>
      <c r="AL517" s="389">
        <v>100</v>
      </c>
      <c r="AM517" s="391" t="s">
        <v>548</v>
      </c>
      <c r="AN517" s="391" t="s">
        <v>549</v>
      </c>
      <c r="AO517" s="391" t="s">
        <v>4642</v>
      </c>
    </row>
    <row r="518" spans="1:43" ht="16" thickBot="1">
      <c r="A518" s="387" t="s">
        <v>1835</v>
      </c>
      <c r="B518" s="387" t="s">
        <v>686</v>
      </c>
      <c r="C518" s="387" t="s">
        <v>4643</v>
      </c>
      <c r="D518" s="387" t="s">
        <v>4644</v>
      </c>
      <c r="E518" s="387">
        <v>1</v>
      </c>
      <c r="F518" s="387" t="s">
        <v>1780</v>
      </c>
      <c r="G518" s="387">
        <v>1</v>
      </c>
      <c r="H518" s="387" t="s">
        <v>1780</v>
      </c>
      <c r="I518" s="387" t="s">
        <v>1751</v>
      </c>
      <c r="J518" s="387" t="s">
        <v>4645</v>
      </c>
      <c r="K518" s="387" t="s">
        <v>4597</v>
      </c>
      <c r="L518" s="387" t="s">
        <v>1841</v>
      </c>
      <c r="M518" s="387" t="s">
        <v>1842</v>
      </c>
      <c r="N518" s="388">
        <v>3515.48</v>
      </c>
      <c r="O518" s="388">
        <v>14</v>
      </c>
      <c r="P518" s="387" t="s">
        <v>538</v>
      </c>
      <c r="Q518" s="387" t="s">
        <v>539</v>
      </c>
      <c r="R518" s="387" t="s">
        <v>4646</v>
      </c>
      <c r="S518" s="387" t="s">
        <v>171</v>
      </c>
      <c r="T518" s="387" t="s">
        <v>757</v>
      </c>
      <c r="U518" s="388">
        <v>42792</v>
      </c>
      <c r="V518" s="387" t="s">
        <v>543</v>
      </c>
      <c r="W518" s="387" t="s">
        <v>543</v>
      </c>
      <c r="X518" s="387" t="s">
        <v>543</v>
      </c>
      <c r="Y518" s="387" t="s">
        <v>543</v>
      </c>
      <c r="Z518" s="387" t="s">
        <v>543</v>
      </c>
      <c r="AA518" s="388" t="s">
        <v>543</v>
      </c>
      <c r="AB518" s="388" t="s">
        <v>543</v>
      </c>
      <c r="AC518" s="387">
        <v>813648009</v>
      </c>
      <c r="AD518" s="389">
        <v>10</v>
      </c>
      <c r="AE518" s="390">
        <v>44974</v>
      </c>
      <c r="AF518" s="390">
        <v>45657</v>
      </c>
      <c r="AG518" s="391" t="s">
        <v>545</v>
      </c>
      <c r="AH518" s="391" t="s">
        <v>4647</v>
      </c>
      <c r="AI518" s="391" t="s">
        <v>1845</v>
      </c>
      <c r="AJ518" s="391">
        <v>0</v>
      </c>
      <c r="AK518" s="390">
        <v>44974</v>
      </c>
      <c r="AL518" s="389">
        <v>100</v>
      </c>
      <c r="AM518" s="391" t="s">
        <v>548</v>
      </c>
      <c r="AN518" s="391" t="s">
        <v>549</v>
      </c>
      <c r="AO518" s="391" t="s">
        <v>4648</v>
      </c>
    </row>
    <row r="519" spans="1:43" ht="16" thickBot="1">
      <c r="A519" s="387" t="s">
        <v>1835</v>
      </c>
      <c r="B519" s="387" t="s">
        <v>593</v>
      </c>
      <c r="C519" s="387" t="s">
        <v>4649</v>
      </c>
      <c r="D519" s="387" t="s">
        <v>4650</v>
      </c>
      <c r="E519" s="387">
        <v>1</v>
      </c>
      <c r="F519" s="387" t="s">
        <v>1780</v>
      </c>
      <c r="G519" s="387">
        <v>1</v>
      </c>
      <c r="H519" s="387" t="s">
        <v>1780</v>
      </c>
      <c r="I519" s="387" t="s">
        <v>1751</v>
      </c>
      <c r="J519" s="387" t="s">
        <v>4645</v>
      </c>
      <c r="K519" s="387" t="s">
        <v>4651</v>
      </c>
      <c r="L519" s="387" t="s">
        <v>1841</v>
      </c>
      <c r="M519" s="387" t="s">
        <v>1842</v>
      </c>
      <c r="N519" s="388">
        <v>1183.67</v>
      </c>
      <c r="O519" s="388">
        <v>14</v>
      </c>
      <c r="P519" s="387" t="s">
        <v>538</v>
      </c>
      <c r="Q519" s="387" t="s">
        <v>539</v>
      </c>
      <c r="R519" s="387" t="s">
        <v>4646</v>
      </c>
      <c r="S519" s="387" t="s">
        <v>171</v>
      </c>
      <c r="T519" s="387" t="s">
        <v>757</v>
      </c>
      <c r="U519" s="388">
        <v>2384</v>
      </c>
      <c r="V519" s="387" t="s">
        <v>543</v>
      </c>
      <c r="W519" s="387" t="s">
        <v>543</v>
      </c>
      <c r="X519" s="387" t="s">
        <v>543</v>
      </c>
      <c r="Y519" s="387" t="s">
        <v>543</v>
      </c>
      <c r="Z519" s="387" t="s">
        <v>543</v>
      </c>
      <c r="AA519" s="388" t="s">
        <v>543</v>
      </c>
      <c r="AB519" s="388" t="s">
        <v>543</v>
      </c>
      <c r="AC519" s="387">
        <v>841560005</v>
      </c>
      <c r="AD519" s="389">
        <v>15</v>
      </c>
      <c r="AE519" s="390">
        <v>44974</v>
      </c>
      <c r="AF519" s="390">
        <v>45657</v>
      </c>
      <c r="AG519" s="391" t="s">
        <v>545</v>
      </c>
      <c r="AH519" s="391" t="s">
        <v>4652</v>
      </c>
      <c r="AI519" s="391" t="s">
        <v>1845</v>
      </c>
      <c r="AJ519" s="391">
        <v>0</v>
      </c>
      <c r="AK519" s="390">
        <v>44974</v>
      </c>
      <c r="AL519" s="389">
        <v>100</v>
      </c>
      <c r="AM519" s="391" t="s">
        <v>548</v>
      </c>
      <c r="AN519" s="391" t="s">
        <v>549</v>
      </c>
      <c r="AO519" s="391" t="s">
        <v>4653</v>
      </c>
    </row>
    <row r="520" spans="1:43" ht="16" thickBot="1">
      <c r="A520" s="387" t="s">
        <v>1835</v>
      </c>
      <c r="B520" s="387" t="s">
        <v>680</v>
      </c>
      <c r="C520" s="387" t="s">
        <v>4654</v>
      </c>
      <c r="D520" s="387" t="s">
        <v>4655</v>
      </c>
      <c r="E520" s="387">
        <v>1</v>
      </c>
      <c r="F520" s="387" t="s">
        <v>1780</v>
      </c>
      <c r="G520" s="387">
        <v>1</v>
      </c>
      <c r="H520" s="387" t="s">
        <v>1780</v>
      </c>
      <c r="I520" s="387" t="s">
        <v>1751</v>
      </c>
      <c r="J520" s="387" t="s">
        <v>4645</v>
      </c>
      <c r="K520" s="387" t="s">
        <v>4604</v>
      </c>
      <c r="L520" s="387" t="s">
        <v>1841</v>
      </c>
      <c r="M520" s="387" t="s">
        <v>1842</v>
      </c>
      <c r="N520" s="388">
        <v>1757.73</v>
      </c>
      <c r="O520" s="388">
        <v>14</v>
      </c>
      <c r="P520" s="387" t="s">
        <v>538</v>
      </c>
      <c r="Q520" s="387" t="s">
        <v>539</v>
      </c>
      <c r="R520" s="387" t="s">
        <v>4646</v>
      </c>
      <c r="S520" s="387" t="s">
        <v>171</v>
      </c>
      <c r="T520" s="387" t="s">
        <v>757</v>
      </c>
      <c r="U520" s="388">
        <v>61598</v>
      </c>
      <c r="V520" s="387" t="s">
        <v>543</v>
      </c>
      <c r="W520" s="387" t="s">
        <v>543</v>
      </c>
      <c r="X520" s="387" t="s">
        <v>543</v>
      </c>
      <c r="Y520" s="387" t="s">
        <v>543</v>
      </c>
      <c r="Z520" s="387" t="s">
        <v>543</v>
      </c>
      <c r="AA520" s="388" t="s">
        <v>543</v>
      </c>
      <c r="AB520" s="388" t="s">
        <v>543</v>
      </c>
      <c r="AC520" s="387">
        <v>800759028</v>
      </c>
      <c r="AD520" s="389">
        <v>15</v>
      </c>
      <c r="AE520" s="390">
        <v>44974</v>
      </c>
      <c r="AF520" s="390">
        <v>45657</v>
      </c>
      <c r="AG520" s="391" t="s">
        <v>545</v>
      </c>
      <c r="AH520" s="391" t="s">
        <v>4656</v>
      </c>
      <c r="AI520" s="391" t="s">
        <v>1845</v>
      </c>
      <c r="AJ520" s="391">
        <v>0</v>
      </c>
      <c r="AK520" s="390">
        <v>44974</v>
      </c>
      <c r="AL520" s="389">
        <v>100</v>
      </c>
      <c r="AM520" s="391" t="s">
        <v>548</v>
      </c>
      <c r="AN520" s="391" t="s">
        <v>549</v>
      </c>
      <c r="AO520" s="391" t="s">
        <v>4657</v>
      </c>
    </row>
    <row r="521" spans="1:43" ht="16" thickBot="1">
      <c r="A521" s="387" t="s">
        <v>2412</v>
      </c>
      <c r="B521" s="387" t="s">
        <v>1001</v>
      </c>
      <c r="C521" s="387" t="s">
        <v>4658</v>
      </c>
      <c r="D521" s="387" t="s">
        <v>4659</v>
      </c>
      <c r="E521" s="387">
        <v>0.4</v>
      </c>
      <c r="F521" s="387" t="s">
        <v>531</v>
      </c>
      <c r="G521" s="387">
        <v>0.4</v>
      </c>
      <c r="H521" s="387" t="s">
        <v>531</v>
      </c>
      <c r="I521" s="387" t="s">
        <v>3734</v>
      </c>
      <c r="J521" s="387" t="s">
        <v>4660</v>
      </c>
      <c r="K521" s="387" t="s">
        <v>4661</v>
      </c>
      <c r="L521" s="387" t="s">
        <v>2365</v>
      </c>
      <c r="M521" s="387" t="s">
        <v>2366</v>
      </c>
      <c r="N521" s="388">
        <v>148.18</v>
      </c>
      <c r="O521" s="388">
        <v>14</v>
      </c>
      <c r="P521" s="387" t="s">
        <v>538</v>
      </c>
      <c r="Q521" s="387" t="s">
        <v>539</v>
      </c>
      <c r="R521" s="387" t="s">
        <v>4662</v>
      </c>
      <c r="S521" s="387" t="s">
        <v>171</v>
      </c>
      <c r="T521" s="387" t="s">
        <v>757</v>
      </c>
      <c r="U521" s="388">
        <v>85570</v>
      </c>
      <c r="V521" s="387">
        <v>600566700299</v>
      </c>
      <c r="W521" s="387" t="s">
        <v>543</v>
      </c>
      <c r="X521" s="387" t="s">
        <v>543</v>
      </c>
      <c r="Y521" s="387" t="s">
        <v>543</v>
      </c>
      <c r="Z521" s="387" t="s">
        <v>543</v>
      </c>
      <c r="AA521" s="388" t="s">
        <v>543</v>
      </c>
      <c r="AB521" s="388" t="s">
        <v>543</v>
      </c>
      <c r="AC521" s="387" t="s">
        <v>543</v>
      </c>
      <c r="AD521" s="389">
        <v>1</v>
      </c>
      <c r="AE521" s="390">
        <v>44137</v>
      </c>
      <c r="AF521" s="390">
        <v>45107</v>
      </c>
      <c r="AG521" s="390">
        <v>45107</v>
      </c>
      <c r="AH521" s="391" t="s">
        <v>4663</v>
      </c>
      <c r="AI521" s="391" t="s">
        <v>2369</v>
      </c>
      <c r="AJ521" s="391">
        <v>0</v>
      </c>
      <c r="AK521" s="390">
        <v>44137</v>
      </c>
      <c r="AL521" s="389">
        <v>100</v>
      </c>
      <c r="AM521" s="391" t="s">
        <v>548</v>
      </c>
      <c r="AN521" s="391" t="s">
        <v>545</v>
      </c>
      <c r="AO521" s="391" t="s">
        <v>4664</v>
      </c>
    </row>
    <row r="522" spans="1:43" ht="16" thickBot="1">
      <c r="A522" s="387" t="s">
        <v>2294</v>
      </c>
      <c r="B522" s="387" t="s">
        <v>967</v>
      </c>
      <c r="C522" s="387" t="s">
        <v>4665</v>
      </c>
      <c r="D522" s="387" t="s">
        <v>4666</v>
      </c>
      <c r="E522" s="387">
        <v>0.55000000000000004</v>
      </c>
      <c r="F522" s="387" t="s">
        <v>531</v>
      </c>
      <c r="G522" s="387">
        <v>0.55000000000000004</v>
      </c>
      <c r="H522" s="387" t="s">
        <v>531</v>
      </c>
      <c r="I522" s="387" t="s">
        <v>3734</v>
      </c>
      <c r="J522" s="387" t="s">
        <v>4660</v>
      </c>
      <c r="K522" s="387" t="s">
        <v>4667</v>
      </c>
      <c r="L522" s="387" t="s">
        <v>2365</v>
      </c>
      <c r="M522" s="387" t="s">
        <v>2366</v>
      </c>
      <c r="N522" s="388">
        <v>161.79</v>
      </c>
      <c r="O522" s="388">
        <v>14</v>
      </c>
      <c r="P522" s="387" t="s">
        <v>538</v>
      </c>
      <c r="Q522" s="387" t="s">
        <v>539</v>
      </c>
      <c r="R522" s="387" t="s">
        <v>4662</v>
      </c>
      <c r="S522" s="387" t="s">
        <v>171</v>
      </c>
      <c r="T522" s="387" t="s">
        <v>757</v>
      </c>
      <c r="U522" s="388">
        <v>56976</v>
      </c>
      <c r="V522" s="387">
        <v>6005667002576</v>
      </c>
      <c r="W522" s="387" t="s">
        <v>543</v>
      </c>
      <c r="X522" s="387" t="s">
        <v>543</v>
      </c>
      <c r="Y522" s="387" t="s">
        <v>543</v>
      </c>
      <c r="Z522" s="387" t="s">
        <v>543</v>
      </c>
      <c r="AA522" s="388" t="s">
        <v>543</v>
      </c>
      <c r="AB522" s="388" t="s">
        <v>543</v>
      </c>
      <c r="AC522" s="387" t="s">
        <v>543</v>
      </c>
      <c r="AD522" s="389">
        <v>1</v>
      </c>
      <c r="AE522" s="390">
        <v>44013</v>
      </c>
      <c r="AF522" s="390">
        <v>45107</v>
      </c>
      <c r="AG522" s="390">
        <v>45107</v>
      </c>
      <c r="AH522" s="391" t="s">
        <v>4668</v>
      </c>
      <c r="AI522" s="391" t="s">
        <v>2369</v>
      </c>
      <c r="AJ522" s="391">
        <v>56</v>
      </c>
      <c r="AK522" s="390">
        <v>44774</v>
      </c>
      <c r="AL522" s="389">
        <v>100</v>
      </c>
      <c r="AM522" s="391" t="s">
        <v>548</v>
      </c>
      <c r="AN522" s="391" t="s">
        <v>545</v>
      </c>
      <c r="AO522" s="391" t="s">
        <v>4664</v>
      </c>
    </row>
    <row r="523" spans="1:43" ht="16" thickBot="1">
      <c r="A523" s="387" t="s">
        <v>2294</v>
      </c>
      <c r="B523" s="387" t="s">
        <v>651</v>
      </c>
      <c r="C523" s="387" t="s">
        <v>4669</v>
      </c>
      <c r="D523" s="387" t="s">
        <v>4670</v>
      </c>
      <c r="E523" s="387">
        <v>1</v>
      </c>
      <c r="F523" s="387" t="s">
        <v>1780</v>
      </c>
      <c r="G523" s="387">
        <v>1</v>
      </c>
      <c r="H523" s="387" t="s">
        <v>1780</v>
      </c>
      <c r="I523" s="387" t="s">
        <v>1751</v>
      </c>
      <c r="J523" s="387" t="s">
        <v>4671</v>
      </c>
      <c r="K523" s="387" t="s">
        <v>4672</v>
      </c>
      <c r="L523" s="387" t="s">
        <v>562</v>
      </c>
      <c r="M523" s="387" t="s">
        <v>563</v>
      </c>
      <c r="N523" s="388">
        <v>391.18</v>
      </c>
      <c r="O523" s="388">
        <v>14</v>
      </c>
      <c r="P523" s="387" t="s">
        <v>611</v>
      </c>
      <c r="Q523" s="387" t="s">
        <v>612</v>
      </c>
      <c r="R523" s="387" t="s">
        <v>4673</v>
      </c>
      <c r="S523" s="387" t="s">
        <v>614</v>
      </c>
      <c r="T523" s="387" t="s">
        <v>160</v>
      </c>
      <c r="U523" s="388">
        <v>34690</v>
      </c>
      <c r="V523" s="387">
        <v>6006595008173</v>
      </c>
      <c r="W523" s="387" t="s">
        <v>543</v>
      </c>
      <c r="X523" s="387" t="s">
        <v>543</v>
      </c>
      <c r="Y523" s="387">
        <v>16006595008170</v>
      </c>
      <c r="Z523" s="387">
        <v>200</v>
      </c>
      <c r="AA523" s="388" t="s">
        <v>543</v>
      </c>
      <c r="AB523" s="388" t="s">
        <v>543</v>
      </c>
      <c r="AC523" s="387" t="s">
        <v>543</v>
      </c>
      <c r="AD523" s="389">
        <v>10</v>
      </c>
      <c r="AE523" s="390">
        <v>44013</v>
      </c>
      <c r="AF523" s="390">
        <v>45107</v>
      </c>
      <c r="AG523" s="390">
        <v>45107</v>
      </c>
      <c r="AH523" s="391" t="s">
        <v>4674</v>
      </c>
      <c r="AI523" s="391" t="s">
        <v>565</v>
      </c>
      <c r="AJ523" s="391">
        <v>44</v>
      </c>
      <c r="AK523" s="390">
        <v>44409</v>
      </c>
      <c r="AL523" s="389">
        <v>100</v>
      </c>
      <c r="AM523" s="391" t="s">
        <v>548</v>
      </c>
      <c r="AN523" s="391" t="s">
        <v>545</v>
      </c>
      <c r="AO523" s="391" t="s">
        <v>4675</v>
      </c>
    </row>
    <row r="524" spans="1:43" ht="16" thickBot="1">
      <c r="A524" s="387" t="s">
        <v>1717</v>
      </c>
      <c r="B524" s="387" t="s">
        <v>4676</v>
      </c>
      <c r="C524" s="387" t="s">
        <v>4677</v>
      </c>
      <c r="D524" s="387" t="s">
        <v>4678</v>
      </c>
      <c r="E524" s="387">
        <v>56</v>
      </c>
      <c r="F524" s="387" t="s">
        <v>559</v>
      </c>
      <c r="G524" s="387" t="s">
        <v>543</v>
      </c>
      <c r="H524" s="387" t="s">
        <v>559</v>
      </c>
      <c r="I524" s="387" t="s">
        <v>560</v>
      </c>
      <c r="J524" s="387" t="s">
        <v>4679</v>
      </c>
      <c r="K524" s="387" t="s">
        <v>4680</v>
      </c>
      <c r="L524" s="387" t="s">
        <v>2021</v>
      </c>
      <c r="M524" s="387" t="s">
        <v>2022</v>
      </c>
      <c r="N524" s="388">
        <v>25.49</v>
      </c>
      <c r="O524" s="388">
        <v>14</v>
      </c>
      <c r="P524" s="387" t="s">
        <v>538</v>
      </c>
      <c r="Q524" s="387" t="s">
        <v>539</v>
      </c>
      <c r="R524" s="387" t="s">
        <v>4681</v>
      </c>
      <c r="S524" s="387" t="s">
        <v>171</v>
      </c>
      <c r="T524" s="387" t="s">
        <v>757</v>
      </c>
      <c r="U524" s="388">
        <v>1461275</v>
      </c>
      <c r="V524" s="387" t="s">
        <v>543</v>
      </c>
      <c r="W524" s="387" t="s">
        <v>543</v>
      </c>
      <c r="X524" s="387" t="s">
        <v>543</v>
      </c>
      <c r="Y524" s="387" t="s">
        <v>543</v>
      </c>
      <c r="Z524" s="387" t="s">
        <v>543</v>
      </c>
      <c r="AA524" s="388" t="s">
        <v>543</v>
      </c>
      <c r="AB524" s="388" t="s">
        <v>543</v>
      </c>
      <c r="AC524" s="387" t="s">
        <v>543</v>
      </c>
      <c r="AD524" s="389">
        <v>140</v>
      </c>
      <c r="AE524" s="390">
        <v>45047</v>
      </c>
      <c r="AF524" s="390">
        <v>46142</v>
      </c>
      <c r="AG524" s="390">
        <v>46142</v>
      </c>
      <c r="AH524" s="391" t="s">
        <v>4682</v>
      </c>
      <c r="AI524" s="391" t="s">
        <v>2024</v>
      </c>
      <c r="AJ524" s="391">
        <v>0</v>
      </c>
      <c r="AK524" s="390">
        <v>45047</v>
      </c>
      <c r="AL524" s="389">
        <v>100</v>
      </c>
      <c r="AM524" s="391" t="s">
        <v>548</v>
      </c>
      <c r="AN524" s="391" t="s">
        <v>549</v>
      </c>
      <c r="AO524" s="391" t="s">
        <v>4683</v>
      </c>
    </row>
    <row r="525" spans="1:43" ht="16" thickBot="1">
      <c r="A525" s="387" t="s">
        <v>1717</v>
      </c>
      <c r="B525" s="387" t="s">
        <v>4684</v>
      </c>
      <c r="C525" s="387" t="s">
        <v>4685</v>
      </c>
      <c r="D525" s="387" t="s">
        <v>4686</v>
      </c>
      <c r="E525" s="387">
        <v>84</v>
      </c>
      <c r="F525" s="387" t="s">
        <v>559</v>
      </c>
      <c r="G525" s="387" t="s">
        <v>543</v>
      </c>
      <c r="H525" s="387" t="s">
        <v>559</v>
      </c>
      <c r="I525" s="387" t="s">
        <v>560</v>
      </c>
      <c r="J525" s="387" t="s">
        <v>4679</v>
      </c>
      <c r="K525" s="387" t="s">
        <v>4680</v>
      </c>
      <c r="L525" s="387" t="s">
        <v>2021</v>
      </c>
      <c r="M525" s="387" t="s">
        <v>2022</v>
      </c>
      <c r="N525" s="388">
        <v>40.15</v>
      </c>
      <c r="O525" s="388">
        <v>14</v>
      </c>
      <c r="P525" s="387" t="s">
        <v>538</v>
      </c>
      <c r="Q525" s="387" t="s">
        <v>539</v>
      </c>
      <c r="R525" s="387" t="s">
        <v>4681</v>
      </c>
      <c r="S525" s="387" t="s">
        <v>171</v>
      </c>
      <c r="T525" s="387" t="s">
        <v>757</v>
      </c>
      <c r="U525" s="388">
        <v>336125</v>
      </c>
      <c r="V525" s="387" t="s">
        <v>543</v>
      </c>
      <c r="W525" s="387" t="s">
        <v>543</v>
      </c>
      <c r="X525" s="387" t="s">
        <v>543</v>
      </c>
      <c r="Y525" s="387" t="s">
        <v>543</v>
      </c>
      <c r="Z525" s="387" t="s">
        <v>543</v>
      </c>
      <c r="AA525" s="388" t="s">
        <v>543</v>
      </c>
      <c r="AB525" s="388" t="s">
        <v>543</v>
      </c>
      <c r="AC525" s="387" t="s">
        <v>543</v>
      </c>
      <c r="AD525" s="389">
        <v>140</v>
      </c>
      <c r="AE525" s="390">
        <v>45047</v>
      </c>
      <c r="AF525" s="390">
        <v>46142</v>
      </c>
      <c r="AG525" s="391" t="s">
        <v>545</v>
      </c>
      <c r="AH525" s="391" t="s">
        <v>4687</v>
      </c>
      <c r="AI525" s="391" t="s">
        <v>2024</v>
      </c>
      <c r="AJ525" s="391">
        <v>0</v>
      </c>
      <c r="AK525" s="390">
        <v>45047</v>
      </c>
      <c r="AL525" s="389">
        <v>100</v>
      </c>
      <c r="AM525" s="391" t="s">
        <v>548</v>
      </c>
      <c r="AN525" s="391" t="s">
        <v>549</v>
      </c>
      <c r="AO525" s="391" t="s">
        <v>4683</v>
      </c>
    </row>
    <row r="526" spans="1:43" ht="16" thickBot="1">
      <c r="A526" s="387" t="s">
        <v>1717</v>
      </c>
      <c r="B526" s="387" t="s">
        <v>4688</v>
      </c>
      <c r="C526" s="387" t="s">
        <v>4689</v>
      </c>
      <c r="D526" s="387" t="s">
        <v>4690</v>
      </c>
      <c r="E526" s="387">
        <v>28</v>
      </c>
      <c r="F526" s="387" t="s">
        <v>559</v>
      </c>
      <c r="G526" s="387" t="s">
        <v>543</v>
      </c>
      <c r="H526" s="387" t="s">
        <v>559</v>
      </c>
      <c r="I526" s="387" t="s">
        <v>560</v>
      </c>
      <c r="J526" s="387" t="s">
        <v>4691</v>
      </c>
      <c r="K526" s="387" t="s">
        <v>4692</v>
      </c>
      <c r="L526" s="387" t="s">
        <v>535</v>
      </c>
      <c r="M526" s="387" t="s">
        <v>536</v>
      </c>
      <c r="N526" s="388">
        <v>4.1100000000000003</v>
      </c>
      <c r="O526" s="388">
        <v>14</v>
      </c>
      <c r="P526" s="387" t="s">
        <v>538</v>
      </c>
      <c r="Q526" s="387" t="s">
        <v>539</v>
      </c>
      <c r="R526" s="387" t="s">
        <v>4693</v>
      </c>
      <c r="S526" s="387" t="s">
        <v>171</v>
      </c>
      <c r="T526" s="387" t="s">
        <v>542</v>
      </c>
      <c r="U526" s="388">
        <v>77794182</v>
      </c>
      <c r="V526" s="387" t="s">
        <v>543</v>
      </c>
      <c r="W526" s="387" t="s">
        <v>543</v>
      </c>
      <c r="X526" s="387" t="s">
        <v>543</v>
      </c>
      <c r="Y526" s="387" t="s">
        <v>543</v>
      </c>
      <c r="Z526" s="387" t="s">
        <v>543</v>
      </c>
      <c r="AA526" s="388" t="s">
        <v>543</v>
      </c>
      <c r="AB526" s="388" t="s">
        <v>543</v>
      </c>
      <c r="AC526" s="387">
        <v>710437001</v>
      </c>
      <c r="AD526" s="389">
        <v>250</v>
      </c>
      <c r="AE526" s="390">
        <v>45047</v>
      </c>
      <c r="AF526" s="390">
        <v>46142</v>
      </c>
      <c r="AG526" s="391" t="s">
        <v>545</v>
      </c>
      <c r="AH526" s="391" t="s">
        <v>4694</v>
      </c>
      <c r="AI526" s="391" t="s">
        <v>547</v>
      </c>
      <c r="AJ526" s="391">
        <v>0</v>
      </c>
      <c r="AK526" s="390">
        <v>45047</v>
      </c>
      <c r="AL526" s="389">
        <v>100</v>
      </c>
      <c r="AM526" s="391" t="s">
        <v>548</v>
      </c>
      <c r="AN526" s="391" t="s">
        <v>549</v>
      </c>
      <c r="AO526" s="391" t="s">
        <v>4695</v>
      </c>
      <c r="AP526" s="372">
        <f>N526/E526</f>
        <v>0.1467857142857143</v>
      </c>
      <c r="AQ526" s="372">
        <f>AP526</f>
        <v>0.1467857142857143</v>
      </c>
    </row>
    <row r="527" spans="1:43" ht="16" thickBot="1">
      <c r="A527" s="387" t="s">
        <v>1717</v>
      </c>
      <c r="B527" s="387" t="s">
        <v>4696</v>
      </c>
      <c r="C527" s="387" t="s">
        <v>4697</v>
      </c>
      <c r="D527" s="387" t="s">
        <v>4698</v>
      </c>
      <c r="E527" s="387">
        <v>28</v>
      </c>
      <c r="F527" s="387" t="s">
        <v>559</v>
      </c>
      <c r="G527" s="387" t="s">
        <v>543</v>
      </c>
      <c r="H527" s="387" t="s">
        <v>559</v>
      </c>
      <c r="I527" s="387" t="s">
        <v>560</v>
      </c>
      <c r="J527" s="387" t="s">
        <v>4691</v>
      </c>
      <c r="K527" s="387" t="s">
        <v>4699</v>
      </c>
      <c r="L527" s="387" t="s">
        <v>1829</v>
      </c>
      <c r="M527" s="387" t="s">
        <v>1830</v>
      </c>
      <c r="N527" s="388">
        <v>3.9</v>
      </c>
      <c r="O527" s="388">
        <v>14</v>
      </c>
      <c r="P527" s="387" t="s">
        <v>538</v>
      </c>
      <c r="Q527" s="387" t="s">
        <v>539</v>
      </c>
      <c r="R527" s="387" t="s">
        <v>4693</v>
      </c>
      <c r="S527" s="387" t="s">
        <v>171</v>
      </c>
      <c r="T527" s="387" t="s">
        <v>542</v>
      </c>
      <c r="U527" s="388">
        <v>10265039</v>
      </c>
      <c r="V527" s="387">
        <v>6009694781862</v>
      </c>
      <c r="W527" s="387">
        <v>6009694781862</v>
      </c>
      <c r="X527" s="387" t="s">
        <v>543</v>
      </c>
      <c r="Y527" s="387">
        <v>16009694781869</v>
      </c>
      <c r="Z527" s="387" t="s">
        <v>543</v>
      </c>
      <c r="AA527" s="388" t="s">
        <v>543</v>
      </c>
      <c r="AB527" s="388" t="s">
        <v>543</v>
      </c>
      <c r="AC527" s="387" t="s">
        <v>543</v>
      </c>
      <c r="AD527" s="389">
        <v>10</v>
      </c>
      <c r="AE527" s="390">
        <v>45047</v>
      </c>
      <c r="AF527" s="390">
        <v>46142</v>
      </c>
      <c r="AG527" s="391" t="s">
        <v>545</v>
      </c>
      <c r="AH527" s="391" t="s">
        <v>4700</v>
      </c>
      <c r="AI527" s="391" t="s">
        <v>1833</v>
      </c>
      <c r="AJ527" s="391">
        <v>0</v>
      </c>
      <c r="AK527" s="390">
        <v>45047</v>
      </c>
      <c r="AL527" s="389">
        <v>35</v>
      </c>
      <c r="AM527" s="391" t="s">
        <v>548</v>
      </c>
      <c r="AN527" s="391" t="s">
        <v>549</v>
      </c>
      <c r="AO527" s="391" t="s">
        <v>4701</v>
      </c>
      <c r="AP527" s="372">
        <f t="shared" ref="AP527:AP529" si="19">N527/E527</f>
        <v>0.13928571428571429</v>
      </c>
      <c r="AQ527" s="372">
        <f>SUMPRODUCT(AP527:AP529,U527:U529)/SUM(U527:U529)</f>
        <v>0.14207142845452692</v>
      </c>
    </row>
    <row r="528" spans="1:43" ht="16" thickBot="1">
      <c r="A528" s="387" t="s">
        <v>1717</v>
      </c>
      <c r="B528" s="387" t="s">
        <v>4696</v>
      </c>
      <c r="C528" s="387" t="s">
        <v>4697</v>
      </c>
      <c r="D528" s="387" t="s">
        <v>4698</v>
      </c>
      <c r="E528" s="387">
        <v>28</v>
      </c>
      <c r="F528" s="387" t="s">
        <v>559</v>
      </c>
      <c r="G528" s="387" t="s">
        <v>543</v>
      </c>
      <c r="H528" s="387" t="s">
        <v>559</v>
      </c>
      <c r="I528" s="387" t="s">
        <v>560</v>
      </c>
      <c r="J528" s="387" t="s">
        <v>4691</v>
      </c>
      <c r="K528" s="387" t="s">
        <v>4702</v>
      </c>
      <c r="L528" s="387" t="s">
        <v>2062</v>
      </c>
      <c r="M528" s="387" t="s">
        <v>2063</v>
      </c>
      <c r="N528" s="388">
        <v>4.22</v>
      </c>
      <c r="O528" s="388">
        <v>14</v>
      </c>
      <c r="P528" s="387" t="s">
        <v>538</v>
      </c>
      <c r="Q528" s="387" t="s">
        <v>539</v>
      </c>
      <c r="R528" s="387" t="s">
        <v>4693</v>
      </c>
      <c r="S528" s="387" t="s">
        <v>171</v>
      </c>
      <c r="T528" s="387" t="s">
        <v>542</v>
      </c>
      <c r="U528" s="388">
        <v>4399302</v>
      </c>
      <c r="V528" s="387" t="s">
        <v>543</v>
      </c>
      <c r="W528" s="387" t="s">
        <v>543</v>
      </c>
      <c r="X528" s="387" t="s">
        <v>543</v>
      </c>
      <c r="Y528" s="387" t="s">
        <v>543</v>
      </c>
      <c r="Z528" s="387" t="s">
        <v>543</v>
      </c>
      <c r="AA528" s="388" t="s">
        <v>543</v>
      </c>
      <c r="AB528" s="388" t="s">
        <v>543</v>
      </c>
      <c r="AC528" s="387" t="s">
        <v>543</v>
      </c>
      <c r="AD528" s="389">
        <v>200</v>
      </c>
      <c r="AE528" s="390">
        <v>45047</v>
      </c>
      <c r="AF528" s="390">
        <v>46142</v>
      </c>
      <c r="AG528" s="391" t="s">
        <v>545</v>
      </c>
      <c r="AH528" s="391" t="s">
        <v>4700</v>
      </c>
      <c r="AI528" s="391" t="s">
        <v>2064</v>
      </c>
      <c r="AJ528" s="391">
        <v>0</v>
      </c>
      <c r="AK528" s="390">
        <v>45047</v>
      </c>
      <c r="AL528" s="389">
        <v>15</v>
      </c>
      <c r="AM528" s="391" t="s">
        <v>548</v>
      </c>
      <c r="AN528" s="391" t="s">
        <v>549</v>
      </c>
      <c r="AO528" s="391" t="s">
        <v>4701</v>
      </c>
      <c r="AP528" s="372">
        <f t="shared" si="19"/>
        <v>0.15071428571428572</v>
      </c>
    </row>
    <row r="529" spans="1:43" ht="16" thickBot="1">
      <c r="A529" s="387" t="s">
        <v>1717</v>
      </c>
      <c r="B529" s="387" t="s">
        <v>4696</v>
      </c>
      <c r="C529" s="387" t="s">
        <v>4697</v>
      </c>
      <c r="D529" s="387" t="s">
        <v>4698</v>
      </c>
      <c r="E529" s="387">
        <v>28</v>
      </c>
      <c r="F529" s="387" t="s">
        <v>559</v>
      </c>
      <c r="G529" s="387" t="s">
        <v>543</v>
      </c>
      <c r="H529" s="387" t="s">
        <v>559</v>
      </c>
      <c r="I529" s="387" t="s">
        <v>560</v>
      </c>
      <c r="J529" s="387" t="s">
        <v>4691</v>
      </c>
      <c r="K529" s="387" t="s">
        <v>4703</v>
      </c>
      <c r="L529" s="387" t="s">
        <v>535</v>
      </c>
      <c r="M529" s="387" t="s">
        <v>536</v>
      </c>
      <c r="N529" s="388">
        <v>3.96</v>
      </c>
      <c r="O529" s="388">
        <v>14</v>
      </c>
      <c r="P529" s="387" t="s">
        <v>538</v>
      </c>
      <c r="Q529" s="387" t="s">
        <v>539</v>
      </c>
      <c r="R529" s="387" t="s">
        <v>4693</v>
      </c>
      <c r="S529" s="387" t="s">
        <v>171</v>
      </c>
      <c r="T529" s="387" t="s">
        <v>542</v>
      </c>
      <c r="U529" s="388">
        <v>14664341</v>
      </c>
      <c r="V529" s="387" t="s">
        <v>543</v>
      </c>
      <c r="W529" s="387" t="s">
        <v>543</v>
      </c>
      <c r="X529" s="387" t="s">
        <v>543</v>
      </c>
      <c r="Y529" s="387" t="s">
        <v>543</v>
      </c>
      <c r="Z529" s="387" t="s">
        <v>543</v>
      </c>
      <c r="AA529" s="388" t="s">
        <v>543</v>
      </c>
      <c r="AB529" s="388" t="s">
        <v>543</v>
      </c>
      <c r="AC529" s="387" t="s">
        <v>543</v>
      </c>
      <c r="AD529" s="389">
        <v>250</v>
      </c>
      <c r="AE529" s="390">
        <v>45047</v>
      </c>
      <c r="AF529" s="390">
        <v>46142</v>
      </c>
      <c r="AG529" s="391" t="s">
        <v>545</v>
      </c>
      <c r="AH529" s="391" t="s">
        <v>4700</v>
      </c>
      <c r="AI529" s="391" t="s">
        <v>547</v>
      </c>
      <c r="AJ529" s="391">
        <v>0</v>
      </c>
      <c r="AK529" s="390">
        <v>45047</v>
      </c>
      <c r="AL529" s="389">
        <v>50</v>
      </c>
      <c r="AM529" s="391" t="s">
        <v>548</v>
      </c>
      <c r="AN529" s="391" t="s">
        <v>549</v>
      </c>
      <c r="AO529" s="391" t="s">
        <v>4701</v>
      </c>
      <c r="AP529" s="372">
        <f t="shared" si="19"/>
        <v>0.14142857142857143</v>
      </c>
    </row>
    <row r="530" spans="1:43" ht="16" thickBot="1">
      <c r="A530" s="387" t="s">
        <v>2177</v>
      </c>
      <c r="B530" s="387" t="s">
        <v>1013</v>
      </c>
      <c r="C530" s="387" t="s">
        <v>4704</v>
      </c>
      <c r="D530" s="387" t="s">
        <v>4705</v>
      </c>
      <c r="E530" s="387">
        <v>20</v>
      </c>
      <c r="F530" s="387" t="s">
        <v>2180</v>
      </c>
      <c r="G530" s="387">
        <v>20</v>
      </c>
      <c r="H530" s="387" t="s">
        <v>2180</v>
      </c>
      <c r="I530" s="387" t="s">
        <v>2181</v>
      </c>
      <c r="J530" s="387" t="s">
        <v>4706</v>
      </c>
      <c r="K530" s="387" t="s">
        <v>4707</v>
      </c>
      <c r="L530" s="387" t="s">
        <v>1855</v>
      </c>
      <c r="M530" s="387" t="s">
        <v>1856</v>
      </c>
      <c r="N530" s="388">
        <v>9.17</v>
      </c>
      <c r="O530" s="388">
        <v>14</v>
      </c>
      <c r="P530" s="387" t="s">
        <v>538</v>
      </c>
      <c r="Q530" s="387" t="s">
        <v>539</v>
      </c>
      <c r="R530" s="387" t="s">
        <v>4708</v>
      </c>
      <c r="S530" s="387" t="s">
        <v>171</v>
      </c>
      <c r="T530" s="387" t="s">
        <v>542</v>
      </c>
      <c r="U530" s="388">
        <v>5055053</v>
      </c>
      <c r="V530" s="387">
        <v>6001668008579</v>
      </c>
      <c r="W530" s="387" t="s">
        <v>543</v>
      </c>
      <c r="X530" s="387" t="s">
        <v>543</v>
      </c>
      <c r="Y530" s="387">
        <v>16001668008583</v>
      </c>
      <c r="Z530" s="387" t="s">
        <v>543</v>
      </c>
      <c r="AA530" s="388" t="s">
        <v>543</v>
      </c>
      <c r="AB530" s="388" t="s">
        <v>543</v>
      </c>
      <c r="AC530" s="387" t="s">
        <v>543</v>
      </c>
      <c r="AD530" s="389">
        <v>224</v>
      </c>
      <c r="AE530" s="390">
        <v>44013</v>
      </c>
      <c r="AF530" s="390">
        <v>45107</v>
      </c>
      <c r="AG530" s="390">
        <v>45107</v>
      </c>
      <c r="AH530" s="391" t="s">
        <v>4709</v>
      </c>
      <c r="AI530" s="391" t="s">
        <v>1859</v>
      </c>
      <c r="AJ530" s="391">
        <v>51</v>
      </c>
      <c r="AK530" s="390">
        <v>44958</v>
      </c>
      <c r="AL530" s="389">
        <v>100</v>
      </c>
      <c r="AM530" s="391" t="s">
        <v>548</v>
      </c>
      <c r="AN530" s="391" t="s">
        <v>545</v>
      </c>
      <c r="AO530" s="391" t="s">
        <v>4710</v>
      </c>
      <c r="AP530" s="372">
        <f>N530/E530</f>
        <v>0.45850000000000002</v>
      </c>
      <c r="AQ530" s="372">
        <f>AP530</f>
        <v>0.45850000000000002</v>
      </c>
    </row>
    <row r="531" spans="1:43" ht="16" thickBot="1">
      <c r="A531" s="387" t="s">
        <v>2177</v>
      </c>
      <c r="B531" s="387" t="s">
        <v>1026</v>
      </c>
      <c r="C531" s="387" t="s">
        <v>4711</v>
      </c>
      <c r="D531" s="387" t="s">
        <v>4712</v>
      </c>
      <c r="E531" s="387">
        <v>25</v>
      </c>
      <c r="F531" s="387" t="s">
        <v>2180</v>
      </c>
      <c r="G531" s="387">
        <v>25</v>
      </c>
      <c r="H531" s="387" t="s">
        <v>2180</v>
      </c>
      <c r="I531" s="387" t="s">
        <v>2720</v>
      </c>
      <c r="J531" s="387" t="s">
        <v>4706</v>
      </c>
      <c r="K531" s="387" t="s">
        <v>4713</v>
      </c>
      <c r="L531" s="387" t="s">
        <v>535</v>
      </c>
      <c r="M531" s="387" t="s">
        <v>536</v>
      </c>
      <c r="N531" s="388">
        <v>25.56</v>
      </c>
      <c r="O531" s="388">
        <v>14</v>
      </c>
      <c r="P531" s="387" t="s">
        <v>538</v>
      </c>
      <c r="Q531" s="387" t="s">
        <v>539</v>
      </c>
      <c r="R531" s="387" t="s">
        <v>4708</v>
      </c>
      <c r="S531" s="387" t="s">
        <v>171</v>
      </c>
      <c r="T531" s="387" t="s">
        <v>542</v>
      </c>
      <c r="U531" s="388">
        <v>2282417</v>
      </c>
      <c r="V531" s="387">
        <v>6008581000857</v>
      </c>
      <c r="W531" s="387">
        <v>6001390987333</v>
      </c>
      <c r="X531" s="387" t="s">
        <v>543</v>
      </c>
      <c r="Y531" s="387">
        <v>16001390987330</v>
      </c>
      <c r="Z531" s="387" t="s">
        <v>543</v>
      </c>
      <c r="AA531" s="388" t="s">
        <v>543</v>
      </c>
      <c r="AB531" s="388" t="s">
        <v>543</v>
      </c>
      <c r="AC531" s="387" t="s">
        <v>543</v>
      </c>
      <c r="AD531" s="389">
        <v>54</v>
      </c>
      <c r="AE531" s="390">
        <v>44013</v>
      </c>
      <c r="AF531" s="390">
        <v>45107</v>
      </c>
      <c r="AG531" s="390">
        <v>45107</v>
      </c>
      <c r="AH531" s="391" t="s">
        <v>4714</v>
      </c>
      <c r="AI531" s="391" t="s">
        <v>547</v>
      </c>
      <c r="AJ531" s="391">
        <v>57</v>
      </c>
      <c r="AK531" s="390">
        <v>45047</v>
      </c>
      <c r="AL531" s="389">
        <v>100</v>
      </c>
      <c r="AM531" s="391" t="s">
        <v>548</v>
      </c>
      <c r="AN531" s="391" t="s">
        <v>545</v>
      </c>
      <c r="AO531" s="391" t="s">
        <v>4715</v>
      </c>
    </row>
    <row r="532" spans="1:43" ht="16" thickBot="1">
      <c r="A532" s="387" t="s">
        <v>1748</v>
      </c>
      <c r="B532" s="387" t="s">
        <v>2820</v>
      </c>
      <c r="C532" s="387" t="s">
        <v>4716</v>
      </c>
      <c r="D532" s="387" t="s">
        <v>4717</v>
      </c>
      <c r="E532" s="387">
        <v>2</v>
      </c>
      <c r="F532" s="387" t="s">
        <v>531</v>
      </c>
      <c r="G532" s="387">
        <v>1</v>
      </c>
      <c r="H532" s="387" t="s">
        <v>1780</v>
      </c>
      <c r="I532" s="387" t="s">
        <v>1751</v>
      </c>
      <c r="J532" s="387" t="s">
        <v>4706</v>
      </c>
      <c r="K532" s="387" t="s">
        <v>4718</v>
      </c>
      <c r="L532" s="387" t="s">
        <v>1916</v>
      </c>
      <c r="M532" s="387" t="s">
        <v>1917</v>
      </c>
      <c r="N532" s="388">
        <v>39.340000000000003</v>
      </c>
      <c r="O532" s="388">
        <v>14</v>
      </c>
      <c r="P532" s="387" t="s">
        <v>538</v>
      </c>
      <c r="Q532" s="387" t="s">
        <v>539</v>
      </c>
      <c r="R532" s="387" t="s">
        <v>4719</v>
      </c>
      <c r="S532" s="387" t="s">
        <v>171</v>
      </c>
      <c r="T532" s="387" t="s">
        <v>542</v>
      </c>
      <c r="U532" s="388">
        <v>416674</v>
      </c>
      <c r="V532" s="387" t="s">
        <v>543</v>
      </c>
      <c r="W532" s="387" t="s">
        <v>543</v>
      </c>
      <c r="X532" s="387" t="s">
        <v>543</v>
      </c>
      <c r="Y532" s="387" t="s">
        <v>543</v>
      </c>
      <c r="Z532" s="387" t="s">
        <v>543</v>
      </c>
      <c r="AA532" s="388" t="s">
        <v>543</v>
      </c>
      <c r="AB532" s="388" t="s">
        <v>543</v>
      </c>
      <c r="AC532" s="387" t="s">
        <v>543</v>
      </c>
      <c r="AD532" s="389">
        <v>5</v>
      </c>
      <c r="AE532" s="390">
        <v>44317</v>
      </c>
      <c r="AF532" s="390">
        <v>45412</v>
      </c>
      <c r="AG532" s="391" t="s">
        <v>545</v>
      </c>
      <c r="AH532" s="391" t="s">
        <v>4720</v>
      </c>
      <c r="AI532" s="391" t="s">
        <v>1920</v>
      </c>
      <c r="AJ532" s="391">
        <v>0</v>
      </c>
      <c r="AK532" s="390">
        <v>44317</v>
      </c>
      <c r="AL532" s="389">
        <v>10</v>
      </c>
      <c r="AM532" s="391" t="s">
        <v>548</v>
      </c>
      <c r="AN532" s="391" t="s">
        <v>549</v>
      </c>
      <c r="AO532" s="391" t="s">
        <v>4721</v>
      </c>
    </row>
    <row r="533" spans="1:43" ht="16" thickBot="1">
      <c r="A533" s="387" t="s">
        <v>1748</v>
      </c>
      <c r="B533" s="387" t="s">
        <v>2820</v>
      </c>
      <c r="C533" s="387" t="s">
        <v>4716</v>
      </c>
      <c r="D533" s="387" t="s">
        <v>4717</v>
      </c>
      <c r="E533" s="387">
        <v>2</v>
      </c>
      <c r="F533" s="387" t="s">
        <v>531</v>
      </c>
      <c r="G533" s="387">
        <v>1</v>
      </c>
      <c r="H533" s="387" t="s">
        <v>1780</v>
      </c>
      <c r="I533" s="387" t="s">
        <v>1751</v>
      </c>
      <c r="J533" s="387" t="s">
        <v>4706</v>
      </c>
      <c r="K533" s="387" t="s">
        <v>4722</v>
      </c>
      <c r="L533" s="387" t="s">
        <v>2200</v>
      </c>
      <c r="M533" s="387" t="s">
        <v>2201</v>
      </c>
      <c r="N533" s="388">
        <v>17.579999999999998</v>
      </c>
      <c r="O533" s="388">
        <v>14</v>
      </c>
      <c r="P533" s="387" t="s">
        <v>538</v>
      </c>
      <c r="Q533" s="387" t="s">
        <v>539</v>
      </c>
      <c r="R533" s="387" t="s">
        <v>4719</v>
      </c>
      <c r="S533" s="387" t="s">
        <v>171</v>
      </c>
      <c r="T533" s="387" t="s">
        <v>542</v>
      </c>
      <c r="U533" s="388">
        <v>3750066</v>
      </c>
      <c r="V533" s="387">
        <v>6004405004995</v>
      </c>
      <c r="W533" s="387" t="s">
        <v>543</v>
      </c>
      <c r="X533" s="387" t="s">
        <v>543</v>
      </c>
      <c r="Y533" s="387" t="s">
        <v>543</v>
      </c>
      <c r="Z533" s="387" t="s">
        <v>543</v>
      </c>
      <c r="AA533" s="388" t="s">
        <v>543</v>
      </c>
      <c r="AB533" s="388" t="s">
        <v>543</v>
      </c>
      <c r="AC533" s="387" t="s">
        <v>543</v>
      </c>
      <c r="AD533" s="389">
        <v>100</v>
      </c>
      <c r="AE533" s="390">
        <v>44317</v>
      </c>
      <c r="AF533" s="390">
        <v>45412</v>
      </c>
      <c r="AG533" s="390">
        <v>45412</v>
      </c>
      <c r="AH533" s="391" t="s">
        <v>4720</v>
      </c>
      <c r="AI533" s="391" t="s">
        <v>2203</v>
      </c>
      <c r="AJ533" s="391">
        <v>12</v>
      </c>
      <c r="AK533" s="390">
        <v>44900</v>
      </c>
      <c r="AL533" s="389">
        <v>90</v>
      </c>
      <c r="AM533" s="391" t="s">
        <v>548</v>
      </c>
      <c r="AN533" s="391" t="s">
        <v>549</v>
      </c>
      <c r="AO533" s="391" t="s">
        <v>4721</v>
      </c>
    </row>
    <row r="534" spans="1:43" ht="16" thickBot="1">
      <c r="A534" s="387" t="s">
        <v>1717</v>
      </c>
      <c r="B534" s="387" t="s">
        <v>4723</v>
      </c>
      <c r="C534" s="387" t="s">
        <v>4724</v>
      </c>
      <c r="D534" s="387" t="s">
        <v>4725</v>
      </c>
      <c r="E534" s="387">
        <v>100</v>
      </c>
      <c r="F534" s="387" t="s">
        <v>559</v>
      </c>
      <c r="G534" s="387">
        <v>100</v>
      </c>
      <c r="H534" s="387" t="s">
        <v>559</v>
      </c>
      <c r="I534" s="387" t="s">
        <v>560</v>
      </c>
      <c r="J534" s="387" t="s">
        <v>4706</v>
      </c>
      <c r="K534" s="387" t="s">
        <v>4726</v>
      </c>
      <c r="L534" s="387" t="s">
        <v>654</v>
      </c>
      <c r="M534" s="387" t="s">
        <v>655</v>
      </c>
      <c r="N534" s="388">
        <v>166.51</v>
      </c>
      <c r="O534" s="388">
        <v>14</v>
      </c>
      <c r="P534" s="387" t="s">
        <v>538</v>
      </c>
      <c r="Q534" s="387" t="s">
        <v>539</v>
      </c>
      <c r="R534" s="387" t="s">
        <v>4719</v>
      </c>
      <c r="S534" s="387" t="s">
        <v>171</v>
      </c>
      <c r="T534" s="387" t="s">
        <v>757</v>
      </c>
      <c r="U534" s="388">
        <v>22322</v>
      </c>
      <c r="V534" s="387">
        <v>6006264100573</v>
      </c>
      <c r="W534" s="387">
        <v>6006264100573</v>
      </c>
      <c r="X534" s="387" t="s">
        <v>543</v>
      </c>
      <c r="Y534" s="387">
        <v>16006264100570</v>
      </c>
      <c r="Z534" s="387" t="s">
        <v>543</v>
      </c>
      <c r="AA534" s="388" t="s">
        <v>543</v>
      </c>
      <c r="AB534" s="388" t="s">
        <v>543</v>
      </c>
      <c r="AC534" s="387">
        <v>716693003</v>
      </c>
      <c r="AD534" s="389">
        <v>50</v>
      </c>
      <c r="AE534" s="390">
        <v>45047</v>
      </c>
      <c r="AF534" s="390">
        <v>46142</v>
      </c>
      <c r="AG534" s="391" t="s">
        <v>545</v>
      </c>
      <c r="AH534" s="391" t="s">
        <v>4727</v>
      </c>
      <c r="AI534" s="391" t="s">
        <v>658</v>
      </c>
      <c r="AJ534" s="391">
        <v>0</v>
      </c>
      <c r="AK534" s="390">
        <v>45047</v>
      </c>
      <c r="AL534" s="389">
        <v>100</v>
      </c>
      <c r="AM534" s="391" t="s">
        <v>548</v>
      </c>
      <c r="AN534" s="391" t="s">
        <v>549</v>
      </c>
      <c r="AO534" s="391" t="s">
        <v>4728</v>
      </c>
    </row>
    <row r="535" spans="1:43" ht="16" thickBot="1">
      <c r="A535" s="387" t="s">
        <v>1729</v>
      </c>
      <c r="B535" s="387" t="s">
        <v>2252</v>
      </c>
      <c r="C535" s="387" t="s">
        <v>4729</v>
      </c>
      <c r="D535" s="387" t="s">
        <v>4730</v>
      </c>
      <c r="E535" s="387">
        <v>500</v>
      </c>
      <c r="F535" s="387" t="s">
        <v>531</v>
      </c>
      <c r="G535" s="387">
        <v>500</v>
      </c>
      <c r="H535" s="387" t="s">
        <v>531</v>
      </c>
      <c r="I535" s="387" t="s">
        <v>532</v>
      </c>
      <c r="J535" s="387" t="s">
        <v>4731</v>
      </c>
      <c r="K535" s="387" t="s">
        <v>4732</v>
      </c>
      <c r="L535" s="387" t="s">
        <v>1735</v>
      </c>
      <c r="M535" s="387" t="s">
        <v>1736</v>
      </c>
      <c r="N535" s="388">
        <v>8.5</v>
      </c>
      <c r="O535" s="388">
        <v>14</v>
      </c>
      <c r="P535" s="387" t="s">
        <v>379</v>
      </c>
      <c r="Q535" s="387" t="s">
        <v>160</v>
      </c>
      <c r="R535" s="387" t="s">
        <v>4733</v>
      </c>
      <c r="S535" s="387" t="s">
        <v>160</v>
      </c>
      <c r="T535" s="387" t="s">
        <v>160</v>
      </c>
      <c r="U535" s="388">
        <v>53580</v>
      </c>
      <c r="V535" s="387" t="s">
        <v>543</v>
      </c>
      <c r="W535" s="387" t="s">
        <v>543</v>
      </c>
      <c r="X535" s="387" t="s">
        <v>543</v>
      </c>
      <c r="Y535" s="387" t="s">
        <v>543</v>
      </c>
      <c r="Z535" s="387" t="s">
        <v>543</v>
      </c>
      <c r="AA535" s="388" t="s">
        <v>543</v>
      </c>
      <c r="AB535" s="388" t="s">
        <v>543</v>
      </c>
      <c r="AC535" s="387" t="s">
        <v>543</v>
      </c>
      <c r="AD535" s="389">
        <v>20</v>
      </c>
      <c r="AE535" s="390">
        <v>44105</v>
      </c>
      <c r="AF535" s="390">
        <v>45199</v>
      </c>
      <c r="AG535" s="390">
        <v>45199</v>
      </c>
      <c r="AH535" s="391" t="s">
        <v>4734</v>
      </c>
      <c r="AI535" s="391" t="s">
        <v>1739</v>
      </c>
      <c r="AJ535" s="391">
        <v>0</v>
      </c>
      <c r="AK535" s="390">
        <v>44105</v>
      </c>
      <c r="AL535" s="389">
        <v>100</v>
      </c>
      <c r="AM535" s="391" t="s">
        <v>548</v>
      </c>
      <c r="AN535" s="391" t="s">
        <v>545</v>
      </c>
      <c r="AO535" s="391" t="s">
        <v>4735</v>
      </c>
    </row>
    <row r="536" spans="1:43" ht="16" thickBot="1">
      <c r="A536" s="387" t="s">
        <v>2294</v>
      </c>
      <c r="B536" s="387" t="s">
        <v>989</v>
      </c>
      <c r="C536" s="387" t="s">
        <v>4736</v>
      </c>
      <c r="D536" s="387" t="s">
        <v>4737</v>
      </c>
      <c r="E536" s="387">
        <v>20</v>
      </c>
      <c r="F536" s="387" t="s">
        <v>531</v>
      </c>
      <c r="G536" s="387">
        <v>400</v>
      </c>
      <c r="H536" s="387" t="s">
        <v>2297</v>
      </c>
      <c r="I536" s="387" t="s">
        <v>2298</v>
      </c>
      <c r="J536" s="387" t="s">
        <v>4738</v>
      </c>
      <c r="K536" s="387" t="s">
        <v>4739</v>
      </c>
      <c r="L536" s="387" t="s">
        <v>654</v>
      </c>
      <c r="M536" s="387" t="s">
        <v>655</v>
      </c>
      <c r="N536" s="388">
        <v>21.25</v>
      </c>
      <c r="O536" s="388">
        <v>14</v>
      </c>
      <c r="P536" s="387" t="s">
        <v>538</v>
      </c>
      <c r="Q536" s="387" t="s">
        <v>539</v>
      </c>
      <c r="R536" s="387" t="s">
        <v>4740</v>
      </c>
      <c r="S536" s="387" t="s">
        <v>171</v>
      </c>
      <c r="T536" s="387" t="s">
        <v>757</v>
      </c>
      <c r="U536" s="388">
        <v>748780</v>
      </c>
      <c r="V536" s="387">
        <v>6006409001086</v>
      </c>
      <c r="W536" s="387" t="s">
        <v>543</v>
      </c>
      <c r="X536" s="387" t="s">
        <v>543</v>
      </c>
      <c r="Y536" s="387">
        <v>16006409001083</v>
      </c>
      <c r="Z536" s="387" t="s">
        <v>543</v>
      </c>
      <c r="AA536" s="388" t="s">
        <v>543</v>
      </c>
      <c r="AB536" s="388" t="s">
        <v>543</v>
      </c>
      <c r="AC536" s="387">
        <v>765740011</v>
      </c>
      <c r="AD536" s="389">
        <v>210</v>
      </c>
      <c r="AE536" s="390">
        <v>44013</v>
      </c>
      <c r="AF536" s="390">
        <v>45107</v>
      </c>
      <c r="AG536" s="390">
        <v>45107</v>
      </c>
      <c r="AH536" s="391" t="s">
        <v>4741</v>
      </c>
      <c r="AI536" s="391" t="s">
        <v>658</v>
      </c>
      <c r="AJ536" s="391">
        <v>67</v>
      </c>
      <c r="AK536" s="390">
        <v>45047</v>
      </c>
      <c r="AL536" s="389">
        <v>100</v>
      </c>
      <c r="AM536" s="391" t="s">
        <v>548</v>
      </c>
      <c r="AN536" s="391" t="s">
        <v>545</v>
      </c>
      <c r="AO536" s="391" t="s">
        <v>4742</v>
      </c>
    </row>
    <row r="537" spans="1:43" ht="16" thickBot="1">
      <c r="A537" s="387" t="s">
        <v>2583</v>
      </c>
      <c r="B537" s="387" t="s">
        <v>4343</v>
      </c>
      <c r="C537" s="387" t="s">
        <v>4743</v>
      </c>
      <c r="D537" s="387" t="s">
        <v>4744</v>
      </c>
      <c r="E537" s="387">
        <v>100</v>
      </c>
      <c r="F537" s="387" t="s">
        <v>584</v>
      </c>
      <c r="G537" s="387">
        <v>100</v>
      </c>
      <c r="H537" s="387" t="s">
        <v>584</v>
      </c>
      <c r="I537" s="387" t="s">
        <v>585</v>
      </c>
      <c r="J537" s="387" t="s">
        <v>4745</v>
      </c>
      <c r="K537" s="387" t="s">
        <v>4746</v>
      </c>
      <c r="L537" s="387" t="s">
        <v>1711</v>
      </c>
      <c r="M537" s="387" t="s">
        <v>1712</v>
      </c>
      <c r="N537" s="388">
        <v>300.77999999999997</v>
      </c>
      <c r="O537" s="388">
        <v>14</v>
      </c>
      <c r="P537" s="387" t="s">
        <v>538</v>
      </c>
      <c r="Q537" s="387" t="s">
        <v>539</v>
      </c>
      <c r="R537" s="387" t="s">
        <v>4747</v>
      </c>
      <c r="S537" s="387" t="s">
        <v>160</v>
      </c>
      <c r="T537" s="387" t="s">
        <v>160</v>
      </c>
      <c r="U537" s="388">
        <v>12004</v>
      </c>
      <c r="V537" s="387">
        <v>6009601191463</v>
      </c>
      <c r="W537" s="387" t="s">
        <v>543</v>
      </c>
      <c r="X537" s="387" t="s">
        <v>543</v>
      </c>
      <c r="Y537" s="387" t="s">
        <v>543</v>
      </c>
      <c r="Z537" s="387" t="s">
        <v>543</v>
      </c>
      <c r="AA537" s="388" t="s">
        <v>543</v>
      </c>
      <c r="AB537" s="388" t="s">
        <v>543</v>
      </c>
      <c r="AC537" s="387" t="s">
        <v>4748</v>
      </c>
      <c r="AD537" s="389">
        <v>10</v>
      </c>
      <c r="AE537" s="390">
        <v>44949</v>
      </c>
      <c r="AF537" s="390">
        <v>45473</v>
      </c>
      <c r="AG537" s="391" t="s">
        <v>545</v>
      </c>
      <c r="AH537" s="391" t="s">
        <v>4749</v>
      </c>
      <c r="AI537" s="391" t="s">
        <v>1715</v>
      </c>
      <c r="AJ537" s="391">
        <v>0</v>
      </c>
      <c r="AK537" s="390">
        <v>44949</v>
      </c>
      <c r="AL537" s="389">
        <v>100</v>
      </c>
      <c r="AM537" s="391" t="s">
        <v>548</v>
      </c>
      <c r="AN537" s="391" t="s">
        <v>549</v>
      </c>
      <c r="AO537" s="391" t="s">
        <v>4750</v>
      </c>
    </row>
    <row r="538" spans="1:43" ht="16" thickBot="1">
      <c r="A538" s="387" t="s">
        <v>1717</v>
      </c>
      <c r="B538" s="387" t="s">
        <v>4751</v>
      </c>
      <c r="C538" s="387" t="s">
        <v>4752</v>
      </c>
      <c r="D538" s="387" t="s">
        <v>4753</v>
      </c>
      <c r="E538" s="387">
        <v>10</v>
      </c>
      <c r="F538" s="387" t="s">
        <v>559</v>
      </c>
      <c r="G538" s="387">
        <v>10</v>
      </c>
      <c r="H538" s="387" t="s">
        <v>559</v>
      </c>
      <c r="I538" s="387" t="s">
        <v>560</v>
      </c>
      <c r="J538" s="387" t="s">
        <v>4754</v>
      </c>
      <c r="K538" s="387" t="s">
        <v>4755</v>
      </c>
      <c r="L538" s="387" t="s">
        <v>535</v>
      </c>
      <c r="M538" s="387" t="s">
        <v>536</v>
      </c>
      <c r="N538" s="388">
        <v>24.89</v>
      </c>
      <c r="O538" s="388">
        <v>14</v>
      </c>
      <c r="P538" s="387" t="s">
        <v>538</v>
      </c>
      <c r="Q538" s="387" t="s">
        <v>539</v>
      </c>
      <c r="R538" s="387" t="s">
        <v>4756</v>
      </c>
      <c r="S538" s="387" t="s">
        <v>171</v>
      </c>
      <c r="T538" s="387" t="s">
        <v>542</v>
      </c>
      <c r="U538" s="388">
        <v>4012167</v>
      </c>
      <c r="V538" s="387" t="s">
        <v>543</v>
      </c>
      <c r="W538" s="387" t="s">
        <v>543</v>
      </c>
      <c r="X538" s="387" t="s">
        <v>543</v>
      </c>
      <c r="Y538" s="387" t="s">
        <v>543</v>
      </c>
      <c r="Z538" s="387" t="s">
        <v>543</v>
      </c>
      <c r="AA538" s="388" t="s">
        <v>543</v>
      </c>
      <c r="AB538" s="388" t="s">
        <v>543</v>
      </c>
      <c r="AC538" s="387">
        <v>731951026</v>
      </c>
      <c r="AD538" s="389">
        <v>40</v>
      </c>
      <c r="AE538" s="390">
        <v>45047</v>
      </c>
      <c r="AF538" s="390">
        <v>46142</v>
      </c>
      <c r="AG538" s="391" t="s">
        <v>545</v>
      </c>
      <c r="AH538" s="391" t="s">
        <v>4757</v>
      </c>
      <c r="AI538" s="391" t="s">
        <v>547</v>
      </c>
      <c r="AJ538" s="391">
        <v>0</v>
      </c>
      <c r="AK538" s="390">
        <v>45047</v>
      </c>
      <c r="AL538" s="389">
        <v>60</v>
      </c>
      <c r="AM538" s="391" t="s">
        <v>548</v>
      </c>
      <c r="AN538" s="391" t="s">
        <v>549</v>
      </c>
      <c r="AO538" s="391" t="s">
        <v>4758</v>
      </c>
    </row>
    <row r="539" spans="1:43" ht="16" thickBot="1">
      <c r="A539" s="387" t="s">
        <v>1717</v>
      </c>
      <c r="B539" s="387" t="s">
        <v>4751</v>
      </c>
      <c r="C539" s="387" t="s">
        <v>4752</v>
      </c>
      <c r="D539" s="387" t="s">
        <v>4753</v>
      </c>
      <c r="E539" s="387">
        <v>10</v>
      </c>
      <c r="F539" s="387" t="s">
        <v>559</v>
      </c>
      <c r="G539" s="387">
        <v>10</v>
      </c>
      <c r="H539" s="387" t="s">
        <v>559</v>
      </c>
      <c r="I539" s="387" t="s">
        <v>560</v>
      </c>
      <c r="J539" s="387" t="s">
        <v>4754</v>
      </c>
      <c r="K539" s="387" t="s">
        <v>4759</v>
      </c>
      <c r="L539" s="387" t="s">
        <v>654</v>
      </c>
      <c r="M539" s="387" t="s">
        <v>655</v>
      </c>
      <c r="N539" s="388">
        <v>26.78</v>
      </c>
      <c r="O539" s="388">
        <v>14</v>
      </c>
      <c r="P539" s="387" t="s">
        <v>538</v>
      </c>
      <c r="Q539" s="387" t="s">
        <v>539</v>
      </c>
      <c r="R539" s="387" t="s">
        <v>4756</v>
      </c>
      <c r="S539" s="387" t="s">
        <v>171</v>
      </c>
      <c r="T539" s="387" t="s">
        <v>542</v>
      </c>
      <c r="U539" s="388">
        <v>2674778</v>
      </c>
      <c r="V539" s="387">
        <v>6006408000516</v>
      </c>
      <c r="W539" s="387">
        <v>6006408000516</v>
      </c>
      <c r="X539" s="387" t="s">
        <v>543</v>
      </c>
      <c r="Y539" s="387">
        <v>16006408000513</v>
      </c>
      <c r="Z539" s="387" t="s">
        <v>543</v>
      </c>
      <c r="AA539" s="388" t="s">
        <v>543</v>
      </c>
      <c r="AB539" s="388" t="s">
        <v>543</v>
      </c>
      <c r="AC539" s="387">
        <v>762725001</v>
      </c>
      <c r="AD539" s="389">
        <v>50</v>
      </c>
      <c r="AE539" s="390">
        <v>45047</v>
      </c>
      <c r="AF539" s="390">
        <v>46142</v>
      </c>
      <c r="AG539" s="391" t="s">
        <v>545</v>
      </c>
      <c r="AH539" s="391" t="s">
        <v>4757</v>
      </c>
      <c r="AI539" s="391" t="s">
        <v>658</v>
      </c>
      <c r="AJ539" s="391">
        <v>0</v>
      </c>
      <c r="AK539" s="390">
        <v>45047</v>
      </c>
      <c r="AL539" s="389">
        <v>40</v>
      </c>
      <c r="AM539" s="391" t="s">
        <v>548</v>
      </c>
      <c r="AN539" s="391" t="s">
        <v>549</v>
      </c>
      <c r="AO539" s="391" t="s">
        <v>4758</v>
      </c>
    </row>
    <row r="540" spans="1:43" ht="16" thickBot="1">
      <c r="A540" s="387" t="s">
        <v>1748</v>
      </c>
      <c r="B540" s="387" t="s">
        <v>2825</v>
      </c>
      <c r="C540" s="387" t="s">
        <v>4760</v>
      </c>
      <c r="D540" s="387" t="s">
        <v>4761</v>
      </c>
      <c r="E540" s="387">
        <v>1</v>
      </c>
      <c r="F540" s="387" t="s">
        <v>531</v>
      </c>
      <c r="G540" s="387">
        <v>1</v>
      </c>
      <c r="H540" s="387" t="s">
        <v>531</v>
      </c>
      <c r="I540" s="387" t="s">
        <v>1751</v>
      </c>
      <c r="J540" s="387" t="s">
        <v>4754</v>
      </c>
      <c r="K540" s="387" t="s">
        <v>4762</v>
      </c>
      <c r="L540" s="387" t="s">
        <v>2312</v>
      </c>
      <c r="M540" s="387" t="s">
        <v>2313</v>
      </c>
      <c r="N540" s="388">
        <v>5.3</v>
      </c>
      <c r="O540" s="388">
        <v>14</v>
      </c>
      <c r="P540" s="387" t="s">
        <v>538</v>
      </c>
      <c r="Q540" s="387" t="s">
        <v>539</v>
      </c>
      <c r="R540" s="387" t="s">
        <v>4756</v>
      </c>
      <c r="S540" s="387" t="s">
        <v>171</v>
      </c>
      <c r="T540" s="387" t="s">
        <v>757</v>
      </c>
      <c r="U540" s="388">
        <v>2338110</v>
      </c>
      <c r="V540" s="387">
        <v>6009802416327</v>
      </c>
      <c r="W540" s="387">
        <v>6009802416327</v>
      </c>
      <c r="X540" s="387" t="s">
        <v>543</v>
      </c>
      <c r="Y540" s="387">
        <v>16009802416324</v>
      </c>
      <c r="Z540" s="387" t="s">
        <v>543</v>
      </c>
      <c r="AA540" s="388" t="s">
        <v>543</v>
      </c>
      <c r="AB540" s="388" t="s">
        <v>543</v>
      </c>
      <c r="AC540" s="387">
        <v>701514001</v>
      </c>
      <c r="AD540" s="389">
        <v>300</v>
      </c>
      <c r="AE540" s="390">
        <v>44317</v>
      </c>
      <c r="AF540" s="390">
        <v>45412</v>
      </c>
      <c r="AG540" s="391" t="s">
        <v>545</v>
      </c>
      <c r="AH540" s="391" t="s">
        <v>4763</v>
      </c>
      <c r="AI540" s="391" t="s">
        <v>2314</v>
      </c>
      <c r="AJ540" s="391">
        <v>0</v>
      </c>
      <c r="AK540" s="390">
        <v>44317</v>
      </c>
      <c r="AL540" s="389">
        <v>100</v>
      </c>
      <c r="AM540" s="391" t="s">
        <v>548</v>
      </c>
      <c r="AN540" s="391" t="s">
        <v>549</v>
      </c>
      <c r="AO540" s="391" t="s">
        <v>4764</v>
      </c>
    </row>
    <row r="541" spans="1:43" ht="16" thickBot="1">
      <c r="A541" s="387" t="s">
        <v>1729</v>
      </c>
      <c r="B541" s="387" t="s">
        <v>1024</v>
      </c>
      <c r="C541" s="387" t="s">
        <v>4765</v>
      </c>
      <c r="D541" s="387" t="s">
        <v>4766</v>
      </c>
      <c r="E541" s="387">
        <v>100</v>
      </c>
      <c r="F541" s="387" t="s">
        <v>531</v>
      </c>
      <c r="G541" s="387" t="s">
        <v>543</v>
      </c>
      <c r="H541" s="387" t="s">
        <v>531</v>
      </c>
      <c r="I541" s="387" t="s">
        <v>848</v>
      </c>
      <c r="J541" s="387" t="s">
        <v>4754</v>
      </c>
      <c r="K541" s="387" t="s">
        <v>4767</v>
      </c>
      <c r="L541" s="387" t="s">
        <v>535</v>
      </c>
      <c r="M541" s="387" t="s">
        <v>536</v>
      </c>
      <c r="N541" s="388">
        <v>20.91</v>
      </c>
      <c r="O541" s="388">
        <v>14</v>
      </c>
      <c r="P541" s="387" t="s">
        <v>538</v>
      </c>
      <c r="Q541" s="387" t="s">
        <v>539</v>
      </c>
      <c r="R541" s="387" t="s">
        <v>4756</v>
      </c>
      <c r="S541" s="387" t="s">
        <v>171</v>
      </c>
      <c r="T541" s="387" t="s">
        <v>542</v>
      </c>
      <c r="U541" s="388">
        <v>128188</v>
      </c>
      <c r="V541" s="387">
        <v>6001390112971</v>
      </c>
      <c r="W541" s="387">
        <v>6006891008181</v>
      </c>
      <c r="X541" s="387" t="s">
        <v>543</v>
      </c>
      <c r="Y541" s="387">
        <v>16006891008362</v>
      </c>
      <c r="Z541" s="387" t="s">
        <v>543</v>
      </c>
      <c r="AA541" s="388" t="s">
        <v>543</v>
      </c>
      <c r="AB541" s="388" t="s">
        <v>543</v>
      </c>
      <c r="AC541" s="387">
        <v>707213001</v>
      </c>
      <c r="AD541" s="389">
        <v>12</v>
      </c>
      <c r="AE541" s="390">
        <v>44105</v>
      </c>
      <c r="AF541" s="390">
        <v>45199</v>
      </c>
      <c r="AG541" s="390">
        <v>45199</v>
      </c>
      <c r="AH541" s="391" t="s">
        <v>4768</v>
      </c>
      <c r="AI541" s="391" t="s">
        <v>547</v>
      </c>
      <c r="AJ541" s="391">
        <v>20</v>
      </c>
      <c r="AK541" s="390">
        <v>45047</v>
      </c>
      <c r="AL541" s="389">
        <v>100</v>
      </c>
      <c r="AM541" s="391" t="s">
        <v>548</v>
      </c>
      <c r="AN541" s="391" t="s">
        <v>545</v>
      </c>
      <c r="AO541" s="391" t="s">
        <v>4769</v>
      </c>
    </row>
    <row r="542" spans="1:43" ht="16" thickBot="1">
      <c r="A542" s="387" t="s">
        <v>2166</v>
      </c>
      <c r="B542" s="387" t="s">
        <v>2776</v>
      </c>
      <c r="C542" s="387" t="s">
        <v>4770</v>
      </c>
      <c r="D542" s="387" t="s">
        <v>4771</v>
      </c>
      <c r="E542" s="387">
        <v>6</v>
      </c>
      <c r="F542" s="387" t="s">
        <v>531</v>
      </c>
      <c r="G542" s="387">
        <v>6</v>
      </c>
      <c r="H542" s="387" t="s">
        <v>531</v>
      </c>
      <c r="I542" s="387" t="s">
        <v>1751</v>
      </c>
      <c r="J542" s="387" t="s">
        <v>4772</v>
      </c>
      <c r="K542" s="387" t="s">
        <v>4773</v>
      </c>
      <c r="L542" s="387" t="s">
        <v>2595</v>
      </c>
      <c r="M542" s="387" t="s">
        <v>2596</v>
      </c>
      <c r="N542" s="388">
        <v>126.5</v>
      </c>
      <c r="O542" s="388">
        <v>14</v>
      </c>
      <c r="P542" s="387" t="s">
        <v>538</v>
      </c>
      <c r="Q542" s="387" t="s">
        <v>539</v>
      </c>
      <c r="R542" s="387" t="s">
        <v>4774</v>
      </c>
      <c r="S542" s="387" t="s">
        <v>541</v>
      </c>
      <c r="T542" s="387" t="s">
        <v>1908</v>
      </c>
      <c r="U542" s="388">
        <v>18417</v>
      </c>
      <c r="V542" s="387" t="s">
        <v>543</v>
      </c>
      <c r="W542" s="387" t="s">
        <v>543</v>
      </c>
      <c r="X542" s="387" t="s">
        <v>543</v>
      </c>
      <c r="Y542" s="387" t="s">
        <v>543</v>
      </c>
      <c r="Z542" s="387" t="s">
        <v>543</v>
      </c>
      <c r="AA542" s="388" t="s">
        <v>543</v>
      </c>
      <c r="AB542" s="388" t="s">
        <v>543</v>
      </c>
      <c r="AC542" s="387">
        <v>3000788001</v>
      </c>
      <c r="AD542" s="389" t="s">
        <v>4775</v>
      </c>
      <c r="AE542" s="390">
        <v>44743</v>
      </c>
      <c r="AF542" s="390">
        <v>45473</v>
      </c>
      <c r="AG542" s="391" t="s">
        <v>545</v>
      </c>
      <c r="AH542" s="391" t="s">
        <v>4776</v>
      </c>
      <c r="AI542" s="391" t="s">
        <v>2599</v>
      </c>
      <c r="AJ542" s="391">
        <v>0</v>
      </c>
      <c r="AK542" s="390">
        <v>44743</v>
      </c>
      <c r="AL542" s="389">
        <v>100</v>
      </c>
      <c r="AM542" s="391" t="s">
        <v>548</v>
      </c>
      <c r="AN542" s="391" t="s">
        <v>549</v>
      </c>
      <c r="AO542" s="391" t="s">
        <v>4777</v>
      </c>
    </row>
    <row r="543" spans="1:43" ht="16" thickBot="1">
      <c r="A543" s="387" t="s">
        <v>1729</v>
      </c>
      <c r="B543" s="387" t="s">
        <v>1009</v>
      </c>
      <c r="C543" s="387" t="s">
        <v>4778</v>
      </c>
      <c r="D543" s="387" t="s">
        <v>4779</v>
      </c>
      <c r="E543" s="387">
        <v>100</v>
      </c>
      <c r="F543" s="387" t="s">
        <v>531</v>
      </c>
      <c r="G543" s="387">
        <v>100</v>
      </c>
      <c r="H543" s="387" t="s">
        <v>531</v>
      </c>
      <c r="I543" s="387" t="s">
        <v>744</v>
      </c>
      <c r="J543" s="387" t="s">
        <v>4780</v>
      </c>
      <c r="K543" s="387" t="s">
        <v>4781</v>
      </c>
      <c r="L543" s="387" t="s">
        <v>4782</v>
      </c>
      <c r="M543" s="387" t="s">
        <v>4783</v>
      </c>
      <c r="N543" s="388">
        <v>20.190000000000001</v>
      </c>
      <c r="O543" s="388">
        <v>14</v>
      </c>
      <c r="P543" s="387" t="s">
        <v>538</v>
      </c>
      <c r="Q543" s="387" t="s">
        <v>539</v>
      </c>
      <c r="R543" s="387" t="s">
        <v>4784</v>
      </c>
      <c r="S543" s="387" t="s">
        <v>171</v>
      </c>
      <c r="T543" s="387" t="s">
        <v>542</v>
      </c>
      <c r="U543" s="388">
        <v>2373774</v>
      </c>
      <c r="V543" s="387">
        <v>8002660010469</v>
      </c>
      <c r="W543" s="387" t="s">
        <v>543</v>
      </c>
      <c r="X543" s="387" t="s">
        <v>543</v>
      </c>
      <c r="Y543" s="387" t="s">
        <v>543</v>
      </c>
      <c r="Z543" s="387" t="s">
        <v>543</v>
      </c>
      <c r="AA543" s="388" t="s">
        <v>543</v>
      </c>
      <c r="AB543" s="388" t="s">
        <v>543</v>
      </c>
      <c r="AC543" s="387">
        <v>710857004</v>
      </c>
      <c r="AD543" s="389">
        <v>120</v>
      </c>
      <c r="AE543" s="390">
        <v>44105</v>
      </c>
      <c r="AF543" s="390">
        <v>45199</v>
      </c>
      <c r="AG543" s="390">
        <v>45199</v>
      </c>
      <c r="AH543" s="391" t="s">
        <v>4785</v>
      </c>
      <c r="AI543" s="391" t="s">
        <v>4786</v>
      </c>
      <c r="AJ543" s="391">
        <v>18</v>
      </c>
      <c r="AK543" s="390">
        <v>45047</v>
      </c>
      <c r="AL543" s="389">
        <v>100</v>
      </c>
      <c r="AM543" s="391" t="s">
        <v>548</v>
      </c>
      <c r="AN543" s="391" t="s">
        <v>545</v>
      </c>
      <c r="AO543" s="391" t="s">
        <v>4787</v>
      </c>
    </row>
    <row r="544" spans="1:43" ht="16" thickBot="1">
      <c r="A544" s="387" t="s">
        <v>1717</v>
      </c>
      <c r="B544" s="387" t="s">
        <v>4788</v>
      </c>
      <c r="C544" s="387" t="s">
        <v>4789</v>
      </c>
      <c r="D544" s="387" t="s">
        <v>4790</v>
      </c>
      <c r="E544" s="387">
        <v>15</v>
      </c>
      <c r="F544" s="387" t="s">
        <v>559</v>
      </c>
      <c r="G544" s="387">
        <v>15</v>
      </c>
      <c r="H544" s="387" t="s">
        <v>559</v>
      </c>
      <c r="I544" s="387" t="s">
        <v>560</v>
      </c>
      <c r="J544" s="387" t="s">
        <v>4780</v>
      </c>
      <c r="K544" s="387" t="s">
        <v>4791</v>
      </c>
      <c r="L544" s="387" t="s">
        <v>2062</v>
      </c>
      <c r="M544" s="387" t="s">
        <v>2063</v>
      </c>
      <c r="N544" s="388">
        <v>3.25</v>
      </c>
      <c r="O544" s="388">
        <v>14</v>
      </c>
      <c r="P544" s="387" t="s">
        <v>538</v>
      </c>
      <c r="Q544" s="387" t="s">
        <v>539</v>
      </c>
      <c r="R544" s="387" t="s">
        <v>4784</v>
      </c>
      <c r="S544" s="387" t="s">
        <v>171</v>
      </c>
      <c r="T544" s="387" t="s">
        <v>542</v>
      </c>
      <c r="U544" s="388">
        <v>11678371</v>
      </c>
      <c r="V544" s="387">
        <v>6009880832125</v>
      </c>
      <c r="W544" s="387" t="s">
        <v>543</v>
      </c>
      <c r="X544" s="387" t="s">
        <v>543</v>
      </c>
      <c r="Y544" s="387">
        <v>16009880832122</v>
      </c>
      <c r="Z544" s="387" t="s">
        <v>543</v>
      </c>
      <c r="AA544" s="388" t="s">
        <v>543</v>
      </c>
      <c r="AB544" s="388" t="s">
        <v>543</v>
      </c>
      <c r="AC544" s="387" t="s">
        <v>543</v>
      </c>
      <c r="AD544" s="389">
        <v>200</v>
      </c>
      <c r="AE544" s="390">
        <v>45047</v>
      </c>
      <c r="AF544" s="390">
        <v>46142</v>
      </c>
      <c r="AG544" s="391" t="s">
        <v>545</v>
      </c>
      <c r="AH544" s="391" t="s">
        <v>4792</v>
      </c>
      <c r="AI544" s="391" t="s">
        <v>2064</v>
      </c>
      <c r="AJ544" s="391">
        <v>0</v>
      </c>
      <c r="AK544" s="390">
        <v>45047</v>
      </c>
      <c r="AL544" s="389">
        <v>35.21</v>
      </c>
      <c r="AM544" s="391" t="s">
        <v>548</v>
      </c>
      <c r="AN544" s="391" t="s">
        <v>549</v>
      </c>
      <c r="AO544" s="391" t="s">
        <v>4793</v>
      </c>
      <c r="AP544" s="372">
        <f t="shared" ref="AP544:AP546" si="20">N544/E544</f>
        <v>0.21666666666666667</v>
      </c>
      <c r="AQ544" s="372">
        <f>SUMPRODUCT(AP544:AP546,U544:U546)/SUM(U544:U546)</f>
        <v>0.22770712586409192</v>
      </c>
    </row>
    <row r="545" spans="1:43" ht="16" thickBot="1">
      <c r="A545" s="387" t="s">
        <v>1717</v>
      </c>
      <c r="B545" s="387" t="s">
        <v>4788</v>
      </c>
      <c r="C545" s="387" t="s">
        <v>4789</v>
      </c>
      <c r="D545" s="387" t="s">
        <v>4790</v>
      </c>
      <c r="E545" s="387">
        <v>15</v>
      </c>
      <c r="F545" s="387" t="s">
        <v>559</v>
      </c>
      <c r="G545" s="387">
        <v>15</v>
      </c>
      <c r="H545" s="387" t="s">
        <v>559</v>
      </c>
      <c r="I545" s="387" t="s">
        <v>560</v>
      </c>
      <c r="J545" s="387" t="s">
        <v>4780</v>
      </c>
      <c r="K545" s="387" t="s">
        <v>4794</v>
      </c>
      <c r="L545" s="387" t="s">
        <v>1829</v>
      </c>
      <c r="M545" s="387" t="s">
        <v>1830</v>
      </c>
      <c r="N545" s="388">
        <v>3.31</v>
      </c>
      <c r="O545" s="388">
        <v>14</v>
      </c>
      <c r="P545" s="387" t="s">
        <v>538</v>
      </c>
      <c r="Q545" s="387" t="s">
        <v>539</v>
      </c>
      <c r="R545" s="387" t="s">
        <v>4784</v>
      </c>
      <c r="S545" s="387" t="s">
        <v>171</v>
      </c>
      <c r="T545" s="387" t="s">
        <v>542</v>
      </c>
      <c r="U545" s="388">
        <v>11484330</v>
      </c>
      <c r="V545" s="387">
        <v>6009694781145</v>
      </c>
      <c r="W545" s="387">
        <v>6009694781145</v>
      </c>
      <c r="X545" s="387" t="s">
        <v>543</v>
      </c>
      <c r="Y545" s="387">
        <v>16009694781159</v>
      </c>
      <c r="Z545" s="387" t="s">
        <v>543</v>
      </c>
      <c r="AA545" s="388" t="s">
        <v>543</v>
      </c>
      <c r="AB545" s="388" t="s">
        <v>543</v>
      </c>
      <c r="AC545" s="387" t="s">
        <v>543</v>
      </c>
      <c r="AD545" s="389">
        <v>10</v>
      </c>
      <c r="AE545" s="390">
        <v>45047</v>
      </c>
      <c r="AF545" s="390">
        <v>46142</v>
      </c>
      <c r="AG545" s="391" t="s">
        <v>545</v>
      </c>
      <c r="AH545" s="391" t="s">
        <v>4792</v>
      </c>
      <c r="AI545" s="391" t="s">
        <v>1833</v>
      </c>
      <c r="AJ545" s="391">
        <v>0</v>
      </c>
      <c r="AK545" s="390">
        <v>45047</v>
      </c>
      <c r="AL545" s="389">
        <v>34.619999999999997</v>
      </c>
      <c r="AM545" s="391" t="s">
        <v>548</v>
      </c>
      <c r="AN545" s="391" t="s">
        <v>549</v>
      </c>
      <c r="AO545" s="391" t="s">
        <v>4793</v>
      </c>
      <c r="AP545" s="372">
        <f t="shared" si="20"/>
        <v>0.22066666666666668</v>
      </c>
    </row>
    <row r="546" spans="1:43" ht="16" thickBot="1">
      <c r="A546" s="387" t="s">
        <v>1717</v>
      </c>
      <c r="B546" s="387" t="s">
        <v>4788</v>
      </c>
      <c r="C546" s="387" t="s">
        <v>4789</v>
      </c>
      <c r="D546" s="387" t="s">
        <v>4790</v>
      </c>
      <c r="E546" s="387">
        <v>15</v>
      </c>
      <c r="F546" s="387" t="s">
        <v>559</v>
      </c>
      <c r="G546" s="387">
        <v>15</v>
      </c>
      <c r="H546" s="387" t="s">
        <v>559</v>
      </c>
      <c r="I546" s="387" t="s">
        <v>560</v>
      </c>
      <c r="J546" s="387" t="s">
        <v>4780</v>
      </c>
      <c r="K546" s="387" t="s">
        <v>4795</v>
      </c>
      <c r="L546" s="387" t="s">
        <v>654</v>
      </c>
      <c r="M546" s="387" t="s">
        <v>655</v>
      </c>
      <c r="N546" s="388">
        <v>3.73</v>
      </c>
      <c r="O546" s="388">
        <v>14</v>
      </c>
      <c r="P546" s="387" t="s">
        <v>538</v>
      </c>
      <c r="Q546" s="387" t="s">
        <v>539</v>
      </c>
      <c r="R546" s="387" t="s">
        <v>4784</v>
      </c>
      <c r="S546" s="387" t="s">
        <v>171</v>
      </c>
      <c r="T546" s="387" t="s">
        <v>542</v>
      </c>
      <c r="U546" s="388">
        <v>10009262</v>
      </c>
      <c r="V546" s="387">
        <v>6004405008207</v>
      </c>
      <c r="W546" s="387">
        <v>6004405008207</v>
      </c>
      <c r="X546" s="387" t="s">
        <v>543</v>
      </c>
      <c r="Y546" s="387">
        <v>16004405008204</v>
      </c>
      <c r="Z546" s="387" t="s">
        <v>543</v>
      </c>
      <c r="AA546" s="388" t="s">
        <v>543</v>
      </c>
      <c r="AB546" s="388" t="s">
        <v>543</v>
      </c>
      <c r="AC546" s="387" t="s">
        <v>543</v>
      </c>
      <c r="AD546" s="389">
        <v>240</v>
      </c>
      <c r="AE546" s="390">
        <v>45047</v>
      </c>
      <c r="AF546" s="390">
        <v>46142</v>
      </c>
      <c r="AG546" s="391" t="s">
        <v>545</v>
      </c>
      <c r="AH546" s="391" t="s">
        <v>4792</v>
      </c>
      <c r="AI546" s="391" t="s">
        <v>658</v>
      </c>
      <c r="AJ546" s="391">
        <v>0</v>
      </c>
      <c r="AK546" s="390">
        <v>45047</v>
      </c>
      <c r="AL546" s="389">
        <v>30.17</v>
      </c>
      <c r="AM546" s="391" t="s">
        <v>548</v>
      </c>
      <c r="AN546" s="391" t="s">
        <v>549</v>
      </c>
      <c r="AO546" s="391" t="s">
        <v>4793</v>
      </c>
      <c r="AP546" s="372">
        <f t="shared" si="20"/>
        <v>0.24866666666666667</v>
      </c>
    </row>
    <row r="547" spans="1:43" ht="16" thickBot="1">
      <c r="A547" s="387" t="s">
        <v>1717</v>
      </c>
      <c r="B547" s="387" t="s">
        <v>4796</v>
      </c>
      <c r="C547" s="387" t="s">
        <v>4797</v>
      </c>
      <c r="D547" s="387" t="s">
        <v>4798</v>
      </c>
      <c r="E547" s="387">
        <v>42</v>
      </c>
      <c r="F547" s="387" t="s">
        <v>559</v>
      </c>
      <c r="G547" s="387">
        <v>42</v>
      </c>
      <c r="H547" s="387" t="s">
        <v>559</v>
      </c>
      <c r="I547" s="387" t="s">
        <v>560</v>
      </c>
      <c r="J547" s="387" t="s">
        <v>4780</v>
      </c>
      <c r="K547" s="387" t="s">
        <v>4791</v>
      </c>
      <c r="L547" s="387" t="s">
        <v>2062</v>
      </c>
      <c r="M547" s="387" t="s">
        <v>2063</v>
      </c>
      <c r="N547" s="388">
        <v>7.64</v>
      </c>
      <c r="O547" s="388">
        <v>14</v>
      </c>
      <c r="P547" s="387" t="s">
        <v>538</v>
      </c>
      <c r="Q547" s="387" t="s">
        <v>539</v>
      </c>
      <c r="R547" s="387" t="s">
        <v>4784</v>
      </c>
      <c r="S547" s="387" t="s">
        <v>171</v>
      </c>
      <c r="T547" s="387" t="s">
        <v>542</v>
      </c>
      <c r="U547" s="388">
        <v>1963076</v>
      </c>
      <c r="V547" s="387">
        <v>6009880832132</v>
      </c>
      <c r="W547" s="387" t="s">
        <v>543</v>
      </c>
      <c r="X547" s="387" t="s">
        <v>543</v>
      </c>
      <c r="Y547" s="387">
        <v>16009880832139</v>
      </c>
      <c r="Z547" s="387" t="s">
        <v>543</v>
      </c>
      <c r="AA547" s="388" t="s">
        <v>543</v>
      </c>
      <c r="AB547" s="388" t="s">
        <v>543</v>
      </c>
      <c r="AC547" s="387" t="s">
        <v>543</v>
      </c>
      <c r="AD547" s="389">
        <v>200</v>
      </c>
      <c r="AE547" s="390">
        <v>45047</v>
      </c>
      <c r="AF547" s="390">
        <v>46142</v>
      </c>
      <c r="AG547" s="391" t="s">
        <v>545</v>
      </c>
      <c r="AH547" s="391" t="s">
        <v>4799</v>
      </c>
      <c r="AI547" s="391" t="s">
        <v>2064</v>
      </c>
      <c r="AJ547" s="391">
        <v>0</v>
      </c>
      <c r="AK547" s="390">
        <v>45047</v>
      </c>
      <c r="AL547" s="389">
        <v>60</v>
      </c>
      <c r="AM547" s="391" t="s">
        <v>548</v>
      </c>
      <c r="AN547" s="391" t="s">
        <v>549</v>
      </c>
      <c r="AO547" s="391" t="s">
        <v>4793</v>
      </c>
    </row>
    <row r="548" spans="1:43" ht="16" thickBot="1">
      <c r="A548" s="387" t="s">
        <v>1717</v>
      </c>
      <c r="B548" s="387" t="s">
        <v>4796</v>
      </c>
      <c r="C548" s="387" t="s">
        <v>4797</v>
      </c>
      <c r="D548" s="387" t="s">
        <v>4798</v>
      </c>
      <c r="E548" s="387">
        <v>42</v>
      </c>
      <c r="F548" s="387" t="s">
        <v>559</v>
      </c>
      <c r="G548" s="387">
        <v>42</v>
      </c>
      <c r="H548" s="387" t="s">
        <v>559</v>
      </c>
      <c r="I548" s="387" t="s">
        <v>560</v>
      </c>
      <c r="J548" s="387" t="s">
        <v>4780</v>
      </c>
      <c r="K548" s="387" t="s">
        <v>4800</v>
      </c>
      <c r="L548" s="387" t="s">
        <v>654</v>
      </c>
      <c r="M548" s="387" t="s">
        <v>655</v>
      </c>
      <c r="N548" s="388">
        <v>7.68</v>
      </c>
      <c r="O548" s="388">
        <v>14</v>
      </c>
      <c r="P548" s="387" t="s">
        <v>538</v>
      </c>
      <c r="Q548" s="387" t="s">
        <v>539</v>
      </c>
      <c r="R548" s="387" t="s">
        <v>4784</v>
      </c>
      <c r="S548" s="387" t="s">
        <v>171</v>
      </c>
      <c r="T548" s="387" t="s">
        <v>542</v>
      </c>
      <c r="U548" s="388">
        <v>1308718</v>
      </c>
      <c r="V548" s="387" t="s">
        <v>543</v>
      </c>
      <c r="W548" s="387" t="s">
        <v>543</v>
      </c>
      <c r="X548" s="387" t="s">
        <v>543</v>
      </c>
      <c r="Y548" s="387" t="s">
        <v>543</v>
      </c>
      <c r="Z548" s="387" t="s">
        <v>543</v>
      </c>
      <c r="AA548" s="388" t="s">
        <v>543</v>
      </c>
      <c r="AB548" s="388" t="s">
        <v>543</v>
      </c>
      <c r="AC548" s="387" t="s">
        <v>543</v>
      </c>
      <c r="AD548" s="389">
        <v>192</v>
      </c>
      <c r="AE548" s="390">
        <v>45047</v>
      </c>
      <c r="AF548" s="390">
        <v>46142</v>
      </c>
      <c r="AG548" s="391" t="s">
        <v>545</v>
      </c>
      <c r="AH548" s="391" t="s">
        <v>4799</v>
      </c>
      <c r="AI548" s="391" t="s">
        <v>658</v>
      </c>
      <c r="AJ548" s="391">
        <v>0</v>
      </c>
      <c r="AK548" s="390">
        <v>45047</v>
      </c>
      <c r="AL548" s="389">
        <v>40</v>
      </c>
      <c r="AM548" s="391" t="s">
        <v>548</v>
      </c>
      <c r="AN548" s="391" t="s">
        <v>549</v>
      </c>
      <c r="AO548" s="391" t="s">
        <v>4793</v>
      </c>
    </row>
    <row r="549" spans="1:43" ht="16" thickBot="1">
      <c r="A549" s="387" t="s">
        <v>1717</v>
      </c>
      <c r="B549" s="387" t="s">
        <v>4801</v>
      </c>
      <c r="C549" s="387" t="s">
        <v>4802</v>
      </c>
      <c r="D549" s="387" t="s">
        <v>4803</v>
      </c>
      <c r="E549" s="387">
        <v>84</v>
      </c>
      <c r="F549" s="387" t="s">
        <v>559</v>
      </c>
      <c r="G549" s="387">
        <v>84</v>
      </c>
      <c r="H549" s="387" t="s">
        <v>559</v>
      </c>
      <c r="I549" s="387" t="s">
        <v>560</v>
      </c>
      <c r="J549" s="387" t="s">
        <v>4780</v>
      </c>
      <c r="K549" s="387" t="s">
        <v>4804</v>
      </c>
      <c r="L549" s="387" t="s">
        <v>1771</v>
      </c>
      <c r="M549" s="387" t="s">
        <v>1772</v>
      </c>
      <c r="N549" s="388">
        <v>12.94</v>
      </c>
      <c r="O549" s="388">
        <v>14</v>
      </c>
      <c r="P549" s="387" t="s">
        <v>538</v>
      </c>
      <c r="Q549" s="387" t="s">
        <v>539</v>
      </c>
      <c r="R549" s="387" t="s">
        <v>4784</v>
      </c>
      <c r="S549" s="387" t="s">
        <v>171</v>
      </c>
      <c r="T549" s="387" t="s">
        <v>542</v>
      </c>
      <c r="U549" s="388">
        <v>917793</v>
      </c>
      <c r="V549" s="387">
        <v>6006882005304</v>
      </c>
      <c r="W549" s="387">
        <v>6006882005304</v>
      </c>
      <c r="X549" s="387" t="s">
        <v>543</v>
      </c>
      <c r="Y549" s="387">
        <v>16006882005301</v>
      </c>
      <c r="Z549" s="387" t="s">
        <v>543</v>
      </c>
      <c r="AA549" s="388" t="s">
        <v>543</v>
      </c>
      <c r="AB549" s="388" t="s">
        <v>543</v>
      </c>
      <c r="AC549" s="387" t="s">
        <v>543</v>
      </c>
      <c r="AD549" s="389">
        <v>200</v>
      </c>
      <c r="AE549" s="390">
        <v>45047</v>
      </c>
      <c r="AF549" s="390">
        <v>46142</v>
      </c>
      <c r="AG549" s="391" t="s">
        <v>545</v>
      </c>
      <c r="AH549" s="391" t="s">
        <v>4805</v>
      </c>
      <c r="AI549" s="391" t="s">
        <v>1776</v>
      </c>
      <c r="AJ549" s="391">
        <v>0</v>
      </c>
      <c r="AK549" s="390">
        <v>45047</v>
      </c>
      <c r="AL549" s="389">
        <v>60</v>
      </c>
      <c r="AM549" s="391" t="s">
        <v>548</v>
      </c>
      <c r="AN549" s="391" t="s">
        <v>549</v>
      </c>
      <c r="AO549" s="391" t="s">
        <v>4793</v>
      </c>
    </row>
    <row r="550" spans="1:43" ht="16" thickBot="1">
      <c r="A550" s="387" t="s">
        <v>1717</v>
      </c>
      <c r="B550" s="387" t="s">
        <v>4806</v>
      </c>
      <c r="C550" s="387" t="s">
        <v>4807</v>
      </c>
      <c r="D550" s="387" t="s">
        <v>4808</v>
      </c>
      <c r="E550" s="387">
        <v>15</v>
      </c>
      <c r="F550" s="387" t="s">
        <v>559</v>
      </c>
      <c r="G550" s="387">
        <v>15</v>
      </c>
      <c r="H550" s="387" t="s">
        <v>559</v>
      </c>
      <c r="I550" s="387" t="s">
        <v>560</v>
      </c>
      <c r="J550" s="387" t="s">
        <v>4780</v>
      </c>
      <c r="K550" s="387" t="s">
        <v>4809</v>
      </c>
      <c r="L550" s="387" t="s">
        <v>1829</v>
      </c>
      <c r="M550" s="387" t="s">
        <v>1830</v>
      </c>
      <c r="N550" s="388">
        <v>4.59</v>
      </c>
      <c r="O550" s="388">
        <v>14</v>
      </c>
      <c r="P550" s="387" t="s">
        <v>538</v>
      </c>
      <c r="Q550" s="387" t="s">
        <v>539</v>
      </c>
      <c r="R550" s="387" t="s">
        <v>4784</v>
      </c>
      <c r="S550" s="387" t="s">
        <v>171</v>
      </c>
      <c r="T550" s="387" t="s">
        <v>542</v>
      </c>
      <c r="U550" s="388">
        <v>2725802</v>
      </c>
      <c r="V550" s="387">
        <v>6009694781749</v>
      </c>
      <c r="W550" s="387">
        <v>6009694781749</v>
      </c>
      <c r="X550" s="387" t="s">
        <v>543</v>
      </c>
      <c r="Y550" s="387">
        <v>16009694781753</v>
      </c>
      <c r="Z550" s="387" t="s">
        <v>543</v>
      </c>
      <c r="AA550" s="388" t="s">
        <v>543</v>
      </c>
      <c r="AB550" s="388" t="s">
        <v>543</v>
      </c>
      <c r="AC550" s="387" t="s">
        <v>543</v>
      </c>
      <c r="AD550" s="389">
        <v>10</v>
      </c>
      <c r="AE550" s="390">
        <v>45047</v>
      </c>
      <c r="AF550" s="390">
        <v>46142</v>
      </c>
      <c r="AG550" s="391" t="s">
        <v>545</v>
      </c>
      <c r="AH550" s="391" t="s">
        <v>4810</v>
      </c>
      <c r="AI550" s="391" t="s">
        <v>1833</v>
      </c>
      <c r="AJ550" s="391">
        <v>0</v>
      </c>
      <c r="AK550" s="390">
        <v>45047</v>
      </c>
      <c r="AL550" s="389">
        <v>40</v>
      </c>
      <c r="AM550" s="391" t="s">
        <v>548</v>
      </c>
      <c r="AN550" s="391" t="s">
        <v>549</v>
      </c>
      <c r="AO550" s="391" t="s">
        <v>4811</v>
      </c>
      <c r="AP550" s="372">
        <f t="shared" ref="AP550:AP551" si="21">N550/E550</f>
        <v>0.30599999999999999</v>
      </c>
      <c r="AQ550" s="372">
        <f>SUMPRODUCT(AP550:AP551,U550:U551)/SUM(U550:U551)</f>
        <v>0.30239999964781011</v>
      </c>
    </row>
    <row r="551" spans="1:43" ht="16" thickBot="1">
      <c r="A551" s="387" t="s">
        <v>1717</v>
      </c>
      <c r="B551" s="387" t="s">
        <v>4806</v>
      </c>
      <c r="C551" s="387" t="s">
        <v>4807</v>
      </c>
      <c r="D551" s="387" t="s">
        <v>4808</v>
      </c>
      <c r="E551" s="387">
        <v>15</v>
      </c>
      <c r="F551" s="387" t="s">
        <v>559</v>
      </c>
      <c r="G551" s="387">
        <v>15</v>
      </c>
      <c r="H551" s="387" t="s">
        <v>559</v>
      </c>
      <c r="I551" s="387" t="s">
        <v>560</v>
      </c>
      <c r="J551" s="387" t="s">
        <v>4780</v>
      </c>
      <c r="K551" s="387" t="s">
        <v>4812</v>
      </c>
      <c r="L551" s="387" t="s">
        <v>2062</v>
      </c>
      <c r="M551" s="387" t="s">
        <v>2063</v>
      </c>
      <c r="N551" s="388">
        <v>4.5</v>
      </c>
      <c r="O551" s="388">
        <v>14</v>
      </c>
      <c r="P551" s="387" t="s">
        <v>538</v>
      </c>
      <c r="Q551" s="387" t="s">
        <v>539</v>
      </c>
      <c r="R551" s="387" t="s">
        <v>4784</v>
      </c>
      <c r="S551" s="387" t="s">
        <v>171</v>
      </c>
      <c r="T551" s="387" t="s">
        <v>542</v>
      </c>
      <c r="U551" s="388">
        <v>4088704</v>
      </c>
      <c r="V551" s="387">
        <v>6009880832156</v>
      </c>
      <c r="W551" s="387" t="s">
        <v>543</v>
      </c>
      <c r="X551" s="387" t="s">
        <v>543</v>
      </c>
      <c r="Y551" s="387">
        <v>16009880832153</v>
      </c>
      <c r="Z551" s="387" t="s">
        <v>543</v>
      </c>
      <c r="AA551" s="388" t="s">
        <v>543</v>
      </c>
      <c r="AB551" s="388" t="s">
        <v>543</v>
      </c>
      <c r="AC551" s="387" t="s">
        <v>543</v>
      </c>
      <c r="AD551" s="389">
        <v>200</v>
      </c>
      <c r="AE551" s="390">
        <v>45047</v>
      </c>
      <c r="AF551" s="390">
        <v>46142</v>
      </c>
      <c r="AG551" s="391" t="s">
        <v>545</v>
      </c>
      <c r="AH551" s="391" t="s">
        <v>4810</v>
      </c>
      <c r="AI551" s="391" t="s">
        <v>2064</v>
      </c>
      <c r="AJ551" s="391">
        <v>0</v>
      </c>
      <c r="AK551" s="390">
        <v>45047</v>
      </c>
      <c r="AL551" s="389">
        <v>60</v>
      </c>
      <c r="AM551" s="391" t="s">
        <v>548</v>
      </c>
      <c r="AN551" s="391" t="s">
        <v>549</v>
      </c>
      <c r="AO551" s="391" t="s">
        <v>4811</v>
      </c>
      <c r="AP551" s="372">
        <f t="shared" si="21"/>
        <v>0.3</v>
      </c>
    </row>
    <row r="552" spans="1:43" ht="16" thickBot="1">
      <c r="A552" s="387" t="s">
        <v>1717</v>
      </c>
      <c r="B552" s="387" t="s">
        <v>4813</v>
      </c>
      <c r="C552" s="387" t="s">
        <v>4814</v>
      </c>
      <c r="D552" s="387" t="s">
        <v>4815</v>
      </c>
      <c r="E552" s="387">
        <v>84</v>
      </c>
      <c r="F552" s="387" t="s">
        <v>559</v>
      </c>
      <c r="G552" s="387">
        <v>84</v>
      </c>
      <c r="H552" s="387" t="s">
        <v>559</v>
      </c>
      <c r="I552" s="387" t="s">
        <v>560</v>
      </c>
      <c r="J552" s="387" t="s">
        <v>4780</v>
      </c>
      <c r="K552" s="387" t="s">
        <v>4812</v>
      </c>
      <c r="L552" s="387" t="s">
        <v>2062</v>
      </c>
      <c r="M552" s="387" t="s">
        <v>2063</v>
      </c>
      <c r="N552" s="388">
        <v>21.26</v>
      </c>
      <c r="O552" s="388">
        <v>14</v>
      </c>
      <c r="P552" s="387" t="s">
        <v>538</v>
      </c>
      <c r="Q552" s="387" t="s">
        <v>539</v>
      </c>
      <c r="R552" s="387" t="s">
        <v>4784</v>
      </c>
      <c r="S552" s="387" t="s">
        <v>171</v>
      </c>
      <c r="T552" s="387" t="s">
        <v>542</v>
      </c>
      <c r="U552" s="388">
        <v>846284</v>
      </c>
      <c r="V552" s="387">
        <v>6009880832170</v>
      </c>
      <c r="W552" s="387" t="s">
        <v>543</v>
      </c>
      <c r="X552" s="387" t="s">
        <v>543</v>
      </c>
      <c r="Y552" s="387">
        <v>16009880832177</v>
      </c>
      <c r="Z552" s="387" t="s">
        <v>543</v>
      </c>
      <c r="AA552" s="388" t="s">
        <v>543</v>
      </c>
      <c r="AB552" s="388" t="s">
        <v>543</v>
      </c>
      <c r="AC552" s="387" t="s">
        <v>543</v>
      </c>
      <c r="AD552" s="389">
        <v>100</v>
      </c>
      <c r="AE552" s="390">
        <v>45047</v>
      </c>
      <c r="AF552" s="390">
        <v>46142</v>
      </c>
      <c r="AG552" s="391" t="s">
        <v>545</v>
      </c>
      <c r="AH552" s="391" t="s">
        <v>4816</v>
      </c>
      <c r="AI552" s="391" t="s">
        <v>2064</v>
      </c>
      <c r="AJ552" s="391">
        <v>0</v>
      </c>
      <c r="AK552" s="390">
        <v>45047</v>
      </c>
      <c r="AL552" s="389">
        <v>40</v>
      </c>
      <c r="AM552" s="391" t="s">
        <v>548</v>
      </c>
      <c r="AN552" s="391" t="s">
        <v>549</v>
      </c>
      <c r="AO552" s="391" t="s">
        <v>4811</v>
      </c>
    </row>
    <row r="553" spans="1:43" ht="16" thickBot="1">
      <c r="A553" s="387" t="s">
        <v>1717</v>
      </c>
      <c r="B553" s="387" t="s">
        <v>4813</v>
      </c>
      <c r="C553" s="387" t="s">
        <v>4814</v>
      </c>
      <c r="D553" s="387" t="s">
        <v>4815</v>
      </c>
      <c r="E553" s="387">
        <v>84</v>
      </c>
      <c r="F553" s="387" t="s">
        <v>559</v>
      </c>
      <c r="G553" s="387">
        <v>84</v>
      </c>
      <c r="H553" s="387" t="s">
        <v>559</v>
      </c>
      <c r="I553" s="387" t="s">
        <v>560</v>
      </c>
      <c r="J553" s="387" t="s">
        <v>4780</v>
      </c>
      <c r="K553" s="387" t="s">
        <v>4809</v>
      </c>
      <c r="L553" s="387" t="s">
        <v>1829</v>
      </c>
      <c r="M553" s="387" t="s">
        <v>1830</v>
      </c>
      <c r="N553" s="388">
        <v>20.88</v>
      </c>
      <c r="O553" s="388">
        <v>14</v>
      </c>
      <c r="P553" s="387" t="s">
        <v>538</v>
      </c>
      <c r="Q553" s="387" t="s">
        <v>539</v>
      </c>
      <c r="R553" s="387" t="s">
        <v>4784</v>
      </c>
      <c r="S553" s="387" t="s">
        <v>171</v>
      </c>
      <c r="T553" s="387" t="s">
        <v>542</v>
      </c>
      <c r="U553" s="388">
        <v>1269426</v>
      </c>
      <c r="V553" s="387">
        <v>6009694781763</v>
      </c>
      <c r="W553" s="387">
        <v>6009694781763</v>
      </c>
      <c r="X553" s="387" t="s">
        <v>543</v>
      </c>
      <c r="Y553" s="387">
        <v>16009694781777</v>
      </c>
      <c r="Z553" s="387" t="s">
        <v>543</v>
      </c>
      <c r="AA553" s="388" t="s">
        <v>543</v>
      </c>
      <c r="AB553" s="388" t="s">
        <v>543</v>
      </c>
      <c r="AC553" s="387" t="s">
        <v>543</v>
      </c>
      <c r="AD553" s="389">
        <v>10</v>
      </c>
      <c r="AE553" s="390">
        <v>45047</v>
      </c>
      <c r="AF553" s="390">
        <v>46142</v>
      </c>
      <c r="AG553" s="391" t="s">
        <v>545</v>
      </c>
      <c r="AH553" s="391" t="s">
        <v>4816</v>
      </c>
      <c r="AI553" s="391" t="s">
        <v>1833</v>
      </c>
      <c r="AJ553" s="391">
        <v>0</v>
      </c>
      <c r="AK553" s="390">
        <v>45047</v>
      </c>
      <c r="AL553" s="389">
        <v>60</v>
      </c>
      <c r="AM553" s="391" t="s">
        <v>548</v>
      </c>
      <c r="AN553" s="391" t="s">
        <v>549</v>
      </c>
      <c r="AO553" s="391" t="s">
        <v>4811</v>
      </c>
    </row>
    <row r="554" spans="1:43" ht="16" thickBot="1">
      <c r="A554" s="387" t="s">
        <v>2177</v>
      </c>
      <c r="B554" s="387" t="s">
        <v>996</v>
      </c>
      <c r="C554" s="387" t="s">
        <v>4817</v>
      </c>
      <c r="D554" s="387" t="s">
        <v>4818</v>
      </c>
      <c r="E554" s="387">
        <v>500</v>
      </c>
      <c r="F554" s="387" t="s">
        <v>2180</v>
      </c>
      <c r="G554" s="387">
        <v>500</v>
      </c>
      <c r="H554" s="387" t="s">
        <v>2180</v>
      </c>
      <c r="I554" s="387" t="s">
        <v>2720</v>
      </c>
      <c r="J554" s="387" t="s">
        <v>4819</v>
      </c>
      <c r="K554" s="387" t="s">
        <v>4820</v>
      </c>
      <c r="L554" s="387" t="s">
        <v>1905</v>
      </c>
      <c r="M554" s="387" t="s">
        <v>1906</v>
      </c>
      <c r="N554" s="388">
        <v>69</v>
      </c>
      <c r="O554" s="388">
        <v>14</v>
      </c>
      <c r="P554" s="387" t="s">
        <v>611</v>
      </c>
      <c r="Q554" s="387" t="s">
        <v>612</v>
      </c>
      <c r="R554" s="387" t="s">
        <v>3371</v>
      </c>
      <c r="S554" s="387" t="s">
        <v>614</v>
      </c>
      <c r="T554" s="387" t="s">
        <v>160</v>
      </c>
      <c r="U554" s="388">
        <v>18591</v>
      </c>
      <c r="V554" s="387">
        <v>6006823003260</v>
      </c>
      <c r="W554" s="387" t="s">
        <v>543</v>
      </c>
      <c r="X554" s="387" t="s">
        <v>543</v>
      </c>
      <c r="Y554" s="387" t="s">
        <v>543</v>
      </c>
      <c r="Z554" s="387" t="s">
        <v>543</v>
      </c>
      <c r="AA554" s="388" t="s">
        <v>543</v>
      </c>
      <c r="AB554" s="388" t="s">
        <v>543</v>
      </c>
      <c r="AC554" s="387" t="s">
        <v>543</v>
      </c>
      <c r="AD554" s="389">
        <v>1</v>
      </c>
      <c r="AE554" s="390">
        <v>44013</v>
      </c>
      <c r="AF554" s="390">
        <v>45107</v>
      </c>
      <c r="AG554" s="390">
        <v>45107</v>
      </c>
      <c r="AH554" s="391" t="s">
        <v>4821</v>
      </c>
      <c r="AI554" s="391" t="s">
        <v>1910</v>
      </c>
      <c r="AJ554" s="391">
        <v>0</v>
      </c>
      <c r="AK554" s="390">
        <v>44013</v>
      </c>
      <c r="AL554" s="389">
        <v>100</v>
      </c>
      <c r="AM554" s="391" t="s">
        <v>548</v>
      </c>
      <c r="AN554" s="391" t="s">
        <v>545</v>
      </c>
      <c r="AO554" s="391" t="s">
        <v>4822</v>
      </c>
    </row>
    <row r="555" spans="1:43" ht="16" thickBot="1">
      <c r="A555" s="387" t="s">
        <v>2166</v>
      </c>
      <c r="B555" s="387" t="s">
        <v>2738</v>
      </c>
      <c r="C555" s="387" t="s">
        <v>4823</v>
      </c>
      <c r="D555" s="387" t="s">
        <v>4824</v>
      </c>
      <c r="E555" s="387">
        <v>1</v>
      </c>
      <c r="F555" s="387" t="s">
        <v>1780</v>
      </c>
      <c r="G555" s="387">
        <v>1</v>
      </c>
      <c r="H555" s="387" t="s">
        <v>1780</v>
      </c>
      <c r="I555" s="387" t="s">
        <v>1751</v>
      </c>
      <c r="J555" s="387" t="s">
        <v>4825</v>
      </c>
      <c r="K555" s="387" t="s">
        <v>4826</v>
      </c>
      <c r="L555" s="387" t="s">
        <v>3420</v>
      </c>
      <c r="M555" s="387" t="s">
        <v>3421</v>
      </c>
      <c r="N555" s="388">
        <v>567.23</v>
      </c>
      <c r="O555" s="388">
        <v>14</v>
      </c>
      <c r="P555" s="387" t="s">
        <v>611</v>
      </c>
      <c r="Q555" s="387" t="s">
        <v>668</v>
      </c>
      <c r="R555" s="387" t="s">
        <v>4827</v>
      </c>
      <c r="S555" s="387" t="s">
        <v>614</v>
      </c>
      <c r="T555" s="387" t="s">
        <v>160</v>
      </c>
      <c r="U555" s="388">
        <v>7706</v>
      </c>
      <c r="V555" s="387">
        <v>600987994056</v>
      </c>
      <c r="W555" s="387">
        <v>600987994056</v>
      </c>
      <c r="X555" s="387" t="s">
        <v>543</v>
      </c>
      <c r="Y555" s="387">
        <v>600987994056</v>
      </c>
      <c r="Z555" s="387" t="s">
        <v>543</v>
      </c>
      <c r="AA555" s="388" t="s">
        <v>543</v>
      </c>
      <c r="AB555" s="388" t="s">
        <v>543</v>
      </c>
      <c r="AC555" s="387">
        <v>731293002</v>
      </c>
      <c r="AD555" s="389">
        <v>1</v>
      </c>
      <c r="AE555" s="390">
        <v>44743</v>
      </c>
      <c r="AF555" s="390">
        <v>45473</v>
      </c>
      <c r="AG555" s="391" t="s">
        <v>545</v>
      </c>
      <c r="AH555" s="391" t="s">
        <v>4828</v>
      </c>
      <c r="AI555" s="391" t="s">
        <v>3424</v>
      </c>
      <c r="AJ555" s="391">
        <v>0</v>
      </c>
      <c r="AK555" s="390">
        <v>44743</v>
      </c>
      <c r="AL555" s="389">
        <v>100</v>
      </c>
      <c r="AM555" s="391" t="s">
        <v>548</v>
      </c>
      <c r="AN555" s="391" t="s">
        <v>549</v>
      </c>
      <c r="AO555" s="391" t="s">
        <v>4829</v>
      </c>
    </row>
    <row r="556" spans="1:43" ht="16" thickBot="1">
      <c r="A556" s="387" t="s">
        <v>2166</v>
      </c>
      <c r="B556" s="387" t="s">
        <v>3117</v>
      </c>
      <c r="C556" s="387" t="s">
        <v>4830</v>
      </c>
      <c r="D556" s="387" t="s">
        <v>4831</v>
      </c>
      <c r="E556" s="387">
        <v>1</v>
      </c>
      <c r="F556" s="387" t="s">
        <v>1780</v>
      </c>
      <c r="G556" s="387">
        <v>1</v>
      </c>
      <c r="H556" s="387" t="s">
        <v>1780</v>
      </c>
      <c r="I556" s="387" t="s">
        <v>1751</v>
      </c>
      <c r="J556" s="387" t="s">
        <v>4825</v>
      </c>
      <c r="K556" s="387" t="s">
        <v>4832</v>
      </c>
      <c r="L556" s="387" t="s">
        <v>3420</v>
      </c>
      <c r="M556" s="387" t="s">
        <v>3421</v>
      </c>
      <c r="N556" s="388">
        <v>916.53</v>
      </c>
      <c r="O556" s="388">
        <v>14</v>
      </c>
      <c r="P556" s="387" t="s">
        <v>611</v>
      </c>
      <c r="Q556" s="387" t="s">
        <v>668</v>
      </c>
      <c r="R556" s="387" t="s">
        <v>4827</v>
      </c>
      <c r="S556" s="387" t="s">
        <v>614</v>
      </c>
      <c r="T556" s="387" t="s">
        <v>160</v>
      </c>
      <c r="U556" s="388">
        <v>11554</v>
      </c>
      <c r="V556" s="387">
        <v>6009879994056</v>
      </c>
      <c r="W556" s="387">
        <v>1380016000001</v>
      </c>
      <c r="X556" s="387" t="s">
        <v>543</v>
      </c>
      <c r="Y556" s="387">
        <v>1380016000001</v>
      </c>
      <c r="Z556" s="387" t="s">
        <v>543</v>
      </c>
      <c r="AA556" s="388" t="s">
        <v>543</v>
      </c>
      <c r="AB556" s="388" t="s">
        <v>543</v>
      </c>
      <c r="AC556" s="387">
        <v>731307003</v>
      </c>
      <c r="AD556" s="389">
        <v>1</v>
      </c>
      <c r="AE556" s="390">
        <v>44743</v>
      </c>
      <c r="AF556" s="390">
        <v>45473</v>
      </c>
      <c r="AG556" s="391" t="s">
        <v>545</v>
      </c>
      <c r="AH556" s="391" t="s">
        <v>4833</v>
      </c>
      <c r="AI556" s="391" t="s">
        <v>3424</v>
      </c>
      <c r="AJ556" s="391">
        <v>0</v>
      </c>
      <c r="AK556" s="390">
        <v>44743</v>
      </c>
      <c r="AL556" s="389">
        <v>100</v>
      </c>
      <c r="AM556" s="391" t="s">
        <v>548</v>
      </c>
      <c r="AN556" s="391" t="s">
        <v>549</v>
      </c>
      <c r="AO556" s="391" t="s">
        <v>4834</v>
      </c>
    </row>
    <row r="557" spans="1:43" ht="16" thickBot="1">
      <c r="A557" s="387" t="s">
        <v>2166</v>
      </c>
      <c r="B557" s="387" t="s">
        <v>3144</v>
      </c>
      <c r="C557" s="387" t="s">
        <v>4835</v>
      </c>
      <c r="D557" s="387" t="s">
        <v>4836</v>
      </c>
      <c r="E557" s="387">
        <v>1</v>
      </c>
      <c r="F557" s="387" t="s">
        <v>1780</v>
      </c>
      <c r="G557" s="387">
        <v>1</v>
      </c>
      <c r="H557" s="387" t="s">
        <v>1780</v>
      </c>
      <c r="I557" s="387" t="s">
        <v>1751</v>
      </c>
      <c r="J557" s="387" t="s">
        <v>4825</v>
      </c>
      <c r="K557" s="387" t="s">
        <v>4837</v>
      </c>
      <c r="L557" s="387" t="s">
        <v>3420</v>
      </c>
      <c r="M557" s="387" t="s">
        <v>3421</v>
      </c>
      <c r="N557" s="388">
        <v>340.34</v>
      </c>
      <c r="O557" s="388">
        <v>14</v>
      </c>
      <c r="P557" s="387" t="s">
        <v>611</v>
      </c>
      <c r="Q557" s="387" t="s">
        <v>668</v>
      </c>
      <c r="R557" s="387" t="s">
        <v>4827</v>
      </c>
      <c r="S557" s="387" t="s">
        <v>614</v>
      </c>
      <c r="T557" s="387" t="s">
        <v>160</v>
      </c>
      <c r="U557" s="388">
        <v>540</v>
      </c>
      <c r="V557" s="387">
        <v>6009879994049</v>
      </c>
      <c r="W557" s="387">
        <v>1380014000007</v>
      </c>
      <c r="X557" s="387" t="s">
        <v>543</v>
      </c>
      <c r="Y557" s="387">
        <v>1380014000007</v>
      </c>
      <c r="Z557" s="387" t="s">
        <v>543</v>
      </c>
      <c r="AA557" s="388" t="s">
        <v>543</v>
      </c>
      <c r="AB557" s="388" t="s">
        <v>543</v>
      </c>
      <c r="AC557" s="387">
        <v>731285018</v>
      </c>
      <c r="AD557" s="389">
        <v>1</v>
      </c>
      <c r="AE557" s="390">
        <v>44743</v>
      </c>
      <c r="AF557" s="390">
        <v>45473</v>
      </c>
      <c r="AG557" s="391" t="s">
        <v>545</v>
      </c>
      <c r="AH557" s="391" t="s">
        <v>4838</v>
      </c>
      <c r="AI557" s="391" t="s">
        <v>3424</v>
      </c>
      <c r="AJ557" s="391">
        <v>0</v>
      </c>
      <c r="AK557" s="390">
        <v>44743</v>
      </c>
      <c r="AL557" s="389">
        <v>100</v>
      </c>
      <c r="AM557" s="391" t="s">
        <v>548</v>
      </c>
      <c r="AN557" s="391" t="s">
        <v>549</v>
      </c>
      <c r="AO557" s="391" t="s">
        <v>4839</v>
      </c>
    </row>
    <row r="558" spans="1:43" ht="16" thickBot="1">
      <c r="A558" s="387" t="s">
        <v>2166</v>
      </c>
      <c r="B558" s="387" t="s">
        <v>2799</v>
      </c>
      <c r="C558" s="387" t="s">
        <v>4840</v>
      </c>
      <c r="D558" s="387" t="s">
        <v>4841</v>
      </c>
      <c r="E558" s="387">
        <v>60</v>
      </c>
      <c r="F558" s="387" t="s">
        <v>584</v>
      </c>
      <c r="G558" s="387">
        <v>60</v>
      </c>
      <c r="H558" s="387" t="s">
        <v>584</v>
      </c>
      <c r="I558" s="387" t="s">
        <v>585</v>
      </c>
      <c r="J558" s="387" t="s">
        <v>4842</v>
      </c>
      <c r="K558" s="387" t="s">
        <v>4843</v>
      </c>
      <c r="L558" s="387" t="s">
        <v>2595</v>
      </c>
      <c r="M558" s="387" t="s">
        <v>2596</v>
      </c>
      <c r="N558" s="388">
        <v>115</v>
      </c>
      <c r="O558" s="388">
        <v>14</v>
      </c>
      <c r="P558" s="387" t="s">
        <v>538</v>
      </c>
      <c r="Q558" s="387" t="s">
        <v>539</v>
      </c>
      <c r="R558" s="387" t="s">
        <v>4844</v>
      </c>
      <c r="S558" s="387" t="s">
        <v>171</v>
      </c>
      <c r="T558" s="387" t="s">
        <v>1908</v>
      </c>
      <c r="U558" s="388">
        <v>13598</v>
      </c>
      <c r="V558" s="387">
        <v>6009880039166</v>
      </c>
      <c r="W558" s="387" t="s">
        <v>543</v>
      </c>
      <c r="X558" s="387" t="s">
        <v>543</v>
      </c>
      <c r="Y558" s="387" t="s">
        <v>543</v>
      </c>
      <c r="Z558" s="387" t="s">
        <v>543</v>
      </c>
      <c r="AA558" s="388" t="s">
        <v>543</v>
      </c>
      <c r="AB558" s="388" t="s">
        <v>543</v>
      </c>
      <c r="AC558" s="387">
        <v>722780001</v>
      </c>
      <c r="AD558" s="389">
        <v>20</v>
      </c>
      <c r="AE558" s="390">
        <v>44743</v>
      </c>
      <c r="AF558" s="390">
        <v>45473</v>
      </c>
      <c r="AG558" s="391" t="s">
        <v>545</v>
      </c>
      <c r="AH558" s="391" t="s">
        <v>4845</v>
      </c>
      <c r="AI558" s="391" t="s">
        <v>2599</v>
      </c>
      <c r="AJ558" s="391">
        <v>0</v>
      </c>
      <c r="AK558" s="390">
        <v>44743</v>
      </c>
      <c r="AL558" s="389">
        <v>100</v>
      </c>
      <c r="AM558" s="391" t="s">
        <v>548</v>
      </c>
      <c r="AN558" s="391" t="s">
        <v>549</v>
      </c>
      <c r="AO558" s="391" t="s">
        <v>4846</v>
      </c>
    </row>
    <row r="559" spans="1:43" ht="16" thickBot="1">
      <c r="A559" s="387" t="s">
        <v>2166</v>
      </c>
      <c r="B559" s="387" t="s">
        <v>2814</v>
      </c>
      <c r="C559" s="387" t="s">
        <v>4847</v>
      </c>
      <c r="D559" s="387" t="s">
        <v>4848</v>
      </c>
      <c r="E559" s="387">
        <v>30</v>
      </c>
      <c r="F559" s="387" t="s">
        <v>584</v>
      </c>
      <c r="G559" s="387">
        <v>30</v>
      </c>
      <c r="H559" s="387" t="s">
        <v>584</v>
      </c>
      <c r="I559" s="387" t="s">
        <v>585</v>
      </c>
      <c r="J559" s="387" t="s">
        <v>4842</v>
      </c>
      <c r="K559" s="387" t="s">
        <v>4849</v>
      </c>
      <c r="L559" s="387" t="s">
        <v>2595</v>
      </c>
      <c r="M559" s="387" t="s">
        <v>2596</v>
      </c>
      <c r="N559" s="388">
        <v>287.5</v>
      </c>
      <c r="O559" s="388">
        <v>14</v>
      </c>
      <c r="P559" s="387" t="s">
        <v>538</v>
      </c>
      <c r="Q559" s="387" t="s">
        <v>539</v>
      </c>
      <c r="R559" s="387" t="s">
        <v>4844</v>
      </c>
      <c r="S559" s="387" t="s">
        <v>171</v>
      </c>
      <c r="T559" s="387" t="s">
        <v>1908</v>
      </c>
      <c r="U559" s="388">
        <v>12995</v>
      </c>
      <c r="V559" s="387">
        <v>6009880039173</v>
      </c>
      <c r="W559" s="387" t="s">
        <v>543</v>
      </c>
      <c r="X559" s="387" t="s">
        <v>543</v>
      </c>
      <c r="Y559" s="387" t="s">
        <v>543</v>
      </c>
      <c r="Z559" s="387" t="s">
        <v>543</v>
      </c>
      <c r="AA559" s="388" t="s">
        <v>543</v>
      </c>
      <c r="AB559" s="388" t="s">
        <v>543</v>
      </c>
      <c r="AC559" s="387">
        <v>722788001</v>
      </c>
      <c r="AD559" s="389">
        <v>20</v>
      </c>
      <c r="AE559" s="390">
        <v>44743</v>
      </c>
      <c r="AF559" s="390">
        <v>45473</v>
      </c>
      <c r="AG559" s="391" t="s">
        <v>545</v>
      </c>
      <c r="AH559" s="391" t="s">
        <v>4850</v>
      </c>
      <c r="AI559" s="391" t="s">
        <v>2599</v>
      </c>
      <c r="AJ559" s="391">
        <v>0</v>
      </c>
      <c r="AK559" s="390">
        <v>44743</v>
      </c>
      <c r="AL559" s="389">
        <v>100</v>
      </c>
      <c r="AM559" s="391" t="s">
        <v>548</v>
      </c>
      <c r="AN559" s="391" t="s">
        <v>549</v>
      </c>
      <c r="AO559" s="391" t="s">
        <v>4851</v>
      </c>
    </row>
    <row r="560" spans="1:43" ht="16" thickBot="1">
      <c r="A560" s="387" t="s">
        <v>1766</v>
      </c>
      <c r="B560" s="387" t="s">
        <v>3361</v>
      </c>
      <c r="C560" s="387" t="s">
        <v>4852</v>
      </c>
      <c r="D560" s="387" t="s">
        <v>4853</v>
      </c>
      <c r="E560" s="387">
        <v>1</v>
      </c>
      <c r="F560" s="387" t="s">
        <v>1780</v>
      </c>
      <c r="G560" s="387">
        <v>1</v>
      </c>
      <c r="H560" s="387" t="s">
        <v>1780</v>
      </c>
      <c r="I560" s="387" t="s">
        <v>1751</v>
      </c>
      <c r="J560" s="387" t="s">
        <v>4854</v>
      </c>
      <c r="K560" s="387" t="s">
        <v>4855</v>
      </c>
      <c r="L560" s="387" t="s">
        <v>1771</v>
      </c>
      <c r="M560" s="387" t="s">
        <v>1772</v>
      </c>
      <c r="N560" s="388">
        <v>67.28</v>
      </c>
      <c r="O560" s="388">
        <v>14</v>
      </c>
      <c r="P560" s="387" t="s">
        <v>538</v>
      </c>
      <c r="Q560" s="387" t="s">
        <v>539</v>
      </c>
      <c r="R560" s="387" t="s">
        <v>4856</v>
      </c>
      <c r="S560" s="387" t="s">
        <v>171</v>
      </c>
      <c r="T560" s="387" t="s">
        <v>757</v>
      </c>
      <c r="U560" s="388">
        <v>275460</v>
      </c>
      <c r="V560" s="387">
        <v>6008288003205</v>
      </c>
      <c r="W560" s="387" t="s">
        <v>543</v>
      </c>
      <c r="X560" s="387" t="s">
        <v>543</v>
      </c>
      <c r="Y560" s="387" t="s">
        <v>4857</v>
      </c>
      <c r="Z560" s="387" t="s">
        <v>543</v>
      </c>
      <c r="AA560" s="388" t="s">
        <v>543</v>
      </c>
      <c r="AB560" s="388" t="s">
        <v>543</v>
      </c>
      <c r="AC560" s="387">
        <v>715342001</v>
      </c>
      <c r="AD560" s="389">
        <v>24</v>
      </c>
      <c r="AE560" s="390">
        <v>44470</v>
      </c>
      <c r="AF560" s="390">
        <v>45199</v>
      </c>
      <c r="AG560" s="390">
        <v>45199</v>
      </c>
      <c r="AH560" s="391" t="s">
        <v>4858</v>
      </c>
      <c r="AI560" s="391" t="s">
        <v>1776</v>
      </c>
      <c r="AJ560" s="391">
        <v>23</v>
      </c>
      <c r="AK560" s="390">
        <v>45047</v>
      </c>
      <c r="AL560" s="389">
        <v>100</v>
      </c>
      <c r="AM560" s="391" t="s">
        <v>548</v>
      </c>
      <c r="AN560" s="391" t="s">
        <v>549</v>
      </c>
      <c r="AO560" s="391" t="s">
        <v>4859</v>
      </c>
    </row>
    <row r="561" spans="1:41" ht="16" thickBot="1">
      <c r="A561" s="387" t="s">
        <v>3389</v>
      </c>
      <c r="B561" s="387" t="s">
        <v>590</v>
      </c>
      <c r="C561" s="387" t="s">
        <v>4860</v>
      </c>
      <c r="D561" s="387" t="s">
        <v>4861</v>
      </c>
      <c r="E561" s="387">
        <v>12</v>
      </c>
      <c r="F561" s="387" t="s">
        <v>770</v>
      </c>
      <c r="G561" s="387">
        <v>12</v>
      </c>
      <c r="H561" s="387" t="s">
        <v>770</v>
      </c>
      <c r="I561" s="387" t="s">
        <v>2181</v>
      </c>
      <c r="J561" s="387" t="s">
        <v>4862</v>
      </c>
      <c r="K561" s="387" t="s">
        <v>4863</v>
      </c>
      <c r="L561" s="387" t="s">
        <v>2467</v>
      </c>
      <c r="M561" s="387" t="s">
        <v>2468</v>
      </c>
      <c r="N561" s="388">
        <v>710</v>
      </c>
      <c r="O561" s="388">
        <v>14</v>
      </c>
      <c r="P561" s="387" t="s">
        <v>611</v>
      </c>
      <c r="Q561" s="387" t="s">
        <v>3396</v>
      </c>
      <c r="R561" s="387" t="s">
        <v>4864</v>
      </c>
      <c r="S561" s="387" t="s">
        <v>614</v>
      </c>
      <c r="T561" s="387" t="s">
        <v>160</v>
      </c>
      <c r="U561" s="388">
        <v>46465</v>
      </c>
      <c r="V561" s="387">
        <v>9314057005668</v>
      </c>
      <c r="W561" s="387">
        <v>9314057005668</v>
      </c>
      <c r="X561" s="387" t="s">
        <v>543</v>
      </c>
      <c r="Y561" s="387" t="s">
        <v>543</v>
      </c>
      <c r="Z561" s="387" t="s">
        <v>543</v>
      </c>
      <c r="AA561" s="388" t="s">
        <v>543</v>
      </c>
      <c r="AB561" s="388" t="s">
        <v>543</v>
      </c>
      <c r="AC561" s="387" t="s">
        <v>543</v>
      </c>
      <c r="AD561" s="389" t="s">
        <v>4865</v>
      </c>
      <c r="AE561" s="390">
        <v>44137</v>
      </c>
      <c r="AF561" s="390">
        <v>45107</v>
      </c>
      <c r="AG561" s="390">
        <v>45107</v>
      </c>
      <c r="AH561" s="391" t="s">
        <v>4866</v>
      </c>
      <c r="AI561" s="391" t="s">
        <v>2471</v>
      </c>
      <c r="AJ561" s="391">
        <v>0</v>
      </c>
      <c r="AK561" s="390">
        <v>44137</v>
      </c>
      <c r="AL561" s="389">
        <v>100</v>
      </c>
      <c r="AM561" s="391" t="s">
        <v>548</v>
      </c>
      <c r="AN561" s="391" t="s">
        <v>545</v>
      </c>
      <c r="AO561" s="391" t="s">
        <v>4867</v>
      </c>
    </row>
    <row r="562" spans="1:41" ht="16" thickBot="1">
      <c r="A562" s="387" t="s">
        <v>1835</v>
      </c>
      <c r="B562" s="387" t="s">
        <v>993</v>
      </c>
      <c r="C562" s="387" t="s">
        <v>4868</v>
      </c>
      <c r="D562" s="387" t="s">
        <v>4869</v>
      </c>
      <c r="E562" s="387">
        <v>2</v>
      </c>
      <c r="F562" s="387" t="s">
        <v>531</v>
      </c>
      <c r="G562" s="387">
        <v>50</v>
      </c>
      <c r="H562" s="387" t="s">
        <v>531</v>
      </c>
      <c r="I562" s="387" t="s">
        <v>1751</v>
      </c>
      <c r="J562" s="387" t="s">
        <v>4870</v>
      </c>
      <c r="K562" s="387" t="s">
        <v>4871</v>
      </c>
      <c r="L562" s="387" t="s">
        <v>1841</v>
      </c>
      <c r="M562" s="387" t="s">
        <v>1842</v>
      </c>
      <c r="N562" s="388">
        <v>844.15</v>
      </c>
      <c r="O562" s="388">
        <v>14</v>
      </c>
      <c r="P562" s="387" t="s">
        <v>538</v>
      </c>
      <c r="Q562" s="387" t="s">
        <v>539</v>
      </c>
      <c r="R562" s="387" t="s">
        <v>4872</v>
      </c>
      <c r="S562" s="387" t="s">
        <v>541</v>
      </c>
      <c r="T562" s="387" t="s">
        <v>542</v>
      </c>
      <c r="U562" s="388">
        <v>54020</v>
      </c>
      <c r="V562" s="387">
        <v>6006178000082</v>
      </c>
      <c r="W562" s="387" t="s">
        <v>543</v>
      </c>
      <c r="X562" s="387" t="s">
        <v>543</v>
      </c>
      <c r="Y562" s="387" t="s">
        <v>543</v>
      </c>
      <c r="Z562" s="387" t="s">
        <v>543</v>
      </c>
      <c r="AA562" s="388" t="s">
        <v>543</v>
      </c>
      <c r="AB562" s="388" t="s">
        <v>543</v>
      </c>
      <c r="AC562" s="387">
        <v>810509008</v>
      </c>
      <c r="AD562" s="389">
        <v>20</v>
      </c>
      <c r="AE562" s="390">
        <v>44974</v>
      </c>
      <c r="AF562" s="390">
        <v>45657</v>
      </c>
      <c r="AG562" s="391" t="s">
        <v>545</v>
      </c>
      <c r="AH562" s="391" t="s">
        <v>4873</v>
      </c>
      <c r="AI562" s="391" t="s">
        <v>1845</v>
      </c>
      <c r="AJ562" s="391">
        <v>0</v>
      </c>
      <c r="AK562" s="390">
        <v>44974</v>
      </c>
      <c r="AL562" s="389">
        <v>100</v>
      </c>
      <c r="AM562" s="391" t="s">
        <v>548</v>
      </c>
      <c r="AN562" s="391" t="s">
        <v>549</v>
      </c>
      <c r="AO562" s="391" t="s">
        <v>4874</v>
      </c>
    </row>
    <row r="563" spans="1:41" ht="16" thickBot="1">
      <c r="A563" s="387" t="s">
        <v>1835</v>
      </c>
      <c r="B563" s="387" t="s">
        <v>985</v>
      </c>
      <c r="C563" s="387" t="s">
        <v>4875</v>
      </c>
      <c r="D563" s="387" t="s">
        <v>4876</v>
      </c>
      <c r="E563" s="387">
        <v>1</v>
      </c>
      <c r="F563" s="387" t="s">
        <v>1780</v>
      </c>
      <c r="G563" s="387">
        <v>1</v>
      </c>
      <c r="H563" s="387" t="s">
        <v>1780</v>
      </c>
      <c r="I563" s="387" t="s">
        <v>1751</v>
      </c>
      <c r="J563" s="387" t="s">
        <v>4877</v>
      </c>
      <c r="K563" s="387" t="s">
        <v>4878</v>
      </c>
      <c r="L563" s="387" t="s">
        <v>1841</v>
      </c>
      <c r="M563" s="387" t="s">
        <v>1842</v>
      </c>
      <c r="N563" s="388">
        <v>915.04</v>
      </c>
      <c r="O563" s="388">
        <v>14</v>
      </c>
      <c r="P563" s="387" t="s">
        <v>538</v>
      </c>
      <c r="Q563" s="387" t="s">
        <v>539</v>
      </c>
      <c r="R563" s="387" t="s">
        <v>4879</v>
      </c>
      <c r="S563" s="387" t="s">
        <v>541</v>
      </c>
      <c r="T563" s="387" t="s">
        <v>542</v>
      </c>
      <c r="U563" s="388">
        <v>1595</v>
      </c>
      <c r="V563" s="387">
        <v>6006178000143</v>
      </c>
      <c r="W563" s="387" t="s">
        <v>543</v>
      </c>
      <c r="X563" s="387" t="s">
        <v>543</v>
      </c>
      <c r="Y563" s="387" t="s">
        <v>543</v>
      </c>
      <c r="Z563" s="387" t="s">
        <v>543</v>
      </c>
      <c r="AA563" s="388" t="s">
        <v>543</v>
      </c>
      <c r="AB563" s="388" t="s">
        <v>543</v>
      </c>
      <c r="AC563" s="387">
        <v>731501004</v>
      </c>
      <c r="AD563" s="389">
        <v>20</v>
      </c>
      <c r="AE563" s="390">
        <v>44974</v>
      </c>
      <c r="AF563" s="390">
        <v>45657</v>
      </c>
      <c r="AG563" s="391" t="s">
        <v>545</v>
      </c>
      <c r="AH563" s="391" t="s">
        <v>4880</v>
      </c>
      <c r="AI563" s="391" t="s">
        <v>1845</v>
      </c>
      <c r="AJ563" s="391">
        <v>0</v>
      </c>
      <c r="AK563" s="390">
        <v>44974</v>
      </c>
      <c r="AL563" s="389">
        <v>100</v>
      </c>
      <c r="AM563" s="391" t="s">
        <v>548</v>
      </c>
      <c r="AN563" s="391" t="s">
        <v>549</v>
      </c>
      <c r="AO563" s="391" t="s">
        <v>4881</v>
      </c>
    </row>
    <row r="564" spans="1:41" ht="16" thickBot="1">
      <c r="A564" s="387" t="s">
        <v>1835</v>
      </c>
      <c r="B564" s="387" t="s">
        <v>994</v>
      </c>
      <c r="C564" s="387" t="s">
        <v>4882</v>
      </c>
      <c r="D564" s="387" t="s">
        <v>4883</v>
      </c>
      <c r="E564" s="387">
        <v>1</v>
      </c>
      <c r="F564" s="387" t="s">
        <v>1780</v>
      </c>
      <c r="G564" s="387">
        <v>1</v>
      </c>
      <c r="H564" s="387" t="s">
        <v>1780</v>
      </c>
      <c r="I564" s="387" t="s">
        <v>1838</v>
      </c>
      <c r="J564" s="387" t="s">
        <v>4884</v>
      </c>
      <c r="K564" s="387" t="s">
        <v>4885</v>
      </c>
      <c r="L564" s="387" t="s">
        <v>1841</v>
      </c>
      <c r="M564" s="387" t="s">
        <v>1842</v>
      </c>
      <c r="N564" s="388">
        <v>6039.94</v>
      </c>
      <c r="O564" s="388">
        <v>14</v>
      </c>
      <c r="P564" s="387" t="s">
        <v>538</v>
      </c>
      <c r="Q564" s="387" t="s">
        <v>539</v>
      </c>
      <c r="R564" s="387" t="s">
        <v>4886</v>
      </c>
      <c r="S564" s="387" t="s">
        <v>171</v>
      </c>
      <c r="T564" s="387" t="s">
        <v>1908</v>
      </c>
      <c r="U564" s="388">
        <v>24743</v>
      </c>
      <c r="V564" s="387">
        <v>6006178000129</v>
      </c>
      <c r="W564" s="387" t="s">
        <v>543</v>
      </c>
      <c r="X564" s="387" t="s">
        <v>543</v>
      </c>
      <c r="Y564" s="387" t="s">
        <v>543</v>
      </c>
      <c r="Z564" s="387" t="s">
        <v>543</v>
      </c>
      <c r="AA564" s="388" t="s">
        <v>543</v>
      </c>
      <c r="AB564" s="388" t="s">
        <v>543</v>
      </c>
      <c r="AC564" s="387">
        <v>819670006</v>
      </c>
      <c r="AD564" s="389">
        <v>6</v>
      </c>
      <c r="AE564" s="390">
        <v>44974</v>
      </c>
      <c r="AF564" s="390">
        <v>45657</v>
      </c>
      <c r="AG564" s="390">
        <v>45657</v>
      </c>
      <c r="AH564" s="391" t="s">
        <v>4887</v>
      </c>
      <c r="AI564" s="391" t="s">
        <v>1845</v>
      </c>
      <c r="AJ564" s="391">
        <v>0</v>
      </c>
      <c r="AK564" s="390">
        <v>44974</v>
      </c>
      <c r="AL564" s="389">
        <v>100</v>
      </c>
      <c r="AM564" s="391" t="s">
        <v>548</v>
      </c>
      <c r="AN564" s="391" t="s">
        <v>549</v>
      </c>
      <c r="AO564" s="391" t="s">
        <v>4888</v>
      </c>
    </row>
    <row r="565" spans="1:41" ht="16" thickBot="1">
      <c r="A565" s="387" t="s">
        <v>1835</v>
      </c>
      <c r="B565" s="387" t="s">
        <v>557</v>
      </c>
      <c r="C565" s="387" t="s">
        <v>4889</v>
      </c>
      <c r="D565" s="387" t="s">
        <v>4890</v>
      </c>
      <c r="E565" s="387">
        <v>2</v>
      </c>
      <c r="F565" s="387" t="s">
        <v>531</v>
      </c>
      <c r="G565" s="387">
        <v>2</v>
      </c>
      <c r="H565" s="387" t="s">
        <v>531</v>
      </c>
      <c r="I565" s="387" t="s">
        <v>1751</v>
      </c>
      <c r="J565" s="387" t="s">
        <v>4884</v>
      </c>
      <c r="K565" s="387" t="s">
        <v>4891</v>
      </c>
      <c r="L565" s="387" t="s">
        <v>3015</v>
      </c>
      <c r="M565" s="387" t="s">
        <v>3016</v>
      </c>
      <c r="N565" s="388">
        <v>432</v>
      </c>
      <c r="O565" s="388">
        <v>14</v>
      </c>
      <c r="P565" s="387" t="s">
        <v>538</v>
      </c>
      <c r="Q565" s="387" t="s">
        <v>539</v>
      </c>
      <c r="R565" s="387" t="s">
        <v>4886</v>
      </c>
      <c r="S565" s="387" t="s">
        <v>541</v>
      </c>
      <c r="T565" s="387" t="s">
        <v>757</v>
      </c>
      <c r="U565" s="388">
        <v>3130</v>
      </c>
      <c r="V565" s="387" t="s">
        <v>543</v>
      </c>
      <c r="W565" s="387" t="s">
        <v>543</v>
      </c>
      <c r="X565" s="387" t="s">
        <v>543</v>
      </c>
      <c r="Y565" s="387" t="s">
        <v>543</v>
      </c>
      <c r="Z565" s="387" t="s">
        <v>543</v>
      </c>
      <c r="AA565" s="388" t="s">
        <v>543</v>
      </c>
      <c r="AB565" s="388" t="s">
        <v>543</v>
      </c>
      <c r="AC565" s="387">
        <v>707783003</v>
      </c>
      <c r="AD565" s="389">
        <v>20</v>
      </c>
      <c r="AE565" s="390">
        <v>44974</v>
      </c>
      <c r="AF565" s="390">
        <v>45657</v>
      </c>
      <c r="AG565" s="391" t="s">
        <v>545</v>
      </c>
      <c r="AH565" s="391" t="s">
        <v>4892</v>
      </c>
      <c r="AI565" s="391" t="s">
        <v>3019</v>
      </c>
      <c r="AJ565" s="391">
        <v>0</v>
      </c>
      <c r="AK565" s="390">
        <v>44979</v>
      </c>
      <c r="AL565" s="389">
        <v>100</v>
      </c>
      <c r="AM565" s="391" t="s">
        <v>548</v>
      </c>
      <c r="AN565" s="391" t="s">
        <v>549</v>
      </c>
      <c r="AO565" s="391" t="s">
        <v>4893</v>
      </c>
    </row>
    <row r="566" spans="1:41" ht="16" thickBot="1">
      <c r="A566" s="387" t="s">
        <v>1835</v>
      </c>
      <c r="B566" s="387" t="s">
        <v>999</v>
      </c>
      <c r="C566" s="387" t="s">
        <v>4894</v>
      </c>
      <c r="D566" s="387" t="s">
        <v>4895</v>
      </c>
      <c r="E566" s="387">
        <v>5</v>
      </c>
      <c r="F566" s="387" t="s">
        <v>531</v>
      </c>
      <c r="G566" s="387">
        <v>5</v>
      </c>
      <c r="H566" s="387" t="s">
        <v>531</v>
      </c>
      <c r="I566" s="387" t="s">
        <v>1751</v>
      </c>
      <c r="J566" s="387" t="s">
        <v>4884</v>
      </c>
      <c r="K566" s="387" t="s">
        <v>4896</v>
      </c>
      <c r="L566" s="387" t="s">
        <v>1841</v>
      </c>
      <c r="M566" s="387" t="s">
        <v>1842</v>
      </c>
      <c r="N566" s="388">
        <v>345.08</v>
      </c>
      <c r="O566" s="388">
        <v>14</v>
      </c>
      <c r="P566" s="387" t="s">
        <v>538</v>
      </c>
      <c r="Q566" s="387" t="s">
        <v>539</v>
      </c>
      <c r="R566" s="387" t="s">
        <v>4886</v>
      </c>
      <c r="S566" s="387" t="s">
        <v>541</v>
      </c>
      <c r="T566" s="387" t="s">
        <v>757</v>
      </c>
      <c r="U566" s="388">
        <v>2178</v>
      </c>
      <c r="V566" s="387">
        <v>6006178000051</v>
      </c>
      <c r="W566" s="387" t="s">
        <v>543</v>
      </c>
      <c r="X566" s="387" t="s">
        <v>543</v>
      </c>
      <c r="Y566" s="387" t="s">
        <v>543</v>
      </c>
      <c r="Z566" s="387" t="s">
        <v>543</v>
      </c>
      <c r="AA566" s="388" t="s">
        <v>543</v>
      </c>
      <c r="AB566" s="388" t="s">
        <v>543</v>
      </c>
      <c r="AC566" s="387">
        <v>731463005</v>
      </c>
      <c r="AD566" s="389">
        <v>20</v>
      </c>
      <c r="AE566" s="390">
        <v>44974</v>
      </c>
      <c r="AF566" s="390">
        <v>45657</v>
      </c>
      <c r="AG566" s="391" t="s">
        <v>545</v>
      </c>
      <c r="AH566" s="391" t="s">
        <v>4897</v>
      </c>
      <c r="AI566" s="391" t="s">
        <v>1845</v>
      </c>
      <c r="AJ566" s="391">
        <v>0</v>
      </c>
      <c r="AK566" s="390">
        <v>44974</v>
      </c>
      <c r="AL566" s="389">
        <v>100</v>
      </c>
      <c r="AM566" s="391" t="s">
        <v>548</v>
      </c>
      <c r="AN566" s="391" t="s">
        <v>549</v>
      </c>
      <c r="AO566" s="391" t="s">
        <v>4893</v>
      </c>
    </row>
    <row r="567" spans="1:41" ht="16" thickBot="1">
      <c r="A567" s="387" t="s">
        <v>1835</v>
      </c>
      <c r="B567" s="387" t="s">
        <v>1004</v>
      </c>
      <c r="C567" s="387" t="s">
        <v>4898</v>
      </c>
      <c r="D567" s="387" t="s">
        <v>4899</v>
      </c>
      <c r="E567" s="387">
        <v>1</v>
      </c>
      <c r="F567" s="387" t="s">
        <v>1780</v>
      </c>
      <c r="G567" s="387">
        <v>1</v>
      </c>
      <c r="H567" s="387" t="s">
        <v>1780</v>
      </c>
      <c r="I567" s="387" t="s">
        <v>1838</v>
      </c>
      <c r="J567" s="387" t="s">
        <v>4884</v>
      </c>
      <c r="K567" s="387" t="s">
        <v>4900</v>
      </c>
      <c r="L567" s="387" t="s">
        <v>1841</v>
      </c>
      <c r="M567" s="387" t="s">
        <v>1842</v>
      </c>
      <c r="N567" s="388">
        <v>735.14</v>
      </c>
      <c r="O567" s="388">
        <v>14</v>
      </c>
      <c r="P567" s="387" t="s">
        <v>538</v>
      </c>
      <c r="Q567" s="387" t="s">
        <v>539</v>
      </c>
      <c r="R567" s="387" t="s">
        <v>4886</v>
      </c>
      <c r="S567" s="387" t="s">
        <v>541</v>
      </c>
      <c r="T567" s="387" t="s">
        <v>757</v>
      </c>
      <c r="U567" s="388">
        <v>9413</v>
      </c>
      <c r="V567" s="387">
        <v>6006178000099</v>
      </c>
      <c r="W567" s="387" t="s">
        <v>543</v>
      </c>
      <c r="X567" s="387" t="s">
        <v>543</v>
      </c>
      <c r="Y567" s="387" t="s">
        <v>543</v>
      </c>
      <c r="Z567" s="387" t="s">
        <v>543</v>
      </c>
      <c r="AA567" s="388" t="s">
        <v>543</v>
      </c>
      <c r="AB567" s="388" t="s">
        <v>543</v>
      </c>
      <c r="AC567" s="387">
        <v>800775007</v>
      </c>
      <c r="AD567" s="389">
        <v>12</v>
      </c>
      <c r="AE567" s="390">
        <v>44974</v>
      </c>
      <c r="AF567" s="390">
        <v>45657</v>
      </c>
      <c r="AG567" s="391" t="s">
        <v>545</v>
      </c>
      <c r="AH567" s="391" t="s">
        <v>4901</v>
      </c>
      <c r="AI567" s="391" t="s">
        <v>1845</v>
      </c>
      <c r="AJ567" s="391">
        <v>0</v>
      </c>
      <c r="AK567" s="390">
        <v>44974</v>
      </c>
      <c r="AL567" s="389">
        <v>100</v>
      </c>
      <c r="AM567" s="391" t="s">
        <v>548</v>
      </c>
      <c r="AN567" s="391" t="s">
        <v>549</v>
      </c>
      <c r="AO567" s="391" t="s">
        <v>4902</v>
      </c>
    </row>
    <row r="568" spans="1:41" ht="16" thickBot="1">
      <c r="A568" s="387" t="s">
        <v>1835</v>
      </c>
      <c r="B568" s="387" t="s">
        <v>573</v>
      </c>
      <c r="C568" s="387" t="s">
        <v>4903</v>
      </c>
      <c r="D568" s="387" t="s">
        <v>4904</v>
      </c>
      <c r="E568" s="387">
        <v>1</v>
      </c>
      <c r="F568" s="387" t="s">
        <v>1780</v>
      </c>
      <c r="G568" s="387">
        <v>1</v>
      </c>
      <c r="H568" s="387" t="s">
        <v>1780</v>
      </c>
      <c r="I568" s="387" t="s">
        <v>1838</v>
      </c>
      <c r="J568" s="387" t="s">
        <v>4884</v>
      </c>
      <c r="K568" s="387" t="s">
        <v>4905</v>
      </c>
      <c r="L568" s="387" t="s">
        <v>1841</v>
      </c>
      <c r="M568" s="387" t="s">
        <v>1842</v>
      </c>
      <c r="N568" s="388">
        <v>1509.98</v>
      </c>
      <c r="O568" s="388">
        <v>14</v>
      </c>
      <c r="P568" s="387" t="s">
        <v>538</v>
      </c>
      <c r="Q568" s="387" t="s">
        <v>539</v>
      </c>
      <c r="R568" s="387" t="s">
        <v>4886</v>
      </c>
      <c r="S568" s="387" t="s">
        <v>541</v>
      </c>
      <c r="T568" s="387" t="s">
        <v>757</v>
      </c>
      <c r="U568" s="388">
        <v>11401</v>
      </c>
      <c r="V568" s="387">
        <v>6006178000105</v>
      </c>
      <c r="W568" s="387" t="s">
        <v>543</v>
      </c>
      <c r="X568" s="387" t="s">
        <v>543</v>
      </c>
      <c r="Y568" s="387" t="s">
        <v>543</v>
      </c>
      <c r="Z568" s="387" t="s">
        <v>543</v>
      </c>
      <c r="AA568" s="388" t="s">
        <v>543</v>
      </c>
      <c r="AB568" s="388" t="s">
        <v>543</v>
      </c>
      <c r="AC568" s="387">
        <v>800783018</v>
      </c>
      <c r="AD568" s="389">
        <v>10</v>
      </c>
      <c r="AE568" s="390">
        <v>44974</v>
      </c>
      <c r="AF568" s="390">
        <v>45657</v>
      </c>
      <c r="AG568" s="391" t="s">
        <v>545</v>
      </c>
      <c r="AH568" s="391" t="s">
        <v>4906</v>
      </c>
      <c r="AI568" s="391" t="s">
        <v>1845</v>
      </c>
      <c r="AJ568" s="391">
        <v>0</v>
      </c>
      <c r="AK568" s="390">
        <v>44974</v>
      </c>
      <c r="AL568" s="389">
        <v>100</v>
      </c>
      <c r="AM568" s="391" t="s">
        <v>548</v>
      </c>
      <c r="AN568" s="391" t="s">
        <v>549</v>
      </c>
      <c r="AO568" s="391" t="s">
        <v>4907</v>
      </c>
    </row>
    <row r="569" spans="1:41" ht="16" thickBot="1">
      <c r="A569" s="387" t="s">
        <v>1835</v>
      </c>
      <c r="B569" s="387" t="s">
        <v>2054</v>
      </c>
      <c r="C569" s="387" t="s">
        <v>4908</v>
      </c>
      <c r="D569" s="387" t="s">
        <v>4909</v>
      </c>
      <c r="E569" s="387">
        <v>1</v>
      </c>
      <c r="F569" s="387" t="s">
        <v>1780</v>
      </c>
      <c r="G569" s="387">
        <v>1</v>
      </c>
      <c r="H569" s="387" t="s">
        <v>1780</v>
      </c>
      <c r="I569" s="387" t="s">
        <v>1838</v>
      </c>
      <c r="J569" s="387" t="s">
        <v>4884</v>
      </c>
      <c r="K569" s="387" t="s">
        <v>4910</v>
      </c>
      <c r="L569" s="387" t="s">
        <v>1841</v>
      </c>
      <c r="M569" s="387" t="s">
        <v>1842</v>
      </c>
      <c r="N569" s="388">
        <v>3019.97</v>
      </c>
      <c r="O569" s="388">
        <v>14</v>
      </c>
      <c r="P569" s="387" t="s">
        <v>538</v>
      </c>
      <c r="Q569" s="387" t="s">
        <v>539</v>
      </c>
      <c r="R569" s="387" t="s">
        <v>4886</v>
      </c>
      <c r="S569" s="387" t="s">
        <v>541</v>
      </c>
      <c r="T569" s="387" t="s">
        <v>757</v>
      </c>
      <c r="U569" s="388">
        <v>10822</v>
      </c>
      <c r="V569" s="387">
        <v>6006178000112</v>
      </c>
      <c r="W569" s="387" t="s">
        <v>543</v>
      </c>
      <c r="X569" s="387" t="s">
        <v>543</v>
      </c>
      <c r="Y569" s="387" t="s">
        <v>543</v>
      </c>
      <c r="Z569" s="387" t="s">
        <v>543</v>
      </c>
      <c r="AA569" s="388" t="s">
        <v>543</v>
      </c>
      <c r="AB569" s="388" t="s">
        <v>543</v>
      </c>
      <c r="AC569" s="387">
        <v>813656001</v>
      </c>
      <c r="AD569" s="389">
        <v>10</v>
      </c>
      <c r="AE569" s="390">
        <v>44974</v>
      </c>
      <c r="AF569" s="390">
        <v>45657</v>
      </c>
      <c r="AG569" s="391" t="s">
        <v>545</v>
      </c>
      <c r="AH569" s="391" t="s">
        <v>4911</v>
      </c>
      <c r="AI569" s="391" t="s">
        <v>1845</v>
      </c>
      <c r="AJ569" s="391">
        <v>0</v>
      </c>
      <c r="AK569" s="390">
        <v>44974</v>
      </c>
      <c r="AL569" s="389">
        <v>100</v>
      </c>
      <c r="AM569" s="391" t="s">
        <v>548</v>
      </c>
      <c r="AN569" s="391" t="s">
        <v>549</v>
      </c>
      <c r="AO569" s="391" t="s">
        <v>4912</v>
      </c>
    </row>
    <row r="570" spans="1:41" ht="16" thickBot="1">
      <c r="A570" s="387" t="s">
        <v>1835</v>
      </c>
      <c r="B570" s="387" t="s">
        <v>603</v>
      </c>
      <c r="C570" s="387" t="s">
        <v>4913</v>
      </c>
      <c r="D570" s="387" t="s">
        <v>4914</v>
      </c>
      <c r="E570" s="387">
        <v>2</v>
      </c>
      <c r="F570" s="387" t="s">
        <v>531</v>
      </c>
      <c r="G570" s="387">
        <v>2</v>
      </c>
      <c r="H570" s="387" t="s">
        <v>531</v>
      </c>
      <c r="I570" s="387" t="s">
        <v>1751</v>
      </c>
      <c r="J570" s="387" t="s">
        <v>4915</v>
      </c>
      <c r="K570" s="387" t="s">
        <v>4916</v>
      </c>
      <c r="L570" s="387" t="s">
        <v>1841</v>
      </c>
      <c r="M570" s="387" t="s">
        <v>1842</v>
      </c>
      <c r="N570" s="388">
        <v>936.1</v>
      </c>
      <c r="O570" s="388">
        <v>14</v>
      </c>
      <c r="P570" s="387" t="s">
        <v>538</v>
      </c>
      <c r="Q570" s="387" t="s">
        <v>539</v>
      </c>
      <c r="R570" s="387" t="s">
        <v>4917</v>
      </c>
      <c r="S570" s="387" t="s">
        <v>541</v>
      </c>
      <c r="T570" s="387" t="s">
        <v>542</v>
      </c>
      <c r="U570" s="388">
        <v>41480</v>
      </c>
      <c r="V570" s="387">
        <v>6006178000150</v>
      </c>
      <c r="W570" s="387" t="s">
        <v>543</v>
      </c>
      <c r="X570" s="387" t="s">
        <v>543</v>
      </c>
      <c r="Y570" s="387" t="s">
        <v>543</v>
      </c>
      <c r="Z570" s="387" t="s">
        <v>543</v>
      </c>
      <c r="AA570" s="388" t="s">
        <v>543</v>
      </c>
      <c r="AB570" s="388" t="s">
        <v>543</v>
      </c>
      <c r="AC570" s="387">
        <v>731528018</v>
      </c>
      <c r="AD570" s="389">
        <v>20</v>
      </c>
      <c r="AE570" s="390">
        <v>44974</v>
      </c>
      <c r="AF570" s="390">
        <v>45657</v>
      </c>
      <c r="AG570" s="391" t="s">
        <v>545</v>
      </c>
      <c r="AH570" s="391" t="s">
        <v>4918</v>
      </c>
      <c r="AI570" s="391" t="s">
        <v>1845</v>
      </c>
      <c r="AJ570" s="391">
        <v>0</v>
      </c>
      <c r="AK570" s="390">
        <v>44974</v>
      </c>
      <c r="AL570" s="389">
        <v>100</v>
      </c>
      <c r="AM570" s="391" t="s">
        <v>548</v>
      </c>
      <c r="AN570" s="391" t="s">
        <v>549</v>
      </c>
      <c r="AO570" s="391" t="s">
        <v>4919</v>
      </c>
    </row>
    <row r="571" spans="1:41" ht="16" thickBot="1">
      <c r="A571" s="387" t="s">
        <v>1717</v>
      </c>
      <c r="B571" s="387" t="s">
        <v>4920</v>
      </c>
      <c r="C571" s="387" t="s">
        <v>4921</v>
      </c>
      <c r="D571" s="387" t="s">
        <v>4922</v>
      </c>
      <c r="E571" s="387">
        <v>100</v>
      </c>
      <c r="F571" s="387" t="s">
        <v>584</v>
      </c>
      <c r="G571" s="387">
        <v>100</v>
      </c>
      <c r="H571" s="387" t="s">
        <v>584</v>
      </c>
      <c r="I571" s="387" t="s">
        <v>585</v>
      </c>
      <c r="J571" s="387" t="s">
        <v>4923</v>
      </c>
      <c r="K571" s="387" t="s">
        <v>4924</v>
      </c>
      <c r="L571" s="387" t="s">
        <v>1809</v>
      </c>
      <c r="M571" s="387" t="s">
        <v>1810</v>
      </c>
      <c r="N571" s="388">
        <v>17.8</v>
      </c>
      <c r="O571" s="388">
        <v>14</v>
      </c>
      <c r="P571" s="387" t="s">
        <v>538</v>
      </c>
      <c r="Q571" s="387" t="s">
        <v>539</v>
      </c>
      <c r="R571" s="387" t="s">
        <v>4925</v>
      </c>
      <c r="S571" s="387" t="s">
        <v>171</v>
      </c>
      <c r="T571" s="387" t="s">
        <v>757</v>
      </c>
      <c r="U571" s="388">
        <v>3240000</v>
      </c>
      <c r="V571" s="387">
        <v>6006845003682</v>
      </c>
      <c r="W571" s="387">
        <v>6006845003682</v>
      </c>
      <c r="X571" s="387" t="s">
        <v>543</v>
      </c>
      <c r="Y571" s="387">
        <v>16006845003689</v>
      </c>
      <c r="Z571" s="387" t="s">
        <v>543</v>
      </c>
      <c r="AA571" s="388" t="s">
        <v>543</v>
      </c>
      <c r="AB571" s="388" t="s">
        <v>543</v>
      </c>
      <c r="AC571" s="387" t="s">
        <v>543</v>
      </c>
      <c r="AD571" s="389">
        <v>200</v>
      </c>
      <c r="AE571" s="390">
        <v>45047</v>
      </c>
      <c r="AF571" s="390">
        <v>46142</v>
      </c>
      <c r="AG571" s="391" t="s">
        <v>545</v>
      </c>
      <c r="AH571" s="391" t="s">
        <v>4926</v>
      </c>
      <c r="AI571" s="391" t="s">
        <v>1813</v>
      </c>
      <c r="AJ571" s="391">
        <v>0</v>
      </c>
      <c r="AK571" s="390">
        <v>45047</v>
      </c>
      <c r="AL571" s="389">
        <v>100</v>
      </c>
      <c r="AM571" s="391" t="s">
        <v>548</v>
      </c>
      <c r="AN571" s="391" t="s">
        <v>549</v>
      </c>
      <c r="AO571" s="391" t="s">
        <v>4927</v>
      </c>
    </row>
    <row r="572" spans="1:41" ht="16" thickBot="1">
      <c r="A572" s="387" t="s">
        <v>1748</v>
      </c>
      <c r="B572" s="387" t="s">
        <v>2830</v>
      </c>
      <c r="C572" s="387" t="s">
        <v>4928</v>
      </c>
      <c r="D572" s="387" t="s">
        <v>4929</v>
      </c>
      <c r="E572" s="387">
        <v>3</v>
      </c>
      <c r="F572" s="387" t="s">
        <v>531</v>
      </c>
      <c r="G572" s="387">
        <v>300</v>
      </c>
      <c r="H572" s="387" t="s">
        <v>4583</v>
      </c>
      <c r="I572" s="387" t="s">
        <v>4930</v>
      </c>
      <c r="J572" s="387" t="s">
        <v>4931</v>
      </c>
      <c r="K572" s="387" t="s">
        <v>4932</v>
      </c>
      <c r="L572" s="387" t="s">
        <v>1819</v>
      </c>
      <c r="M572" s="387" t="s">
        <v>1820</v>
      </c>
      <c r="N572" s="388">
        <v>51.06</v>
      </c>
      <c r="O572" s="388">
        <v>14</v>
      </c>
      <c r="P572" s="387" t="s">
        <v>611</v>
      </c>
      <c r="Q572" s="387" t="s">
        <v>4933</v>
      </c>
      <c r="R572" s="387" t="s">
        <v>4934</v>
      </c>
      <c r="S572" s="387" t="s">
        <v>614</v>
      </c>
      <c r="T572" s="387" t="s">
        <v>160</v>
      </c>
      <c r="U572" s="388">
        <v>33860</v>
      </c>
      <c r="V572" s="387" t="s">
        <v>543</v>
      </c>
      <c r="W572" s="387" t="s">
        <v>543</v>
      </c>
      <c r="X572" s="387" t="s">
        <v>543</v>
      </c>
      <c r="Y572" s="387" t="s">
        <v>543</v>
      </c>
      <c r="Z572" s="387" t="s">
        <v>543</v>
      </c>
      <c r="AA572" s="388" t="s">
        <v>543</v>
      </c>
      <c r="AB572" s="388" t="s">
        <v>543</v>
      </c>
      <c r="AC572" s="387" t="s">
        <v>543</v>
      </c>
      <c r="AD572" s="389">
        <v>5</v>
      </c>
      <c r="AE572" s="390">
        <v>44317</v>
      </c>
      <c r="AF572" s="390">
        <v>45412</v>
      </c>
      <c r="AG572" s="391" t="s">
        <v>545</v>
      </c>
      <c r="AH572" s="391" t="s">
        <v>4935</v>
      </c>
      <c r="AI572" s="391" t="s">
        <v>1823</v>
      </c>
      <c r="AJ572" s="391">
        <v>0</v>
      </c>
      <c r="AK572" s="390">
        <v>44317</v>
      </c>
      <c r="AL572" s="389">
        <v>100</v>
      </c>
      <c r="AM572" s="391" t="s">
        <v>548</v>
      </c>
      <c r="AN572" s="391" t="s">
        <v>549</v>
      </c>
      <c r="AO572" s="391" t="s">
        <v>4936</v>
      </c>
    </row>
    <row r="573" spans="1:41" ht="16" thickBot="1">
      <c r="A573" s="387" t="s">
        <v>1748</v>
      </c>
      <c r="B573" s="387" t="s">
        <v>3813</v>
      </c>
      <c r="C573" s="387" t="s">
        <v>4937</v>
      </c>
      <c r="D573" s="387" t="s">
        <v>4938</v>
      </c>
      <c r="E573" s="387">
        <v>3</v>
      </c>
      <c r="F573" s="387" t="s">
        <v>531</v>
      </c>
      <c r="G573" s="387">
        <v>300</v>
      </c>
      <c r="H573" s="387" t="s">
        <v>4583</v>
      </c>
      <c r="I573" s="387" t="s">
        <v>4939</v>
      </c>
      <c r="J573" s="387" t="s">
        <v>4940</v>
      </c>
      <c r="K573" s="387" t="s">
        <v>4941</v>
      </c>
      <c r="L573" s="387" t="s">
        <v>1819</v>
      </c>
      <c r="M573" s="387" t="s">
        <v>1820</v>
      </c>
      <c r="N573" s="388">
        <v>69.459999999999994</v>
      </c>
      <c r="O573" s="388">
        <v>14</v>
      </c>
      <c r="P573" s="387" t="s">
        <v>611</v>
      </c>
      <c r="Q573" s="387" t="s">
        <v>612</v>
      </c>
      <c r="R573" s="387" t="s">
        <v>4942</v>
      </c>
      <c r="S573" s="387" t="s">
        <v>614</v>
      </c>
      <c r="T573" s="387" t="s">
        <v>160</v>
      </c>
      <c r="U573" s="388">
        <v>7725</v>
      </c>
      <c r="V573" s="387" t="s">
        <v>543</v>
      </c>
      <c r="W573" s="387" t="s">
        <v>543</v>
      </c>
      <c r="X573" s="387" t="s">
        <v>543</v>
      </c>
      <c r="Y573" s="387" t="s">
        <v>543</v>
      </c>
      <c r="Z573" s="387" t="s">
        <v>543</v>
      </c>
      <c r="AA573" s="388" t="s">
        <v>543</v>
      </c>
      <c r="AB573" s="388" t="s">
        <v>543</v>
      </c>
      <c r="AC573" s="387" t="s">
        <v>543</v>
      </c>
      <c r="AD573" s="389">
        <v>5</v>
      </c>
      <c r="AE573" s="390">
        <v>44317</v>
      </c>
      <c r="AF573" s="390">
        <v>45412</v>
      </c>
      <c r="AG573" s="391" t="s">
        <v>545</v>
      </c>
      <c r="AH573" s="391" t="s">
        <v>4943</v>
      </c>
      <c r="AI573" s="391" t="s">
        <v>1823</v>
      </c>
      <c r="AJ573" s="391">
        <v>0</v>
      </c>
      <c r="AK573" s="390">
        <v>44317</v>
      </c>
      <c r="AL573" s="389">
        <v>100</v>
      </c>
      <c r="AM573" s="391" t="s">
        <v>548</v>
      </c>
      <c r="AN573" s="391" t="s">
        <v>549</v>
      </c>
      <c r="AO573" s="391" t="s">
        <v>4944</v>
      </c>
    </row>
    <row r="574" spans="1:41" ht="16" thickBot="1">
      <c r="A574" s="387" t="s">
        <v>1748</v>
      </c>
      <c r="B574" s="387" t="s">
        <v>2641</v>
      </c>
      <c r="C574" s="387" t="s">
        <v>4945</v>
      </c>
      <c r="D574" s="387" t="s">
        <v>4946</v>
      </c>
      <c r="E574" s="387">
        <v>10</v>
      </c>
      <c r="F574" s="387" t="s">
        <v>531</v>
      </c>
      <c r="G574" s="387">
        <v>1000</v>
      </c>
      <c r="H574" s="387" t="s">
        <v>4583</v>
      </c>
      <c r="I574" s="387" t="s">
        <v>1751</v>
      </c>
      <c r="J574" s="387" t="s">
        <v>4940</v>
      </c>
      <c r="K574" s="387" t="s">
        <v>4947</v>
      </c>
      <c r="L574" s="387" t="s">
        <v>1819</v>
      </c>
      <c r="M574" s="387" t="s">
        <v>1820</v>
      </c>
      <c r="N574" s="388">
        <v>244.95</v>
      </c>
      <c r="O574" s="388">
        <v>14</v>
      </c>
      <c r="P574" s="387" t="s">
        <v>611</v>
      </c>
      <c r="Q574" s="387" t="s">
        <v>612</v>
      </c>
      <c r="R574" s="387" t="s">
        <v>4942</v>
      </c>
      <c r="S574" s="387" t="s">
        <v>614</v>
      </c>
      <c r="T574" s="387" t="s">
        <v>160</v>
      </c>
      <c r="U574" s="388">
        <v>1540</v>
      </c>
      <c r="V574" s="387" t="s">
        <v>543</v>
      </c>
      <c r="W574" s="387" t="s">
        <v>543</v>
      </c>
      <c r="X574" s="387" t="s">
        <v>543</v>
      </c>
      <c r="Y574" s="387" t="s">
        <v>543</v>
      </c>
      <c r="Z574" s="387" t="s">
        <v>543</v>
      </c>
      <c r="AA574" s="388" t="s">
        <v>543</v>
      </c>
      <c r="AB574" s="388" t="s">
        <v>543</v>
      </c>
      <c r="AC574" s="387" t="s">
        <v>543</v>
      </c>
      <c r="AD574" s="389">
        <v>10</v>
      </c>
      <c r="AE574" s="390">
        <v>44317</v>
      </c>
      <c r="AF574" s="390">
        <v>45412</v>
      </c>
      <c r="AG574" s="391" t="s">
        <v>545</v>
      </c>
      <c r="AH574" s="391" t="s">
        <v>4948</v>
      </c>
      <c r="AI574" s="391" t="s">
        <v>1823</v>
      </c>
      <c r="AJ574" s="391">
        <v>0</v>
      </c>
      <c r="AK574" s="390">
        <v>44317</v>
      </c>
      <c r="AL574" s="389">
        <v>100</v>
      </c>
      <c r="AM574" s="391" t="s">
        <v>548</v>
      </c>
      <c r="AN574" s="391" t="s">
        <v>549</v>
      </c>
      <c r="AO574" s="391" t="s">
        <v>4949</v>
      </c>
    </row>
    <row r="575" spans="1:41" ht="16" thickBot="1">
      <c r="A575" s="387" t="s">
        <v>1748</v>
      </c>
      <c r="B575" s="387" t="s">
        <v>3214</v>
      </c>
      <c r="C575" s="387" t="s">
        <v>4950</v>
      </c>
      <c r="D575" s="387" t="s">
        <v>4951</v>
      </c>
      <c r="E575" s="387">
        <v>3</v>
      </c>
      <c r="F575" s="387" t="s">
        <v>531</v>
      </c>
      <c r="G575" s="387">
        <v>300</v>
      </c>
      <c r="H575" s="387" t="s">
        <v>4583</v>
      </c>
      <c r="I575" s="387" t="s">
        <v>4930</v>
      </c>
      <c r="J575" s="387" t="s">
        <v>4940</v>
      </c>
      <c r="K575" s="387" t="s">
        <v>4952</v>
      </c>
      <c r="L575" s="387" t="s">
        <v>1819</v>
      </c>
      <c r="M575" s="387" t="s">
        <v>1820</v>
      </c>
      <c r="N575" s="388">
        <v>72.680000000000007</v>
      </c>
      <c r="O575" s="388">
        <v>14</v>
      </c>
      <c r="P575" s="387" t="s">
        <v>611</v>
      </c>
      <c r="Q575" s="387" t="s">
        <v>612</v>
      </c>
      <c r="R575" s="387" t="s">
        <v>4942</v>
      </c>
      <c r="S575" s="387" t="s">
        <v>614</v>
      </c>
      <c r="T575" s="387" t="s">
        <v>160</v>
      </c>
      <c r="U575" s="388">
        <v>229559</v>
      </c>
      <c r="V575" s="387" t="s">
        <v>543</v>
      </c>
      <c r="W575" s="387" t="s">
        <v>543</v>
      </c>
      <c r="X575" s="387" t="s">
        <v>543</v>
      </c>
      <c r="Y575" s="387" t="s">
        <v>543</v>
      </c>
      <c r="Z575" s="387" t="s">
        <v>543</v>
      </c>
      <c r="AA575" s="388" t="s">
        <v>543</v>
      </c>
      <c r="AB575" s="388" t="s">
        <v>543</v>
      </c>
      <c r="AC575" s="387" t="s">
        <v>543</v>
      </c>
      <c r="AD575" s="389">
        <v>5</v>
      </c>
      <c r="AE575" s="390">
        <v>44317</v>
      </c>
      <c r="AF575" s="390">
        <v>45412</v>
      </c>
      <c r="AG575" s="391" t="s">
        <v>545</v>
      </c>
      <c r="AH575" s="391" t="s">
        <v>4953</v>
      </c>
      <c r="AI575" s="391" t="s">
        <v>1823</v>
      </c>
      <c r="AJ575" s="391">
        <v>0</v>
      </c>
      <c r="AK575" s="390">
        <v>44317</v>
      </c>
      <c r="AL575" s="389">
        <v>100</v>
      </c>
      <c r="AM575" s="391" t="s">
        <v>548</v>
      </c>
      <c r="AN575" s="391" t="s">
        <v>549</v>
      </c>
      <c r="AO575" s="391" t="s">
        <v>4954</v>
      </c>
    </row>
    <row r="576" spans="1:41" ht="16" thickBot="1">
      <c r="A576" s="387" t="s">
        <v>1748</v>
      </c>
      <c r="B576" s="387" t="s">
        <v>2866</v>
      </c>
      <c r="C576" s="387" t="s">
        <v>4955</v>
      </c>
      <c r="D576" s="387" t="s">
        <v>4956</v>
      </c>
      <c r="E576" s="387">
        <v>10</v>
      </c>
      <c r="F576" s="387" t="s">
        <v>531</v>
      </c>
      <c r="G576" s="387">
        <v>1000</v>
      </c>
      <c r="H576" s="387" t="s">
        <v>4583</v>
      </c>
      <c r="I576" s="387" t="s">
        <v>1751</v>
      </c>
      <c r="J576" s="387" t="s">
        <v>4957</v>
      </c>
      <c r="K576" s="387" t="s">
        <v>4958</v>
      </c>
      <c r="L576" s="387" t="s">
        <v>3984</v>
      </c>
      <c r="M576" s="387" t="s">
        <v>3985</v>
      </c>
      <c r="N576" s="388">
        <v>34.14</v>
      </c>
      <c r="O576" s="388">
        <v>14</v>
      </c>
      <c r="P576" s="387" t="s">
        <v>538</v>
      </c>
      <c r="Q576" s="387" t="s">
        <v>539</v>
      </c>
      <c r="R576" s="387" t="s">
        <v>4959</v>
      </c>
      <c r="S576" s="387" t="s">
        <v>541</v>
      </c>
      <c r="T576" s="387" t="s">
        <v>542</v>
      </c>
      <c r="U576" s="388">
        <v>903640</v>
      </c>
      <c r="V576" s="387">
        <v>6006338000419</v>
      </c>
      <c r="W576" s="387">
        <v>6006338000419</v>
      </c>
      <c r="X576" s="387" t="s">
        <v>543</v>
      </c>
      <c r="Y576" s="387" t="s">
        <v>543</v>
      </c>
      <c r="Z576" s="387" t="s">
        <v>543</v>
      </c>
      <c r="AA576" s="388" t="s">
        <v>543</v>
      </c>
      <c r="AB576" s="388" t="s">
        <v>543</v>
      </c>
      <c r="AC576" s="387">
        <v>733482007</v>
      </c>
      <c r="AD576" s="389">
        <v>10</v>
      </c>
      <c r="AE576" s="390">
        <v>44317</v>
      </c>
      <c r="AF576" s="390">
        <v>45412</v>
      </c>
      <c r="AG576" s="391" t="s">
        <v>545</v>
      </c>
      <c r="AH576" s="391" t="s">
        <v>4960</v>
      </c>
      <c r="AI576" s="391" t="s">
        <v>3988</v>
      </c>
      <c r="AJ576" s="391">
        <v>0</v>
      </c>
      <c r="AK576" s="390">
        <v>44317</v>
      </c>
      <c r="AL576" s="389">
        <v>100</v>
      </c>
      <c r="AM576" s="391" t="s">
        <v>548</v>
      </c>
      <c r="AN576" s="391" t="s">
        <v>549</v>
      </c>
      <c r="AO576" s="391" t="s">
        <v>4961</v>
      </c>
    </row>
    <row r="577" spans="1:41" ht="16" thickBot="1">
      <c r="A577" s="387" t="s">
        <v>1748</v>
      </c>
      <c r="B577" s="387" t="s">
        <v>2837</v>
      </c>
      <c r="C577" s="387" t="s">
        <v>4962</v>
      </c>
      <c r="D577" s="387" t="s">
        <v>4963</v>
      </c>
      <c r="E577" s="387">
        <v>3</v>
      </c>
      <c r="F577" s="387" t="s">
        <v>531</v>
      </c>
      <c r="G577" s="387">
        <v>300</v>
      </c>
      <c r="H577" s="387" t="s">
        <v>4583</v>
      </c>
      <c r="I577" s="387" t="s">
        <v>4930</v>
      </c>
      <c r="J577" s="387" t="s">
        <v>4957</v>
      </c>
      <c r="K577" s="387" t="s">
        <v>4958</v>
      </c>
      <c r="L577" s="387" t="s">
        <v>3984</v>
      </c>
      <c r="M577" s="387" t="s">
        <v>3985</v>
      </c>
      <c r="N577" s="388">
        <v>32.06</v>
      </c>
      <c r="O577" s="388">
        <v>14</v>
      </c>
      <c r="P577" s="387" t="s">
        <v>538</v>
      </c>
      <c r="Q577" s="387" t="s">
        <v>539</v>
      </c>
      <c r="R577" s="387" t="s">
        <v>4964</v>
      </c>
      <c r="S577" s="387" t="s">
        <v>541</v>
      </c>
      <c r="T577" s="387" t="s">
        <v>542</v>
      </c>
      <c r="U577" s="388">
        <v>2832200</v>
      </c>
      <c r="V577" s="387">
        <v>6006338001362</v>
      </c>
      <c r="W577" s="387">
        <v>6006338001362</v>
      </c>
      <c r="X577" s="387" t="s">
        <v>543</v>
      </c>
      <c r="Y577" s="387" t="s">
        <v>543</v>
      </c>
      <c r="Z577" s="387" t="s">
        <v>543</v>
      </c>
      <c r="AA577" s="388" t="s">
        <v>543</v>
      </c>
      <c r="AB577" s="388" t="s">
        <v>543</v>
      </c>
      <c r="AC577" s="387">
        <v>700183001</v>
      </c>
      <c r="AD577" s="389">
        <v>10</v>
      </c>
      <c r="AE577" s="390">
        <v>44317</v>
      </c>
      <c r="AF577" s="390">
        <v>45412</v>
      </c>
      <c r="AG577" s="391" t="s">
        <v>545</v>
      </c>
      <c r="AH577" s="391" t="s">
        <v>4965</v>
      </c>
      <c r="AI577" s="391" t="s">
        <v>3988</v>
      </c>
      <c r="AJ577" s="391">
        <v>0</v>
      </c>
      <c r="AK577" s="390">
        <v>44317</v>
      </c>
      <c r="AL577" s="389">
        <v>100</v>
      </c>
      <c r="AM577" s="391" t="s">
        <v>548</v>
      </c>
      <c r="AN577" s="391" t="s">
        <v>549</v>
      </c>
      <c r="AO577" s="391" t="s">
        <v>4966</v>
      </c>
    </row>
    <row r="578" spans="1:41" ht="16" thickBot="1">
      <c r="A578" s="387" t="s">
        <v>1748</v>
      </c>
      <c r="B578" s="387" t="s">
        <v>2424</v>
      </c>
      <c r="C578" s="387" t="s">
        <v>4967</v>
      </c>
      <c r="D578" s="387" t="s">
        <v>4968</v>
      </c>
      <c r="E578" s="387">
        <v>10</v>
      </c>
      <c r="F578" s="387" t="s">
        <v>531</v>
      </c>
      <c r="G578" s="387">
        <v>1000</v>
      </c>
      <c r="H578" s="387" t="s">
        <v>4583</v>
      </c>
      <c r="I578" s="387" t="s">
        <v>1751</v>
      </c>
      <c r="J578" s="387" t="s">
        <v>4969</v>
      </c>
      <c r="K578" s="387" t="s">
        <v>4970</v>
      </c>
      <c r="L578" s="387" t="s">
        <v>3984</v>
      </c>
      <c r="M578" s="387" t="s">
        <v>3985</v>
      </c>
      <c r="N578" s="388">
        <v>34.14</v>
      </c>
      <c r="O578" s="388">
        <v>14</v>
      </c>
      <c r="P578" s="387" t="s">
        <v>538</v>
      </c>
      <c r="Q578" s="387" t="s">
        <v>539</v>
      </c>
      <c r="R578" s="387" t="s">
        <v>4959</v>
      </c>
      <c r="S578" s="387" t="s">
        <v>541</v>
      </c>
      <c r="T578" s="387" t="s">
        <v>542</v>
      </c>
      <c r="U578" s="388">
        <v>4520360</v>
      </c>
      <c r="V578" s="387">
        <v>6006338000013</v>
      </c>
      <c r="W578" s="387">
        <v>6006338000013</v>
      </c>
      <c r="X578" s="387" t="s">
        <v>543</v>
      </c>
      <c r="Y578" s="387" t="s">
        <v>543</v>
      </c>
      <c r="Z578" s="387" t="s">
        <v>543</v>
      </c>
      <c r="AA578" s="388" t="s">
        <v>543</v>
      </c>
      <c r="AB578" s="388" t="s">
        <v>543</v>
      </c>
      <c r="AC578" s="387">
        <v>733512003</v>
      </c>
      <c r="AD578" s="389">
        <v>10</v>
      </c>
      <c r="AE578" s="390">
        <v>44317</v>
      </c>
      <c r="AF578" s="390">
        <v>45412</v>
      </c>
      <c r="AG578" s="391" t="s">
        <v>545</v>
      </c>
      <c r="AH578" s="391" t="s">
        <v>4971</v>
      </c>
      <c r="AI578" s="391" t="s">
        <v>3988</v>
      </c>
      <c r="AJ578" s="391">
        <v>0</v>
      </c>
      <c r="AK578" s="390">
        <v>44317</v>
      </c>
      <c r="AL578" s="389">
        <v>100</v>
      </c>
      <c r="AM578" s="391" t="s">
        <v>548</v>
      </c>
      <c r="AN578" s="391" t="s">
        <v>549</v>
      </c>
      <c r="AO578" s="391" t="s">
        <v>4972</v>
      </c>
    </row>
    <row r="579" spans="1:41" ht="16" thickBot="1">
      <c r="A579" s="387" t="s">
        <v>1748</v>
      </c>
      <c r="B579" s="387" t="s">
        <v>2402</v>
      </c>
      <c r="C579" s="387" t="s">
        <v>4973</v>
      </c>
      <c r="D579" s="387" t="s">
        <v>4974</v>
      </c>
      <c r="E579" s="387">
        <v>3</v>
      </c>
      <c r="F579" s="387" t="s">
        <v>531</v>
      </c>
      <c r="G579" s="387">
        <v>300</v>
      </c>
      <c r="H579" s="387" t="s">
        <v>4583</v>
      </c>
      <c r="I579" s="387" t="s">
        <v>4930</v>
      </c>
      <c r="J579" s="387" t="s">
        <v>4969</v>
      </c>
      <c r="K579" s="387" t="s">
        <v>4970</v>
      </c>
      <c r="L579" s="387" t="s">
        <v>3984</v>
      </c>
      <c r="M579" s="387" t="s">
        <v>3985</v>
      </c>
      <c r="N579" s="388">
        <v>30.37</v>
      </c>
      <c r="O579" s="388">
        <v>14</v>
      </c>
      <c r="P579" s="387" t="s">
        <v>538</v>
      </c>
      <c r="Q579" s="387" t="s">
        <v>539</v>
      </c>
      <c r="R579" s="387" t="s">
        <v>4959</v>
      </c>
      <c r="S579" s="387" t="s">
        <v>541</v>
      </c>
      <c r="T579" s="387" t="s">
        <v>542</v>
      </c>
      <c r="U579" s="388">
        <v>13676740</v>
      </c>
      <c r="V579" s="387">
        <v>6006338001355</v>
      </c>
      <c r="W579" s="387">
        <v>6006338001355</v>
      </c>
      <c r="X579" s="387" t="s">
        <v>543</v>
      </c>
      <c r="Y579" s="387" t="s">
        <v>543</v>
      </c>
      <c r="Z579" s="387" t="s">
        <v>543</v>
      </c>
      <c r="AA579" s="388" t="s">
        <v>543</v>
      </c>
      <c r="AB579" s="388" t="s">
        <v>543</v>
      </c>
      <c r="AC579" s="387">
        <v>714977001</v>
      </c>
      <c r="AD579" s="389">
        <v>10</v>
      </c>
      <c r="AE579" s="390">
        <v>44317</v>
      </c>
      <c r="AF579" s="390">
        <v>45412</v>
      </c>
      <c r="AG579" s="391" t="s">
        <v>545</v>
      </c>
      <c r="AH579" s="391" t="s">
        <v>4975</v>
      </c>
      <c r="AI579" s="391" t="s">
        <v>3988</v>
      </c>
      <c r="AJ579" s="391">
        <v>0</v>
      </c>
      <c r="AK579" s="390">
        <v>44317</v>
      </c>
      <c r="AL579" s="389">
        <v>100</v>
      </c>
      <c r="AM579" s="391" t="s">
        <v>548</v>
      </c>
      <c r="AN579" s="391" t="s">
        <v>549</v>
      </c>
      <c r="AO579" s="391" t="s">
        <v>4976</v>
      </c>
    </row>
    <row r="580" spans="1:41" ht="16" thickBot="1">
      <c r="A580" s="387" t="s">
        <v>1748</v>
      </c>
      <c r="B580" s="387" t="s">
        <v>2630</v>
      </c>
      <c r="C580" s="387" t="s">
        <v>4977</v>
      </c>
      <c r="D580" s="387" t="s">
        <v>4978</v>
      </c>
      <c r="E580" s="387">
        <v>10</v>
      </c>
      <c r="F580" s="387" t="s">
        <v>531</v>
      </c>
      <c r="G580" s="387">
        <v>1000</v>
      </c>
      <c r="H580" s="387" t="s">
        <v>4583</v>
      </c>
      <c r="I580" s="387" t="s">
        <v>1751</v>
      </c>
      <c r="J580" s="387" t="s">
        <v>4979</v>
      </c>
      <c r="K580" s="387" t="s">
        <v>4980</v>
      </c>
      <c r="L580" s="387" t="s">
        <v>3984</v>
      </c>
      <c r="M580" s="387" t="s">
        <v>3985</v>
      </c>
      <c r="N580" s="388">
        <v>34.14</v>
      </c>
      <c r="O580" s="388">
        <v>14</v>
      </c>
      <c r="P580" s="387" t="s">
        <v>538</v>
      </c>
      <c r="Q580" s="387" t="s">
        <v>539</v>
      </c>
      <c r="R580" s="387" t="s">
        <v>4942</v>
      </c>
      <c r="S580" s="387" t="s">
        <v>541</v>
      </c>
      <c r="T580" s="387" t="s">
        <v>542</v>
      </c>
      <c r="U580" s="388">
        <v>387840</v>
      </c>
      <c r="V580" s="387">
        <v>6006338000051</v>
      </c>
      <c r="W580" s="387">
        <v>6006338000051</v>
      </c>
      <c r="X580" s="387" t="s">
        <v>543</v>
      </c>
      <c r="Y580" s="387" t="s">
        <v>543</v>
      </c>
      <c r="Z580" s="387" t="s">
        <v>543</v>
      </c>
      <c r="AA580" s="388" t="s">
        <v>543</v>
      </c>
      <c r="AB580" s="388" t="s">
        <v>543</v>
      </c>
      <c r="AC580" s="387">
        <v>733415008</v>
      </c>
      <c r="AD580" s="389">
        <v>10</v>
      </c>
      <c r="AE580" s="390">
        <v>44317</v>
      </c>
      <c r="AF580" s="390">
        <v>45412</v>
      </c>
      <c r="AG580" s="391" t="s">
        <v>545</v>
      </c>
      <c r="AH580" s="391" t="s">
        <v>4981</v>
      </c>
      <c r="AI580" s="391" t="s">
        <v>3988</v>
      </c>
      <c r="AJ580" s="391">
        <v>0</v>
      </c>
      <c r="AK580" s="390">
        <v>44317</v>
      </c>
      <c r="AL580" s="389">
        <v>100</v>
      </c>
      <c r="AM580" s="391" t="s">
        <v>548</v>
      </c>
      <c r="AN580" s="391" t="s">
        <v>549</v>
      </c>
      <c r="AO580" s="391" t="s">
        <v>4982</v>
      </c>
    </row>
    <row r="581" spans="1:41" ht="16" thickBot="1">
      <c r="A581" s="387" t="s">
        <v>1748</v>
      </c>
      <c r="B581" s="387" t="s">
        <v>2434</v>
      </c>
      <c r="C581" s="387" t="s">
        <v>4983</v>
      </c>
      <c r="D581" s="387" t="s">
        <v>4984</v>
      </c>
      <c r="E581" s="387">
        <v>3</v>
      </c>
      <c r="F581" s="387" t="s">
        <v>531</v>
      </c>
      <c r="G581" s="387">
        <v>300</v>
      </c>
      <c r="H581" s="387" t="s">
        <v>4583</v>
      </c>
      <c r="I581" s="387" t="s">
        <v>4930</v>
      </c>
      <c r="J581" s="387" t="s">
        <v>4979</v>
      </c>
      <c r="K581" s="387" t="s">
        <v>4980</v>
      </c>
      <c r="L581" s="387" t="s">
        <v>3984</v>
      </c>
      <c r="M581" s="387" t="s">
        <v>3985</v>
      </c>
      <c r="N581" s="388">
        <v>32.06</v>
      </c>
      <c r="O581" s="388">
        <v>14</v>
      </c>
      <c r="P581" s="387" t="s">
        <v>538</v>
      </c>
      <c r="Q581" s="387" t="s">
        <v>539</v>
      </c>
      <c r="R581" s="387" t="s">
        <v>4942</v>
      </c>
      <c r="S581" s="387" t="s">
        <v>541</v>
      </c>
      <c r="T581" s="387" t="s">
        <v>542</v>
      </c>
      <c r="U581" s="388">
        <v>1886440</v>
      </c>
      <c r="V581" s="387">
        <v>6006338001348</v>
      </c>
      <c r="W581" s="387">
        <v>6006338001348</v>
      </c>
      <c r="X581" s="387" t="s">
        <v>543</v>
      </c>
      <c r="Y581" s="387" t="s">
        <v>543</v>
      </c>
      <c r="Z581" s="387" t="s">
        <v>543</v>
      </c>
      <c r="AA581" s="388" t="s">
        <v>543</v>
      </c>
      <c r="AB581" s="388" t="s">
        <v>543</v>
      </c>
      <c r="AC581" s="387">
        <v>816221006</v>
      </c>
      <c r="AD581" s="389">
        <v>10</v>
      </c>
      <c r="AE581" s="390">
        <v>44317</v>
      </c>
      <c r="AF581" s="390">
        <v>45412</v>
      </c>
      <c r="AG581" s="391" t="s">
        <v>545</v>
      </c>
      <c r="AH581" s="391" t="s">
        <v>4985</v>
      </c>
      <c r="AI581" s="391" t="s">
        <v>3988</v>
      </c>
      <c r="AJ581" s="391">
        <v>0</v>
      </c>
      <c r="AK581" s="390">
        <v>44317</v>
      </c>
      <c r="AL581" s="389">
        <v>100</v>
      </c>
      <c r="AM581" s="391" t="s">
        <v>548</v>
      </c>
      <c r="AN581" s="391" t="s">
        <v>549</v>
      </c>
      <c r="AO581" s="391" t="s">
        <v>4986</v>
      </c>
    </row>
    <row r="582" spans="1:41" ht="16" thickBot="1">
      <c r="A582" s="387" t="s">
        <v>2166</v>
      </c>
      <c r="B582" s="387" t="s">
        <v>2820</v>
      </c>
      <c r="C582" s="387" t="s">
        <v>4987</v>
      </c>
      <c r="D582" s="387" t="s">
        <v>4988</v>
      </c>
      <c r="E582" s="387">
        <v>1</v>
      </c>
      <c r="F582" s="387" t="s">
        <v>1780</v>
      </c>
      <c r="G582" s="387">
        <v>1</v>
      </c>
      <c r="H582" s="387" t="s">
        <v>1780</v>
      </c>
      <c r="I582" s="387" t="s">
        <v>1751</v>
      </c>
      <c r="J582" s="387" t="s">
        <v>4989</v>
      </c>
      <c r="K582" s="387" t="s">
        <v>4990</v>
      </c>
      <c r="L582" s="387" t="s">
        <v>4991</v>
      </c>
      <c r="M582" s="387" t="s">
        <v>4992</v>
      </c>
      <c r="N582" s="388">
        <v>410.47</v>
      </c>
      <c r="O582" s="388">
        <v>6</v>
      </c>
      <c r="P582" s="387" t="s">
        <v>611</v>
      </c>
      <c r="Q582" s="387" t="s">
        <v>3265</v>
      </c>
      <c r="R582" s="387" t="s">
        <v>4993</v>
      </c>
      <c r="S582" s="387" t="s">
        <v>614</v>
      </c>
      <c r="T582" s="387" t="s">
        <v>160</v>
      </c>
      <c r="U582" s="388">
        <v>458</v>
      </c>
      <c r="V582" s="387">
        <v>6006418001299</v>
      </c>
      <c r="W582" s="387">
        <v>6006418001299</v>
      </c>
      <c r="X582" s="387" t="s">
        <v>543</v>
      </c>
      <c r="Y582" s="387" t="s">
        <v>543</v>
      </c>
      <c r="Z582" s="387" t="s">
        <v>543</v>
      </c>
      <c r="AA582" s="388" t="s">
        <v>543</v>
      </c>
      <c r="AB582" s="388" t="s">
        <v>543</v>
      </c>
      <c r="AC582" s="387">
        <v>717093001</v>
      </c>
      <c r="AD582" s="389" t="s">
        <v>4865</v>
      </c>
      <c r="AE582" s="390">
        <v>44743</v>
      </c>
      <c r="AF582" s="390">
        <v>45473</v>
      </c>
      <c r="AG582" s="391" t="s">
        <v>545</v>
      </c>
      <c r="AH582" s="391" t="s">
        <v>4994</v>
      </c>
      <c r="AI582" s="391" t="s">
        <v>4995</v>
      </c>
      <c r="AJ582" s="391">
        <v>0</v>
      </c>
      <c r="AK582" s="390">
        <v>44743</v>
      </c>
      <c r="AL582" s="389">
        <v>100</v>
      </c>
      <c r="AM582" s="391" t="s">
        <v>548</v>
      </c>
      <c r="AN582" s="391" t="s">
        <v>549</v>
      </c>
      <c r="AO582" s="391" t="s">
        <v>4996</v>
      </c>
    </row>
    <row r="583" spans="1:41" ht="16" thickBot="1">
      <c r="A583" s="387" t="s">
        <v>2166</v>
      </c>
      <c r="B583" s="387" t="s">
        <v>2825</v>
      </c>
      <c r="C583" s="387" t="s">
        <v>4997</v>
      </c>
      <c r="D583" s="387" t="s">
        <v>4998</v>
      </c>
      <c r="E583" s="387">
        <v>1</v>
      </c>
      <c r="F583" s="387" t="s">
        <v>1780</v>
      </c>
      <c r="G583" s="387">
        <v>1</v>
      </c>
      <c r="H583" s="387" t="s">
        <v>1780</v>
      </c>
      <c r="I583" s="387" t="s">
        <v>1751</v>
      </c>
      <c r="J583" s="387" t="s">
        <v>4999</v>
      </c>
      <c r="K583" s="387" t="s">
        <v>5000</v>
      </c>
      <c r="L583" s="387" t="s">
        <v>3128</v>
      </c>
      <c r="M583" s="387" t="s">
        <v>3129</v>
      </c>
      <c r="N583" s="388">
        <v>272.86</v>
      </c>
      <c r="O583" s="388">
        <v>14</v>
      </c>
      <c r="P583" s="387" t="s">
        <v>538</v>
      </c>
      <c r="Q583" s="387" t="s">
        <v>3265</v>
      </c>
      <c r="R583" s="387" t="s">
        <v>5001</v>
      </c>
      <c r="S583" s="387" t="s">
        <v>614</v>
      </c>
      <c r="T583" s="387" t="s">
        <v>160</v>
      </c>
      <c r="U583" s="388">
        <v>17005</v>
      </c>
      <c r="V583" s="387">
        <v>6006118000448</v>
      </c>
      <c r="W583" s="387">
        <v>6006118000448</v>
      </c>
      <c r="X583" s="387" t="s">
        <v>543</v>
      </c>
      <c r="Y583" s="387">
        <v>60061180004488</v>
      </c>
      <c r="Z583" s="387" t="s">
        <v>543</v>
      </c>
      <c r="AA583" s="388" t="s">
        <v>543</v>
      </c>
      <c r="AB583" s="388" t="s">
        <v>543</v>
      </c>
      <c r="AC583" s="387">
        <v>700474003</v>
      </c>
      <c r="AD583" s="389">
        <v>15</v>
      </c>
      <c r="AE583" s="390">
        <v>44743</v>
      </c>
      <c r="AF583" s="390">
        <v>45473</v>
      </c>
      <c r="AG583" s="391" t="s">
        <v>545</v>
      </c>
      <c r="AH583" s="391" t="s">
        <v>5002</v>
      </c>
      <c r="AI583" s="391" t="s">
        <v>3131</v>
      </c>
      <c r="AJ583" s="391">
        <v>0</v>
      </c>
      <c r="AK583" s="390">
        <v>44743</v>
      </c>
      <c r="AL583" s="389">
        <v>100</v>
      </c>
      <c r="AM583" s="391" t="s">
        <v>548</v>
      </c>
      <c r="AN583" s="391" t="s">
        <v>549</v>
      </c>
      <c r="AO583" s="391" t="s">
        <v>5003</v>
      </c>
    </row>
    <row r="584" spans="1:41" ht="16" thickBot="1">
      <c r="A584" s="387" t="s">
        <v>2387</v>
      </c>
      <c r="B584" s="387" t="s">
        <v>556</v>
      </c>
      <c r="C584" s="387" t="s">
        <v>5004</v>
      </c>
      <c r="D584" s="387" t="s">
        <v>5005</v>
      </c>
      <c r="E584" s="387">
        <v>100</v>
      </c>
      <c r="F584" s="387" t="s">
        <v>531</v>
      </c>
      <c r="G584" s="387">
        <v>100</v>
      </c>
      <c r="H584" s="387" t="s">
        <v>531</v>
      </c>
      <c r="I584" s="387" t="s">
        <v>1751</v>
      </c>
      <c r="J584" s="387" t="s">
        <v>5006</v>
      </c>
      <c r="K584" s="387" t="s">
        <v>5007</v>
      </c>
      <c r="L584" s="387" t="s">
        <v>5008</v>
      </c>
      <c r="M584" s="387" t="s">
        <v>5009</v>
      </c>
      <c r="N584" s="388">
        <v>123</v>
      </c>
      <c r="O584" s="388">
        <v>14</v>
      </c>
      <c r="P584" s="387" t="s">
        <v>538</v>
      </c>
      <c r="Q584" s="387" t="s">
        <v>539</v>
      </c>
      <c r="R584" s="387" t="s">
        <v>5010</v>
      </c>
      <c r="S584" s="387" t="s">
        <v>171</v>
      </c>
      <c r="T584" s="387" t="s">
        <v>757</v>
      </c>
      <c r="U584" s="388">
        <v>301075</v>
      </c>
      <c r="V584" s="387">
        <v>7037960631077</v>
      </c>
      <c r="W584" s="387">
        <v>7037960631077</v>
      </c>
      <c r="X584" s="387" t="s">
        <v>543</v>
      </c>
      <c r="Y584" s="387" t="s">
        <v>543</v>
      </c>
      <c r="Z584" s="387" t="s">
        <v>543</v>
      </c>
      <c r="AA584" s="388" t="s">
        <v>543</v>
      </c>
      <c r="AB584" s="388" t="s">
        <v>543</v>
      </c>
      <c r="AC584" s="387">
        <v>804568006</v>
      </c>
      <c r="AD584" s="389" t="s">
        <v>5011</v>
      </c>
      <c r="AE584" s="390">
        <v>44378</v>
      </c>
      <c r="AF584" s="390">
        <v>45473</v>
      </c>
      <c r="AG584" s="390">
        <v>45473</v>
      </c>
      <c r="AH584" s="391" t="s">
        <v>5012</v>
      </c>
      <c r="AI584" s="391" t="s">
        <v>5013</v>
      </c>
      <c r="AJ584" s="391">
        <v>0</v>
      </c>
      <c r="AK584" s="390">
        <v>44378</v>
      </c>
      <c r="AL584" s="389">
        <v>100</v>
      </c>
      <c r="AM584" s="391" t="s">
        <v>548</v>
      </c>
      <c r="AN584" s="391" t="s">
        <v>549</v>
      </c>
      <c r="AO584" s="391" t="s">
        <v>5014</v>
      </c>
    </row>
    <row r="585" spans="1:41" ht="16" thickBot="1">
      <c r="A585" s="387" t="s">
        <v>2387</v>
      </c>
      <c r="B585" s="387" t="s">
        <v>784</v>
      </c>
      <c r="C585" s="387" t="s">
        <v>5015</v>
      </c>
      <c r="D585" s="387" t="s">
        <v>5016</v>
      </c>
      <c r="E585" s="387">
        <v>20</v>
      </c>
      <c r="F585" s="387" t="s">
        <v>531</v>
      </c>
      <c r="G585" s="387">
        <v>20</v>
      </c>
      <c r="H585" s="387" t="s">
        <v>531</v>
      </c>
      <c r="I585" s="387" t="s">
        <v>1751</v>
      </c>
      <c r="J585" s="387" t="s">
        <v>5006</v>
      </c>
      <c r="K585" s="387" t="s">
        <v>5017</v>
      </c>
      <c r="L585" s="387" t="s">
        <v>5008</v>
      </c>
      <c r="M585" s="387" t="s">
        <v>5009</v>
      </c>
      <c r="N585" s="388">
        <v>105</v>
      </c>
      <c r="O585" s="388">
        <v>14</v>
      </c>
      <c r="P585" s="387" t="s">
        <v>538</v>
      </c>
      <c r="Q585" s="387" t="s">
        <v>539</v>
      </c>
      <c r="R585" s="387" t="s">
        <v>5010</v>
      </c>
      <c r="S585" s="387" t="s">
        <v>171</v>
      </c>
      <c r="T585" s="387" t="s">
        <v>757</v>
      </c>
      <c r="U585" s="388">
        <v>6190</v>
      </c>
      <c r="V585" s="387">
        <v>7037960001504</v>
      </c>
      <c r="W585" s="387">
        <v>7037960001504</v>
      </c>
      <c r="X585" s="387" t="s">
        <v>543</v>
      </c>
      <c r="Y585" s="387" t="s">
        <v>543</v>
      </c>
      <c r="Z585" s="387" t="s">
        <v>543</v>
      </c>
      <c r="AA585" s="388" t="s">
        <v>543</v>
      </c>
      <c r="AB585" s="388" t="s">
        <v>543</v>
      </c>
      <c r="AC585" s="387">
        <v>807001007</v>
      </c>
      <c r="AD585" s="389">
        <v>25</v>
      </c>
      <c r="AE585" s="390">
        <v>44378</v>
      </c>
      <c r="AF585" s="390">
        <v>45473</v>
      </c>
      <c r="AG585" s="391" t="s">
        <v>545</v>
      </c>
      <c r="AH585" s="391" t="s">
        <v>5018</v>
      </c>
      <c r="AI585" s="391" t="s">
        <v>5013</v>
      </c>
      <c r="AJ585" s="391">
        <v>0</v>
      </c>
      <c r="AK585" s="390">
        <v>44378</v>
      </c>
      <c r="AL585" s="389">
        <v>100</v>
      </c>
      <c r="AM585" s="391" t="s">
        <v>548</v>
      </c>
      <c r="AN585" s="391" t="s">
        <v>549</v>
      </c>
      <c r="AO585" s="391" t="s">
        <v>5014</v>
      </c>
    </row>
    <row r="586" spans="1:41" ht="16" thickBot="1">
      <c r="A586" s="387" t="s">
        <v>2387</v>
      </c>
      <c r="B586" s="387" t="s">
        <v>2127</v>
      </c>
      <c r="C586" s="387" t="s">
        <v>5019</v>
      </c>
      <c r="D586" s="387" t="s">
        <v>5020</v>
      </c>
      <c r="E586" s="387">
        <v>50</v>
      </c>
      <c r="F586" s="387" t="s">
        <v>531</v>
      </c>
      <c r="G586" s="387">
        <v>50</v>
      </c>
      <c r="H586" s="387" t="s">
        <v>531</v>
      </c>
      <c r="I586" s="387" t="s">
        <v>1751</v>
      </c>
      <c r="J586" s="387" t="s">
        <v>5006</v>
      </c>
      <c r="K586" s="387" t="s">
        <v>5021</v>
      </c>
      <c r="L586" s="387" t="s">
        <v>5008</v>
      </c>
      <c r="M586" s="387" t="s">
        <v>5009</v>
      </c>
      <c r="N586" s="388">
        <v>80</v>
      </c>
      <c r="O586" s="388">
        <v>14</v>
      </c>
      <c r="P586" s="387" t="s">
        <v>538</v>
      </c>
      <c r="Q586" s="387" t="s">
        <v>539</v>
      </c>
      <c r="R586" s="387" t="s">
        <v>5010</v>
      </c>
      <c r="S586" s="387" t="s">
        <v>171</v>
      </c>
      <c r="T586" s="387" t="s">
        <v>757</v>
      </c>
      <c r="U586" s="388">
        <v>156480</v>
      </c>
      <c r="V586" s="387">
        <v>7037960631053</v>
      </c>
      <c r="W586" s="387">
        <v>7037960631053</v>
      </c>
      <c r="X586" s="387" t="s">
        <v>543</v>
      </c>
      <c r="Y586" s="387" t="s">
        <v>543</v>
      </c>
      <c r="Z586" s="387" t="s">
        <v>543</v>
      </c>
      <c r="AA586" s="388" t="s">
        <v>543</v>
      </c>
      <c r="AB586" s="388" t="s">
        <v>543</v>
      </c>
      <c r="AC586" s="387">
        <v>807028002</v>
      </c>
      <c r="AD586" s="389">
        <v>10</v>
      </c>
      <c r="AE586" s="390">
        <v>44378</v>
      </c>
      <c r="AF586" s="390">
        <v>45473</v>
      </c>
      <c r="AG586" s="391" t="s">
        <v>545</v>
      </c>
      <c r="AH586" s="391" t="s">
        <v>5022</v>
      </c>
      <c r="AI586" s="391" t="s">
        <v>5013</v>
      </c>
      <c r="AJ586" s="391">
        <v>0</v>
      </c>
      <c r="AK586" s="390">
        <v>44378</v>
      </c>
      <c r="AL586" s="389">
        <v>100</v>
      </c>
      <c r="AM586" s="391" t="s">
        <v>548</v>
      </c>
      <c r="AN586" s="391" t="s">
        <v>549</v>
      </c>
      <c r="AO586" s="391" t="s">
        <v>5014</v>
      </c>
    </row>
    <row r="587" spans="1:41" ht="16" thickBot="1">
      <c r="A587" s="387" t="s">
        <v>2387</v>
      </c>
      <c r="B587" s="387" t="s">
        <v>554</v>
      </c>
      <c r="C587" s="387" t="s">
        <v>5023</v>
      </c>
      <c r="D587" s="387" t="s">
        <v>5024</v>
      </c>
      <c r="E587" s="387">
        <v>100</v>
      </c>
      <c r="F587" s="387" t="s">
        <v>531</v>
      </c>
      <c r="G587" s="387">
        <v>100</v>
      </c>
      <c r="H587" s="387" t="s">
        <v>531</v>
      </c>
      <c r="I587" s="387" t="s">
        <v>1751</v>
      </c>
      <c r="J587" s="387" t="s">
        <v>5006</v>
      </c>
      <c r="K587" s="387" t="s">
        <v>5025</v>
      </c>
      <c r="L587" s="387" t="s">
        <v>5008</v>
      </c>
      <c r="M587" s="387" t="s">
        <v>5009</v>
      </c>
      <c r="N587" s="388">
        <v>215</v>
      </c>
      <c r="O587" s="388">
        <v>14</v>
      </c>
      <c r="P587" s="387" t="s">
        <v>538</v>
      </c>
      <c r="Q587" s="387" t="s">
        <v>539</v>
      </c>
      <c r="R587" s="387" t="s">
        <v>5010</v>
      </c>
      <c r="S587" s="387" t="s">
        <v>171</v>
      </c>
      <c r="T587" s="387" t="s">
        <v>757</v>
      </c>
      <c r="U587" s="388">
        <v>249620</v>
      </c>
      <c r="V587" s="387">
        <v>7037960631077</v>
      </c>
      <c r="W587" s="387">
        <v>7037960631077</v>
      </c>
      <c r="X587" s="387" t="s">
        <v>543</v>
      </c>
      <c r="Y587" s="387" t="s">
        <v>543</v>
      </c>
      <c r="Z587" s="387" t="s">
        <v>543</v>
      </c>
      <c r="AA587" s="388" t="s">
        <v>543</v>
      </c>
      <c r="AB587" s="388" t="s">
        <v>543</v>
      </c>
      <c r="AC587" s="387">
        <v>807044008</v>
      </c>
      <c r="AD587" s="389">
        <v>10</v>
      </c>
      <c r="AE587" s="390">
        <v>44378</v>
      </c>
      <c r="AF587" s="390">
        <v>45473</v>
      </c>
      <c r="AG587" s="391" t="s">
        <v>545</v>
      </c>
      <c r="AH587" s="391" t="s">
        <v>5026</v>
      </c>
      <c r="AI587" s="391" t="s">
        <v>5013</v>
      </c>
      <c r="AJ587" s="391">
        <v>0</v>
      </c>
      <c r="AK587" s="390">
        <v>44378</v>
      </c>
      <c r="AL587" s="389">
        <v>100</v>
      </c>
      <c r="AM587" s="391" t="s">
        <v>548</v>
      </c>
      <c r="AN587" s="391" t="s">
        <v>549</v>
      </c>
      <c r="AO587" s="391" t="s">
        <v>5027</v>
      </c>
    </row>
    <row r="588" spans="1:41" ht="16" thickBot="1">
      <c r="A588" s="387" t="s">
        <v>2387</v>
      </c>
      <c r="B588" s="387" t="s">
        <v>965</v>
      </c>
      <c r="C588" s="387" t="s">
        <v>5028</v>
      </c>
      <c r="D588" s="387" t="s">
        <v>5029</v>
      </c>
      <c r="E588" s="387">
        <v>50</v>
      </c>
      <c r="F588" s="387" t="s">
        <v>531</v>
      </c>
      <c r="G588" s="387">
        <v>50</v>
      </c>
      <c r="H588" s="387" t="s">
        <v>531</v>
      </c>
      <c r="I588" s="387" t="s">
        <v>1751</v>
      </c>
      <c r="J588" s="387" t="s">
        <v>5006</v>
      </c>
      <c r="K588" s="387" t="s">
        <v>5030</v>
      </c>
      <c r="L588" s="387" t="s">
        <v>5008</v>
      </c>
      <c r="M588" s="387" t="s">
        <v>5009</v>
      </c>
      <c r="N588" s="388">
        <v>120</v>
      </c>
      <c r="O588" s="388">
        <v>14</v>
      </c>
      <c r="P588" s="387" t="s">
        <v>538</v>
      </c>
      <c r="Q588" s="387" t="s">
        <v>539</v>
      </c>
      <c r="R588" s="387" t="s">
        <v>5010</v>
      </c>
      <c r="S588" s="387" t="s">
        <v>171</v>
      </c>
      <c r="T588" s="387" t="s">
        <v>757</v>
      </c>
      <c r="U588" s="388">
        <v>332020</v>
      </c>
      <c r="V588" s="387">
        <v>7037960631053</v>
      </c>
      <c r="W588" s="387">
        <v>7037960631053</v>
      </c>
      <c r="X588" s="387" t="s">
        <v>543</v>
      </c>
      <c r="Y588" s="387" t="s">
        <v>543</v>
      </c>
      <c r="Z588" s="387" t="s">
        <v>543</v>
      </c>
      <c r="AA588" s="388" t="s">
        <v>543</v>
      </c>
      <c r="AB588" s="388" t="s">
        <v>543</v>
      </c>
      <c r="AC588" s="387">
        <v>807036005</v>
      </c>
      <c r="AD588" s="389">
        <v>10</v>
      </c>
      <c r="AE588" s="390">
        <v>44378</v>
      </c>
      <c r="AF588" s="390">
        <v>45473</v>
      </c>
      <c r="AG588" s="391" t="s">
        <v>545</v>
      </c>
      <c r="AH588" s="391" t="s">
        <v>5031</v>
      </c>
      <c r="AI588" s="391" t="s">
        <v>5013</v>
      </c>
      <c r="AJ588" s="391">
        <v>0</v>
      </c>
      <c r="AK588" s="390">
        <v>44378</v>
      </c>
      <c r="AL588" s="389">
        <v>100</v>
      </c>
      <c r="AM588" s="391" t="s">
        <v>548</v>
      </c>
      <c r="AN588" s="391" t="s">
        <v>549</v>
      </c>
      <c r="AO588" s="391" t="s">
        <v>5027</v>
      </c>
    </row>
    <row r="589" spans="1:41" ht="16" thickBot="1">
      <c r="A589" s="387" t="s">
        <v>2387</v>
      </c>
      <c r="B589" s="387" t="s">
        <v>537</v>
      </c>
      <c r="C589" s="387" t="s">
        <v>5032</v>
      </c>
      <c r="D589" s="387" t="s">
        <v>5033</v>
      </c>
      <c r="E589" s="387">
        <v>100</v>
      </c>
      <c r="F589" s="387" t="s">
        <v>531</v>
      </c>
      <c r="G589" s="387">
        <v>100</v>
      </c>
      <c r="H589" s="387" t="s">
        <v>531</v>
      </c>
      <c r="I589" s="387" t="s">
        <v>1751</v>
      </c>
      <c r="J589" s="387" t="s">
        <v>5034</v>
      </c>
      <c r="K589" s="387" t="s">
        <v>5035</v>
      </c>
      <c r="L589" s="387" t="s">
        <v>2380</v>
      </c>
      <c r="M589" s="387" t="s">
        <v>2381</v>
      </c>
      <c r="N589" s="388">
        <v>691.43</v>
      </c>
      <c r="O589" s="388">
        <v>10</v>
      </c>
      <c r="P589" s="387" t="s">
        <v>538</v>
      </c>
      <c r="Q589" s="387" t="s">
        <v>539</v>
      </c>
      <c r="R589" s="387" t="s">
        <v>5036</v>
      </c>
      <c r="S589" s="387" t="s">
        <v>171</v>
      </c>
      <c r="T589" s="387" t="s">
        <v>757</v>
      </c>
      <c r="U589" s="388">
        <v>4740</v>
      </c>
      <c r="V589" s="387">
        <v>8032953581529</v>
      </c>
      <c r="W589" s="387">
        <v>8032953581529</v>
      </c>
      <c r="X589" s="387" t="s">
        <v>543</v>
      </c>
      <c r="Y589" s="387">
        <v>8032953581529</v>
      </c>
      <c r="Z589" s="387" t="s">
        <v>543</v>
      </c>
      <c r="AA589" s="388" t="s">
        <v>543</v>
      </c>
      <c r="AB589" s="388" t="s">
        <v>543</v>
      </c>
      <c r="AC589" s="387">
        <v>886487003</v>
      </c>
      <c r="AD589" s="389">
        <v>10</v>
      </c>
      <c r="AE589" s="390">
        <v>44378</v>
      </c>
      <c r="AF589" s="390">
        <v>45473</v>
      </c>
      <c r="AG589" s="391" t="s">
        <v>545</v>
      </c>
      <c r="AH589" s="391" t="s">
        <v>5037</v>
      </c>
      <c r="AI589" s="391" t="s">
        <v>2385</v>
      </c>
      <c r="AJ589" s="391">
        <v>0</v>
      </c>
      <c r="AK589" s="390">
        <v>44378</v>
      </c>
      <c r="AL589" s="389">
        <v>100</v>
      </c>
      <c r="AM589" s="391" t="s">
        <v>548</v>
      </c>
      <c r="AN589" s="391" t="s">
        <v>549</v>
      </c>
      <c r="AO589" s="391" t="s">
        <v>5038</v>
      </c>
    </row>
    <row r="590" spans="1:41" ht="16" thickBot="1">
      <c r="A590" s="387" t="s">
        <v>2387</v>
      </c>
      <c r="B590" s="387" t="s">
        <v>1890</v>
      </c>
      <c r="C590" s="387" t="s">
        <v>5039</v>
      </c>
      <c r="D590" s="387" t="s">
        <v>5040</v>
      </c>
      <c r="E590" s="387">
        <v>100</v>
      </c>
      <c r="F590" s="387" t="s">
        <v>531</v>
      </c>
      <c r="G590" s="387">
        <v>100</v>
      </c>
      <c r="H590" s="387" t="s">
        <v>531</v>
      </c>
      <c r="I590" s="387" t="s">
        <v>1751</v>
      </c>
      <c r="J590" s="387" t="s">
        <v>5041</v>
      </c>
      <c r="K590" s="387" t="s">
        <v>5042</v>
      </c>
      <c r="L590" s="387" t="s">
        <v>2380</v>
      </c>
      <c r="M590" s="387" t="s">
        <v>2381</v>
      </c>
      <c r="N590" s="388">
        <v>317.08999999999997</v>
      </c>
      <c r="O590" s="388">
        <v>10</v>
      </c>
      <c r="P590" s="387" t="s">
        <v>538</v>
      </c>
      <c r="Q590" s="387" t="s">
        <v>539</v>
      </c>
      <c r="R590" s="387" t="s">
        <v>5043</v>
      </c>
      <c r="S590" s="387" t="s">
        <v>171</v>
      </c>
      <c r="T590" s="387" t="s">
        <v>757</v>
      </c>
      <c r="U590" s="388">
        <v>36000</v>
      </c>
      <c r="V590" s="387" t="s">
        <v>543</v>
      </c>
      <c r="W590" s="387" t="s">
        <v>543</v>
      </c>
      <c r="X590" s="387" t="s">
        <v>543</v>
      </c>
      <c r="Y590" s="387" t="s">
        <v>543</v>
      </c>
      <c r="Z590" s="387" t="s">
        <v>543</v>
      </c>
      <c r="AA590" s="388" t="s">
        <v>543</v>
      </c>
      <c r="AB590" s="388" t="s">
        <v>543</v>
      </c>
      <c r="AC590" s="387">
        <v>734667019</v>
      </c>
      <c r="AD590" s="389">
        <v>30</v>
      </c>
      <c r="AE590" s="390">
        <v>44378</v>
      </c>
      <c r="AF590" s="390">
        <v>45473</v>
      </c>
      <c r="AG590" s="391" t="s">
        <v>545</v>
      </c>
      <c r="AH590" s="391" t="s">
        <v>5044</v>
      </c>
      <c r="AI590" s="391" t="s">
        <v>2385</v>
      </c>
      <c r="AJ590" s="391">
        <v>0</v>
      </c>
      <c r="AK590" s="390">
        <v>44378</v>
      </c>
      <c r="AL590" s="389">
        <v>100</v>
      </c>
      <c r="AM590" s="391" t="s">
        <v>548</v>
      </c>
      <c r="AN590" s="391" t="s">
        <v>549</v>
      </c>
      <c r="AO590" s="391" t="s">
        <v>5045</v>
      </c>
    </row>
    <row r="591" spans="1:41" ht="16" thickBot="1">
      <c r="A591" s="387" t="s">
        <v>2387</v>
      </c>
      <c r="B591" s="387" t="s">
        <v>1704</v>
      </c>
      <c r="C591" s="387" t="s">
        <v>5046</v>
      </c>
      <c r="D591" s="387" t="s">
        <v>5047</v>
      </c>
      <c r="E591" s="387">
        <v>50</v>
      </c>
      <c r="F591" s="387" t="s">
        <v>531</v>
      </c>
      <c r="G591" s="387">
        <v>50</v>
      </c>
      <c r="H591" s="387" t="s">
        <v>531</v>
      </c>
      <c r="I591" s="387" t="s">
        <v>1751</v>
      </c>
      <c r="J591" s="387" t="s">
        <v>5041</v>
      </c>
      <c r="K591" s="387" t="s">
        <v>5048</v>
      </c>
      <c r="L591" s="387" t="s">
        <v>2380</v>
      </c>
      <c r="M591" s="387" t="s">
        <v>2381</v>
      </c>
      <c r="N591" s="388">
        <v>191.23</v>
      </c>
      <c r="O591" s="388">
        <v>10</v>
      </c>
      <c r="P591" s="387" t="s">
        <v>538</v>
      </c>
      <c r="Q591" s="387" t="s">
        <v>539</v>
      </c>
      <c r="R591" s="387" t="s">
        <v>5043</v>
      </c>
      <c r="S591" s="387" t="s">
        <v>171</v>
      </c>
      <c r="T591" s="387" t="s">
        <v>757</v>
      </c>
      <c r="U591" s="388">
        <v>11764</v>
      </c>
      <c r="V591" s="387" t="s">
        <v>543</v>
      </c>
      <c r="W591" s="387" t="s">
        <v>543</v>
      </c>
      <c r="X591" s="387" t="s">
        <v>543</v>
      </c>
      <c r="Y591" s="387" t="s">
        <v>543</v>
      </c>
      <c r="Z591" s="387" t="s">
        <v>543</v>
      </c>
      <c r="AA591" s="388" t="s">
        <v>543</v>
      </c>
      <c r="AB591" s="388" t="s">
        <v>543</v>
      </c>
      <c r="AC591" s="387" t="s">
        <v>543</v>
      </c>
      <c r="AD591" s="389">
        <v>30</v>
      </c>
      <c r="AE591" s="390">
        <v>44378</v>
      </c>
      <c r="AF591" s="390">
        <v>45473</v>
      </c>
      <c r="AG591" s="391" t="s">
        <v>545</v>
      </c>
      <c r="AH591" s="391" t="s">
        <v>5049</v>
      </c>
      <c r="AI591" s="391" t="s">
        <v>2385</v>
      </c>
      <c r="AJ591" s="391">
        <v>0</v>
      </c>
      <c r="AK591" s="390">
        <v>44378</v>
      </c>
      <c r="AL591" s="389">
        <v>100</v>
      </c>
      <c r="AM591" s="391" t="s">
        <v>548</v>
      </c>
      <c r="AN591" s="391" t="s">
        <v>549</v>
      </c>
      <c r="AO591" s="391" t="s">
        <v>5045</v>
      </c>
    </row>
    <row r="592" spans="1:41" ht="16" thickBot="1">
      <c r="A592" s="387" t="s">
        <v>2387</v>
      </c>
      <c r="B592" s="387" t="s">
        <v>544</v>
      </c>
      <c r="C592" s="387" t="s">
        <v>5050</v>
      </c>
      <c r="D592" s="387" t="s">
        <v>5051</v>
      </c>
      <c r="E592" s="387">
        <v>50</v>
      </c>
      <c r="F592" s="387" t="s">
        <v>531</v>
      </c>
      <c r="G592" s="387">
        <v>50</v>
      </c>
      <c r="H592" s="387" t="s">
        <v>531</v>
      </c>
      <c r="I592" s="387" t="s">
        <v>1751</v>
      </c>
      <c r="J592" s="387" t="s">
        <v>5052</v>
      </c>
      <c r="K592" s="387" t="s">
        <v>5053</v>
      </c>
      <c r="L592" s="387" t="s">
        <v>3128</v>
      </c>
      <c r="M592" s="387" t="s">
        <v>3129</v>
      </c>
      <c r="N592" s="388">
        <v>118.28</v>
      </c>
      <c r="O592" s="388">
        <v>14</v>
      </c>
      <c r="P592" s="387" t="s">
        <v>538</v>
      </c>
      <c r="Q592" s="387" t="s">
        <v>539</v>
      </c>
      <c r="R592" s="387" t="s">
        <v>5054</v>
      </c>
      <c r="S592" s="387" t="s">
        <v>171</v>
      </c>
      <c r="T592" s="387" t="s">
        <v>757</v>
      </c>
      <c r="U592" s="388">
        <v>14500</v>
      </c>
      <c r="V592" s="387">
        <v>6005943001217</v>
      </c>
      <c r="W592" s="387">
        <v>6005943001217</v>
      </c>
      <c r="X592" s="387" t="s">
        <v>543</v>
      </c>
      <c r="Y592" s="387">
        <v>60059430012178</v>
      </c>
      <c r="Z592" s="387" t="s">
        <v>543</v>
      </c>
      <c r="AA592" s="388" t="s">
        <v>543</v>
      </c>
      <c r="AB592" s="388" t="s">
        <v>543</v>
      </c>
      <c r="AC592" s="387">
        <v>810584018</v>
      </c>
      <c r="AD592" s="389">
        <v>10</v>
      </c>
      <c r="AE592" s="390">
        <v>44378</v>
      </c>
      <c r="AF592" s="390">
        <v>45473</v>
      </c>
      <c r="AG592" s="391" t="s">
        <v>545</v>
      </c>
      <c r="AH592" s="391" t="s">
        <v>5055</v>
      </c>
      <c r="AI592" s="391" t="s">
        <v>3131</v>
      </c>
      <c r="AJ592" s="391">
        <v>0</v>
      </c>
      <c r="AK592" s="390">
        <v>44378</v>
      </c>
      <c r="AL592" s="389">
        <v>100</v>
      </c>
      <c r="AM592" s="391" t="s">
        <v>548</v>
      </c>
      <c r="AN592" s="391" t="s">
        <v>549</v>
      </c>
      <c r="AO592" s="391" t="s">
        <v>5056</v>
      </c>
    </row>
    <row r="593" spans="1:43" ht="16" thickBot="1">
      <c r="A593" s="387" t="s">
        <v>2387</v>
      </c>
      <c r="B593" s="387" t="s">
        <v>1003</v>
      </c>
      <c r="C593" s="387" t="s">
        <v>5057</v>
      </c>
      <c r="D593" s="387" t="s">
        <v>5058</v>
      </c>
      <c r="E593" s="387">
        <v>100</v>
      </c>
      <c r="F593" s="387" t="s">
        <v>531</v>
      </c>
      <c r="G593" s="387">
        <v>100</v>
      </c>
      <c r="H593" s="387" t="s">
        <v>531</v>
      </c>
      <c r="I593" s="387" t="s">
        <v>1751</v>
      </c>
      <c r="J593" s="387" t="s">
        <v>5052</v>
      </c>
      <c r="K593" s="387" t="s">
        <v>5059</v>
      </c>
      <c r="L593" s="387" t="s">
        <v>3128</v>
      </c>
      <c r="M593" s="387" t="s">
        <v>3129</v>
      </c>
      <c r="N593" s="388">
        <v>246.99</v>
      </c>
      <c r="O593" s="388">
        <v>14</v>
      </c>
      <c r="P593" s="387" t="s">
        <v>538</v>
      </c>
      <c r="Q593" s="387" t="s">
        <v>539</v>
      </c>
      <c r="R593" s="387" t="s">
        <v>5054</v>
      </c>
      <c r="S593" s="387" t="s">
        <v>171</v>
      </c>
      <c r="T593" s="387" t="s">
        <v>757</v>
      </c>
      <c r="U593" s="388">
        <v>11844</v>
      </c>
      <c r="V593" s="387">
        <v>6005943001248</v>
      </c>
      <c r="W593" s="387">
        <v>6005943001248</v>
      </c>
      <c r="X593" s="387" t="s">
        <v>543</v>
      </c>
      <c r="Y593" s="387">
        <v>60059430012482</v>
      </c>
      <c r="Z593" s="387" t="s">
        <v>543</v>
      </c>
      <c r="AA593" s="388" t="s">
        <v>543</v>
      </c>
      <c r="AB593" s="388" t="s">
        <v>543</v>
      </c>
      <c r="AC593" s="387">
        <v>722506001</v>
      </c>
      <c r="AD593" s="389">
        <v>10</v>
      </c>
      <c r="AE593" s="390">
        <v>44378</v>
      </c>
      <c r="AF593" s="390">
        <v>45473</v>
      </c>
      <c r="AG593" s="391" t="s">
        <v>545</v>
      </c>
      <c r="AH593" s="391" t="s">
        <v>5060</v>
      </c>
      <c r="AI593" s="391" t="s">
        <v>3131</v>
      </c>
      <c r="AJ593" s="391">
        <v>0</v>
      </c>
      <c r="AK593" s="390">
        <v>44378</v>
      </c>
      <c r="AL593" s="389">
        <v>100</v>
      </c>
      <c r="AM593" s="391" t="s">
        <v>548</v>
      </c>
      <c r="AN593" s="391" t="s">
        <v>549</v>
      </c>
      <c r="AO593" s="391" t="s">
        <v>5061</v>
      </c>
    </row>
    <row r="594" spans="1:43" ht="16" thickBot="1">
      <c r="A594" s="387" t="s">
        <v>2412</v>
      </c>
      <c r="B594" s="387" t="s">
        <v>3188</v>
      </c>
      <c r="C594" s="387" t="s">
        <v>5062</v>
      </c>
      <c r="D594" s="387" t="s">
        <v>5063</v>
      </c>
      <c r="E594" s="387">
        <v>200</v>
      </c>
      <c r="F594" s="387" t="s">
        <v>2405</v>
      </c>
      <c r="G594" s="387">
        <v>120</v>
      </c>
      <c r="H594" s="387" t="s">
        <v>2405</v>
      </c>
      <c r="I594" s="387" t="s">
        <v>2406</v>
      </c>
      <c r="J594" s="387" t="s">
        <v>5064</v>
      </c>
      <c r="K594" s="387" t="s">
        <v>5065</v>
      </c>
      <c r="L594" s="387" t="s">
        <v>1927</v>
      </c>
      <c r="M594" s="387" t="s">
        <v>1928</v>
      </c>
      <c r="N594" s="388">
        <v>109.48</v>
      </c>
      <c r="O594" s="388">
        <v>14</v>
      </c>
      <c r="P594" s="387" t="s">
        <v>538</v>
      </c>
      <c r="Q594" s="387" t="s">
        <v>539</v>
      </c>
      <c r="R594" s="387" t="s">
        <v>5066</v>
      </c>
      <c r="S594" s="387" t="s">
        <v>171</v>
      </c>
      <c r="T594" s="387" t="s">
        <v>542</v>
      </c>
      <c r="U594" s="388">
        <v>202620</v>
      </c>
      <c r="V594" s="387">
        <v>6006127001542</v>
      </c>
      <c r="W594" s="387" t="s">
        <v>543</v>
      </c>
      <c r="X594" s="387" t="s">
        <v>543</v>
      </c>
      <c r="Y594" s="387">
        <v>15000000000002</v>
      </c>
      <c r="Z594" s="387" t="s">
        <v>543</v>
      </c>
      <c r="AA594" s="388" t="s">
        <v>543</v>
      </c>
      <c r="AB594" s="388" t="s">
        <v>543</v>
      </c>
      <c r="AC594" s="387">
        <v>706543001</v>
      </c>
      <c r="AD594" s="389">
        <v>1</v>
      </c>
      <c r="AE594" s="390">
        <v>44137</v>
      </c>
      <c r="AF594" s="390">
        <v>45107</v>
      </c>
      <c r="AG594" s="390">
        <v>45107</v>
      </c>
      <c r="AH594" s="391" t="s">
        <v>5067</v>
      </c>
      <c r="AI594" s="391" t="s">
        <v>1932</v>
      </c>
      <c r="AJ594" s="391">
        <v>0</v>
      </c>
      <c r="AK594" s="390">
        <v>44137</v>
      </c>
      <c r="AL594" s="389">
        <v>100</v>
      </c>
      <c r="AM594" s="391" t="s">
        <v>548</v>
      </c>
      <c r="AN594" s="391" t="s">
        <v>545</v>
      </c>
      <c r="AO594" s="391" t="s">
        <v>5068</v>
      </c>
    </row>
    <row r="595" spans="1:43" ht="16" thickBot="1">
      <c r="A595" s="387" t="s">
        <v>2294</v>
      </c>
      <c r="B595" s="387" t="s">
        <v>2738</v>
      </c>
      <c r="C595" s="387" t="s">
        <v>5069</v>
      </c>
      <c r="D595" s="387" t="s">
        <v>5070</v>
      </c>
      <c r="E595" s="387">
        <v>60</v>
      </c>
      <c r="F595" s="387" t="s">
        <v>4104</v>
      </c>
      <c r="G595" s="387">
        <v>60</v>
      </c>
      <c r="H595" s="387" t="s">
        <v>4104</v>
      </c>
      <c r="I595" s="387" t="s">
        <v>4105</v>
      </c>
      <c r="J595" s="387" t="s">
        <v>5064</v>
      </c>
      <c r="K595" s="387" t="s">
        <v>5071</v>
      </c>
      <c r="L595" s="387" t="s">
        <v>1975</v>
      </c>
      <c r="M595" s="387" t="s">
        <v>1976</v>
      </c>
      <c r="N595" s="388">
        <v>90.83</v>
      </c>
      <c r="O595" s="388">
        <v>14</v>
      </c>
      <c r="P595" s="387" t="s">
        <v>538</v>
      </c>
      <c r="Q595" s="387" t="s">
        <v>539</v>
      </c>
      <c r="R595" s="387" t="s">
        <v>5066</v>
      </c>
      <c r="S595" s="387" t="s">
        <v>171</v>
      </c>
      <c r="T595" s="387" t="s">
        <v>542</v>
      </c>
      <c r="U595" s="388">
        <v>86990</v>
      </c>
      <c r="V595" s="387">
        <v>6003252062059</v>
      </c>
      <c r="W595" s="387" t="s">
        <v>543</v>
      </c>
      <c r="X595" s="387" t="s">
        <v>543</v>
      </c>
      <c r="Y595" s="387">
        <v>16003252062056</v>
      </c>
      <c r="Z595" s="387" t="s">
        <v>543</v>
      </c>
      <c r="AA595" s="388" t="s">
        <v>543</v>
      </c>
      <c r="AB595" s="388" t="s">
        <v>543</v>
      </c>
      <c r="AC595" s="387" t="s">
        <v>543</v>
      </c>
      <c r="AD595" s="389">
        <v>1</v>
      </c>
      <c r="AE595" s="390">
        <v>44013</v>
      </c>
      <c r="AF595" s="390">
        <v>45107</v>
      </c>
      <c r="AG595" s="390">
        <v>45107</v>
      </c>
      <c r="AH595" s="391" t="s">
        <v>5072</v>
      </c>
      <c r="AI595" s="391" t="s">
        <v>1979</v>
      </c>
      <c r="AJ595" s="391">
        <v>55</v>
      </c>
      <c r="AK595" s="390">
        <v>44774</v>
      </c>
      <c r="AL595" s="389">
        <v>100</v>
      </c>
      <c r="AM595" s="391" t="s">
        <v>548</v>
      </c>
      <c r="AN595" s="391" t="s">
        <v>545</v>
      </c>
      <c r="AO595" s="391" t="s">
        <v>5073</v>
      </c>
    </row>
    <row r="596" spans="1:43" ht="16" thickBot="1">
      <c r="A596" s="387" t="s">
        <v>2294</v>
      </c>
      <c r="B596" s="387" t="s">
        <v>3117</v>
      </c>
      <c r="C596" s="387" t="s">
        <v>5074</v>
      </c>
      <c r="D596" s="387" t="s">
        <v>5075</v>
      </c>
      <c r="E596" s="387">
        <v>60</v>
      </c>
      <c r="F596" s="387" t="s">
        <v>4104</v>
      </c>
      <c r="G596" s="387">
        <v>60</v>
      </c>
      <c r="H596" s="387" t="s">
        <v>4104</v>
      </c>
      <c r="I596" s="387" t="s">
        <v>4105</v>
      </c>
      <c r="J596" s="387" t="s">
        <v>5064</v>
      </c>
      <c r="K596" s="387" t="s">
        <v>5076</v>
      </c>
      <c r="L596" s="387" t="s">
        <v>1975</v>
      </c>
      <c r="M596" s="387" t="s">
        <v>1976</v>
      </c>
      <c r="N596" s="388">
        <v>105.13</v>
      </c>
      <c r="O596" s="388">
        <v>14</v>
      </c>
      <c r="P596" s="387" t="s">
        <v>538</v>
      </c>
      <c r="Q596" s="387" t="s">
        <v>539</v>
      </c>
      <c r="R596" s="387" t="s">
        <v>5066</v>
      </c>
      <c r="S596" s="387" t="s">
        <v>171</v>
      </c>
      <c r="T596" s="387" t="s">
        <v>542</v>
      </c>
      <c r="U596" s="388">
        <v>76560</v>
      </c>
      <c r="V596" s="387">
        <v>6003252062066</v>
      </c>
      <c r="W596" s="387" t="s">
        <v>543</v>
      </c>
      <c r="X596" s="387" t="s">
        <v>543</v>
      </c>
      <c r="Y596" s="387">
        <v>16003252062063</v>
      </c>
      <c r="Z596" s="387" t="s">
        <v>543</v>
      </c>
      <c r="AA596" s="388" t="s">
        <v>543</v>
      </c>
      <c r="AB596" s="388" t="s">
        <v>543</v>
      </c>
      <c r="AC596" s="387" t="s">
        <v>543</v>
      </c>
      <c r="AD596" s="389">
        <v>1</v>
      </c>
      <c r="AE596" s="390">
        <v>44013</v>
      </c>
      <c r="AF596" s="390">
        <v>45107</v>
      </c>
      <c r="AG596" s="390">
        <v>45107</v>
      </c>
      <c r="AH596" s="391" t="s">
        <v>5077</v>
      </c>
      <c r="AI596" s="391" t="s">
        <v>1979</v>
      </c>
      <c r="AJ596" s="391">
        <v>55</v>
      </c>
      <c r="AK596" s="390">
        <v>44774</v>
      </c>
      <c r="AL596" s="389">
        <v>100</v>
      </c>
      <c r="AM596" s="391" t="s">
        <v>548</v>
      </c>
      <c r="AN596" s="391" t="s">
        <v>545</v>
      </c>
      <c r="AO596" s="391" t="s">
        <v>5078</v>
      </c>
    </row>
    <row r="597" spans="1:43" ht="16" thickBot="1">
      <c r="A597" s="387" t="s">
        <v>2166</v>
      </c>
      <c r="B597" s="387" t="s">
        <v>2830</v>
      </c>
      <c r="C597" s="387" t="s">
        <v>5079</v>
      </c>
      <c r="D597" s="387" t="s">
        <v>5080</v>
      </c>
      <c r="E597" s="387">
        <v>5</v>
      </c>
      <c r="F597" s="387" t="s">
        <v>531</v>
      </c>
      <c r="G597" s="387">
        <v>5</v>
      </c>
      <c r="H597" s="387" t="s">
        <v>531</v>
      </c>
      <c r="I597" s="387" t="s">
        <v>1751</v>
      </c>
      <c r="J597" s="387" t="s">
        <v>5081</v>
      </c>
      <c r="K597" s="387" t="s">
        <v>5082</v>
      </c>
      <c r="L597" s="387" t="s">
        <v>2141</v>
      </c>
      <c r="M597" s="387" t="s">
        <v>2142</v>
      </c>
      <c r="N597" s="388">
        <v>200.03</v>
      </c>
      <c r="O597" s="388">
        <v>14</v>
      </c>
      <c r="P597" s="387" t="s">
        <v>538</v>
      </c>
      <c r="Q597" s="387" t="s">
        <v>539</v>
      </c>
      <c r="R597" s="387" t="s">
        <v>5083</v>
      </c>
      <c r="S597" s="387" t="s">
        <v>171</v>
      </c>
      <c r="T597" s="387" t="s">
        <v>1908</v>
      </c>
      <c r="U597" s="388">
        <v>11540</v>
      </c>
      <c r="V597" s="387">
        <v>781718734318</v>
      </c>
      <c r="W597" s="387">
        <v>781718734448</v>
      </c>
      <c r="X597" s="387" t="s">
        <v>543</v>
      </c>
      <c r="Y597" s="387">
        <v>7817187344481</v>
      </c>
      <c r="Z597" s="387" t="s">
        <v>543</v>
      </c>
      <c r="AA597" s="388" t="s">
        <v>543</v>
      </c>
      <c r="AB597" s="388" t="s">
        <v>543</v>
      </c>
      <c r="AC597" s="387" t="s">
        <v>543</v>
      </c>
      <c r="AD597" s="389">
        <v>20</v>
      </c>
      <c r="AE597" s="390">
        <v>44743</v>
      </c>
      <c r="AF597" s="390">
        <v>45473</v>
      </c>
      <c r="AG597" s="390">
        <v>45473</v>
      </c>
      <c r="AH597" s="391" t="s">
        <v>5084</v>
      </c>
      <c r="AI597" s="391" t="s">
        <v>2144</v>
      </c>
      <c r="AJ597" s="391">
        <v>12</v>
      </c>
      <c r="AK597" s="390">
        <v>45047</v>
      </c>
      <c r="AL597" s="389">
        <v>100</v>
      </c>
      <c r="AM597" s="391" t="s">
        <v>548</v>
      </c>
      <c r="AN597" s="391" t="s">
        <v>549</v>
      </c>
      <c r="AO597" s="391" t="s">
        <v>5085</v>
      </c>
    </row>
    <row r="598" spans="1:43" ht="16" thickBot="1">
      <c r="A598" s="387" t="s">
        <v>2166</v>
      </c>
      <c r="B598" s="387" t="s">
        <v>3214</v>
      </c>
      <c r="C598" s="387" t="s">
        <v>5086</v>
      </c>
      <c r="D598" s="387" t="s">
        <v>5087</v>
      </c>
      <c r="E598" s="387">
        <v>2</v>
      </c>
      <c r="F598" s="387" t="s">
        <v>531</v>
      </c>
      <c r="G598" s="387">
        <v>2</v>
      </c>
      <c r="H598" s="387" t="s">
        <v>531</v>
      </c>
      <c r="I598" s="387" t="s">
        <v>1751</v>
      </c>
      <c r="J598" s="387" t="s">
        <v>5081</v>
      </c>
      <c r="K598" s="387" t="s">
        <v>5088</v>
      </c>
      <c r="L598" s="387" t="s">
        <v>2141</v>
      </c>
      <c r="M598" s="387" t="s">
        <v>2142</v>
      </c>
      <c r="N598" s="388">
        <v>114.3</v>
      </c>
      <c r="O598" s="388">
        <v>14</v>
      </c>
      <c r="P598" s="387" t="s">
        <v>538</v>
      </c>
      <c r="Q598" s="387" t="s">
        <v>539</v>
      </c>
      <c r="R598" s="387" t="s">
        <v>5083</v>
      </c>
      <c r="S598" s="387" t="s">
        <v>171</v>
      </c>
      <c r="T598" s="387" t="s">
        <v>1908</v>
      </c>
      <c r="U598" s="388">
        <v>624</v>
      </c>
      <c r="V598" s="387">
        <v>781718734349</v>
      </c>
      <c r="W598" s="387">
        <v>781718734431</v>
      </c>
      <c r="X598" s="387" t="s">
        <v>543</v>
      </c>
      <c r="Y598" s="387">
        <v>7817187344311</v>
      </c>
      <c r="Z598" s="387" t="s">
        <v>543</v>
      </c>
      <c r="AA598" s="388" t="s">
        <v>543</v>
      </c>
      <c r="AB598" s="388" t="s">
        <v>543</v>
      </c>
      <c r="AC598" s="387" t="s">
        <v>543</v>
      </c>
      <c r="AD598" s="389">
        <v>20</v>
      </c>
      <c r="AE598" s="390">
        <v>44743</v>
      </c>
      <c r="AF598" s="390">
        <v>45473</v>
      </c>
      <c r="AG598" s="390">
        <v>45473</v>
      </c>
      <c r="AH598" s="391" t="s">
        <v>5089</v>
      </c>
      <c r="AI598" s="391" t="s">
        <v>2144</v>
      </c>
      <c r="AJ598" s="391">
        <v>12</v>
      </c>
      <c r="AK598" s="390">
        <v>45047</v>
      </c>
      <c r="AL598" s="389">
        <v>100</v>
      </c>
      <c r="AM598" s="391" t="s">
        <v>548</v>
      </c>
      <c r="AN598" s="391" t="s">
        <v>549</v>
      </c>
      <c r="AO598" s="391" t="s">
        <v>5090</v>
      </c>
    </row>
    <row r="599" spans="1:43" ht="16" thickBot="1">
      <c r="A599" s="387" t="s">
        <v>1748</v>
      </c>
      <c r="B599" s="387" t="s">
        <v>3070</v>
      </c>
      <c r="C599" s="387" t="s">
        <v>5091</v>
      </c>
      <c r="D599" s="387" t="s">
        <v>5092</v>
      </c>
      <c r="E599" s="387">
        <v>2</v>
      </c>
      <c r="F599" s="387" t="s">
        <v>531</v>
      </c>
      <c r="G599" s="387">
        <v>2</v>
      </c>
      <c r="H599" s="387" t="s">
        <v>531</v>
      </c>
      <c r="I599" s="387" t="s">
        <v>1751</v>
      </c>
      <c r="J599" s="387" t="s">
        <v>5093</v>
      </c>
      <c r="K599" s="387" t="s">
        <v>5094</v>
      </c>
      <c r="L599" s="387" t="s">
        <v>2326</v>
      </c>
      <c r="M599" s="387" t="s">
        <v>2327</v>
      </c>
      <c r="N599" s="388">
        <v>62.03</v>
      </c>
      <c r="O599" s="388">
        <v>14</v>
      </c>
      <c r="P599" s="387" t="s">
        <v>538</v>
      </c>
      <c r="Q599" s="387" t="s">
        <v>539</v>
      </c>
      <c r="R599" s="387" t="s">
        <v>5095</v>
      </c>
      <c r="S599" s="387" t="s">
        <v>171</v>
      </c>
      <c r="T599" s="387" t="s">
        <v>757</v>
      </c>
      <c r="U599" s="388">
        <v>211350</v>
      </c>
      <c r="V599" s="387">
        <v>6009609621498</v>
      </c>
      <c r="W599" s="387" t="s">
        <v>543</v>
      </c>
      <c r="X599" s="387" t="s">
        <v>543</v>
      </c>
      <c r="Y599" s="387">
        <v>26009609621492</v>
      </c>
      <c r="Z599" s="387" t="s">
        <v>543</v>
      </c>
      <c r="AA599" s="388" t="s">
        <v>543</v>
      </c>
      <c r="AB599" s="388" t="s">
        <v>543</v>
      </c>
      <c r="AC599" s="387">
        <v>711596002</v>
      </c>
      <c r="AD599" s="389" t="s">
        <v>5096</v>
      </c>
      <c r="AE599" s="390">
        <v>44317</v>
      </c>
      <c r="AF599" s="390">
        <v>45412</v>
      </c>
      <c r="AG599" s="391" t="s">
        <v>545</v>
      </c>
      <c r="AH599" s="391" t="s">
        <v>5097</v>
      </c>
      <c r="AI599" s="391" t="s">
        <v>2330</v>
      </c>
      <c r="AJ599" s="391">
        <v>0</v>
      </c>
      <c r="AK599" s="390">
        <v>44317</v>
      </c>
      <c r="AL599" s="389">
        <v>100</v>
      </c>
      <c r="AM599" s="391" t="s">
        <v>548</v>
      </c>
      <c r="AN599" s="391" t="s">
        <v>549</v>
      </c>
      <c r="AO599" s="391" t="s">
        <v>5098</v>
      </c>
    </row>
    <row r="600" spans="1:43" ht="16" thickBot="1">
      <c r="A600" s="387" t="s">
        <v>1748</v>
      </c>
      <c r="B600" s="387" t="s">
        <v>2857</v>
      </c>
      <c r="C600" s="387" t="s">
        <v>5099</v>
      </c>
      <c r="D600" s="387" t="s">
        <v>5100</v>
      </c>
      <c r="E600" s="387">
        <v>10</v>
      </c>
      <c r="F600" s="387" t="s">
        <v>531</v>
      </c>
      <c r="G600" s="387">
        <v>10</v>
      </c>
      <c r="H600" s="387" t="s">
        <v>531</v>
      </c>
      <c r="I600" s="387" t="s">
        <v>1751</v>
      </c>
      <c r="J600" s="387" t="s">
        <v>5093</v>
      </c>
      <c r="K600" s="387" t="s">
        <v>5094</v>
      </c>
      <c r="L600" s="387" t="s">
        <v>2326</v>
      </c>
      <c r="M600" s="387" t="s">
        <v>2327</v>
      </c>
      <c r="N600" s="388">
        <v>310.13</v>
      </c>
      <c r="O600" s="388">
        <v>14</v>
      </c>
      <c r="P600" s="387" t="s">
        <v>538</v>
      </c>
      <c r="Q600" s="387" t="s">
        <v>539</v>
      </c>
      <c r="R600" s="387" t="s">
        <v>5095</v>
      </c>
      <c r="S600" s="387" t="s">
        <v>171</v>
      </c>
      <c r="T600" s="387" t="s">
        <v>757</v>
      </c>
      <c r="U600" s="388">
        <v>16500</v>
      </c>
      <c r="V600" s="387">
        <v>6009609621573</v>
      </c>
      <c r="W600" s="387" t="s">
        <v>543</v>
      </c>
      <c r="X600" s="387" t="s">
        <v>543</v>
      </c>
      <c r="Y600" s="387">
        <v>26009609621577</v>
      </c>
      <c r="Z600" s="387" t="s">
        <v>543</v>
      </c>
      <c r="AA600" s="388" t="s">
        <v>543</v>
      </c>
      <c r="AB600" s="388" t="s">
        <v>543</v>
      </c>
      <c r="AC600" s="387">
        <v>713080001</v>
      </c>
      <c r="AD600" s="389" t="s">
        <v>5101</v>
      </c>
      <c r="AE600" s="390">
        <v>44317</v>
      </c>
      <c r="AF600" s="390">
        <v>45412</v>
      </c>
      <c r="AG600" s="391" t="s">
        <v>545</v>
      </c>
      <c r="AH600" s="391" t="s">
        <v>5102</v>
      </c>
      <c r="AI600" s="391" t="s">
        <v>2330</v>
      </c>
      <c r="AJ600" s="391">
        <v>0</v>
      </c>
      <c r="AK600" s="390">
        <v>44317</v>
      </c>
      <c r="AL600" s="389">
        <v>100</v>
      </c>
      <c r="AM600" s="391" t="s">
        <v>548</v>
      </c>
      <c r="AN600" s="391" t="s">
        <v>549</v>
      </c>
      <c r="AO600" s="391" t="s">
        <v>5103</v>
      </c>
    </row>
    <row r="601" spans="1:43" ht="16" thickBot="1">
      <c r="A601" s="387" t="s">
        <v>1748</v>
      </c>
      <c r="B601" s="387" t="s">
        <v>3076</v>
      </c>
      <c r="C601" s="387" t="s">
        <v>5104</v>
      </c>
      <c r="D601" s="387" t="s">
        <v>5105</v>
      </c>
      <c r="E601" s="387">
        <v>5</v>
      </c>
      <c r="F601" s="387" t="s">
        <v>531</v>
      </c>
      <c r="G601" s="387" t="s">
        <v>543</v>
      </c>
      <c r="H601" s="387" t="s">
        <v>531</v>
      </c>
      <c r="I601" s="387" t="s">
        <v>1751</v>
      </c>
      <c r="J601" s="387" t="s">
        <v>5106</v>
      </c>
      <c r="K601" s="387" t="s">
        <v>5107</v>
      </c>
      <c r="L601" s="387" t="s">
        <v>2522</v>
      </c>
      <c r="M601" s="387" t="s">
        <v>2523</v>
      </c>
      <c r="N601" s="388">
        <v>48.53</v>
      </c>
      <c r="O601" s="388">
        <v>14</v>
      </c>
      <c r="P601" s="387" t="s">
        <v>538</v>
      </c>
      <c r="Q601" s="387" t="s">
        <v>539</v>
      </c>
      <c r="R601" s="387" t="s">
        <v>5095</v>
      </c>
      <c r="S601" s="387" t="s">
        <v>171</v>
      </c>
      <c r="T601" s="387" t="s">
        <v>757</v>
      </c>
      <c r="U601" s="388">
        <v>271550</v>
      </c>
      <c r="V601" s="387">
        <v>6009802743850</v>
      </c>
      <c r="W601" s="387">
        <v>6009802743850</v>
      </c>
      <c r="X601" s="387" t="s">
        <v>543</v>
      </c>
      <c r="Y601" s="387" t="s">
        <v>543</v>
      </c>
      <c r="Z601" s="387" t="s">
        <v>543</v>
      </c>
      <c r="AA601" s="388" t="s">
        <v>543</v>
      </c>
      <c r="AB601" s="388" t="s">
        <v>543</v>
      </c>
      <c r="AC601" s="387">
        <v>719989001</v>
      </c>
      <c r="AD601" s="389">
        <v>50</v>
      </c>
      <c r="AE601" s="390">
        <v>44317</v>
      </c>
      <c r="AF601" s="390">
        <v>45412</v>
      </c>
      <c r="AG601" s="391" t="s">
        <v>545</v>
      </c>
      <c r="AH601" s="391" t="s">
        <v>5108</v>
      </c>
      <c r="AI601" s="391" t="s">
        <v>2525</v>
      </c>
      <c r="AJ601" s="391">
        <v>0</v>
      </c>
      <c r="AK601" s="390">
        <v>44317</v>
      </c>
      <c r="AL601" s="389">
        <v>100</v>
      </c>
      <c r="AM601" s="391" t="s">
        <v>548</v>
      </c>
      <c r="AN601" s="391" t="s">
        <v>549</v>
      </c>
      <c r="AO601" s="391" t="s">
        <v>5109</v>
      </c>
    </row>
    <row r="602" spans="1:43" ht="22" customHeight="1" thickBot="1">
      <c r="A602" s="387" t="s">
        <v>1729</v>
      </c>
      <c r="B602" s="387" t="s">
        <v>1013</v>
      </c>
      <c r="C602" s="387" t="s">
        <v>5110</v>
      </c>
      <c r="D602" s="387" t="s">
        <v>5111</v>
      </c>
      <c r="E602" s="387">
        <v>250</v>
      </c>
      <c r="F602" s="387" t="s">
        <v>531</v>
      </c>
      <c r="G602" s="387">
        <v>250</v>
      </c>
      <c r="H602" s="387" t="s">
        <v>531</v>
      </c>
      <c r="I602" s="387" t="s">
        <v>1732</v>
      </c>
      <c r="J602" s="387" t="s">
        <v>5112</v>
      </c>
      <c r="K602" s="387" t="s">
        <v>5113</v>
      </c>
      <c r="L602" s="387" t="s">
        <v>2704</v>
      </c>
      <c r="M602" s="387" t="s">
        <v>2705</v>
      </c>
      <c r="N602" s="388">
        <v>391.65</v>
      </c>
      <c r="O602" s="388">
        <v>14</v>
      </c>
      <c r="P602" s="387" t="s">
        <v>538</v>
      </c>
      <c r="Q602" s="387" t="s">
        <v>539</v>
      </c>
      <c r="R602" s="387" t="s">
        <v>5114</v>
      </c>
      <c r="S602" s="387" t="s">
        <v>171</v>
      </c>
      <c r="T602" s="387" t="s">
        <v>757</v>
      </c>
      <c r="U602" s="388">
        <v>36835</v>
      </c>
      <c r="V602" s="387">
        <v>6006056255771</v>
      </c>
      <c r="W602" s="387">
        <v>18904026615929</v>
      </c>
      <c r="X602" s="387" t="s">
        <v>543</v>
      </c>
      <c r="Y602" s="387">
        <v>606110913614</v>
      </c>
      <c r="Z602" s="387" t="s">
        <v>543</v>
      </c>
      <c r="AA602" s="388" t="s">
        <v>543</v>
      </c>
      <c r="AB602" s="388" t="s">
        <v>543</v>
      </c>
      <c r="AC602" s="387">
        <v>709641002</v>
      </c>
      <c r="AD602" s="389">
        <v>144</v>
      </c>
      <c r="AE602" s="390">
        <v>44105</v>
      </c>
      <c r="AF602" s="390">
        <v>45199</v>
      </c>
      <c r="AG602" s="390">
        <v>45199</v>
      </c>
      <c r="AH602" s="391" t="s">
        <v>5115</v>
      </c>
      <c r="AI602" s="391" t="s">
        <v>2708</v>
      </c>
      <c r="AJ602" s="391">
        <v>14</v>
      </c>
      <c r="AK602" s="390">
        <v>44866</v>
      </c>
      <c r="AL602" s="389">
        <v>100</v>
      </c>
      <c r="AM602" s="391" t="s">
        <v>548</v>
      </c>
      <c r="AN602" s="391" t="s">
        <v>545</v>
      </c>
      <c r="AO602" s="391" t="s">
        <v>5116</v>
      </c>
    </row>
    <row r="603" spans="1:43" ht="16" thickBot="1">
      <c r="A603" s="387" t="s">
        <v>1703</v>
      </c>
      <c r="B603" s="387" t="s">
        <v>2127</v>
      </c>
      <c r="C603" s="387" t="s">
        <v>5117</v>
      </c>
      <c r="D603" s="387" t="s">
        <v>5118</v>
      </c>
      <c r="E603" s="387">
        <v>28</v>
      </c>
      <c r="F603" s="387" t="s">
        <v>559</v>
      </c>
      <c r="G603" s="387">
        <v>28</v>
      </c>
      <c r="H603" s="387" t="s">
        <v>559</v>
      </c>
      <c r="I603" s="387" t="s">
        <v>560</v>
      </c>
      <c r="J603" s="387" t="s">
        <v>5119</v>
      </c>
      <c r="K603" s="387" t="s">
        <v>5120</v>
      </c>
      <c r="L603" s="387" t="s">
        <v>535</v>
      </c>
      <c r="M603" s="387" t="s">
        <v>536</v>
      </c>
      <c r="N603" s="388">
        <v>12.1</v>
      </c>
      <c r="O603" s="388">
        <v>14</v>
      </c>
      <c r="P603" s="387" t="s">
        <v>538</v>
      </c>
      <c r="Q603" s="387" t="s">
        <v>539</v>
      </c>
      <c r="R603" s="387" t="s">
        <v>5121</v>
      </c>
      <c r="S603" s="387" t="s">
        <v>541</v>
      </c>
      <c r="T603" s="387" t="s">
        <v>542</v>
      </c>
      <c r="U603" s="388">
        <v>379004</v>
      </c>
      <c r="V603" s="387" t="s">
        <v>543</v>
      </c>
      <c r="W603" s="387" t="s">
        <v>543</v>
      </c>
      <c r="X603" s="387" t="s">
        <v>543</v>
      </c>
      <c r="Y603" s="387" t="s">
        <v>543</v>
      </c>
      <c r="Z603" s="387" t="s">
        <v>543</v>
      </c>
      <c r="AA603" s="388" t="s">
        <v>543</v>
      </c>
      <c r="AB603" s="388" t="s">
        <v>543</v>
      </c>
      <c r="AC603" s="387" t="s">
        <v>543</v>
      </c>
      <c r="AD603" s="389">
        <v>80</v>
      </c>
      <c r="AE603" s="390">
        <v>44470</v>
      </c>
      <c r="AF603" s="390">
        <v>45199</v>
      </c>
      <c r="AG603" s="391" t="s">
        <v>545</v>
      </c>
      <c r="AH603" s="391" t="s">
        <v>5122</v>
      </c>
      <c r="AI603" s="391" t="s">
        <v>547</v>
      </c>
      <c r="AJ603" s="391">
        <v>0</v>
      </c>
      <c r="AK603" s="390">
        <v>44470</v>
      </c>
      <c r="AL603" s="389">
        <v>20</v>
      </c>
      <c r="AM603" s="391" t="s">
        <v>548</v>
      </c>
      <c r="AN603" s="391" t="s">
        <v>549</v>
      </c>
      <c r="AO603" s="391" t="s">
        <v>5123</v>
      </c>
      <c r="AP603" s="372">
        <f>N603/E603</f>
        <v>0.43214285714285711</v>
      </c>
      <c r="AQ603" s="372">
        <f>SUMPRODUCT(AP603:AP604,U603:U604)/SUM(U603:U604)</f>
        <v>0.38757142857142851</v>
      </c>
    </row>
    <row r="604" spans="1:43" ht="16" thickBot="1">
      <c r="A604" s="387" t="s">
        <v>1703</v>
      </c>
      <c r="B604" s="387" t="s">
        <v>2127</v>
      </c>
      <c r="C604" s="387" t="s">
        <v>5117</v>
      </c>
      <c r="D604" s="387" t="s">
        <v>5118</v>
      </c>
      <c r="E604" s="387">
        <v>28</v>
      </c>
      <c r="F604" s="387" t="s">
        <v>559</v>
      </c>
      <c r="G604" s="387">
        <v>28</v>
      </c>
      <c r="H604" s="387" t="s">
        <v>559</v>
      </c>
      <c r="I604" s="387" t="s">
        <v>560</v>
      </c>
      <c r="J604" s="387" t="s">
        <v>5119</v>
      </c>
      <c r="K604" s="387" t="s">
        <v>5124</v>
      </c>
      <c r="L604" s="387" t="s">
        <v>2200</v>
      </c>
      <c r="M604" s="387" t="s">
        <v>2201</v>
      </c>
      <c r="N604" s="388">
        <v>10.54</v>
      </c>
      <c r="O604" s="388">
        <v>14</v>
      </c>
      <c r="P604" s="387" t="s">
        <v>538</v>
      </c>
      <c r="Q604" s="387" t="s">
        <v>539</v>
      </c>
      <c r="R604" s="387" t="s">
        <v>5121</v>
      </c>
      <c r="S604" s="387" t="s">
        <v>541</v>
      </c>
      <c r="T604" s="387" t="s">
        <v>542</v>
      </c>
      <c r="U604" s="388">
        <v>1516016</v>
      </c>
      <c r="V604" s="387">
        <v>8901463130049</v>
      </c>
      <c r="W604" s="387">
        <v>8901463130049</v>
      </c>
      <c r="X604" s="387" t="s">
        <v>543</v>
      </c>
      <c r="Y604" s="387" t="s">
        <v>543</v>
      </c>
      <c r="Z604" s="387" t="s">
        <v>543</v>
      </c>
      <c r="AA604" s="388" t="s">
        <v>543</v>
      </c>
      <c r="AB604" s="388" t="s">
        <v>543</v>
      </c>
      <c r="AC604" s="387" t="s">
        <v>543</v>
      </c>
      <c r="AD604" s="389">
        <v>240</v>
      </c>
      <c r="AE604" s="390">
        <v>44470</v>
      </c>
      <c r="AF604" s="390">
        <v>45199</v>
      </c>
      <c r="AG604" s="390">
        <v>45199</v>
      </c>
      <c r="AH604" s="391" t="s">
        <v>5122</v>
      </c>
      <c r="AI604" s="391" t="s">
        <v>2203</v>
      </c>
      <c r="AJ604" s="391">
        <v>3</v>
      </c>
      <c r="AK604" s="390">
        <v>45047</v>
      </c>
      <c r="AL604" s="389">
        <v>80</v>
      </c>
      <c r="AM604" s="391" t="s">
        <v>548</v>
      </c>
      <c r="AN604" s="391" t="s">
        <v>549</v>
      </c>
      <c r="AO604" s="391" t="s">
        <v>5123</v>
      </c>
      <c r="AP604" s="372">
        <f t="shared" ref="AP604:AP607" si="22">N604/E604</f>
        <v>0.37642857142857139</v>
      </c>
    </row>
    <row r="605" spans="1:43" ht="16" thickBot="1">
      <c r="A605" s="387" t="s">
        <v>1703</v>
      </c>
      <c r="B605" s="387" t="s">
        <v>554</v>
      </c>
      <c r="C605" s="387" t="s">
        <v>5125</v>
      </c>
      <c r="D605" s="387" t="s">
        <v>5126</v>
      </c>
      <c r="E605" s="387">
        <v>28</v>
      </c>
      <c r="F605" s="387" t="s">
        <v>559</v>
      </c>
      <c r="G605" s="387">
        <v>28</v>
      </c>
      <c r="H605" s="387" t="s">
        <v>559</v>
      </c>
      <c r="I605" s="387" t="s">
        <v>560</v>
      </c>
      <c r="J605" s="387" t="s">
        <v>5119</v>
      </c>
      <c r="K605" s="387" t="s">
        <v>5127</v>
      </c>
      <c r="L605" s="387" t="s">
        <v>1819</v>
      </c>
      <c r="M605" s="387" t="s">
        <v>1820</v>
      </c>
      <c r="N605" s="388">
        <v>20.010000000000002</v>
      </c>
      <c r="O605" s="388">
        <v>14</v>
      </c>
      <c r="P605" s="387" t="s">
        <v>538</v>
      </c>
      <c r="Q605" s="387" t="s">
        <v>539</v>
      </c>
      <c r="R605" s="387" t="s">
        <v>5121</v>
      </c>
      <c r="S605" s="387" t="s">
        <v>541</v>
      </c>
      <c r="T605" s="387" t="s">
        <v>542</v>
      </c>
      <c r="U605" s="388">
        <v>3667315</v>
      </c>
      <c r="V605" s="387">
        <v>6005317017158</v>
      </c>
      <c r="W605" s="387" t="s">
        <v>543</v>
      </c>
      <c r="X605" s="387" t="s">
        <v>543</v>
      </c>
      <c r="Y605" s="387">
        <v>26005317017152</v>
      </c>
      <c r="Z605" s="387" t="s">
        <v>543</v>
      </c>
      <c r="AA605" s="388" t="s">
        <v>543</v>
      </c>
      <c r="AB605" s="388" t="s">
        <v>543</v>
      </c>
      <c r="AC605" s="387">
        <v>732958017</v>
      </c>
      <c r="AD605" s="389">
        <v>147</v>
      </c>
      <c r="AE605" s="390">
        <v>44470</v>
      </c>
      <c r="AF605" s="390">
        <v>45199</v>
      </c>
      <c r="AG605" s="391" t="s">
        <v>545</v>
      </c>
      <c r="AH605" s="391" t="s">
        <v>5128</v>
      </c>
      <c r="AI605" s="391" t="s">
        <v>1823</v>
      </c>
      <c r="AJ605" s="391">
        <v>0</v>
      </c>
      <c r="AK605" s="390">
        <v>44470</v>
      </c>
      <c r="AL605" s="389">
        <v>25</v>
      </c>
      <c r="AM605" s="391" t="s">
        <v>548</v>
      </c>
      <c r="AN605" s="391" t="s">
        <v>549</v>
      </c>
      <c r="AO605" s="391" t="s">
        <v>5129</v>
      </c>
      <c r="AP605" s="372">
        <f t="shared" si="22"/>
        <v>0.71464285714285725</v>
      </c>
      <c r="AQ605" s="372">
        <f>SUMPRODUCT(AP605:AP607,U605:U607)/SUM(U605:U607)</f>
        <v>0.60205838048342708</v>
      </c>
    </row>
    <row r="606" spans="1:43" ht="16" thickBot="1">
      <c r="A606" s="387" t="s">
        <v>1703</v>
      </c>
      <c r="B606" s="387" t="s">
        <v>554</v>
      </c>
      <c r="C606" s="387" t="s">
        <v>5125</v>
      </c>
      <c r="D606" s="387" t="s">
        <v>5126</v>
      </c>
      <c r="E606" s="387">
        <v>28</v>
      </c>
      <c r="F606" s="387" t="s">
        <v>559</v>
      </c>
      <c r="G606" s="387">
        <v>28</v>
      </c>
      <c r="H606" s="387" t="s">
        <v>559</v>
      </c>
      <c r="I606" s="387" t="s">
        <v>560</v>
      </c>
      <c r="J606" s="387" t="s">
        <v>5119</v>
      </c>
      <c r="K606" s="387" t="s">
        <v>5130</v>
      </c>
      <c r="L606" s="387" t="s">
        <v>562</v>
      </c>
      <c r="M606" s="387" t="s">
        <v>563</v>
      </c>
      <c r="N606" s="388">
        <v>16.45</v>
      </c>
      <c r="O606" s="388">
        <v>14</v>
      </c>
      <c r="P606" s="387" t="s">
        <v>538</v>
      </c>
      <c r="Q606" s="387" t="s">
        <v>539</v>
      </c>
      <c r="R606" s="387" t="s">
        <v>5121</v>
      </c>
      <c r="S606" s="387" t="s">
        <v>541</v>
      </c>
      <c r="T606" s="387" t="s">
        <v>542</v>
      </c>
      <c r="U606" s="388">
        <v>5147201</v>
      </c>
      <c r="V606" s="387" t="s">
        <v>543</v>
      </c>
      <c r="W606" s="387" t="s">
        <v>543</v>
      </c>
      <c r="X606" s="387" t="s">
        <v>543</v>
      </c>
      <c r="Y606" s="387" t="s">
        <v>543</v>
      </c>
      <c r="Z606" s="387" t="s">
        <v>543</v>
      </c>
      <c r="AA606" s="388" t="s">
        <v>543</v>
      </c>
      <c r="AB606" s="388" t="s">
        <v>543</v>
      </c>
      <c r="AC606" s="387" t="s">
        <v>543</v>
      </c>
      <c r="AD606" s="389">
        <v>144</v>
      </c>
      <c r="AE606" s="390">
        <v>44470</v>
      </c>
      <c r="AF606" s="390">
        <v>45199</v>
      </c>
      <c r="AG606" s="391" t="s">
        <v>545</v>
      </c>
      <c r="AH606" s="391" t="s">
        <v>5128</v>
      </c>
      <c r="AI606" s="391" t="s">
        <v>565</v>
      </c>
      <c r="AJ606" s="391">
        <v>0</v>
      </c>
      <c r="AK606" s="390">
        <v>44470</v>
      </c>
      <c r="AL606" s="389">
        <v>35</v>
      </c>
      <c r="AM606" s="391" t="s">
        <v>548</v>
      </c>
      <c r="AN606" s="391" t="s">
        <v>549</v>
      </c>
      <c r="AO606" s="391" t="s">
        <v>5129</v>
      </c>
      <c r="AP606" s="372">
        <f t="shared" si="22"/>
        <v>0.58750000000000002</v>
      </c>
    </row>
    <row r="607" spans="1:43" ht="16" thickBot="1">
      <c r="A607" s="387" t="s">
        <v>1703</v>
      </c>
      <c r="B607" s="387" t="s">
        <v>554</v>
      </c>
      <c r="C607" s="387" t="s">
        <v>5125</v>
      </c>
      <c r="D607" s="387" t="s">
        <v>5126</v>
      </c>
      <c r="E607" s="387">
        <v>28</v>
      </c>
      <c r="F607" s="387" t="s">
        <v>559</v>
      </c>
      <c r="G607" s="387">
        <v>28</v>
      </c>
      <c r="H607" s="387" t="s">
        <v>559</v>
      </c>
      <c r="I607" s="387" t="s">
        <v>560</v>
      </c>
      <c r="J607" s="387" t="s">
        <v>5119</v>
      </c>
      <c r="K607" s="387" t="s">
        <v>5131</v>
      </c>
      <c r="L607" s="387" t="s">
        <v>2200</v>
      </c>
      <c r="M607" s="387" t="s">
        <v>2201</v>
      </c>
      <c r="N607" s="388">
        <v>15.26</v>
      </c>
      <c r="O607" s="388">
        <v>14</v>
      </c>
      <c r="P607" s="387" t="s">
        <v>538</v>
      </c>
      <c r="Q607" s="387" t="s">
        <v>539</v>
      </c>
      <c r="R607" s="387" t="s">
        <v>5121</v>
      </c>
      <c r="S607" s="387" t="s">
        <v>541</v>
      </c>
      <c r="T607" s="387" t="s">
        <v>542</v>
      </c>
      <c r="U607" s="388">
        <v>5922843</v>
      </c>
      <c r="V607" s="387">
        <v>8901463130056</v>
      </c>
      <c r="W607" s="387">
        <v>8901463130056</v>
      </c>
      <c r="X607" s="387" t="s">
        <v>543</v>
      </c>
      <c r="Y607" s="387" t="s">
        <v>543</v>
      </c>
      <c r="Z607" s="387" t="s">
        <v>543</v>
      </c>
      <c r="AA607" s="388" t="s">
        <v>543</v>
      </c>
      <c r="AB607" s="388" t="s">
        <v>543</v>
      </c>
      <c r="AC607" s="387" t="s">
        <v>543</v>
      </c>
      <c r="AD607" s="389">
        <v>240</v>
      </c>
      <c r="AE607" s="390">
        <v>44470</v>
      </c>
      <c r="AF607" s="390">
        <v>45199</v>
      </c>
      <c r="AG607" s="390">
        <v>45199</v>
      </c>
      <c r="AH607" s="391" t="s">
        <v>5128</v>
      </c>
      <c r="AI607" s="391" t="s">
        <v>2203</v>
      </c>
      <c r="AJ607" s="391">
        <v>3</v>
      </c>
      <c r="AK607" s="390">
        <v>45047</v>
      </c>
      <c r="AL607" s="389">
        <v>40</v>
      </c>
      <c r="AM607" s="391" t="s">
        <v>548</v>
      </c>
      <c r="AN607" s="391" t="s">
        <v>549</v>
      </c>
      <c r="AO607" s="391" t="s">
        <v>5129</v>
      </c>
      <c r="AP607" s="372">
        <f t="shared" si="22"/>
        <v>0.54500000000000004</v>
      </c>
    </row>
    <row r="608" spans="1:43" ht="16" thickBot="1">
      <c r="A608" s="387" t="s">
        <v>1717</v>
      </c>
      <c r="B608" s="387" t="s">
        <v>5132</v>
      </c>
      <c r="C608" s="387" t="s">
        <v>5133</v>
      </c>
      <c r="D608" s="387" t="s">
        <v>5134</v>
      </c>
      <c r="E608" s="387">
        <v>84</v>
      </c>
      <c r="F608" s="387" t="s">
        <v>559</v>
      </c>
      <c r="G608" s="387" t="s">
        <v>543</v>
      </c>
      <c r="H608" s="387" t="s">
        <v>559</v>
      </c>
      <c r="I608" s="387" t="s">
        <v>560</v>
      </c>
      <c r="J608" s="387" t="s">
        <v>5135</v>
      </c>
      <c r="K608" s="387" t="s">
        <v>5136</v>
      </c>
      <c r="L608" s="387" t="s">
        <v>2021</v>
      </c>
      <c r="M608" s="387" t="s">
        <v>2022</v>
      </c>
      <c r="N608" s="388">
        <v>21.11</v>
      </c>
      <c r="O608" s="388">
        <v>14</v>
      </c>
      <c r="P608" s="387" t="s">
        <v>538</v>
      </c>
      <c r="Q608" s="387" t="s">
        <v>539</v>
      </c>
      <c r="R608" s="387" t="s">
        <v>5137</v>
      </c>
      <c r="S608" s="387" t="s">
        <v>541</v>
      </c>
      <c r="T608" s="387" t="s">
        <v>542</v>
      </c>
      <c r="U608" s="388">
        <v>852908</v>
      </c>
      <c r="V608" s="387" t="s">
        <v>543</v>
      </c>
      <c r="W608" s="387" t="s">
        <v>543</v>
      </c>
      <c r="X608" s="387" t="s">
        <v>543</v>
      </c>
      <c r="Y608" s="387" t="s">
        <v>543</v>
      </c>
      <c r="Z608" s="387" t="s">
        <v>543</v>
      </c>
      <c r="AA608" s="388" t="s">
        <v>543</v>
      </c>
      <c r="AB608" s="388" t="s">
        <v>543</v>
      </c>
      <c r="AC608" s="387" t="s">
        <v>543</v>
      </c>
      <c r="AD608" s="389">
        <v>140</v>
      </c>
      <c r="AE608" s="390">
        <v>45047</v>
      </c>
      <c r="AF608" s="390">
        <v>46142</v>
      </c>
      <c r="AG608" s="391" t="s">
        <v>545</v>
      </c>
      <c r="AH608" s="391" t="s">
        <v>5138</v>
      </c>
      <c r="AI608" s="391" t="s">
        <v>2024</v>
      </c>
      <c r="AJ608" s="391">
        <v>0</v>
      </c>
      <c r="AK608" s="390">
        <v>45047</v>
      </c>
      <c r="AL608" s="389">
        <v>100</v>
      </c>
      <c r="AM608" s="391" t="s">
        <v>548</v>
      </c>
      <c r="AN608" s="391" t="s">
        <v>549</v>
      </c>
      <c r="AO608" s="391" t="s">
        <v>5139</v>
      </c>
    </row>
    <row r="609" spans="1:43" ht="16" thickBot="1">
      <c r="A609" s="387" t="s">
        <v>1717</v>
      </c>
      <c r="B609" s="387" t="s">
        <v>5140</v>
      </c>
      <c r="C609" s="387" t="s">
        <v>5141</v>
      </c>
      <c r="D609" s="387" t="s">
        <v>5142</v>
      </c>
      <c r="E609" s="387">
        <v>50</v>
      </c>
      <c r="F609" s="387" t="s">
        <v>559</v>
      </c>
      <c r="G609" s="387" t="s">
        <v>543</v>
      </c>
      <c r="H609" s="387" t="s">
        <v>559</v>
      </c>
      <c r="I609" s="387" t="s">
        <v>560</v>
      </c>
      <c r="J609" s="387" t="s">
        <v>5135</v>
      </c>
      <c r="K609" s="387" t="s">
        <v>5143</v>
      </c>
      <c r="L609" s="387" t="s">
        <v>2021</v>
      </c>
      <c r="M609" s="387" t="s">
        <v>2022</v>
      </c>
      <c r="N609" s="388">
        <v>18.97</v>
      </c>
      <c r="O609" s="388">
        <v>14</v>
      </c>
      <c r="P609" s="387" t="s">
        <v>538</v>
      </c>
      <c r="Q609" s="387" t="s">
        <v>539</v>
      </c>
      <c r="R609" s="387" t="s">
        <v>5137</v>
      </c>
      <c r="S609" s="387" t="s">
        <v>541</v>
      </c>
      <c r="T609" s="387" t="s">
        <v>542</v>
      </c>
      <c r="U609" s="388">
        <v>903740</v>
      </c>
      <c r="V609" s="387" t="s">
        <v>543</v>
      </c>
      <c r="W609" s="387" t="s">
        <v>543</v>
      </c>
      <c r="X609" s="387" t="s">
        <v>543</v>
      </c>
      <c r="Y609" s="387" t="s">
        <v>543</v>
      </c>
      <c r="Z609" s="387" t="s">
        <v>543</v>
      </c>
      <c r="AA609" s="388" t="s">
        <v>543</v>
      </c>
      <c r="AB609" s="388" t="s">
        <v>543</v>
      </c>
      <c r="AC609" s="387" t="s">
        <v>543</v>
      </c>
      <c r="AD609" s="389">
        <v>100</v>
      </c>
      <c r="AE609" s="390">
        <v>45047</v>
      </c>
      <c r="AF609" s="390">
        <v>46142</v>
      </c>
      <c r="AG609" s="391" t="s">
        <v>545</v>
      </c>
      <c r="AH609" s="391" t="s">
        <v>5144</v>
      </c>
      <c r="AI609" s="391" t="s">
        <v>2024</v>
      </c>
      <c r="AJ609" s="391">
        <v>0</v>
      </c>
      <c r="AK609" s="390">
        <v>45047</v>
      </c>
      <c r="AL609" s="389">
        <v>100</v>
      </c>
      <c r="AM609" s="391" t="s">
        <v>548</v>
      </c>
      <c r="AN609" s="391" t="s">
        <v>549</v>
      </c>
      <c r="AO609" s="391" t="s">
        <v>5145</v>
      </c>
    </row>
    <row r="610" spans="1:43" ht="16" thickBot="1">
      <c r="A610" s="387" t="s">
        <v>1717</v>
      </c>
      <c r="B610" s="387" t="s">
        <v>5146</v>
      </c>
      <c r="C610" s="387" t="s">
        <v>5147</v>
      </c>
      <c r="D610" s="387" t="s">
        <v>5148</v>
      </c>
      <c r="E610" s="387">
        <v>60</v>
      </c>
      <c r="F610" s="387" t="s">
        <v>584</v>
      </c>
      <c r="G610" s="387">
        <v>60</v>
      </c>
      <c r="H610" s="387" t="s">
        <v>584</v>
      </c>
      <c r="I610" s="387" t="s">
        <v>585</v>
      </c>
      <c r="J610" s="387" t="s">
        <v>5149</v>
      </c>
      <c r="K610" s="387" t="s">
        <v>5150</v>
      </c>
      <c r="L610" s="387" t="s">
        <v>2326</v>
      </c>
      <c r="M610" s="387" t="s">
        <v>2327</v>
      </c>
      <c r="N610" s="388">
        <v>156.16</v>
      </c>
      <c r="O610" s="388">
        <v>14</v>
      </c>
      <c r="P610" s="387" t="s">
        <v>611</v>
      </c>
      <c r="Q610" s="387" t="s">
        <v>3396</v>
      </c>
      <c r="R610" s="387" t="s">
        <v>5151</v>
      </c>
      <c r="S610" s="387" t="s">
        <v>614</v>
      </c>
      <c r="T610" s="387" t="s">
        <v>160</v>
      </c>
      <c r="U610" s="388">
        <v>12199</v>
      </c>
      <c r="V610" s="387" t="s">
        <v>543</v>
      </c>
      <c r="W610" s="387" t="s">
        <v>543</v>
      </c>
      <c r="X610" s="387" t="s">
        <v>543</v>
      </c>
      <c r="Y610" s="387" t="s">
        <v>543</v>
      </c>
      <c r="Z610" s="387" t="s">
        <v>543</v>
      </c>
      <c r="AA610" s="388" t="s">
        <v>543</v>
      </c>
      <c r="AB610" s="388" t="s">
        <v>543</v>
      </c>
      <c r="AC610" s="387" t="s">
        <v>543</v>
      </c>
      <c r="AD610" s="389">
        <v>10</v>
      </c>
      <c r="AE610" s="390">
        <v>45047</v>
      </c>
      <c r="AF610" s="390">
        <v>46142</v>
      </c>
      <c r="AG610" s="391" t="s">
        <v>545</v>
      </c>
      <c r="AH610" s="391" t="s">
        <v>5152</v>
      </c>
      <c r="AI610" s="391" t="s">
        <v>2330</v>
      </c>
      <c r="AJ610" s="391">
        <v>0</v>
      </c>
      <c r="AK610" s="390">
        <v>45047</v>
      </c>
      <c r="AL610" s="389">
        <v>100</v>
      </c>
      <c r="AM610" s="391" t="s">
        <v>548</v>
      </c>
      <c r="AN610" s="391" t="s">
        <v>549</v>
      </c>
      <c r="AO610" s="391" t="s">
        <v>5153</v>
      </c>
    </row>
    <row r="611" spans="1:43" ht="16" thickBot="1">
      <c r="A611" s="387" t="s">
        <v>1717</v>
      </c>
      <c r="B611" s="387" t="s">
        <v>5154</v>
      </c>
      <c r="C611" s="387" t="s">
        <v>5155</v>
      </c>
      <c r="D611" s="387" t="s">
        <v>5156</v>
      </c>
      <c r="E611" s="387">
        <v>60</v>
      </c>
      <c r="F611" s="387" t="s">
        <v>584</v>
      </c>
      <c r="G611" s="387">
        <v>60</v>
      </c>
      <c r="H611" s="387" t="s">
        <v>584</v>
      </c>
      <c r="I611" s="387" t="s">
        <v>585</v>
      </c>
      <c r="J611" s="387" t="s">
        <v>5149</v>
      </c>
      <c r="K611" s="387" t="s">
        <v>5157</v>
      </c>
      <c r="L611" s="387" t="s">
        <v>2326</v>
      </c>
      <c r="M611" s="387" t="s">
        <v>2327</v>
      </c>
      <c r="N611" s="388">
        <v>239.86</v>
      </c>
      <c r="O611" s="388">
        <v>14</v>
      </c>
      <c r="P611" s="387" t="s">
        <v>611</v>
      </c>
      <c r="Q611" s="387" t="s">
        <v>3396</v>
      </c>
      <c r="R611" s="387" t="s">
        <v>5151</v>
      </c>
      <c r="S611" s="387" t="s">
        <v>614</v>
      </c>
      <c r="T611" s="387" t="s">
        <v>160</v>
      </c>
      <c r="U611" s="388">
        <v>15260</v>
      </c>
      <c r="V611" s="387" t="s">
        <v>543</v>
      </c>
      <c r="W611" s="387" t="s">
        <v>543</v>
      </c>
      <c r="X611" s="387" t="s">
        <v>543</v>
      </c>
      <c r="Y611" s="387" t="s">
        <v>543</v>
      </c>
      <c r="Z611" s="387" t="s">
        <v>543</v>
      </c>
      <c r="AA611" s="388" t="s">
        <v>543</v>
      </c>
      <c r="AB611" s="388" t="s">
        <v>543</v>
      </c>
      <c r="AC611" s="387" t="s">
        <v>543</v>
      </c>
      <c r="AD611" s="389">
        <v>10</v>
      </c>
      <c r="AE611" s="390">
        <v>45047</v>
      </c>
      <c r="AF611" s="390">
        <v>46142</v>
      </c>
      <c r="AG611" s="391" t="s">
        <v>545</v>
      </c>
      <c r="AH611" s="391" t="s">
        <v>5158</v>
      </c>
      <c r="AI611" s="391" t="s">
        <v>2330</v>
      </c>
      <c r="AJ611" s="391">
        <v>0</v>
      </c>
      <c r="AK611" s="390">
        <v>45047</v>
      </c>
      <c r="AL611" s="389">
        <v>100</v>
      </c>
      <c r="AM611" s="391" t="s">
        <v>548</v>
      </c>
      <c r="AN611" s="391" t="s">
        <v>549</v>
      </c>
      <c r="AO611" s="391" t="s">
        <v>5159</v>
      </c>
    </row>
    <row r="612" spans="1:43" ht="16" thickBot="1">
      <c r="A612" s="387" t="s">
        <v>3235</v>
      </c>
      <c r="B612" s="387" t="s">
        <v>989</v>
      </c>
      <c r="C612" s="387" t="s">
        <v>5160</v>
      </c>
      <c r="D612" s="387" t="s">
        <v>5161</v>
      </c>
      <c r="E612" s="387">
        <v>1</v>
      </c>
      <c r="F612" s="387" t="s">
        <v>3238</v>
      </c>
      <c r="G612" s="387">
        <v>1</v>
      </c>
      <c r="H612" s="387" t="s">
        <v>3238</v>
      </c>
      <c r="I612" s="387" t="s">
        <v>4062</v>
      </c>
      <c r="J612" s="387" t="s">
        <v>5162</v>
      </c>
      <c r="K612" s="387" t="s">
        <v>5163</v>
      </c>
      <c r="L612" s="387" t="s">
        <v>3128</v>
      </c>
      <c r="M612" s="387" t="s">
        <v>3129</v>
      </c>
      <c r="N612" s="388">
        <v>159.58000000000001</v>
      </c>
      <c r="O612" s="388">
        <v>14</v>
      </c>
      <c r="P612" s="387" t="s">
        <v>538</v>
      </c>
      <c r="Q612" s="387" t="s">
        <v>539</v>
      </c>
      <c r="R612" s="387" t="s">
        <v>5164</v>
      </c>
      <c r="S612" s="387" t="s">
        <v>541</v>
      </c>
      <c r="T612" s="387" t="s">
        <v>542</v>
      </c>
      <c r="U612" s="388">
        <v>189890</v>
      </c>
      <c r="V612" s="387">
        <v>6005943001774</v>
      </c>
      <c r="W612" s="387">
        <v>6005943001774</v>
      </c>
      <c r="X612" s="387" t="s">
        <v>543</v>
      </c>
      <c r="Y612" s="387">
        <v>60059430017746</v>
      </c>
      <c r="Z612" s="387" t="s">
        <v>543</v>
      </c>
      <c r="AA612" s="388" t="s">
        <v>543</v>
      </c>
      <c r="AB612" s="388" t="s">
        <v>543</v>
      </c>
      <c r="AC612" s="387">
        <v>530671003</v>
      </c>
      <c r="AD612" s="389">
        <v>1</v>
      </c>
      <c r="AE612" s="390">
        <v>44105</v>
      </c>
      <c r="AF612" s="390">
        <v>45199</v>
      </c>
      <c r="AG612" s="390">
        <v>45199</v>
      </c>
      <c r="AH612" s="391" t="s">
        <v>5165</v>
      </c>
      <c r="AI612" s="391" t="s">
        <v>3131</v>
      </c>
      <c r="AJ612" s="391">
        <v>0</v>
      </c>
      <c r="AK612" s="390">
        <v>44105</v>
      </c>
      <c r="AL612" s="389">
        <v>100</v>
      </c>
      <c r="AM612" s="391" t="s">
        <v>548</v>
      </c>
      <c r="AN612" s="391" t="s">
        <v>545</v>
      </c>
      <c r="AO612" s="391" t="s">
        <v>5166</v>
      </c>
    </row>
    <row r="613" spans="1:43" ht="16" thickBot="1">
      <c r="A613" s="387" t="s">
        <v>3235</v>
      </c>
      <c r="B613" s="387" t="s">
        <v>999</v>
      </c>
      <c r="C613" s="387" t="s">
        <v>5167</v>
      </c>
      <c r="D613" s="387" t="s">
        <v>5168</v>
      </c>
      <c r="E613" s="387">
        <v>1</v>
      </c>
      <c r="F613" s="387" t="s">
        <v>3238</v>
      </c>
      <c r="G613" s="387">
        <v>1</v>
      </c>
      <c r="H613" s="387" t="s">
        <v>3238</v>
      </c>
      <c r="I613" s="387" t="s">
        <v>4062</v>
      </c>
      <c r="J613" s="387" t="s">
        <v>5169</v>
      </c>
      <c r="K613" s="387" t="s">
        <v>5170</v>
      </c>
      <c r="L613" s="387" t="s">
        <v>3128</v>
      </c>
      <c r="M613" s="387" t="s">
        <v>3129</v>
      </c>
      <c r="N613" s="388">
        <v>720.36</v>
      </c>
      <c r="O613" s="388">
        <v>14</v>
      </c>
      <c r="P613" s="387" t="s">
        <v>538</v>
      </c>
      <c r="Q613" s="387" t="s">
        <v>539</v>
      </c>
      <c r="R613" s="387" t="s">
        <v>5171</v>
      </c>
      <c r="S613" s="387" t="s">
        <v>171</v>
      </c>
      <c r="T613" s="387" t="s">
        <v>1908</v>
      </c>
      <c r="U613" s="388">
        <v>4875</v>
      </c>
      <c r="V613" s="387">
        <v>6005943001750</v>
      </c>
      <c r="W613" s="387">
        <v>6005943001750</v>
      </c>
      <c r="X613" s="387" t="s">
        <v>543</v>
      </c>
      <c r="Y613" s="387">
        <v>60059430017500</v>
      </c>
      <c r="Z613" s="387" t="s">
        <v>543</v>
      </c>
      <c r="AA613" s="388" t="s">
        <v>543</v>
      </c>
      <c r="AB613" s="388" t="s">
        <v>543</v>
      </c>
      <c r="AC613" s="387">
        <v>852252005</v>
      </c>
      <c r="AD613" s="389">
        <v>1</v>
      </c>
      <c r="AE613" s="390">
        <v>44105</v>
      </c>
      <c r="AF613" s="390">
        <v>45199</v>
      </c>
      <c r="AG613" s="390">
        <v>45199</v>
      </c>
      <c r="AH613" s="391" t="s">
        <v>5172</v>
      </c>
      <c r="AI613" s="391" t="s">
        <v>3131</v>
      </c>
      <c r="AJ613" s="391">
        <v>6</v>
      </c>
      <c r="AK613" s="390">
        <v>44434</v>
      </c>
      <c r="AL613" s="389">
        <v>100</v>
      </c>
      <c r="AM613" s="391" t="s">
        <v>548</v>
      </c>
      <c r="AN613" s="391" t="s">
        <v>545</v>
      </c>
      <c r="AO613" s="391" t="s">
        <v>5173</v>
      </c>
    </row>
    <row r="614" spans="1:43" ht="16" thickBot="1">
      <c r="A614" s="387" t="s">
        <v>1748</v>
      </c>
      <c r="B614" s="387" t="s">
        <v>3942</v>
      </c>
      <c r="C614" s="387" t="s">
        <v>5174</v>
      </c>
      <c r="D614" s="387" t="s">
        <v>5175</v>
      </c>
      <c r="E614" s="387">
        <v>10</v>
      </c>
      <c r="F614" s="387" t="s">
        <v>531</v>
      </c>
      <c r="G614" s="387">
        <v>10</v>
      </c>
      <c r="H614" s="387" t="s">
        <v>531</v>
      </c>
      <c r="I614" s="387" t="s">
        <v>1751</v>
      </c>
      <c r="J614" s="387" t="s">
        <v>5176</v>
      </c>
      <c r="K614" s="387" t="s">
        <v>5177</v>
      </c>
      <c r="L614" s="387" t="s">
        <v>1955</v>
      </c>
      <c r="M614" s="387" t="s">
        <v>1956</v>
      </c>
      <c r="N614" s="388">
        <v>98.39</v>
      </c>
      <c r="O614" s="388">
        <v>14</v>
      </c>
      <c r="P614" s="387" t="s">
        <v>538</v>
      </c>
      <c r="Q614" s="387" t="s">
        <v>539</v>
      </c>
      <c r="R614" s="387" t="s">
        <v>5178</v>
      </c>
      <c r="S614" s="387" t="s">
        <v>541</v>
      </c>
      <c r="T614" s="387" t="s">
        <v>757</v>
      </c>
      <c r="U614" s="388">
        <v>61060</v>
      </c>
      <c r="V614" s="387">
        <v>6006267000313</v>
      </c>
      <c r="W614" s="387">
        <v>6006267000313</v>
      </c>
      <c r="X614" s="387" t="s">
        <v>543</v>
      </c>
      <c r="Y614" s="387">
        <v>16006267000310</v>
      </c>
      <c r="Z614" s="387" t="s">
        <v>543</v>
      </c>
      <c r="AA614" s="388" t="s">
        <v>543</v>
      </c>
      <c r="AB614" s="388" t="s">
        <v>543</v>
      </c>
      <c r="AC614" s="387">
        <v>701054003</v>
      </c>
      <c r="AD614" s="389" t="s">
        <v>5011</v>
      </c>
      <c r="AE614" s="390">
        <v>44317</v>
      </c>
      <c r="AF614" s="390">
        <v>45412</v>
      </c>
      <c r="AG614" s="391" t="s">
        <v>545</v>
      </c>
      <c r="AH614" s="391" t="s">
        <v>5179</v>
      </c>
      <c r="AI614" s="391" t="s">
        <v>1959</v>
      </c>
      <c r="AJ614" s="391">
        <v>0</v>
      </c>
      <c r="AK614" s="390">
        <v>44317</v>
      </c>
      <c r="AL614" s="389">
        <v>100</v>
      </c>
      <c r="AM614" s="391" t="s">
        <v>548</v>
      </c>
      <c r="AN614" s="391" t="s">
        <v>549</v>
      </c>
      <c r="AO614" s="391" t="s">
        <v>5180</v>
      </c>
    </row>
    <row r="615" spans="1:43" ht="16" thickBot="1">
      <c r="A615" s="387" t="s">
        <v>1748</v>
      </c>
      <c r="B615" s="387" t="s">
        <v>3081</v>
      </c>
      <c r="C615" s="387" t="s">
        <v>5181</v>
      </c>
      <c r="D615" s="387" t="s">
        <v>5182</v>
      </c>
      <c r="E615" s="387">
        <v>20</v>
      </c>
      <c r="F615" s="387" t="s">
        <v>531</v>
      </c>
      <c r="G615" s="387">
        <v>20</v>
      </c>
      <c r="H615" s="387" t="s">
        <v>531</v>
      </c>
      <c r="I615" s="387" t="s">
        <v>1751</v>
      </c>
      <c r="J615" s="387" t="s">
        <v>5176</v>
      </c>
      <c r="K615" s="387" t="s">
        <v>5183</v>
      </c>
      <c r="L615" s="387" t="s">
        <v>1955</v>
      </c>
      <c r="M615" s="387" t="s">
        <v>1956</v>
      </c>
      <c r="N615" s="388">
        <v>37.03</v>
      </c>
      <c r="O615" s="388">
        <v>14</v>
      </c>
      <c r="P615" s="387" t="s">
        <v>538</v>
      </c>
      <c r="Q615" s="387" t="s">
        <v>539</v>
      </c>
      <c r="R615" s="387" t="s">
        <v>5178</v>
      </c>
      <c r="S615" s="387" t="s">
        <v>541</v>
      </c>
      <c r="T615" s="387" t="s">
        <v>757</v>
      </c>
      <c r="U615" s="388">
        <v>96930</v>
      </c>
      <c r="V615" s="387">
        <v>6006267000337</v>
      </c>
      <c r="W615" s="387">
        <v>6006267000337</v>
      </c>
      <c r="X615" s="387" t="s">
        <v>543</v>
      </c>
      <c r="Y615" s="387">
        <v>16006267000334</v>
      </c>
      <c r="Z615" s="387" t="s">
        <v>543</v>
      </c>
      <c r="AA615" s="388" t="s">
        <v>543</v>
      </c>
      <c r="AB615" s="388" t="s">
        <v>543</v>
      </c>
      <c r="AC615" s="387">
        <v>701062003</v>
      </c>
      <c r="AD615" s="389" t="s">
        <v>5011</v>
      </c>
      <c r="AE615" s="390">
        <v>44317</v>
      </c>
      <c r="AF615" s="390">
        <v>45412</v>
      </c>
      <c r="AG615" s="391" t="s">
        <v>545</v>
      </c>
      <c r="AH615" s="391" t="s">
        <v>5184</v>
      </c>
      <c r="AI615" s="391" t="s">
        <v>1959</v>
      </c>
      <c r="AJ615" s="391">
        <v>0</v>
      </c>
      <c r="AK615" s="390">
        <v>44317</v>
      </c>
      <c r="AL615" s="389">
        <v>100</v>
      </c>
      <c r="AM615" s="391" t="s">
        <v>548</v>
      </c>
      <c r="AN615" s="391" t="s">
        <v>549</v>
      </c>
      <c r="AO615" s="391" t="s">
        <v>5185</v>
      </c>
    </row>
    <row r="616" spans="1:43" ht="16" thickBot="1">
      <c r="A616" s="387" t="s">
        <v>1748</v>
      </c>
      <c r="B616" s="387" t="s">
        <v>5186</v>
      </c>
      <c r="C616" s="387" t="s">
        <v>5187</v>
      </c>
      <c r="D616" s="387" t="s">
        <v>5188</v>
      </c>
      <c r="E616" s="387">
        <v>10</v>
      </c>
      <c r="F616" s="387" t="s">
        <v>531</v>
      </c>
      <c r="G616" s="387">
        <v>10</v>
      </c>
      <c r="H616" s="387" t="s">
        <v>531</v>
      </c>
      <c r="I616" s="387" t="s">
        <v>1751</v>
      </c>
      <c r="J616" s="387" t="s">
        <v>5176</v>
      </c>
      <c r="K616" s="387" t="s">
        <v>5189</v>
      </c>
      <c r="L616" s="387" t="s">
        <v>1955</v>
      </c>
      <c r="M616" s="387" t="s">
        <v>1956</v>
      </c>
      <c r="N616" s="388">
        <v>49.2</v>
      </c>
      <c r="O616" s="388">
        <v>14</v>
      </c>
      <c r="P616" s="387" t="s">
        <v>538</v>
      </c>
      <c r="Q616" s="387" t="s">
        <v>539</v>
      </c>
      <c r="R616" s="387" t="s">
        <v>5178</v>
      </c>
      <c r="S616" s="387" t="s">
        <v>541</v>
      </c>
      <c r="T616" s="387" t="s">
        <v>757</v>
      </c>
      <c r="U616" s="388">
        <v>87050</v>
      </c>
      <c r="V616" s="387">
        <v>6006267000320</v>
      </c>
      <c r="W616" s="387">
        <v>6006267000320</v>
      </c>
      <c r="X616" s="387" t="s">
        <v>543</v>
      </c>
      <c r="Y616" s="387">
        <v>16006267000327</v>
      </c>
      <c r="Z616" s="387" t="s">
        <v>543</v>
      </c>
      <c r="AA616" s="388" t="s">
        <v>543</v>
      </c>
      <c r="AB616" s="388" t="s">
        <v>543</v>
      </c>
      <c r="AC616" s="387">
        <v>701057003</v>
      </c>
      <c r="AD616" s="389" t="s">
        <v>5011</v>
      </c>
      <c r="AE616" s="390">
        <v>44317</v>
      </c>
      <c r="AF616" s="390">
        <v>45412</v>
      </c>
      <c r="AG616" s="391" t="s">
        <v>545</v>
      </c>
      <c r="AH616" s="391" t="s">
        <v>5190</v>
      </c>
      <c r="AI616" s="391" t="s">
        <v>1959</v>
      </c>
      <c r="AJ616" s="391">
        <v>0</v>
      </c>
      <c r="AK616" s="390">
        <v>44317</v>
      </c>
      <c r="AL616" s="389">
        <v>100</v>
      </c>
      <c r="AM616" s="391" t="s">
        <v>548</v>
      </c>
      <c r="AN616" s="391" t="s">
        <v>549</v>
      </c>
      <c r="AO616" s="391" t="s">
        <v>5191</v>
      </c>
    </row>
    <row r="617" spans="1:43" ht="16" thickBot="1">
      <c r="A617" s="387" t="s">
        <v>1766</v>
      </c>
      <c r="B617" s="387" t="s">
        <v>3381</v>
      </c>
      <c r="C617" s="387" t="s">
        <v>5192</v>
      </c>
      <c r="D617" s="387" t="s">
        <v>5193</v>
      </c>
      <c r="E617" s="387">
        <v>30</v>
      </c>
      <c r="F617" s="387" t="s">
        <v>559</v>
      </c>
      <c r="G617" s="387">
        <v>30</v>
      </c>
      <c r="H617" s="387" t="s">
        <v>559</v>
      </c>
      <c r="I617" s="387" t="s">
        <v>560</v>
      </c>
      <c r="J617" s="387" t="s">
        <v>5194</v>
      </c>
      <c r="K617" s="387" t="s">
        <v>5195</v>
      </c>
      <c r="L617" s="387" t="s">
        <v>535</v>
      </c>
      <c r="M617" s="387" t="s">
        <v>536</v>
      </c>
      <c r="N617" s="388">
        <v>229.42</v>
      </c>
      <c r="O617" s="388">
        <v>14</v>
      </c>
      <c r="P617" s="387" t="s">
        <v>538</v>
      </c>
      <c r="Q617" s="387" t="s">
        <v>539</v>
      </c>
      <c r="R617" s="387" t="s">
        <v>5196</v>
      </c>
      <c r="S617" s="387" t="s">
        <v>171</v>
      </c>
      <c r="T617" s="387" t="s">
        <v>1908</v>
      </c>
      <c r="U617" s="388">
        <v>7610</v>
      </c>
      <c r="V617" s="387">
        <v>6001390984400</v>
      </c>
      <c r="W617" s="387">
        <v>6001390984400</v>
      </c>
      <c r="X617" s="387" t="s">
        <v>543</v>
      </c>
      <c r="Y617" s="387" t="s">
        <v>543</v>
      </c>
      <c r="Z617" s="387" t="s">
        <v>543</v>
      </c>
      <c r="AA617" s="388" t="s">
        <v>543</v>
      </c>
      <c r="AB617" s="388" t="s">
        <v>543</v>
      </c>
      <c r="AC617" s="387">
        <v>875368034</v>
      </c>
      <c r="AD617" s="389">
        <v>10</v>
      </c>
      <c r="AE617" s="390">
        <v>44470</v>
      </c>
      <c r="AF617" s="390">
        <v>45199</v>
      </c>
      <c r="AG617" s="390">
        <v>45199</v>
      </c>
      <c r="AH617" s="391" t="s">
        <v>5197</v>
      </c>
      <c r="AI617" s="391" t="s">
        <v>547</v>
      </c>
      <c r="AJ617" s="391">
        <v>21</v>
      </c>
      <c r="AK617" s="390">
        <v>45047</v>
      </c>
      <c r="AL617" s="389">
        <v>100</v>
      </c>
      <c r="AM617" s="391" t="s">
        <v>548</v>
      </c>
      <c r="AN617" s="391" t="s">
        <v>549</v>
      </c>
      <c r="AO617" s="391" t="s">
        <v>5198</v>
      </c>
    </row>
    <row r="618" spans="1:43" ht="16" thickBot="1">
      <c r="A618" s="387" t="s">
        <v>2294</v>
      </c>
      <c r="B618" s="387" t="s">
        <v>999</v>
      </c>
      <c r="C618" s="387" t="s">
        <v>5199</v>
      </c>
      <c r="D618" s="387" t="s">
        <v>5200</v>
      </c>
      <c r="E618" s="387">
        <v>5</v>
      </c>
      <c r="F618" s="387" t="s">
        <v>531</v>
      </c>
      <c r="G618" s="387">
        <v>100</v>
      </c>
      <c r="H618" s="387" t="s">
        <v>2297</v>
      </c>
      <c r="I618" s="387" t="s">
        <v>2298</v>
      </c>
      <c r="J618" s="387" t="s">
        <v>5201</v>
      </c>
      <c r="K618" s="387" t="s">
        <v>5202</v>
      </c>
      <c r="L618" s="387" t="s">
        <v>2522</v>
      </c>
      <c r="M618" s="387" t="s">
        <v>2523</v>
      </c>
      <c r="N618" s="388">
        <v>58.73</v>
      </c>
      <c r="O618" s="388">
        <v>14</v>
      </c>
      <c r="P618" s="387" t="s">
        <v>611</v>
      </c>
      <c r="Q618" s="387" t="s">
        <v>612</v>
      </c>
      <c r="R618" s="387" t="s">
        <v>5203</v>
      </c>
      <c r="S618" s="387" t="s">
        <v>614</v>
      </c>
      <c r="T618" s="387" t="s">
        <v>160</v>
      </c>
      <c r="U618" s="388">
        <v>521336</v>
      </c>
      <c r="V618" s="387">
        <v>6009880474110</v>
      </c>
      <c r="W618" s="387" t="s">
        <v>543</v>
      </c>
      <c r="X618" s="387" t="s">
        <v>543</v>
      </c>
      <c r="Y618" s="387" t="s">
        <v>543</v>
      </c>
      <c r="Z618" s="387" t="s">
        <v>543</v>
      </c>
      <c r="AA618" s="388" t="s">
        <v>543</v>
      </c>
      <c r="AB618" s="388" t="s">
        <v>543</v>
      </c>
      <c r="AC618" s="387">
        <v>723869001</v>
      </c>
      <c r="AD618" s="389">
        <v>20</v>
      </c>
      <c r="AE618" s="390">
        <v>44013</v>
      </c>
      <c r="AF618" s="390">
        <v>45107</v>
      </c>
      <c r="AG618" s="390">
        <v>45107</v>
      </c>
      <c r="AH618" s="391" t="s">
        <v>5204</v>
      </c>
      <c r="AI618" s="391" t="s">
        <v>2525</v>
      </c>
      <c r="AJ618" s="391">
        <v>68</v>
      </c>
      <c r="AK618" s="390">
        <v>45047</v>
      </c>
      <c r="AL618" s="389">
        <v>100</v>
      </c>
      <c r="AM618" s="391" t="s">
        <v>548</v>
      </c>
      <c r="AN618" s="391" t="s">
        <v>545</v>
      </c>
      <c r="AO618" s="391" t="s">
        <v>5205</v>
      </c>
    </row>
    <row r="619" spans="1:43" ht="16" thickBot="1">
      <c r="A619" s="387" t="s">
        <v>1729</v>
      </c>
      <c r="B619" s="387" t="s">
        <v>1026</v>
      </c>
      <c r="C619" s="387" t="s">
        <v>5206</v>
      </c>
      <c r="D619" s="387" t="s">
        <v>5207</v>
      </c>
      <c r="E619" s="387">
        <v>150</v>
      </c>
      <c r="F619" s="387" t="s">
        <v>531</v>
      </c>
      <c r="G619" s="387" t="s">
        <v>543</v>
      </c>
      <c r="H619" s="387" t="s">
        <v>531</v>
      </c>
      <c r="I619" s="387" t="s">
        <v>848</v>
      </c>
      <c r="J619" s="387" t="s">
        <v>5208</v>
      </c>
      <c r="K619" s="387" t="s">
        <v>5209</v>
      </c>
      <c r="L619" s="387" t="s">
        <v>535</v>
      </c>
      <c r="M619" s="387" t="s">
        <v>536</v>
      </c>
      <c r="N619" s="388">
        <v>31.14</v>
      </c>
      <c r="O619" s="388">
        <v>14</v>
      </c>
      <c r="P619" s="387" t="s">
        <v>538</v>
      </c>
      <c r="Q619" s="387" t="s">
        <v>539</v>
      </c>
      <c r="R619" s="387" t="s">
        <v>5210</v>
      </c>
      <c r="S619" s="387" t="s">
        <v>171</v>
      </c>
      <c r="T619" s="387" t="s">
        <v>542</v>
      </c>
      <c r="U619" s="388">
        <v>2736910</v>
      </c>
      <c r="V619" s="387">
        <v>6001390957213</v>
      </c>
      <c r="W619" s="387">
        <v>6006891008990</v>
      </c>
      <c r="X619" s="387" t="s">
        <v>543</v>
      </c>
      <c r="Y619" s="387">
        <v>16001390957234</v>
      </c>
      <c r="Z619" s="387" t="s">
        <v>543</v>
      </c>
      <c r="AA619" s="388" t="s">
        <v>543</v>
      </c>
      <c r="AB619" s="388" t="s">
        <v>543</v>
      </c>
      <c r="AC619" s="387">
        <v>797723005</v>
      </c>
      <c r="AD619" s="389">
        <v>24</v>
      </c>
      <c r="AE619" s="390">
        <v>44105</v>
      </c>
      <c r="AF619" s="390">
        <v>45199</v>
      </c>
      <c r="AG619" s="390">
        <v>45199</v>
      </c>
      <c r="AH619" s="391" t="s">
        <v>5211</v>
      </c>
      <c r="AI619" s="391" t="s">
        <v>547</v>
      </c>
      <c r="AJ619" s="391">
        <v>0</v>
      </c>
      <c r="AK619" s="390">
        <v>44105</v>
      </c>
      <c r="AL619" s="389">
        <v>100</v>
      </c>
      <c r="AM619" s="391" t="s">
        <v>548</v>
      </c>
      <c r="AN619" s="391" t="s">
        <v>545</v>
      </c>
      <c r="AO619" s="391" t="s">
        <v>5212</v>
      </c>
      <c r="AP619" s="372">
        <f>N619/E619</f>
        <v>0.20760000000000001</v>
      </c>
      <c r="AQ619" s="372">
        <f>AP619</f>
        <v>0.20760000000000001</v>
      </c>
    </row>
    <row r="620" spans="1:43" ht="16" thickBot="1">
      <c r="A620" s="387" t="s">
        <v>1729</v>
      </c>
      <c r="B620" s="387" t="s">
        <v>996</v>
      </c>
      <c r="C620" s="387" t="s">
        <v>5213</v>
      </c>
      <c r="D620" s="387" t="s">
        <v>5214</v>
      </c>
      <c r="E620" s="387">
        <v>500</v>
      </c>
      <c r="F620" s="387" t="s">
        <v>531</v>
      </c>
      <c r="G620" s="387" t="s">
        <v>543</v>
      </c>
      <c r="H620" s="387" t="s">
        <v>531</v>
      </c>
      <c r="I620" s="387" t="s">
        <v>848</v>
      </c>
      <c r="J620" s="387" t="s">
        <v>5208</v>
      </c>
      <c r="K620" s="387" t="s">
        <v>5215</v>
      </c>
      <c r="L620" s="387" t="s">
        <v>535</v>
      </c>
      <c r="M620" s="387" t="s">
        <v>536</v>
      </c>
      <c r="N620" s="388">
        <v>90.28</v>
      </c>
      <c r="O620" s="388">
        <v>14</v>
      </c>
      <c r="P620" s="387" t="s">
        <v>538</v>
      </c>
      <c r="Q620" s="387" t="s">
        <v>539</v>
      </c>
      <c r="R620" s="387" t="s">
        <v>5210</v>
      </c>
      <c r="S620" s="387" t="s">
        <v>171</v>
      </c>
      <c r="T620" s="387" t="s">
        <v>542</v>
      </c>
      <c r="U620" s="388">
        <v>152320</v>
      </c>
      <c r="V620" s="387">
        <v>6001390957244</v>
      </c>
      <c r="W620" s="387" t="s">
        <v>543</v>
      </c>
      <c r="X620" s="387" t="s">
        <v>543</v>
      </c>
      <c r="Y620" s="387">
        <v>16001390957251</v>
      </c>
      <c r="Z620" s="387" t="s">
        <v>543</v>
      </c>
      <c r="AA620" s="388" t="s">
        <v>543</v>
      </c>
      <c r="AB620" s="388" t="s">
        <v>543</v>
      </c>
      <c r="AC620" s="387">
        <v>797723013</v>
      </c>
      <c r="AD620" s="389">
        <v>20</v>
      </c>
      <c r="AE620" s="390">
        <v>44105</v>
      </c>
      <c r="AF620" s="390">
        <v>45199</v>
      </c>
      <c r="AG620" s="390">
        <v>45199</v>
      </c>
      <c r="AH620" s="391" t="s">
        <v>5216</v>
      </c>
      <c r="AI620" s="391" t="s">
        <v>547</v>
      </c>
      <c r="AJ620" s="391">
        <v>0</v>
      </c>
      <c r="AK620" s="390">
        <v>44105</v>
      </c>
      <c r="AL620" s="389">
        <v>100</v>
      </c>
      <c r="AM620" s="391" t="s">
        <v>548</v>
      </c>
      <c r="AN620" s="391" t="s">
        <v>545</v>
      </c>
      <c r="AO620" s="391" t="s">
        <v>5212</v>
      </c>
    </row>
    <row r="621" spans="1:43" ht="16" thickBot="1">
      <c r="A621" s="387" t="s">
        <v>529</v>
      </c>
      <c r="B621" s="387" t="s">
        <v>1003</v>
      </c>
      <c r="C621" s="387" t="s">
        <v>1017</v>
      </c>
      <c r="D621" s="387" t="s">
        <v>672</v>
      </c>
      <c r="E621" s="387">
        <v>28</v>
      </c>
      <c r="F621" s="387" t="s">
        <v>559</v>
      </c>
      <c r="G621" s="387">
        <v>28</v>
      </c>
      <c r="H621" s="387" t="s">
        <v>559</v>
      </c>
      <c r="I621" s="387" t="s">
        <v>560</v>
      </c>
      <c r="J621" s="387" t="s">
        <v>673</v>
      </c>
      <c r="K621" s="387" t="s">
        <v>682</v>
      </c>
      <c r="L621" s="387" t="s">
        <v>683</v>
      </c>
      <c r="M621" s="387" t="s">
        <v>684</v>
      </c>
      <c r="N621" s="388">
        <v>177.05</v>
      </c>
      <c r="O621" s="388">
        <v>14</v>
      </c>
      <c r="P621" s="387" t="s">
        <v>538</v>
      </c>
      <c r="Q621" s="387" t="s">
        <v>539</v>
      </c>
      <c r="R621" s="387" t="s">
        <v>677</v>
      </c>
      <c r="S621" s="387" t="s">
        <v>171</v>
      </c>
      <c r="T621" s="387" t="s">
        <v>542</v>
      </c>
      <c r="U621" s="388">
        <v>712380</v>
      </c>
      <c r="V621" s="387">
        <v>6009803544388</v>
      </c>
      <c r="W621" s="387" t="s">
        <v>543</v>
      </c>
      <c r="X621" s="387" t="s">
        <v>543</v>
      </c>
      <c r="Y621" s="387">
        <v>26009803544382</v>
      </c>
      <c r="Z621" s="387" t="s">
        <v>543</v>
      </c>
      <c r="AA621" s="388" t="s">
        <v>543</v>
      </c>
      <c r="AB621" s="388" t="s">
        <v>543</v>
      </c>
      <c r="AC621" s="387">
        <v>3003611001</v>
      </c>
      <c r="AD621" s="389">
        <v>50</v>
      </c>
      <c r="AE621" s="390">
        <v>44743</v>
      </c>
      <c r="AF621" s="390">
        <v>45838</v>
      </c>
      <c r="AG621" s="390">
        <v>45838</v>
      </c>
      <c r="AH621" s="391" t="s">
        <v>678</v>
      </c>
      <c r="AI621" s="391" t="s">
        <v>685</v>
      </c>
      <c r="AJ621" s="391">
        <v>18</v>
      </c>
      <c r="AK621" s="390">
        <v>45047</v>
      </c>
      <c r="AL621" s="389">
        <v>60</v>
      </c>
      <c r="AM621" s="391" t="s">
        <v>548</v>
      </c>
      <c r="AN621" s="391" t="s">
        <v>549</v>
      </c>
      <c r="AO621" s="391" t="s">
        <v>681</v>
      </c>
    </row>
    <row r="622" spans="1:43" ht="16" thickBot="1">
      <c r="A622" s="387" t="s">
        <v>529</v>
      </c>
      <c r="B622" s="387" t="s">
        <v>1003</v>
      </c>
      <c r="C622" s="387" t="s">
        <v>1017</v>
      </c>
      <c r="D622" s="387" t="s">
        <v>672</v>
      </c>
      <c r="E622" s="387">
        <v>28</v>
      </c>
      <c r="F622" s="387" t="s">
        <v>559</v>
      </c>
      <c r="G622" s="387">
        <v>28</v>
      </c>
      <c r="H622" s="387" t="s">
        <v>559</v>
      </c>
      <c r="I622" s="387" t="s">
        <v>560</v>
      </c>
      <c r="J622" s="387" t="s">
        <v>673</v>
      </c>
      <c r="K622" s="387" t="s">
        <v>674</v>
      </c>
      <c r="L622" s="387" t="s">
        <v>675</v>
      </c>
      <c r="M622" s="387" t="s">
        <v>676</v>
      </c>
      <c r="N622" s="388">
        <v>250.91</v>
      </c>
      <c r="O622" s="388">
        <v>14</v>
      </c>
      <c r="P622" s="387" t="s">
        <v>538</v>
      </c>
      <c r="Q622" s="387" t="s">
        <v>539</v>
      </c>
      <c r="R622" s="387" t="s">
        <v>677</v>
      </c>
      <c r="S622" s="387" t="s">
        <v>171</v>
      </c>
      <c r="T622" s="387" t="s">
        <v>542</v>
      </c>
      <c r="U622" s="388">
        <v>474920</v>
      </c>
      <c r="V622" s="387">
        <v>6006352034599</v>
      </c>
      <c r="W622" s="387" t="s">
        <v>543</v>
      </c>
      <c r="X622" s="387" t="s">
        <v>543</v>
      </c>
      <c r="Y622" s="387" t="s">
        <v>543</v>
      </c>
      <c r="Z622" s="387" t="s">
        <v>543</v>
      </c>
      <c r="AA622" s="388" t="s">
        <v>543</v>
      </c>
      <c r="AB622" s="388" t="s">
        <v>543</v>
      </c>
      <c r="AC622" s="387">
        <v>3002458001</v>
      </c>
      <c r="AD622" s="389">
        <v>60</v>
      </c>
      <c r="AE622" s="390">
        <v>44743</v>
      </c>
      <c r="AF622" s="390">
        <v>45838</v>
      </c>
      <c r="AG622" s="390">
        <v>45838</v>
      </c>
      <c r="AH622" s="391" t="s">
        <v>678</v>
      </c>
      <c r="AI622" s="391" t="s">
        <v>679</v>
      </c>
      <c r="AJ622" s="391">
        <v>17</v>
      </c>
      <c r="AK622" s="390">
        <v>45047</v>
      </c>
      <c r="AL622" s="389">
        <v>40</v>
      </c>
      <c r="AM622" s="391" t="s">
        <v>548</v>
      </c>
      <c r="AN622" s="391" t="s">
        <v>549</v>
      </c>
      <c r="AO622" s="391" t="s">
        <v>681</v>
      </c>
    </row>
    <row r="623" spans="1:43" ht="16" thickBot="1">
      <c r="A623" s="387" t="s">
        <v>529</v>
      </c>
      <c r="B623" s="387" t="s">
        <v>593</v>
      </c>
      <c r="C623" s="387" t="s">
        <v>1000</v>
      </c>
      <c r="D623" s="387" t="s">
        <v>687</v>
      </c>
      <c r="E623" s="387">
        <v>28</v>
      </c>
      <c r="F623" s="387" t="s">
        <v>559</v>
      </c>
      <c r="G623" s="387">
        <v>28</v>
      </c>
      <c r="H623" s="387" t="s">
        <v>559</v>
      </c>
      <c r="I623" s="387" t="s">
        <v>560</v>
      </c>
      <c r="J623" s="387" t="s">
        <v>688</v>
      </c>
      <c r="K623" s="387" t="s">
        <v>689</v>
      </c>
      <c r="L623" s="387" t="s">
        <v>562</v>
      </c>
      <c r="M623" s="387" t="s">
        <v>563</v>
      </c>
      <c r="N623" s="388">
        <v>120.96</v>
      </c>
      <c r="O623" s="388">
        <v>14</v>
      </c>
      <c r="P623" s="387" t="s">
        <v>538</v>
      </c>
      <c r="Q623" s="387" t="s">
        <v>539</v>
      </c>
      <c r="R623" s="387" t="s">
        <v>690</v>
      </c>
      <c r="S623" s="387" t="s">
        <v>541</v>
      </c>
      <c r="T623" s="387" t="s">
        <v>542</v>
      </c>
      <c r="U623" s="388">
        <v>2151565</v>
      </c>
      <c r="V623" s="387">
        <v>6009628332856</v>
      </c>
      <c r="W623" s="387">
        <v>6009628332856</v>
      </c>
      <c r="X623" s="387" t="s">
        <v>543</v>
      </c>
      <c r="Y623" s="387">
        <v>16009628332853</v>
      </c>
      <c r="Z623" s="387" t="s">
        <v>543</v>
      </c>
      <c r="AA623" s="388" t="s">
        <v>543</v>
      </c>
      <c r="AB623" s="388" t="s">
        <v>543</v>
      </c>
      <c r="AC623" s="387">
        <v>717977001</v>
      </c>
      <c r="AD623" s="389">
        <v>144</v>
      </c>
      <c r="AE623" s="390">
        <v>44743</v>
      </c>
      <c r="AF623" s="390">
        <v>45838</v>
      </c>
      <c r="AG623" s="390">
        <v>45838</v>
      </c>
      <c r="AH623" s="391" t="s">
        <v>691</v>
      </c>
      <c r="AI623" s="391" t="s">
        <v>565</v>
      </c>
      <c r="AJ623" s="391">
        <v>23</v>
      </c>
      <c r="AK623" s="390">
        <v>45047</v>
      </c>
      <c r="AL623" s="389">
        <v>30</v>
      </c>
      <c r="AM623" s="391" t="s">
        <v>548</v>
      </c>
      <c r="AN623" s="391" t="s">
        <v>549</v>
      </c>
      <c r="AO623" s="391" t="s">
        <v>692</v>
      </c>
      <c r="AP623" s="372">
        <f>N623/G623</f>
        <v>4.3199999999999994</v>
      </c>
      <c r="AQ623" s="372">
        <f>SUMPRODUCT(AP623:AP624,U623:U624)/SUM(U623:U624)</f>
        <v>4.4262500042327977</v>
      </c>
    </row>
    <row r="624" spans="1:43" ht="16" thickBot="1">
      <c r="A624" s="387" t="s">
        <v>529</v>
      </c>
      <c r="B624" s="387" t="s">
        <v>593</v>
      </c>
      <c r="C624" s="387" t="s">
        <v>1000</v>
      </c>
      <c r="D624" s="387" t="s">
        <v>687</v>
      </c>
      <c r="E624" s="387">
        <v>28</v>
      </c>
      <c r="F624" s="387" t="s">
        <v>559</v>
      </c>
      <c r="G624" s="387">
        <v>28</v>
      </c>
      <c r="H624" s="387" t="s">
        <v>559</v>
      </c>
      <c r="I624" s="387" t="s">
        <v>560</v>
      </c>
      <c r="J624" s="387" t="s">
        <v>688</v>
      </c>
      <c r="K624" s="387" t="s">
        <v>693</v>
      </c>
      <c r="L624" s="387" t="s">
        <v>552</v>
      </c>
      <c r="M624" s="387" t="s">
        <v>553</v>
      </c>
      <c r="N624" s="388">
        <v>125.21</v>
      </c>
      <c r="O624" s="388">
        <v>14</v>
      </c>
      <c r="P624" s="387" t="s">
        <v>538</v>
      </c>
      <c r="Q624" s="387" t="s">
        <v>539</v>
      </c>
      <c r="R624" s="387" t="s">
        <v>690</v>
      </c>
      <c r="S624" s="387" t="s">
        <v>541</v>
      </c>
      <c r="T624" s="387" t="s">
        <v>542</v>
      </c>
      <c r="U624" s="388">
        <v>5020319</v>
      </c>
      <c r="V624" s="387">
        <v>8903726212868</v>
      </c>
      <c r="W624" s="387">
        <v>8903726212868</v>
      </c>
      <c r="X624" s="387" t="s">
        <v>543</v>
      </c>
      <c r="Y624" s="387">
        <v>18903726212865</v>
      </c>
      <c r="Z624" s="387" t="s">
        <v>543</v>
      </c>
      <c r="AA624" s="388" t="s">
        <v>543</v>
      </c>
      <c r="AB624" s="388" t="s">
        <v>543</v>
      </c>
      <c r="AC624" s="387" t="s">
        <v>543</v>
      </c>
      <c r="AD624" s="389">
        <v>56</v>
      </c>
      <c r="AE624" s="390">
        <v>44743</v>
      </c>
      <c r="AF624" s="390">
        <v>45838</v>
      </c>
      <c r="AG624" s="390">
        <v>45838</v>
      </c>
      <c r="AH624" s="391" t="s">
        <v>691</v>
      </c>
      <c r="AI624" s="391" t="s">
        <v>555</v>
      </c>
      <c r="AJ624" s="391">
        <v>19</v>
      </c>
      <c r="AK624" s="390">
        <v>45047</v>
      </c>
      <c r="AL624" s="389">
        <v>70</v>
      </c>
      <c r="AM624" s="391" t="s">
        <v>548</v>
      </c>
      <c r="AN624" s="391" t="s">
        <v>549</v>
      </c>
      <c r="AO624" s="391" t="s">
        <v>692</v>
      </c>
      <c r="AP624" s="372">
        <f>N624/G624</f>
        <v>4.4717857142857138</v>
      </c>
    </row>
    <row r="625" spans="1:43" ht="16" thickBot="1">
      <c r="A625" s="387" t="s">
        <v>529</v>
      </c>
      <c r="B625" s="387" t="s">
        <v>615</v>
      </c>
      <c r="C625" s="387" t="s">
        <v>1012</v>
      </c>
      <c r="D625" s="387" t="s">
        <v>694</v>
      </c>
      <c r="E625" s="387">
        <v>28</v>
      </c>
      <c r="F625" s="387" t="s">
        <v>559</v>
      </c>
      <c r="G625" s="387">
        <v>28</v>
      </c>
      <c r="H625" s="387" t="s">
        <v>559</v>
      </c>
      <c r="I625" s="387" t="s">
        <v>560</v>
      </c>
      <c r="J625" s="387" t="s">
        <v>688</v>
      </c>
      <c r="K625" s="387" t="s">
        <v>695</v>
      </c>
      <c r="L625" s="387" t="s">
        <v>562</v>
      </c>
      <c r="M625" s="387" t="s">
        <v>563</v>
      </c>
      <c r="N625" s="388">
        <v>51.34</v>
      </c>
      <c r="O625" s="388">
        <v>14</v>
      </c>
      <c r="P625" s="387" t="s">
        <v>538</v>
      </c>
      <c r="Q625" s="387" t="s">
        <v>539</v>
      </c>
      <c r="R625" s="387" t="s">
        <v>690</v>
      </c>
      <c r="S625" s="387" t="s">
        <v>171</v>
      </c>
      <c r="T625" s="387" t="s">
        <v>542</v>
      </c>
      <c r="U625" s="388">
        <v>767302</v>
      </c>
      <c r="V625" s="387">
        <v>6009888360569</v>
      </c>
      <c r="W625" s="387">
        <v>6009888360569</v>
      </c>
      <c r="X625" s="387" t="s">
        <v>543</v>
      </c>
      <c r="Y625" s="387" t="s">
        <v>543</v>
      </c>
      <c r="Z625" s="387" t="s">
        <v>543</v>
      </c>
      <c r="AA625" s="388" t="s">
        <v>543</v>
      </c>
      <c r="AB625" s="388" t="s">
        <v>543</v>
      </c>
      <c r="AC625" s="387" t="s">
        <v>543</v>
      </c>
      <c r="AD625" s="389">
        <v>144</v>
      </c>
      <c r="AE625" s="390">
        <v>44743</v>
      </c>
      <c r="AF625" s="390">
        <v>45838</v>
      </c>
      <c r="AG625" s="390">
        <v>45838</v>
      </c>
      <c r="AH625" s="391" t="s">
        <v>696</v>
      </c>
      <c r="AI625" s="391" t="s">
        <v>565</v>
      </c>
      <c r="AJ625" s="391">
        <v>23</v>
      </c>
      <c r="AK625" s="390">
        <v>45047</v>
      </c>
      <c r="AL625" s="389">
        <v>60</v>
      </c>
      <c r="AM625" s="391" t="s">
        <v>548</v>
      </c>
      <c r="AN625" s="391" t="s">
        <v>549</v>
      </c>
      <c r="AO625" s="391" t="s">
        <v>697</v>
      </c>
    </row>
    <row r="626" spans="1:43" ht="16" thickBot="1">
      <c r="A626" s="387" t="s">
        <v>529</v>
      </c>
      <c r="B626" s="387" t="s">
        <v>615</v>
      </c>
      <c r="C626" s="387" t="s">
        <v>1012</v>
      </c>
      <c r="D626" s="387" t="s">
        <v>694</v>
      </c>
      <c r="E626" s="387">
        <v>28</v>
      </c>
      <c r="F626" s="387" t="s">
        <v>559</v>
      </c>
      <c r="G626" s="387">
        <v>28</v>
      </c>
      <c r="H626" s="387" t="s">
        <v>559</v>
      </c>
      <c r="I626" s="387" t="s">
        <v>560</v>
      </c>
      <c r="J626" s="387" t="s">
        <v>688</v>
      </c>
      <c r="K626" s="387" t="s">
        <v>698</v>
      </c>
      <c r="L626" s="387" t="s">
        <v>675</v>
      </c>
      <c r="M626" s="387" t="s">
        <v>676</v>
      </c>
      <c r="N626" s="388">
        <v>55.82</v>
      </c>
      <c r="O626" s="388">
        <v>14</v>
      </c>
      <c r="P626" s="387" t="s">
        <v>538</v>
      </c>
      <c r="Q626" s="387" t="s">
        <v>539</v>
      </c>
      <c r="R626" s="387" t="s">
        <v>690</v>
      </c>
      <c r="S626" s="387" t="s">
        <v>171</v>
      </c>
      <c r="T626" s="387" t="s">
        <v>542</v>
      </c>
      <c r="U626" s="388">
        <v>511534</v>
      </c>
      <c r="V626" s="387">
        <v>6006352036722</v>
      </c>
      <c r="W626" s="387">
        <v>6006352036739</v>
      </c>
      <c r="X626" s="387" t="s">
        <v>543</v>
      </c>
      <c r="Y626" s="387">
        <v>16006352036729</v>
      </c>
      <c r="Z626" s="387" t="s">
        <v>543</v>
      </c>
      <c r="AA626" s="388" t="s">
        <v>543</v>
      </c>
      <c r="AB626" s="388" t="s">
        <v>543</v>
      </c>
      <c r="AC626" s="387" t="s">
        <v>543</v>
      </c>
      <c r="AD626" s="389">
        <v>80</v>
      </c>
      <c r="AE626" s="390">
        <v>44743</v>
      </c>
      <c r="AF626" s="390">
        <v>45838</v>
      </c>
      <c r="AG626" s="390">
        <v>45838</v>
      </c>
      <c r="AH626" s="391" t="s">
        <v>696</v>
      </c>
      <c r="AI626" s="391" t="s">
        <v>679</v>
      </c>
      <c r="AJ626" s="391">
        <v>17</v>
      </c>
      <c r="AK626" s="390">
        <v>45047</v>
      </c>
      <c r="AL626" s="389">
        <v>40</v>
      </c>
      <c r="AM626" s="391" t="s">
        <v>548</v>
      </c>
      <c r="AN626" s="391" t="s">
        <v>549</v>
      </c>
      <c r="AO626" s="391" t="s">
        <v>697</v>
      </c>
    </row>
    <row r="627" spans="1:43" ht="16" thickBot="1">
      <c r="A627" s="387" t="s">
        <v>529</v>
      </c>
      <c r="B627" s="387" t="s">
        <v>985</v>
      </c>
      <c r="C627" s="387" t="s">
        <v>986</v>
      </c>
      <c r="D627" s="387" t="s">
        <v>699</v>
      </c>
      <c r="E627" s="387">
        <v>240</v>
      </c>
      <c r="F627" s="387" t="s">
        <v>531</v>
      </c>
      <c r="G627" s="387">
        <v>240</v>
      </c>
      <c r="H627" s="387" t="s">
        <v>531</v>
      </c>
      <c r="I627" s="387" t="s">
        <v>532</v>
      </c>
      <c r="J627" s="387" t="s">
        <v>700</v>
      </c>
      <c r="K627" s="387" t="s">
        <v>706</v>
      </c>
      <c r="L627" s="387" t="s">
        <v>588</v>
      </c>
      <c r="M627" s="387" t="s">
        <v>589</v>
      </c>
      <c r="N627" s="388">
        <v>28.65</v>
      </c>
      <c r="O627" s="388">
        <v>14</v>
      </c>
      <c r="P627" s="387" t="s">
        <v>538</v>
      </c>
      <c r="Q627" s="387" t="s">
        <v>539</v>
      </c>
      <c r="R627" s="387" t="s">
        <v>702</v>
      </c>
      <c r="S627" s="387" t="s">
        <v>541</v>
      </c>
      <c r="T627" s="387" t="s">
        <v>542</v>
      </c>
      <c r="U627" s="388">
        <v>462900</v>
      </c>
      <c r="V627" s="387">
        <v>6009695244243</v>
      </c>
      <c r="W627" s="387">
        <v>6009695244243</v>
      </c>
      <c r="X627" s="387" t="s">
        <v>543</v>
      </c>
      <c r="Y627" s="387">
        <v>16009695244240</v>
      </c>
      <c r="Z627" s="387" t="s">
        <v>543</v>
      </c>
      <c r="AA627" s="388" t="s">
        <v>543</v>
      </c>
      <c r="AB627" s="388" t="s">
        <v>543</v>
      </c>
      <c r="AC627" s="387">
        <v>720847001</v>
      </c>
      <c r="AD627" s="389">
        <v>30</v>
      </c>
      <c r="AE627" s="390">
        <v>44743</v>
      </c>
      <c r="AF627" s="390">
        <v>45838</v>
      </c>
      <c r="AG627" s="390">
        <v>45838</v>
      </c>
      <c r="AH627" s="391" t="s">
        <v>704</v>
      </c>
      <c r="AI627" s="391" t="s">
        <v>592</v>
      </c>
      <c r="AJ627" s="391">
        <v>10</v>
      </c>
      <c r="AK627" s="390">
        <v>44958</v>
      </c>
      <c r="AL627" s="389">
        <v>20</v>
      </c>
      <c r="AM627" s="391" t="s">
        <v>548</v>
      </c>
      <c r="AN627" s="391" t="s">
        <v>549</v>
      </c>
      <c r="AO627" s="391" t="s">
        <v>705</v>
      </c>
    </row>
    <row r="628" spans="1:43" ht="16" thickBot="1">
      <c r="A628" s="387" t="s">
        <v>529</v>
      </c>
      <c r="B628" s="387" t="s">
        <v>985</v>
      </c>
      <c r="C628" s="387" t="s">
        <v>986</v>
      </c>
      <c r="D628" s="387" t="s">
        <v>699</v>
      </c>
      <c r="E628" s="387">
        <v>240</v>
      </c>
      <c r="F628" s="387" t="s">
        <v>531</v>
      </c>
      <c r="G628" s="387">
        <v>240</v>
      </c>
      <c r="H628" s="387" t="s">
        <v>531</v>
      </c>
      <c r="I628" s="387" t="s">
        <v>532</v>
      </c>
      <c r="J628" s="387" t="s">
        <v>700</v>
      </c>
      <c r="K628" s="387" t="s">
        <v>701</v>
      </c>
      <c r="L628" s="387" t="s">
        <v>654</v>
      </c>
      <c r="M628" s="387" t="s">
        <v>655</v>
      </c>
      <c r="N628" s="388">
        <v>22.24</v>
      </c>
      <c r="O628" s="388">
        <v>14</v>
      </c>
      <c r="P628" s="387" t="s">
        <v>538</v>
      </c>
      <c r="Q628" s="387" t="s">
        <v>539</v>
      </c>
      <c r="R628" s="387" t="s">
        <v>702</v>
      </c>
      <c r="S628" s="387" t="s">
        <v>541</v>
      </c>
      <c r="T628" s="387" t="s">
        <v>542</v>
      </c>
      <c r="U628" s="388">
        <v>1851598</v>
      </c>
      <c r="V628" s="387">
        <v>6004405009518</v>
      </c>
      <c r="W628" s="387">
        <v>6004405009518</v>
      </c>
      <c r="X628" s="387" t="s">
        <v>543</v>
      </c>
      <c r="Y628" s="387">
        <v>16004405009515</v>
      </c>
      <c r="Z628" s="387" t="s">
        <v>543</v>
      </c>
      <c r="AA628" s="388" t="s">
        <v>543</v>
      </c>
      <c r="AB628" s="388" t="s">
        <v>543</v>
      </c>
      <c r="AC628" s="387">
        <v>150205026</v>
      </c>
      <c r="AD628" s="389" t="s">
        <v>703</v>
      </c>
      <c r="AE628" s="390">
        <v>44743</v>
      </c>
      <c r="AF628" s="390">
        <v>45838</v>
      </c>
      <c r="AG628" s="390">
        <v>45838</v>
      </c>
      <c r="AH628" s="391" t="s">
        <v>704</v>
      </c>
      <c r="AI628" s="391" t="s">
        <v>658</v>
      </c>
      <c r="AJ628" s="391">
        <v>16</v>
      </c>
      <c r="AK628" s="390">
        <v>45047</v>
      </c>
      <c r="AL628" s="389">
        <v>80</v>
      </c>
      <c r="AM628" s="391" t="s">
        <v>548</v>
      </c>
      <c r="AN628" s="391" t="s">
        <v>549</v>
      </c>
      <c r="AO628" s="391" t="s">
        <v>705</v>
      </c>
    </row>
    <row r="629" spans="1:43" ht="16" thickBot="1">
      <c r="A629" s="387" t="s">
        <v>529</v>
      </c>
      <c r="B629" s="387" t="s">
        <v>994</v>
      </c>
      <c r="C629" s="387" t="s">
        <v>709</v>
      </c>
      <c r="D629" s="387" t="s">
        <v>707</v>
      </c>
      <c r="E629" s="387">
        <v>56</v>
      </c>
      <c r="F629" s="387" t="s">
        <v>559</v>
      </c>
      <c r="G629" s="387">
        <v>56</v>
      </c>
      <c r="H629" s="387" t="s">
        <v>559</v>
      </c>
      <c r="I629" s="387" t="s">
        <v>560</v>
      </c>
      <c r="J629" s="387" t="s">
        <v>700</v>
      </c>
      <c r="K629" s="387" t="s">
        <v>708</v>
      </c>
      <c r="L629" s="387" t="s">
        <v>654</v>
      </c>
      <c r="M629" s="387" t="s">
        <v>655</v>
      </c>
      <c r="N629" s="388">
        <v>32.01</v>
      </c>
      <c r="O629" s="388">
        <v>14</v>
      </c>
      <c r="P629" s="387" t="s">
        <v>538</v>
      </c>
      <c r="Q629" s="387" t="s">
        <v>539</v>
      </c>
      <c r="R629" s="387" t="s">
        <v>702</v>
      </c>
      <c r="S629" s="387" t="s">
        <v>541</v>
      </c>
      <c r="T629" s="387" t="s">
        <v>542</v>
      </c>
      <c r="U629" s="388">
        <v>1349069</v>
      </c>
      <c r="V629" s="387">
        <v>6004405009297</v>
      </c>
      <c r="W629" s="387">
        <v>6004405009297</v>
      </c>
      <c r="X629" s="387" t="s">
        <v>543</v>
      </c>
      <c r="Y629" s="387">
        <v>16004405009294</v>
      </c>
      <c r="Z629" s="387" t="s">
        <v>543</v>
      </c>
      <c r="AA629" s="388" t="s">
        <v>543</v>
      </c>
      <c r="AB629" s="388" t="s">
        <v>543</v>
      </c>
      <c r="AC629" s="387">
        <v>181896198</v>
      </c>
      <c r="AD629" s="389">
        <v>144</v>
      </c>
      <c r="AE629" s="390">
        <v>44743</v>
      </c>
      <c r="AF629" s="390">
        <v>45838</v>
      </c>
      <c r="AG629" s="390">
        <v>45838</v>
      </c>
      <c r="AH629" s="391" t="s">
        <v>710</v>
      </c>
      <c r="AI629" s="391" t="s">
        <v>658</v>
      </c>
      <c r="AJ629" s="391">
        <v>16</v>
      </c>
      <c r="AK629" s="390">
        <v>45047</v>
      </c>
      <c r="AL629" s="389">
        <v>70</v>
      </c>
      <c r="AM629" s="391" t="s">
        <v>548</v>
      </c>
      <c r="AN629" s="391" t="s">
        <v>549</v>
      </c>
      <c r="AO629" s="391" t="s">
        <v>711</v>
      </c>
      <c r="AP629" s="372">
        <f>N629/E629</f>
        <v>0.57160714285714287</v>
      </c>
      <c r="AQ629" s="372">
        <f>SUMPRODUCT(AP629:AP630,U629:U630)/SUM(U629:U630)</f>
        <v>0.59705355822501849</v>
      </c>
    </row>
    <row r="630" spans="1:43" ht="16" thickBot="1">
      <c r="A630" s="387" t="s">
        <v>529</v>
      </c>
      <c r="B630" s="387" t="s">
        <v>994</v>
      </c>
      <c r="C630" s="387" t="s">
        <v>709</v>
      </c>
      <c r="D630" s="387" t="s">
        <v>707</v>
      </c>
      <c r="E630" s="387">
        <v>56</v>
      </c>
      <c r="F630" s="387" t="s">
        <v>559</v>
      </c>
      <c r="G630" s="387">
        <v>56</v>
      </c>
      <c r="H630" s="387" t="s">
        <v>559</v>
      </c>
      <c r="I630" s="387" t="s">
        <v>560</v>
      </c>
      <c r="J630" s="387" t="s">
        <v>700</v>
      </c>
      <c r="K630" s="387" t="s">
        <v>712</v>
      </c>
      <c r="L630" s="387" t="s">
        <v>631</v>
      </c>
      <c r="M630" s="387" t="s">
        <v>632</v>
      </c>
      <c r="N630" s="388">
        <v>36.76</v>
      </c>
      <c r="O630" s="388">
        <v>14</v>
      </c>
      <c r="P630" s="387" t="s">
        <v>538</v>
      </c>
      <c r="Q630" s="387" t="s">
        <v>539</v>
      </c>
      <c r="R630" s="387" t="s">
        <v>702</v>
      </c>
      <c r="S630" s="387" t="s">
        <v>541</v>
      </c>
      <c r="T630" s="387" t="s">
        <v>542</v>
      </c>
      <c r="U630" s="388">
        <v>578172</v>
      </c>
      <c r="V630" s="387">
        <v>6008288002352</v>
      </c>
      <c r="W630" s="387">
        <v>6008288002352</v>
      </c>
      <c r="X630" s="387" t="s">
        <v>543</v>
      </c>
      <c r="Y630" s="387">
        <v>16008288004070</v>
      </c>
      <c r="Z630" s="387" t="s">
        <v>543</v>
      </c>
      <c r="AA630" s="388" t="s">
        <v>543</v>
      </c>
      <c r="AB630" s="388" t="s">
        <v>543</v>
      </c>
      <c r="AC630" s="387">
        <v>703378001</v>
      </c>
      <c r="AD630" s="389">
        <v>90</v>
      </c>
      <c r="AE630" s="390">
        <v>44743</v>
      </c>
      <c r="AF630" s="390">
        <v>45838</v>
      </c>
      <c r="AG630" s="390">
        <v>45838</v>
      </c>
      <c r="AH630" s="391" t="s">
        <v>710</v>
      </c>
      <c r="AI630" s="391" t="s">
        <v>636</v>
      </c>
      <c r="AJ630" s="391">
        <v>22</v>
      </c>
      <c r="AK630" s="390">
        <v>45047</v>
      </c>
      <c r="AL630" s="389">
        <v>30</v>
      </c>
      <c r="AM630" s="391" t="s">
        <v>548</v>
      </c>
      <c r="AN630" s="391" t="s">
        <v>549</v>
      </c>
      <c r="AO630" s="391" t="s">
        <v>711</v>
      </c>
      <c r="AP630" s="372">
        <f>N630/E630</f>
        <v>0.65642857142857136</v>
      </c>
    </row>
    <row r="631" spans="1:43" ht="16" thickBot="1">
      <c r="A631" s="387" t="s">
        <v>1717</v>
      </c>
      <c r="B631" s="387" t="s">
        <v>5217</v>
      </c>
      <c r="C631" s="387" t="s">
        <v>5218</v>
      </c>
      <c r="D631" s="387" t="s">
        <v>5219</v>
      </c>
      <c r="E631" s="387">
        <v>56</v>
      </c>
      <c r="F631" s="387" t="s">
        <v>559</v>
      </c>
      <c r="G631" s="387">
        <v>56</v>
      </c>
      <c r="H631" s="387" t="s">
        <v>559</v>
      </c>
      <c r="I631" s="387" t="s">
        <v>560</v>
      </c>
      <c r="J631" s="387" t="s">
        <v>5220</v>
      </c>
      <c r="K631" s="387" t="s">
        <v>5221</v>
      </c>
      <c r="L631" s="387" t="s">
        <v>5222</v>
      </c>
      <c r="M631" s="387" t="s">
        <v>5223</v>
      </c>
      <c r="N631" s="388">
        <v>31.46</v>
      </c>
      <c r="O631" s="388">
        <v>14</v>
      </c>
      <c r="P631" s="387" t="s">
        <v>538</v>
      </c>
      <c r="Q631" s="387" t="s">
        <v>539</v>
      </c>
      <c r="R631" s="387" t="s">
        <v>5224</v>
      </c>
      <c r="S631" s="387" t="s">
        <v>171</v>
      </c>
      <c r="T631" s="387" t="s">
        <v>542</v>
      </c>
      <c r="U631" s="388">
        <v>612850</v>
      </c>
      <c r="V631" s="387" t="s">
        <v>543</v>
      </c>
      <c r="W631" s="387" t="s">
        <v>543</v>
      </c>
      <c r="X631" s="387" t="s">
        <v>543</v>
      </c>
      <c r="Y631" s="387" t="s">
        <v>543</v>
      </c>
      <c r="Z631" s="387" t="s">
        <v>543</v>
      </c>
      <c r="AA631" s="388" t="s">
        <v>543</v>
      </c>
      <c r="AB631" s="388" t="s">
        <v>543</v>
      </c>
      <c r="AC631" s="387" t="s">
        <v>543</v>
      </c>
      <c r="AD631" s="389">
        <v>50</v>
      </c>
      <c r="AE631" s="390">
        <v>45047</v>
      </c>
      <c r="AF631" s="390">
        <v>46142</v>
      </c>
      <c r="AG631" s="391" t="s">
        <v>545</v>
      </c>
      <c r="AH631" s="391" t="s">
        <v>5225</v>
      </c>
      <c r="AI631" s="391" t="s">
        <v>5226</v>
      </c>
      <c r="AJ631" s="391">
        <v>0</v>
      </c>
      <c r="AK631" s="390">
        <v>45047</v>
      </c>
      <c r="AL631" s="389">
        <v>100</v>
      </c>
      <c r="AM631" s="391" t="s">
        <v>548</v>
      </c>
      <c r="AN631" s="391" t="s">
        <v>549</v>
      </c>
      <c r="AO631" s="391" t="s">
        <v>5227</v>
      </c>
    </row>
    <row r="632" spans="1:43" ht="16" thickBot="1">
      <c r="A632" s="387" t="s">
        <v>1717</v>
      </c>
      <c r="B632" s="387" t="s">
        <v>5228</v>
      </c>
      <c r="C632" s="387" t="s">
        <v>5229</v>
      </c>
      <c r="D632" s="387" t="s">
        <v>5230</v>
      </c>
      <c r="E632" s="387">
        <v>56</v>
      </c>
      <c r="F632" s="387" t="s">
        <v>559</v>
      </c>
      <c r="G632" s="387">
        <v>56</v>
      </c>
      <c r="H632" s="387" t="s">
        <v>559</v>
      </c>
      <c r="I632" s="387" t="s">
        <v>560</v>
      </c>
      <c r="J632" s="387" t="s">
        <v>5220</v>
      </c>
      <c r="K632" s="387" t="s">
        <v>5231</v>
      </c>
      <c r="L632" s="387" t="s">
        <v>5222</v>
      </c>
      <c r="M632" s="387" t="s">
        <v>5223</v>
      </c>
      <c r="N632" s="388">
        <v>61.15</v>
      </c>
      <c r="O632" s="388">
        <v>14</v>
      </c>
      <c r="P632" s="387" t="s">
        <v>538</v>
      </c>
      <c r="Q632" s="387" t="s">
        <v>539</v>
      </c>
      <c r="R632" s="387" t="s">
        <v>5224</v>
      </c>
      <c r="S632" s="387" t="s">
        <v>171</v>
      </c>
      <c r="T632" s="387" t="s">
        <v>542</v>
      </c>
      <c r="U632" s="388">
        <v>107983</v>
      </c>
      <c r="V632" s="387" t="s">
        <v>543</v>
      </c>
      <c r="W632" s="387" t="s">
        <v>543</v>
      </c>
      <c r="X632" s="387" t="s">
        <v>543</v>
      </c>
      <c r="Y632" s="387" t="s">
        <v>543</v>
      </c>
      <c r="Z632" s="387" t="s">
        <v>543</v>
      </c>
      <c r="AA632" s="388" t="s">
        <v>543</v>
      </c>
      <c r="AB632" s="388" t="s">
        <v>543</v>
      </c>
      <c r="AC632" s="387" t="s">
        <v>543</v>
      </c>
      <c r="AD632" s="389">
        <v>60</v>
      </c>
      <c r="AE632" s="390">
        <v>45047</v>
      </c>
      <c r="AF632" s="390">
        <v>46142</v>
      </c>
      <c r="AG632" s="391" t="s">
        <v>545</v>
      </c>
      <c r="AH632" s="391" t="s">
        <v>5232</v>
      </c>
      <c r="AI632" s="391" t="s">
        <v>5226</v>
      </c>
      <c r="AJ632" s="391">
        <v>0</v>
      </c>
      <c r="AK632" s="390">
        <v>45047</v>
      </c>
      <c r="AL632" s="389">
        <v>100</v>
      </c>
      <c r="AM632" s="391" t="s">
        <v>548</v>
      </c>
      <c r="AN632" s="391" t="s">
        <v>549</v>
      </c>
      <c r="AO632" s="391" t="s">
        <v>5233</v>
      </c>
    </row>
    <row r="633" spans="1:43" ht="16" thickBot="1">
      <c r="A633" s="387" t="s">
        <v>1717</v>
      </c>
      <c r="B633" s="387" t="s">
        <v>5234</v>
      </c>
      <c r="C633" s="387" t="s">
        <v>5235</v>
      </c>
      <c r="D633" s="387" t="s">
        <v>5236</v>
      </c>
      <c r="E633" s="387">
        <v>56</v>
      </c>
      <c r="F633" s="387" t="s">
        <v>559</v>
      </c>
      <c r="G633" s="387">
        <v>56</v>
      </c>
      <c r="H633" s="387" t="s">
        <v>559</v>
      </c>
      <c r="I633" s="387" t="s">
        <v>560</v>
      </c>
      <c r="J633" s="387" t="s">
        <v>5220</v>
      </c>
      <c r="K633" s="387" t="s">
        <v>5237</v>
      </c>
      <c r="L633" s="387" t="s">
        <v>5222</v>
      </c>
      <c r="M633" s="387" t="s">
        <v>5223</v>
      </c>
      <c r="N633" s="388">
        <v>15.61</v>
      </c>
      <c r="O633" s="388">
        <v>14</v>
      </c>
      <c r="P633" s="387" t="s">
        <v>538</v>
      </c>
      <c r="Q633" s="387" t="s">
        <v>539</v>
      </c>
      <c r="R633" s="387" t="s">
        <v>5224</v>
      </c>
      <c r="S633" s="387" t="s">
        <v>171</v>
      </c>
      <c r="T633" s="387" t="s">
        <v>542</v>
      </c>
      <c r="U633" s="388">
        <v>629995</v>
      </c>
      <c r="V633" s="387" t="s">
        <v>543</v>
      </c>
      <c r="W633" s="387" t="s">
        <v>543</v>
      </c>
      <c r="X633" s="387" t="s">
        <v>543</v>
      </c>
      <c r="Y633" s="387" t="s">
        <v>543</v>
      </c>
      <c r="Z633" s="387" t="s">
        <v>543</v>
      </c>
      <c r="AA633" s="388" t="s">
        <v>543</v>
      </c>
      <c r="AB633" s="388" t="s">
        <v>543</v>
      </c>
      <c r="AC633" s="387" t="s">
        <v>543</v>
      </c>
      <c r="AD633" s="389">
        <v>50</v>
      </c>
      <c r="AE633" s="390">
        <v>45047</v>
      </c>
      <c r="AF633" s="390">
        <v>46142</v>
      </c>
      <c r="AG633" s="391" t="s">
        <v>545</v>
      </c>
      <c r="AH633" s="391" t="s">
        <v>5238</v>
      </c>
      <c r="AI633" s="391" t="s">
        <v>5226</v>
      </c>
      <c r="AJ633" s="391">
        <v>0</v>
      </c>
      <c r="AK633" s="390">
        <v>45047</v>
      </c>
      <c r="AL633" s="389">
        <v>100</v>
      </c>
      <c r="AM633" s="391" t="s">
        <v>548</v>
      </c>
      <c r="AN633" s="391" t="s">
        <v>549</v>
      </c>
      <c r="AO633" s="391" t="s">
        <v>5239</v>
      </c>
    </row>
    <row r="634" spans="1:43" ht="16" thickBot="1">
      <c r="A634" s="387" t="s">
        <v>1717</v>
      </c>
      <c r="B634" s="387" t="s">
        <v>5240</v>
      </c>
      <c r="C634" s="387" t="s">
        <v>5241</v>
      </c>
      <c r="D634" s="387" t="s">
        <v>5242</v>
      </c>
      <c r="E634" s="387">
        <v>56</v>
      </c>
      <c r="F634" s="387" t="s">
        <v>559</v>
      </c>
      <c r="G634" s="387">
        <v>56</v>
      </c>
      <c r="H634" s="387" t="s">
        <v>559</v>
      </c>
      <c r="I634" s="387" t="s">
        <v>560</v>
      </c>
      <c r="J634" s="387" t="s">
        <v>5220</v>
      </c>
      <c r="K634" s="387" t="s">
        <v>5243</v>
      </c>
      <c r="L634" s="387" t="s">
        <v>5222</v>
      </c>
      <c r="M634" s="387" t="s">
        <v>5223</v>
      </c>
      <c r="N634" s="388">
        <v>15.61</v>
      </c>
      <c r="O634" s="388">
        <v>14</v>
      </c>
      <c r="P634" s="387" t="s">
        <v>538</v>
      </c>
      <c r="Q634" s="387" t="s">
        <v>539</v>
      </c>
      <c r="R634" s="387" t="s">
        <v>5224</v>
      </c>
      <c r="S634" s="387" t="s">
        <v>171</v>
      </c>
      <c r="T634" s="387" t="s">
        <v>542</v>
      </c>
      <c r="U634" s="388">
        <v>525503</v>
      </c>
      <c r="V634" s="387" t="s">
        <v>543</v>
      </c>
      <c r="W634" s="387" t="s">
        <v>543</v>
      </c>
      <c r="X634" s="387" t="s">
        <v>543</v>
      </c>
      <c r="Y634" s="387" t="s">
        <v>543</v>
      </c>
      <c r="Z634" s="387" t="s">
        <v>543</v>
      </c>
      <c r="AA634" s="388" t="s">
        <v>543</v>
      </c>
      <c r="AB634" s="388" t="s">
        <v>543</v>
      </c>
      <c r="AC634" s="387" t="s">
        <v>543</v>
      </c>
      <c r="AD634" s="389">
        <v>50</v>
      </c>
      <c r="AE634" s="390">
        <v>45047</v>
      </c>
      <c r="AF634" s="390">
        <v>46142</v>
      </c>
      <c r="AG634" s="391" t="s">
        <v>545</v>
      </c>
      <c r="AH634" s="391" t="s">
        <v>5244</v>
      </c>
      <c r="AI634" s="391" t="s">
        <v>5226</v>
      </c>
      <c r="AJ634" s="391">
        <v>0</v>
      </c>
      <c r="AK634" s="390">
        <v>45047</v>
      </c>
      <c r="AL634" s="389">
        <v>100</v>
      </c>
      <c r="AM634" s="391" t="s">
        <v>548</v>
      </c>
      <c r="AN634" s="391" t="s">
        <v>549</v>
      </c>
      <c r="AO634" s="391" t="s">
        <v>5245</v>
      </c>
    </row>
    <row r="635" spans="1:43" ht="16" thickBot="1">
      <c r="A635" s="387" t="s">
        <v>2294</v>
      </c>
      <c r="B635" s="387" t="s">
        <v>993</v>
      </c>
      <c r="C635" s="387" t="s">
        <v>5246</v>
      </c>
      <c r="D635" s="387" t="s">
        <v>5247</v>
      </c>
      <c r="E635" s="387">
        <v>3.5</v>
      </c>
      <c r="F635" s="387" t="s">
        <v>2180</v>
      </c>
      <c r="G635" s="387">
        <v>3.5</v>
      </c>
      <c r="H635" s="387" t="s">
        <v>2180</v>
      </c>
      <c r="I635" s="387" t="s">
        <v>3023</v>
      </c>
      <c r="J635" s="387" t="s">
        <v>5248</v>
      </c>
      <c r="K635" s="387" t="s">
        <v>5249</v>
      </c>
      <c r="L635" s="387" t="s">
        <v>2365</v>
      </c>
      <c r="M635" s="387" t="s">
        <v>2366</v>
      </c>
      <c r="N635" s="388">
        <v>38.14</v>
      </c>
      <c r="O635" s="388">
        <v>14</v>
      </c>
      <c r="P635" s="387" t="s">
        <v>538</v>
      </c>
      <c r="Q635" s="387" t="s">
        <v>539</v>
      </c>
      <c r="R635" s="387" t="s">
        <v>2367</v>
      </c>
      <c r="S635" s="387" t="s">
        <v>171</v>
      </c>
      <c r="T635" s="387" t="s">
        <v>757</v>
      </c>
      <c r="U635" s="388">
        <v>615170</v>
      </c>
      <c r="V635" s="387">
        <v>6005667056869</v>
      </c>
      <c r="W635" s="387">
        <v>16005667056866</v>
      </c>
      <c r="X635" s="387" t="s">
        <v>543</v>
      </c>
      <c r="Y635" s="387" t="s">
        <v>543</v>
      </c>
      <c r="Z635" s="387" t="s">
        <v>543</v>
      </c>
      <c r="AA635" s="388" t="s">
        <v>543</v>
      </c>
      <c r="AB635" s="388" t="s">
        <v>543</v>
      </c>
      <c r="AC635" s="387" t="s">
        <v>543</v>
      </c>
      <c r="AD635" s="389">
        <v>1</v>
      </c>
      <c r="AE635" s="390">
        <v>44013</v>
      </c>
      <c r="AF635" s="390">
        <v>45107</v>
      </c>
      <c r="AG635" s="390">
        <v>45107</v>
      </c>
      <c r="AH635" s="391" t="s">
        <v>5250</v>
      </c>
      <c r="AI635" s="391" t="s">
        <v>2369</v>
      </c>
      <c r="AJ635" s="391">
        <v>56</v>
      </c>
      <c r="AK635" s="390">
        <v>44774</v>
      </c>
      <c r="AL635" s="389">
        <v>100</v>
      </c>
      <c r="AM635" s="391" t="s">
        <v>548</v>
      </c>
      <c r="AN635" s="391" t="s">
        <v>545</v>
      </c>
      <c r="AO635" s="391" t="s">
        <v>5251</v>
      </c>
    </row>
    <row r="636" spans="1:43" ht="16" thickBot="1">
      <c r="A636" s="387" t="s">
        <v>1717</v>
      </c>
      <c r="B636" s="387" t="s">
        <v>5252</v>
      </c>
      <c r="C636" s="387" t="s">
        <v>5253</v>
      </c>
      <c r="D636" s="387" t="s">
        <v>5254</v>
      </c>
      <c r="E636" s="387">
        <v>30</v>
      </c>
      <c r="F636" s="387" t="s">
        <v>559</v>
      </c>
      <c r="G636" s="387">
        <v>30</v>
      </c>
      <c r="H636" s="387" t="s">
        <v>559</v>
      </c>
      <c r="I636" s="387" t="s">
        <v>560</v>
      </c>
      <c r="J636" s="387" t="s">
        <v>5255</v>
      </c>
      <c r="K636" s="387" t="s">
        <v>5256</v>
      </c>
      <c r="L636" s="387" t="s">
        <v>654</v>
      </c>
      <c r="M636" s="387" t="s">
        <v>655</v>
      </c>
      <c r="N636" s="388">
        <v>76.78</v>
      </c>
      <c r="O636" s="388">
        <v>14</v>
      </c>
      <c r="P636" s="387" t="s">
        <v>538</v>
      </c>
      <c r="Q636" s="387" t="s">
        <v>539</v>
      </c>
      <c r="R636" s="387" t="s">
        <v>5257</v>
      </c>
      <c r="S636" s="387" t="s">
        <v>171</v>
      </c>
      <c r="T636" s="387" t="s">
        <v>1908</v>
      </c>
      <c r="U636" s="388">
        <v>9783</v>
      </c>
      <c r="V636" s="387" t="s">
        <v>543</v>
      </c>
      <c r="W636" s="387" t="s">
        <v>543</v>
      </c>
      <c r="X636" s="387" t="s">
        <v>543</v>
      </c>
      <c r="Y636" s="387" t="s">
        <v>543</v>
      </c>
      <c r="Z636" s="387" t="s">
        <v>543</v>
      </c>
      <c r="AA636" s="388" t="s">
        <v>543</v>
      </c>
      <c r="AB636" s="388" t="s">
        <v>543</v>
      </c>
      <c r="AC636" s="387" t="s">
        <v>543</v>
      </c>
      <c r="AD636" s="389">
        <v>150</v>
      </c>
      <c r="AE636" s="390">
        <v>45047</v>
      </c>
      <c r="AF636" s="390">
        <v>46142</v>
      </c>
      <c r="AG636" s="391" t="s">
        <v>545</v>
      </c>
      <c r="AH636" s="391" t="s">
        <v>5258</v>
      </c>
      <c r="AI636" s="391" t="s">
        <v>658</v>
      </c>
      <c r="AJ636" s="391">
        <v>0</v>
      </c>
      <c r="AK636" s="390">
        <v>45047</v>
      </c>
      <c r="AL636" s="389">
        <v>100</v>
      </c>
      <c r="AM636" s="391" t="s">
        <v>548</v>
      </c>
      <c r="AN636" s="391" t="s">
        <v>549</v>
      </c>
      <c r="AO636" s="391" t="s">
        <v>5259</v>
      </c>
    </row>
    <row r="637" spans="1:43" ht="16" thickBot="1">
      <c r="A637" s="387" t="s">
        <v>1717</v>
      </c>
      <c r="B637" s="387" t="s">
        <v>5260</v>
      </c>
      <c r="C637" s="387" t="s">
        <v>5261</v>
      </c>
      <c r="D637" s="387" t="s">
        <v>5262</v>
      </c>
      <c r="E637" s="387">
        <v>30</v>
      </c>
      <c r="F637" s="387" t="s">
        <v>559</v>
      </c>
      <c r="G637" s="387">
        <v>30</v>
      </c>
      <c r="H637" s="387" t="s">
        <v>559</v>
      </c>
      <c r="I637" s="387" t="s">
        <v>560</v>
      </c>
      <c r="J637" s="387" t="s">
        <v>5255</v>
      </c>
      <c r="K637" s="387" t="s">
        <v>5263</v>
      </c>
      <c r="L637" s="387" t="s">
        <v>654</v>
      </c>
      <c r="M637" s="387" t="s">
        <v>655</v>
      </c>
      <c r="N637" s="388">
        <v>100.59</v>
      </c>
      <c r="O637" s="388">
        <v>14</v>
      </c>
      <c r="P637" s="387" t="s">
        <v>538</v>
      </c>
      <c r="Q637" s="387" t="s">
        <v>539</v>
      </c>
      <c r="R637" s="387" t="s">
        <v>5257</v>
      </c>
      <c r="S637" s="387" t="s">
        <v>171</v>
      </c>
      <c r="T637" s="387" t="s">
        <v>1908</v>
      </c>
      <c r="U637" s="388">
        <v>79330</v>
      </c>
      <c r="V637" s="387" t="s">
        <v>543</v>
      </c>
      <c r="W637" s="387" t="s">
        <v>543</v>
      </c>
      <c r="X637" s="387" t="s">
        <v>543</v>
      </c>
      <c r="Y637" s="387" t="s">
        <v>543</v>
      </c>
      <c r="Z637" s="387" t="s">
        <v>543</v>
      </c>
      <c r="AA637" s="388" t="s">
        <v>543</v>
      </c>
      <c r="AB637" s="388" t="s">
        <v>543</v>
      </c>
      <c r="AC637" s="387" t="s">
        <v>543</v>
      </c>
      <c r="AD637" s="389">
        <v>150</v>
      </c>
      <c r="AE637" s="390">
        <v>45047</v>
      </c>
      <c r="AF637" s="390">
        <v>46142</v>
      </c>
      <c r="AG637" s="391" t="s">
        <v>545</v>
      </c>
      <c r="AH637" s="391" t="s">
        <v>5264</v>
      </c>
      <c r="AI637" s="391" t="s">
        <v>658</v>
      </c>
      <c r="AJ637" s="391">
        <v>0</v>
      </c>
      <c r="AK637" s="390">
        <v>45047</v>
      </c>
      <c r="AL637" s="389">
        <v>100</v>
      </c>
      <c r="AM637" s="391" t="s">
        <v>548</v>
      </c>
      <c r="AN637" s="391" t="s">
        <v>549</v>
      </c>
      <c r="AO637" s="391" t="s">
        <v>5265</v>
      </c>
    </row>
    <row r="638" spans="1:43" ht="16" thickBot="1">
      <c r="A638" s="387" t="s">
        <v>2166</v>
      </c>
      <c r="B638" s="387" t="s">
        <v>2837</v>
      </c>
      <c r="C638" s="387" t="s">
        <v>5266</v>
      </c>
      <c r="D638" s="387" t="s">
        <v>5267</v>
      </c>
      <c r="E638" s="387">
        <v>28</v>
      </c>
      <c r="F638" s="387" t="s">
        <v>559</v>
      </c>
      <c r="G638" s="387">
        <v>28</v>
      </c>
      <c r="H638" s="387" t="s">
        <v>559</v>
      </c>
      <c r="I638" s="387" t="s">
        <v>560</v>
      </c>
      <c r="J638" s="387" t="s">
        <v>5268</v>
      </c>
      <c r="K638" s="387" t="s">
        <v>5269</v>
      </c>
      <c r="L638" s="387" t="s">
        <v>552</v>
      </c>
      <c r="M638" s="387" t="s">
        <v>553</v>
      </c>
      <c r="N638" s="388">
        <v>35.56</v>
      </c>
      <c r="O638" s="388">
        <v>14</v>
      </c>
      <c r="P638" s="387" t="s">
        <v>538</v>
      </c>
      <c r="Q638" s="387" t="s">
        <v>539</v>
      </c>
      <c r="R638" s="387" t="s">
        <v>5270</v>
      </c>
      <c r="S638" s="387" t="s">
        <v>171</v>
      </c>
      <c r="T638" s="387" t="s">
        <v>1908</v>
      </c>
      <c r="U638" s="388">
        <v>2850</v>
      </c>
      <c r="V638" s="387">
        <v>8903726223413</v>
      </c>
      <c r="W638" s="387">
        <v>8903726223413</v>
      </c>
      <c r="X638" s="387" t="s">
        <v>543</v>
      </c>
      <c r="Y638" s="387">
        <v>38903726223414</v>
      </c>
      <c r="Z638" s="387" t="s">
        <v>543</v>
      </c>
      <c r="AA638" s="388" t="s">
        <v>543</v>
      </c>
      <c r="AB638" s="388" t="s">
        <v>543</v>
      </c>
      <c r="AC638" s="387" t="s">
        <v>543</v>
      </c>
      <c r="AD638" s="389">
        <v>1</v>
      </c>
      <c r="AE638" s="390">
        <v>44743</v>
      </c>
      <c r="AF638" s="390">
        <v>45473</v>
      </c>
      <c r="AG638" s="390">
        <v>45473</v>
      </c>
      <c r="AH638" s="391" t="s">
        <v>5271</v>
      </c>
      <c r="AI638" s="391" t="s">
        <v>555</v>
      </c>
      <c r="AJ638" s="391">
        <v>11</v>
      </c>
      <c r="AK638" s="390">
        <v>45047</v>
      </c>
      <c r="AL638" s="389">
        <v>100</v>
      </c>
      <c r="AM638" s="391" t="s">
        <v>548</v>
      </c>
      <c r="AN638" s="391" t="s">
        <v>549</v>
      </c>
      <c r="AO638" s="391" t="s">
        <v>5272</v>
      </c>
    </row>
    <row r="639" spans="1:43" ht="16" thickBot="1">
      <c r="A639" s="387" t="s">
        <v>1717</v>
      </c>
      <c r="B639" s="387" t="s">
        <v>5273</v>
      </c>
      <c r="C639" s="387" t="s">
        <v>5274</v>
      </c>
      <c r="D639" s="387" t="s">
        <v>5275</v>
      </c>
      <c r="E639" s="387">
        <v>30</v>
      </c>
      <c r="F639" s="387" t="s">
        <v>559</v>
      </c>
      <c r="G639" s="387">
        <v>30</v>
      </c>
      <c r="H639" s="387" t="s">
        <v>559</v>
      </c>
      <c r="I639" s="387" t="s">
        <v>560</v>
      </c>
      <c r="J639" s="387" t="s">
        <v>5276</v>
      </c>
      <c r="K639" s="387" t="s">
        <v>5277</v>
      </c>
      <c r="L639" s="387" t="s">
        <v>5278</v>
      </c>
      <c r="M639" s="387" t="s">
        <v>5279</v>
      </c>
      <c r="N639" s="388">
        <v>23.46</v>
      </c>
      <c r="O639" s="388">
        <v>14</v>
      </c>
      <c r="P639" s="387" t="s">
        <v>611</v>
      </c>
      <c r="Q639" s="387" t="s">
        <v>3396</v>
      </c>
      <c r="R639" s="387" t="s">
        <v>5280</v>
      </c>
      <c r="S639" s="387" t="s">
        <v>614</v>
      </c>
      <c r="T639" s="387" t="s">
        <v>160</v>
      </c>
      <c r="U639" s="388">
        <v>161376</v>
      </c>
      <c r="V639" s="387">
        <v>6009690790929</v>
      </c>
      <c r="W639" s="387" t="s">
        <v>543</v>
      </c>
      <c r="X639" s="387" t="s">
        <v>543</v>
      </c>
      <c r="Y639" s="387">
        <v>16009690790926</v>
      </c>
      <c r="Z639" s="387" t="s">
        <v>543</v>
      </c>
      <c r="AA639" s="388" t="s">
        <v>543</v>
      </c>
      <c r="AB639" s="388" t="s">
        <v>543</v>
      </c>
      <c r="AC639" s="387">
        <v>714662001</v>
      </c>
      <c r="AD639" s="389">
        <v>1</v>
      </c>
      <c r="AE639" s="390">
        <v>45047</v>
      </c>
      <c r="AF639" s="390">
        <v>46142</v>
      </c>
      <c r="AG639" s="391" t="s">
        <v>545</v>
      </c>
      <c r="AH639" s="391" t="s">
        <v>5281</v>
      </c>
      <c r="AI639" s="391" t="s">
        <v>5282</v>
      </c>
      <c r="AJ639" s="391">
        <v>0</v>
      </c>
      <c r="AK639" s="390">
        <v>45047</v>
      </c>
      <c r="AL639" s="389">
        <v>100</v>
      </c>
      <c r="AM639" s="391" t="s">
        <v>548</v>
      </c>
      <c r="AN639" s="391" t="s">
        <v>549</v>
      </c>
      <c r="AO639" s="391" t="s">
        <v>5283</v>
      </c>
    </row>
    <row r="640" spans="1:43" ht="16" thickBot="1">
      <c r="A640" s="387" t="s">
        <v>1717</v>
      </c>
      <c r="B640" s="387" t="s">
        <v>5284</v>
      </c>
      <c r="C640" s="387" t="s">
        <v>5285</v>
      </c>
      <c r="D640" s="387" t="s">
        <v>5286</v>
      </c>
      <c r="E640" s="387">
        <v>30</v>
      </c>
      <c r="F640" s="387" t="s">
        <v>559</v>
      </c>
      <c r="G640" s="387">
        <v>30</v>
      </c>
      <c r="H640" s="387" t="s">
        <v>559</v>
      </c>
      <c r="I640" s="387" t="s">
        <v>560</v>
      </c>
      <c r="J640" s="387" t="s">
        <v>5276</v>
      </c>
      <c r="K640" s="387" t="s">
        <v>5287</v>
      </c>
      <c r="L640" s="387" t="s">
        <v>5278</v>
      </c>
      <c r="M640" s="387" t="s">
        <v>5279</v>
      </c>
      <c r="N640" s="388">
        <v>43.24</v>
      </c>
      <c r="O640" s="388">
        <v>14</v>
      </c>
      <c r="P640" s="387" t="s">
        <v>611</v>
      </c>
      <c r="Q640" s="387" t="s">
        <v>160</v>
      </c>
      <c r="R640" s="387" t="s">
        <v>5280</v>
      </c>
      <c r="S640" s="387" t="s">
        <v>614</v>
      </c>
      <c r="T640" s="387" t="s">
        <v>160</v>
      </c>
      <c r="U640" s="388">
        <v>84140</v>
      </c>
      <c r="V640" s="387">
        <v>6009690790936</v>
      </c>
      <c r="W640" s="387" t="s">
        <v>543</v>
      </c>
      <c r="X640" s="387" t="s">
        <v>543</v>
      </c>
      <c r="Y640" s="387">
        <v>16009690790933</v>
      </c>
      <c r="Z640" s="387" t="s">
        <v>543</v>
      </c>
      <c r="AA640" s="388" t="s">
        <v>543</v>
      </c>
      <c r="AB640" s="388" t="s">
        <v>543</v>
      </c>
      <c r="AC640" s="387">
        <v>714663001</v>
      </c>
      <c r="AD640" s="389">
        <v>1</v>
      </c>
      <c r="AE640" s="390">
        <v>45047</v>
      </c>
      <c r="AF640" s="390">
        <v>46142</v>
      </c>
      <c r="AG640" s="391" t="s">
        <v>545</v>
      </c>
      <c r="AH640" s="391" t="s">
        <v>5288</v>
      </c>
      <c r="AI640" s="391" t="s">
        <v>5282</v>
      </c>
      <c r="AJ640" s="391">
        <v>0</v>
      </c>
      <c r="AK640" s="390">
        <v>45047</v>
      </c>
      <c r="AL640" s="389">
        <v>100</v>
      </c>
      <c r="AM640" s="391" t="s">
        <v>548</v>
      </c>
      <c r="AN640" s="391" t="s">
        <v>549</v>
      </c>
      <c r="AO640" s="391" t="s">
        <v>5289</v>
      </c>
    </row>
    <row r="641" spans="1:41" ht="16" thickBot="1">
      <c r="A641" s="387" t="s">
        <v>1717</v>
      </c>
      <c r="B641" s="387" t="s">
        <v>5290</v>
      </c>
      <c r="C641" s="387" t="s">
        <v>5291</v>
      </c>
      <c r="D641" s="387" t="s">
        <v>5292</v>
      </c>
      <c r="E641" s="387">
        <v>30</v>
      </c>
      <c r="F641" s="387" t="s">
        <v>559</v>
      </c>
      <c r="G641" s="387">
        <v>30</v>
      </c>
      <c r="H641" s="387" t="s">
        <v>559</v>
      </c>
      <c r="I641" s="387" t="s">
        <v>560</v>
      </c>
      <c r="J641" s="387" t="s">
        <v>5276</v>
      </c>
      <c r="K641" s="387" t="s">
        <v>5293</v>
      </c>
      <c r="L641" s="387" t="s">
        <v>5278</v>
      </c>
      <c r="M641" s="387" t="s">
        <v>5279</v>
      </c>
      <c r="N641" s="388">
        <v>64.400000000000006</v>
      </c>
      <c r="O641" s="388">
        <v>14</v>
      </c>
      <c r="P641" s="387" t="s">
        <v>611</v>
      </c>
      <c r="Q641" s="387" t="s">
        <v>3396</v>
      </c>
      <c r="R641" s="387" t="s">
        <v>5280</v>
      </c>
      <c r="S641" s="387" t="s">
        <v>614</v>
      </c>
      <c r="T641" s="387" t="s">
        <v>160</v>
      </c>
      <c r="U641" s="388">
        <v>82267</v>
      </c>
      <c r="V641" s="387">
        <v>6009690790943</v>
      </c>
      <c r="W641" s="387" t="s">
        <v>543</v>
      </c>
      <c r="X641" s="387" t="s">
        <v>543</v>
      </c>
      <c r="Y641" s="387">
        <v>16009690790940</v>
      </c>
      <c r="Z641" s="387" t="s">
        <v>543</v>
      </c>
      <c r="AA641" s="388" t="s">
        <v>543</v>
      </c>
      <c r="AB641" s="388" t="s">
        <v>543</v>
      </c>
      <c r="AC641" s="387">
        <v>714664001</v>
      </c>
      <c r="AD641" s="389">
        <v>1</v>
      </c>
      <c r="AE641" s="390">
        <v>45047</v>
      </c>
      <c r="AF641" s="390">
        <v>46142</v>
      </c>
      <c r="AG641" s="391" t="s">
        <v>545</v>
      </c>
      <c r="AH641" s="391" t="s">
        <v>5294</v>
      </c>
      <c r="AI641" s="391" t="s">
        <v>5282</v>
      </c>
      <c r="AJ641" s="391">
        <v>0</v>
      </c>
      <c r="AK641" s="390">
        <v>45047</v>
      </c>
      <c r="AL641" s="389">
        <v>100</v>
      </c>
      <c r="AM641" s="391" t="s">
        <v>548</v>
      </c>
      <c r="AN641" s="391" t="s">
        <v>549</v>
      </c>
      <c r="AO641" s="391" t="s">
        <v>5295</v>
      </c>
    </row>
    <row r="642" spans="1:41" ht="16" thickBot="1">
      <c r="A642" s="387" t="s">
        <v>1717</v>
      </c>
      <c r="B642" s="387" t="s">
        <v>3214</v>
      </c>
      <c r="C642" s="387" t="s">
        <v>5296</v>
      </c>
      <c r="D642" s="387" t="s">
        <v>5297</v>
      </c>
      <c r="E642" s="387">
        <v>100</v>
      </c>
      <c r="F642" s="387" t="s">
        <v>559</v>
      </c>
      <c r="G642" s="387">
        <v>100</v>
      </c>
      <c r="H642" s="387" t="s">
        <v>559</v>
      </c>
      <c r="I642" s="387" t="s">
        <v>560</v>
      </c>
      <c r="J642" s="387" t="s">
        <v>5298</v>
      </c>
      <c r="K642" s="387" t="s">
        <v>5299</v>
      </c>
      <c r="L642" s="387" t="s">
        <v>1771</v>
      </c>
      <c r="M642" s="387" t="s">
        <v>1772</v>
      </c>
      <c r="N642" s="388">
        <v>90.28</v>
      </c>
      <c r="O642" s="388">
        <v>14</v>
      </c>
      <c r="P642" s="387" t="s">
        <v>538</v>
      </c>
      <c r="Q642" s="387" t="s">
        <v>539</v>
      </c>
      <c r="R642" s="387" t="s">
        <v>5300</v>
      </c>
      <c r="S642" s="387" t="s">
        <v>541</v>
      </c>
      <c r="T642" s="387" t="s">
        <v>757</v>
      </c>
      <c r="U642" s="388">
        <v>207534</v>
      </c>
      <c r="V642" s="387">
        <v>6008288004219</v>
      </c>
      <c r="W642" s="387">
        <v>6008288004219</v>
      </c>
      <c r="X642" s="387" t="s">
        <v>543</v>
      </c>
      <c r="Y642" s="387">
        <v>189011270323656</v>
      </c>
      <c r="Z642" s="387" t="s">
        <v>543</v>
      </c>
      <c r="AA642" s="388" t="s">
        <v>543</v>
      </c>
      <c r="AB642" s="388" t="s">
        <v>543</v>
      </c>
      <c r="AC642" s="387">
        <v>3000000001</v>
      </c>
      <c r="AD642" s="389">
        <v>10</v>
      </c>
      <c r="AE642" s="390">
        <v>45047</v>
      </c>
      <c r="AF642" s="390">
        <v>46142</v>
      </c>
      <c r="AG642" s="390">
        <v>46142</v>
      </c>
      <c r="AH642" s="391" t="s">
        <v>5301</v>
      </c>
      <c r="AI642" s="391" t="s">
        <v>1776</v>
      </c>
      <c r="AJ642" s="391">
        <v>0</v>
      </c>
      <c r="AK642" s="390">
        <v>45047</v>
      </c>
      <c r="AL642" s="389">
        <v>100</v>
      </c>
      <c r="AM642" s="391" t="s">
        <v>548</v>
      </c>
      <c r="AN642" s="391" t="s">
        <v>549</v>
      </c>
      <c r="AO642" s="391" t="s">
        <v>5302</v>
      </c>
    </row>
    <row r="643" spans="1:41" ht="16" thickBot="1">
      <c r="A643" s="387" t="s">
        <v>1717</v>
      </c>
      <c r="B643" s="387" t="s">
        <v>2641</v>
      </c>
      <c r="C643" s="387" t="s">
        <v>5303</v>
      </c>
      <c r="D643" s="387" t="s">
        <v>5304</v>
      </c>
      <c r="E643" s="387">
        <v>100</v>
      </c>
      <c r="F643" s="387" t="s">
        <v>559</v>
      </c>
      <c r="G643" s="387">
        <v>100</v>
      </c>
      <c r="H643" s="387" t="s">
        <v>559</v>
      </c>
      <c r="I643" s="387" t="s">
        <v>560</v>
      </c>
      <c r="J643" s="387" t="s">
        <v>5298</v>
      </c>
      <c r="K643" s="387" t="s">
        <v>5305</v>
      </c>
      <c r="L643" s="387" t="s">
        <v>1771</v>
      </c>
      <c r="M643" s="387" t="s">
        <v>1772</v>
      </c>
      <c r="N643" s="388">
        <v>135.13</v>
      </c>
      <c r="O643" s="388">
        <v>14</v>
      </c>
      <c r="P643" s="387" t="s">
        <v>538</v>
      </c>
      <c r="Q643" s="387" t="s">
        <v>539</v>
      </c>
      <c r="R643" s="387" t="s">
        <v>5300</v>
      </c>
      <c r="S643" s="387" t="s">
        <v>541</v>
      </c>
      <c r="T643" s="387" t="s">
        <v>757</v>
      </c>
      <c r="U643" s="388">
        <v>51953</v>
      </c>
      <c r="V643" s="387">
        <v>6008288004226</v>
      </c>
      <c r="W643" s="387">
        <v>6008288004226</v>
      </c>
      <c r="X643" s="387" t="s">
        <v>543</v>
      </c>
      <c r="Y643" s="387">
        <v>18901127032372</v>
      </c>
      <c r="Z643" s="387" t="s">
        <v>543</v>
      </c>
      <c r="AA643" s="388" t="s">
        <v>543</v>
      </c>
      <c r="AB643" s="388" t="s">
        <v>543</v>
      </c>
      <c r="AC643" s="387">
        <v>3000001001</v>
      </c>
      <c r="AD643" s="389">
        <v>10</v>
      </c>
      <c r="AE643" s="390">
        <v>45047</v>
      </c>
      <c r="AF643" s="390">
        <v>46142</v>
      </c>
      <c r="AG643" s="391" t="s">
        <v>545</v>
      </c>
      <c r="AH643" s="391" t="s">
        <v>5306</v>
      </c>
      <c r="AI643" s="391" t="s">
        <v>1776</v>
      </c>
      <c r="AJ643" s="391">
        <v>0</v>
      </c>
      <c r="AK643" s="390">
        <v>45047</v>
      </c>
      <c r="AL643" s="389">
        <v>100</v>
      </c>
      <c r="AM643" s="391" t="s">
        <v>548</v>
      </c>
      <c r="AN643" s="391" t="s">
        <v>549</v>
      </c>
      <c r="AO643" s="391" t="s">
        <v>5307</v>
      </c>
    </row>
    <row r="644" spans="1:41" ht="16" thickBot="1">
      <c r="A644" s="387" t="s">
        <v>1703</v>
      </c>
      <c r="B644" s="387" t="s">
        <v>965</v>
      </c>
      <c r="C644" s="387" t="s">
        <v>5308</v>
      </c>
      <c r="D644" s="387" t="s">
        <v>5309</v>
      </c>
      <c r="E644" s="387">
        <v>28</v>
      </c>
      <c r="F644" s="387" t="s">
        <v>559</v>
      </c>
      <c r="G644" s="387">
        <v>28</v>
      </c>
      <c r="H644" s="387" t="s">
        <v>559</v>
      </c>
      <c r="I644" s="387" t="s">
        <v>560</v>
      </c>
      <c r="J644" s="387" t="s">
        <v>5310</v>
      </c>
      <c r="K644" s="387" t="s">
        <v>5311</v>
      </c>
      <c r="L644" s="387" t="s">
        <v>1886</v>
      </c>
      <c r="M644" s="387" t="s">
        <v>1887</v>
      </c>
      <c r="N644" s="388">
        <v>58.25</v>
      </c>
      <c r="O644" s="388">
        <v>14</v>
      </c>
      <c r="P644" s="387" t="s">
        <v>538</v>
      </c>
      <c r="Q644" s="387" t="s">
        <v>539</v>
      </c>
      <c r="R644" s="387" t="s">
        <v>5312</v>
      </c>
      <c r="S644" s="387" t="s">
        <v>171</v>
      </c>
      <c r="T644" s="387" t="s">
        <v>757</v>
      </c>
      <c r="U644" s="388">
        <v>311730</v>
      </c>
      <c r="V644" s="387">
        <v>6009691113338</v>
      </c>
      <c r="W644" s="387" t="s">
        <v>543</v>
      </c>
      <c r="X644" s="387" t="s">
        <v>543</v>
      </c>
      <c r="Y644" s="387">
        <v>16009691113335</v>
      </c>
      <c r="Z644" s="387">
        <v>6009691113338</v>
      </c>
      <c r="AA644" s="388" t="s">
        <v>543</v>
      </c>
      <c r="AB644" s="388" t="s">
        <v>543</v>
      </c>
      <c r="AC644" s="387" t="s">
        <v>543</v>
      </c>
      <c r="AD644" s="389">
        <v>600</v>
      </c>
      <c r="AE644" s="390">
        <v>44470</v>
      </c>
      <c r="AF644" s="390">
        <v>45199</v>
      </c>
      <c r="AG644" s="390">
        <v>45199</v>
      </c>
      <c r="AH644" s="391" t="s">
        <v>5313</v>
      </c>
      <c r="AI644" s="391" t="s">
        <v>1889</v>
      </c>
      <c r="AJ644" s="391">
        <v>2</v>
      </c>
      <c r="AK644" s="390">
        <v>45047</v>
      </c>
      <c r="AL644" s="389">
        <v>100</v>
      </c>
      <c r="AM644" s="391" t="s">
        <v>548</v>
      </c>
      <c r="AN644" s="391" t="s">
        <v>549</v>
      </c>
      <c r="AO644" s="391" t="s">
        <v>5314</v>
      </c>
    </row>
    <row r="645" spans="1:41" ht="16" thickBot="1">
      <c r="A645" s="387" t="s">
        <v>1703</v>
      </c>
      <c r="B645" s="387" t="s">
        <v>537</v>
      </c>
      <c r="C645" s="387" t="s">
        <v>5315</v>
      </c>
      <c r="D645" s="387" t="s">
        <v>5316</v>
      </c>
      <c r="E645" s="387">
        <v>28</v>
      </c>
      <c r="F645" s="387" t="s">
        <v>559</v>
      </c>
      <c r="G645" s="387">
        <v>28</v>
      </c>
      <c r="H645" s="387" t="s">
        <v>559</v>
      </c>
      <c r="I645" s="387" t="s">
        <v>560</v>
      </c>
      <c r="J645" s="387" t="s">
        <v>5310</v>
      </c>
      <c r="K645" s="387" t="s">
        <v>5317</v>
      </c>
      <c r="L645" s="387" t="s">
        <v>1886</v>
      </c>
      <c r="M645" s="387" t="s">
        <v>1887</v>
      </c>
      <c r="N645" s="388">
        <v>83.28</v>
      </c>
      <c r="O645" s="388">
        <v>14</v>
      </c>
      <c r="P645" s="387" t="s">
        <v>538</v>
      </c>
      <c r="Q645" s="387" t="s">
        <v>539</v>
      </c>
      <c r="R645" s="387" t="s">
        <v>5312</v>
      </c>
      <c r="S645" s="387" t="s">
        <v>171</v>
      </c>
      <c r="T645" s="387" t="s">
        <v>757</v>
      </c>
      <c r="U645" s="388">
        <v>179019</v>
      </c>
      <c r="V645" s="387">
        <v>6009691114021</v>
      </c>
      <c r="W645" s="387">
        <v>16009691114028</v>
      </c>
      <c r="X645" s="387" t="s">
        <v>543</v>
      </c>
      <c r="Y645" s="387">
        <v>26009691114025</v>
      </c>
      <c r="Z645" s="387" t="s">
        <v>543</v>
      </c>
      <c r="AA645" s="388" t="s">
        <v>543</v>
      </c>
      <c r="AB645" s="388" t="s">
        <v>543</v>
      </c>
      <c r="AC645" s="387">
        <v>717067003</v>
      </c>
      <c r="AD645" s="389">
        <v>400</v>
      </c>
      <c r="AE645" s="390">
        <v>44470</v>
      </c>
      <c r="AF645" s="390">
        <v>45199</v>
      </c>
      <c r="AG645" s="390">
        <v>45199</v>
      </c>
      <c r="AH645" s="391" t="s">
        <v>5318</v>
      </c>
      <c r="AI645" s="391" t="s">
        <v>1889</v>
      </c>
      <c r="AJ645" s="391">
        <v>2</v>
      </c>
      <c r="AK645" s="390">
        <v>45047</v>
      </c>
      <c r="AL645" s="389">
        <v>100</v>
      </c>
      <c r="AM645" s="391" t="s">
        <v>548</v>
      </c>
      <c r="AN645" s="391" t="s">
        <v>549</v>
      </c>
      <c r="AO645" s="391" t="s">
        <v>5319</v>
      </c>
    </row>
    <row r="646" spans="1:41" ht="16" thickBot="1">
      <c r="A646" s="387" t="s">
        <v>3235</v>
      </c>
      <c r="B646" s="387" t="s">
        <v>994</v>
      </c>
      <c r="C646" s="387" t="s">
        <v>5320</v>
      </c>
      <c r="D646" s="387" t="s">
        <v>5321</v>
      </c>
      <c r="E646" s="387">
        <v>28</v>
      </c>
      <c r="F646" s="387" t="s">
        <v>559</v>
      </c>
      <c r="G646" s="387">
        <v>28</v>
      </c>
      <c r="H646" s="387" t="s">
        <v>559</v>
      </c>
      <c r="I646" s="387" t="s">
        <v>560</v>
      </c>
      <c r="J646" s="387" t="s">
        <v>5322</v>
      </c>
      <c r="K646" s="387" t="s">
        <v>5323</v>
      </c>
      <c r="L646" s="387" t="s">
        <v>535</v>
      </c>
      <c r="M646" s="387" t="s">
        <v>536</v>
      </c>
      <c r="N646" s="388">
        <v>6.59</v>
      </c>
      <c r="O646" s="388">
        <v>14</v>
      </c>
      <c r="P646" s="387" t="s">
        <v>538</v>
      </c>
      <c r="Q646" s="387" t="s">
        <v>539</v>
      </c>
      <c r="R646" s="387" t="s">
        <v>5324</v>
      </c>
      <c r="S646" s="387" t="s">
        <v>541</v>
      </c>
      <c r="T646" s="387" t="s">
        <v>542</v>
      </c>
      <c r="U646" s="388">
        <v>15802774</v>
      </c>
      <c r="V646" s="387">
        <v>6001192479104</v>
      </c>
      <c r="W646" s="387" t="s">
        <v>543</v>
      </c>
      <c r="X646" s="387" t="s">
        <v>543</v>
      </c>
      <c r="Y646" s="387">
        <v>16001192479101</v>
      </c>
      <c r="Z646" s="387" t="s">
        <v>543</v>
      </c>
      <c r="AA646" s="388" t="s">
        <v>543</v>
      </c>
      <c r="AB646" s="388" t="s">
        <v>543</v>
      </c>
      <c r="AC646" s="387">
        <v>825832004</v>
      </c>
      <c r="AD646" s="389">
        <v>100</v>
      </c>
      <c r="AE646" s="390">
        <v>44105</v>
      </c>
      <c r="AF646" s="390">
        <v>45199</v>
      </c>
      <c r="AG646" s="390">
        <v>45199</v>
      </c>
      <c r="AH646" s="391" t="s">
        <v>5325</v>
      </c>
      <c r="AI646" s="391" t="s">
        <v>547</v>
      </c>
      <c r="AJ646" s="391">
        <v>15</v>
      </c>
      <c r="AK646" s="390">
        <v>45047</v>
      </c>
      <c r="AL646" s="389">
        <v>100</v>
      </c>
      <c r="AM646" s="391" t="s">
        <v>548</v>
      </c>
      <c r="AN646" s="391" t="s">
        <v>545</v>
      </c>
      <c r="AO646" s="391" t="s">
        <v>5326</v>
      </c>
    </row>
    <row r="647" spans="1:41" ht="16" thickBot="1">
      <c r="A647" s="387" t="s">
        <v>3235</v>
      </c>
      <c r="B647" s="387" t="s">
        <v>985</v>
      </c>
      <c r="C647" s="387" t="s">
        <v>5327</v>
      </c>
      <c r="D647" s="387" t="s">
        <v>5328</v>
      </c>
      <c r="E647" s="387">
        <v>28</v>
      </c>
      <c r="F647" s="387" t="s">
        <v>559</v>
      </c>
      <c r="G647" s="387">
        <v>28</v>
      </c>
      <c r="H647" s="387" t="s">
        <v>559</v>
      </c>
      <c r="I647" s="387" t="s">
        <v>560</v>
      </c>
      <c r="J647" s="387" t="s">
        <v>5329</v>
      </c>
      <c r="K647" s="387" t="s">
        <v>5330</v>
      </c>
      <c r="L647" s="387" t="s">
        <v>535</v>
      </c>
      <c r="M647" s="387" t="s">
        <v>536</v>
      </c>
      <c r="N647" s="388">
        <v>6.54</v>
      </c>
      <c r="O647" s="388">
        <v>14</v>
      </c>
      <c r="P647" s="387" t="s">
        <v>538</v>
      </c>
      <c r="Q647" s="387" t="s">
        <v>539</v>
      </c>
      <c r="R647" s="387" t="s">
        <v>5331</v>
      </c>
      <c r="S647" s="387" t="s">
        <v>541</v>
      </c>
      <c r="T647" s="387" t="s">
        <v>542</v>
      </c>
      <c r="U647" s="388">
        <v>8835076</v>
      </c>
      <c r="V647" s="387">
        <v>6001192445100</v>
      </c>
      <c r="W647" s="387" t="s">
        <v>543</v>
      </c>
      <c r="X647" s="387" t="s">
        <v>543</v>
      </c>
      <c r="Y647" s="387">
        <v>1600129477107</v>
      </c>
      <c r="Z647" s="387" t="s">
        <v>543</v>
      </c>
      <c r="AA647" s="388" t="s">
        <v>543</v>
      </c>
      <c r="AB647" s="388" t="s">
        <v>543</v>
      </c>
      <c r="AC647" s="387">
        <v>826030009</v>
      </c>
      <c r="AD647" s="389">
        <v>100</v>
      </c>
      <c r="AE647" s="390">
        <v>44105</v>
      </c>
      <c r="AF647" s="390">
        <v>45199</v>
      </c>
      <c r="AG647" s="390">
        <v>45199</v>
      </c>
      <c r="AH647" s="391" t="s">
        <v>5332</v>
      </c>
      <c r="AI647" s="391" t="s">
        <v>547</v>
      </c>
      <c r="AJ647" s="391">
        <v>15</v>
      </c>
      <c r="AK647" s="390">
        <v>45047</v>
      </c>
      <c r="AL647" s="389">
        <v>100</v>
      </c>
      <c r="AM647" s="391" t="s">
        <v>548</v>
      </c>
      <c r="AN647" s="391" t="s">
        <v>545</v>
      </c>
      <c r="AO647" s="391" t="s">
        <v>5333</v>
      </c>
    </row>
    <row r="648" spans="1:41" ht="16" thickBot="1">
      <c r="A648" s="387" t="s">
        <v>3235</v>
      </c>
      <c r="B648" s="387" t="s">
        <v>993</v>
      </c>
      <c r="C648" s="387" t="s">
        <v>5334</v>
      </c>
      <c r="D648" s="387" t="s">
        <v>5335</v>
      </c>
      <c r="E648" s="387">
        <v>28</v>
      </c>
      <c r="F648" s="387" t="s">
        <v>559</v>
      </c>
      <c r="G648" s="387">
        <v>28</v>
      </c>
      <c r="H648" s="387" t="s">
        <v>559</v>
      </c>
      <c r="I648" s="387" t="s">
        <v>560</v>
      </c>
      <c r="J648" s="387" t="s">
        <v>5336</v>
      </c>
      <c r="K648" s="387" t="s">
        <v>5337</v>
      </c>
      <c r="L648" s="387" t="s">
        <v>535</v>
      </c>
      <c r="M648" s="387" t="s">
        <v>536</v>
      </c>
      <c r="N648" s="388">
        <v>6.15</v>
      </c>
      <c r="O648" s="388">
        <v>14</v>
      </c>
      <c r="P648" s="387" t="s">
        <v>538</v>
      </c>
      <c r="Q648" s="387" t="s">
        <v>539</v>
      </c>
      <c r="R648" s="387" t="s">
        <v>5338</v>
      </c>
      <c r="S648" s="387" t="s">
        <v>541</v>
      </c>
      <c r="T648" s="387" t="s">
        <v>542</v>
      </c>
      <c r="U648" s="388">
        <v>2609912</v>
      </c>
      <c r="V648" s="387">
        <v>6001192440106</v>
      </c>
      <c r="W648" s="387" t="s">
        <v>543</v>
      </c>
      <c r="X648" s="387" t="s">
        <v>543</v>
      </c>
      <c r="Y648" s="387">
        <v>1601192475103</v>
      </c>
      <c r="Z648" s="387" t="s">
        <v>543</v>
      </c>
      <c r="AA648" s="388" t="s">
        <v>543</v>
      </c>
      <c r="AB648" s="388" t="s">
        <v>543</v>
      </c>
      <c r="AC648" s="387">
        <v>826006019</v>
      </c>
      <c r="AD648" s="389">
        <v>100</v>
      </c>
      <c r="AE648" s="390">
        <v>44105</v>
      </c>
      <c r="AF648" s="390">
        <v>45199</v>
      </c>
      <c r="AG648" s="390">
        <v>45199</v>
      </c>
      <c r="AH648" s="391" t="s">
        <v>5339</v>
      </c>
      <c r="AI648" s="391" t="s">
        <v>547</v>
      </c>
      <c r="AJ648" s="391">
        <v>15</v>
      </c>
      <c r="AK648" s="390">
        <v>45047</v>
      </c>
      <c r="AL648" s="389">
        <v>100</v>
      </c>
      <c r="AM648" s="391" t="s">
        <v>548</v>
      </c>
      <c r="AN648" s="391" t="s">
        <v>545</v>
      </c>
      <c r="AO648" s="391" t="s">
        <v>5340</v>
      </c>
    </row>
    <row r="649" spans="1:41" ht="16" thickBot="1">
      <c r="A649" s="387" t="s">
        <v>3235</v>
      </c>
      <c r="B649" s="387" t="s">
        <v>603</v>
      </c>
      <c r="C649" s="387" t="s">
        <v>5341</v>
      </c>
      <c r="D649" s="387" t="s">
        <v>5342</v>
      </c>
      <c r="E649" s="387">
        <v>1</v>
      </c>
      <c r="F649" s="387" t="s">
        <v>559</v>
      </c>
      <c r="G649" s="387">
        <v>1</v>
      </c>
      <c r="H649" s="387" t="s">
        <v>559</v>
      </c>
      <c r="I649" s="387" t="s">
        <v>560</v>
      </c>
      <c r="J649" s="387" t="s">
        <v>5336</v>
      </c>
      <c r="K649" s="387" t="s">
        <v>5343</v>
      </c>
      <c r="L649" s="387" t="s">
        <v>2326</v>
      </c>
      <c r="M649" s="387" t="s">
        <v>2327</v>
      </c>
      <c r="N649" s="388">
        <v>19.95</v>
      </c>
      <c r="O649" s="388">
        <v>14</v>
      </c>
      <c r="P649" s="387" t="s">
        <v>538</v>
      </c>
      <c r="Q649" s="387" t="s">
        <v>539</v>
      </c>
      <c r="R649" s="387" t="s">
        <v>5338</v>
      </c>
      <c r="S649" s="387" t="s">
        <v>541</v>
      </c>
      <c r="T649" s="387" t="s">
        <v>542</v>
      </c>
      <c r="U649" s="388">
        <v>237140</v>
      </c>
      <c r="V649" s="387">
        <v>6009609621405</v>
      </c>
      <c r="W649" s="387" t="s">
        <v>543</v>
      </c>
      <c r="X649" s="387" t="s">
        <v>543</v>
      </c>
      <c r="Y649" s="387" t="s">
        <v>543</v>
      </c>
      <c r="Z649" s="387" t="s">
        <v>543</v>
      </c>
      <c r="AA649" s="388" t="s">
        <v>543</v>
      </c>
      <c r="AB649" s="388" t="s">
        <v>543</v>
      </c>
      <c r="AC649" s="387">
        <v>710109001</v>
      </c>
      <c r="AD649" s="389">
        <v>1</v>
      </c>
      <c r="AE649" s="390">
        <v>44105</v>
      </c>
      <c r="AF649" s="390">
        <v>45199</v>
      </c>
      <c r="AG649" s="390">
        <v>45199</v>
      </c>
      <c r="AH649" s="391" t="s">
        <v>5344</v>
      </c>
      <c r="AI649" s="391" t="s">
        <v>2330</v>
      </c>
      <c r="AJ649" s="391">
        <v>0</v>
      </c>
      <c r="AK649" s="390">
        <v>44105</v>
      </c>
      <c r="AL649" s="389">
        <v>100</v>
      </c>
      <c r="AM649" s="391" t="s">
        <v>548</v>
      </c>
      <c r="AN649" s="391" t="s">
        <v>545</v>
      </c>
      <c r="AO649" s="391" t="s">
        <v>5345</v>
      </c>
    </row>
    <row r="650" spans="1:41" ht="16" thickBot="1">
      <c r="A650" s="387" t="s">
        <v>1748</v>
      </c>
      <c r="B650" s="387" t="s">
        <v>3188</v>
      </c>
      <c r="C650" s="387" t="s">
        <v>5346</v>
      </c>
      <c r="D650" s="387" t="s">
        <v>5347</v>
      </c>
      <c r="E650" s="387">
        <v>1.8</v>
      </c>
      <c r="F650" s="387" t="s">
        <v>531</v>
      </c>
      <c r="G650" s="387">
        <v>1.8</v>
      </c>
      <c r="H650" s="387" t="s">
        <v>531</v>
      </c>
      <c r="I650" s="387" t="s">
        <v>5348</v>
      </c>
      <c r="J650" s="387" t="s">
        <v>5349</v>
      </c>
      <c r="K650" s="387" t="s">
        <v>5350</v>
      </c>
      <c r="L650" s="387" t="s">
        <v>654</v>
      </c>
      <c r="M650" s="387" t="s">
        <v>655</v>
      </c>
      <c r="N650" s="388">
        <v>6.79</v>
      </c>
      <c r="O650" s="388">
        <v>14</v>
      </c>
      <c r="P650" s="387" t="s">
        <v>538</v>
      </c>
      <c r="Q650" s="387" t="s">
        <v>539</v>
      </c>
      <c r="R650" s="387" t="s">
        <v>5351</v>
      </c>
      <c r="S650" s="387" t="s">
        <v>541</v>
      </c>
      <c r="T650" s="387" t="s">
        <v>542</v>
      </c>
      <c r="U650" s="388">
        <v>18119370</v>
      </c>
      <c r="V650" s="387">
        <v>6004405001413</v>
      </c>
      <c r="W650" s="387">
        <v>6004405001413</v>
      </c>
      <c r="X650" s="387" t="s">
        <v>543</v>
      </c>
      <c r="Y650" s="387">
        <v>16004405008433</v>
      </c>
      <c r="Z650" s="387" t="s">
        <v>543</v>
      </c>
      <c r="AA650" s="388" t="s">
        <v>543</v>
      </c>
      <c r="AB650" s="388" t="s">
        <v>543</v>
      </c>
      <c r="AC650" s="387">
        <v>778834018</v>
      </c>
      <c r="AD650" s="389" t="s">
        <v>5352</v>
      </c>
      <c r="AE650" s="390">
        <v>44317</v>
      </c>
      <c r="AF650" s="390">
        <v>45412</v>
      </c>
      <c r="AG650" s="391" t="s">
        <v>545</v>
      </c>
      <c r="AH650" s="391" t="s">
        <v>5353</v>
      </c>
      <c r="AI650" s="391" t="s">
        <v>658</v>
      </c>
      <c r="AJ650" s="391">
        <v>0</v>
      </c>
      <c r="AK650" s="390">
        <v>44317</v>
      </c>
      <c r="AL650" s="389">
        <v>100</v>
      </c>
      <c r="AM650" s="391" t="s">
        <v>548</v>
      </c>
      <c r="AN650" s="391" t="s">
        <v>549</v>
      </c>
      <c r="AO650" s="391" t="s">
        <v>5354</v>
      </c>
    </row>
    <row r="651" spans="1:41" ht="16" thickBot="1">
      <c r="A651" s="387" t="s">
        <v>1748</v>
      </c>
      <c r="B651" s="387" t="s">
        <v>4166</v>
      </c>
      <c r="C651" s="387" t="s">
        <v>5355</v>
      </c>
      <c r="D651" s="387" t="s">
        <v>5356</v>
      </c>
      <c r="E651" s="387">
        <v>20</v>
      </c>
      <c r="F651" s="387" t="s">
        <v>531</v>
      </c>
      <c r="G651" s="387">
        <v>20</v>
      </c>
      <c r="H651" s="387" t="s">
        <v>531</v>
      </c>
      <c r="I651" s="387" t="s">
        <v>1751</v>
      </c>
      <c r="J651" s="387" t="s">
        <v>5357</v>
      </c>
      <c r="K651" s="387" t="s">
        <v>5358</v>
      </c>
      <c r="L651" s="387" t="s">
        <v>3043</v>
      </c>
      <c r="M651" s="387" t="s">
        <v>3044</v>
      </c>
      <c r="N651" s="388">
        <v>8.3800000000000008</v>
      </c>
      <c r="O651" s="388">
        <v>14</v>
      </c>
      <c r="P651" s="387" t="s">
        <v>538</v>
      </c>
      <c r="Q651" s="387" t="s">
        <v>539</v>
      </c>
      <c r="R651" s="387" t="s">
        <v>5359</v>
      </c>
      <c r="S651" s="387" t="s">
        <v>541</v>
      </c>
      <c r="T651" s="387" t="s">
        <v>542</v>
      </c>
      <c r="U651" s="388">
        <v>1821100</v>
      </c>
      <c r="V651" s="387">
        <v>4030539073257</v>
      </c>
      <c r="W651" s="387">
        <v>4030539073318</v>
      </c>
      <c r="X651" s="387" t="s">
        <v>543</v>
      </c>
      <c r="Y651" s="387">
        <v>4046964929335</v>
      </c>
      <c r="Z651" s="387" t="s">
        <v>543</v>
      </c>
      <c r="AA651" s="388" t="s">
        <v>543</v>
      </c>
      <c r="AB651" s="388" t="s">
        <v>543</v>
      </c>
      <c r="AC651" s="387">
        <v>709414</v>
      </c>
      <c r="AD651" s="389">
        <v>20</v>
      </c>
      <c r="AE651" s="390">
        <v>44317</v>
      </c>
      <c r="AF651" s="390">
        <v>45412</v>
      </c>
      <c r="AG651" s="391" t="s">
        <v>545</v>
      </c>
      <c r="AH651" s="391" t="s">
        <v>5360</v>
      </c>
      <c r="AI651" s="391" t="s">
        <v>3047</v>
      </c>
      <c r="AJ651" s="391">
        <v>0</v>
      </c>
      <c r="AK651" s="390">
        <v>44317</v>
      </c>
      <c r="AL651" s="389">
        <v>100</v>
      </c>
      <c r="AM651" s="391" t="s">
        <v>548</v>
      </c>
      <c r="AN651" s="391" t="s">
        <v>549</v>
      </c>
      <c r="AO651" s="391" t="s">
        <v>5361</v>
      </c>
    </row>
    <row r="652" spans="1:41" ht="16" thickBot="1">
      <c r="A652" s="387" t="s">
        <v>1748</v>
      </c>
      <c r="B652" s="387" t="s">
        <v>4171</v>
      </c>
      <c r="C652" s="387" t="s">
        <v>5362</v>
      </c>
      <c r="D652" s="387" t="s">
        <v>5363</v>
      </c>
      <c r="E652" s="387">
        <v>5</v>
      </c>
      <c r="F652" s="387" t="s">
        <v>531</v>
      </c>
      <c r="G652" s="387">
        <v>5</v>
      </c>
      <c r="H652" s="387" t="s">
        <v>531</v>
      </c>
      <c r="I652" s="387" t="s">
        <v>1751</v>
      </c>
      <c r="J652" s="387" t="s">
        <v>5357</v>
      </c>
      <c r="K652" s="387" t="s">
        <v>5364</v>
      </c>
      <c r="L652" s="387" t="s">
        <v>1955</v>
      </c>
      <c r="M652" s="387" t="s">
        <v>1956</v>
      </c>
      <c r="N652" s="388">
        <v>12.07</v>
      </c>
      <c r="O652" s="388">
        <v>14</v>
      </c>
      <c r="P652" s="387" t="s">
        <v>538</v>
      </c>
      <c r="Q652" s="387" t="s">
        <v>539</v>
      </c>
      <c r="R652" s="387" t="s">
        <v>5359</v>
      </c>
      <c r="S652" s="387" t="s">
        <v>541</v>
      </c>
      <c r="T652" s="387" t="s">
        <v>757</v>
      </c>
      <c r="U652" s="388">
        <v>39220</v>
      </c>
      <c r="V652" s="387">
        <v>6006267001730</v>
      </c>
      <c r="W652" s="387">
        <v>6006267001730</v>
      </c>
      <c r="X652" s="387" t="s">
        <v>543</v>
      </c>
      <c r="Y652" s="387">
        <v>16006267001737</v>
      </c>
      <c r="Z652" s="387" t="s">
        <v>543</v>
      </c>
      <c r="AA652" s="388" t="s">
        <v>543</v>
      </c>
      <c r="AB652" s="388" t="s">
        <v>543</v>
      </c>
      <c r="AC652" s="387">
        <v>702061001</v>
      </c>
      <c r="AD652" s="389" t="s">
        <v>2308</v>
      </c>
      <c r="AE652" s="390">
        <v>44317</v>
      </c>
      <c r="AF652" s="390">
        <v>45412</v>
      </c>
      <c r="AG652" s="391" t="s">
        <v>545</v>
      </c>
      <c r="AH652" s="391" t="s">
        <v>5365</v>
      </c>
      <c r="AI652" s="391" t="s">
        <v>1959</v>
      </c>
      <c r="AJ652" s="391">
        <v>0</v>
      </c>
      <c r="AK652" s="390">
        <v>44317</v>
      </c>
      <c r="AL652" s="389">
        <v>100</v>
      </c>
      <c r="AM652" s="391" t="s">
        <v>548</v>
      </c>
      <c r="AN652" s="391" t="s">
        <v>549</v>
      </c>
      <c r="AO652" s="391" t="s">
        <v>5366</v>
      </c>
    </row>
    <row r="653" spans="1:41" ht="16" thickBot="1">
      <c r="A653" s="387" t="s">
        <v>1748</v>
      </c>
      <c r="B653" s="387" t="s">
        <v>3277</v>
      </c>
      <c r="C653" s="387" t="s">
        <v>5367</v>
      </c>
      <c r="D653" s="387" t="s">
        <v>5368</v>
      </c>
      <c r="E653" s="387">
        <v>1.8</v>
      </c>
      <c r="F653" s="387" t="s">
        <v>531</v>
      </c>
      <c r="G653" s="387">
        <v>1.8</v>
      </c>
      <c r="H653" s="387" t="s">
        <v>531</v>
      </c>
      <c r="I653" s="387" t="s">
        <v>5348</v>
      </c>
      <c r="J653" s="387" t="s">
        <v>5357</v>
      </c>
      <c r="K653" s="387" t="s">
        <v>5369</v>
      </c>
      <c r="L653" s="387" t="s">
        <v>654</v>
      </c>
      <c r="M653" s="387" t="s">
        <v>655</v>
      </c>
      <c r="N653" s="388">
        <v>6.79</v>
      </c>
      <c r="O653" s="388">
        <v>14</v>
      </c>
      <c r="P653" s="387" t="s">
        <v>538</v>
      </c>
      <c r="Q653" s="387" t="s">
        <v>539</v>
      </c>
      <c r="R653" s="387" t="s">
        <v>5370</v>
      </c>
      <c r="S653" s="387" t="s">
        <v>541</v>
      </c>
      <c r="T653" s="387" t="s">
        <v>542</v>
      </c>
      <c r="U653" s="388">
        <v>2814860</v>
      </c>
      <c r="V653" s="387">
        <v>6004405001420</v>
      </c>
      <c r="W653" s="387">
        <v>6004405001420</v>
      </c>
      <c r="X653" s="387" t="s">
        <v>543</v>
      </c>
      <c r="Y653" s="387">
        <v>16004405008679</v>
      </c>
      <c r="Z653" s="387" t="s">
        <v>543</v>
      </c>
      <c r="AA653" s="388" t="s">
        <v>543</v>
      </c>
      <c r="AB653" s="388" t="s">
        <v>543</v>
      </c>
      <c r="AC653" s="387">
        <v>778826007</v>
      </c>
      <c r="AD653" s="389" t="s">
        <v>5352</v>
      </c>
      <c r="AE653" s="390">
        <v>44317</v>
      </c>
      <c r="AF653" s="390">
        <v>45412</v>
      </c>
      <c r="AG653" s="391" t="s">
        <v>545</v>
      </c>
      <c r="AH653" s="391" t="s">
        <v>5371</v>
      </c>
      <c r="AI653" s="391" t="s">
        <v>658</v>
      </c>
      <c r="AJ653" s="391">
        <v>0</v>
      </c>
      <c r="AK653" s="390">
        <v>44317</v>
      </c>
      <c r="AL653" s="389">
        <v>100</v>
      </c>
      <c r="AM653" s="391" t="s">
        <v>548</v>
      </c>
      <c r="AN653" s="391" t="s">
        <v>549</v>
      </c>
      <c r="AO653" s="391" t="s">
        <v>5372</v>
      </c>
    </row>
    <row r="654" spans="1:41" ht="16" thickBot="1">
      <c r="A654" s="387" t="s">
        <v>1748</v>
      </c>
      <c r="B654" s="387" t="s">
        <v>3180</v>
      </c>
      <c r="C654" s="387" t="s">
        <v>5373</v>
      </c>
      <c r="D654" s="387" t="s">
        <v>5374</v>
      </c>
      <c r="E654" s="387">
        <v>20</v>
      </c>
      <c r="F654" s="387" t="s">
        <v>531</v>
      </c>
      <c r="G654" s="387">
        <v>20</v>
      </c>
      <c r="H654" s="387" t="s">
        <v>531</v>
      </c>
      <c r="I654" s="387" t="s">
        <v>1751</v>
      </c>
      <c r="J654" s="387" t="s">
        <v>5357</v>
      </c>
      <c r="K654" s="387" t="s">
        <v>5375</v>
      </c>
      <c r="L654" s="387" t="s">
        <v>3043</v>
      </c>
      <c r="M654" s="387" t="s">
        <v>3044</v>
      </c>
      <c r="N654" s="388">
        <v>8.67</v>
      </c>
      <c r="O654" s="388">
        <v>14</v>
      </c>
      <c r="P654" s="387" t="s">
        <v>538</v>
      </c>
      <c r="Q654" s="387" t="s">
        <v>539</v>
      </c>
      <c r="R654" s="387" t="s">
        <v>5370</v>
      </c>
      <c r="S654" s="387" t="s">
        <v>541</v>
      </c>
      <c r="T654" s="387" t="s">
        <v>542</v>
      </c>
      <c r="U654" s="388">
        <v>1191930</v>
      </c>
      <c r="V654" s="387" t="s">
        <v>543</v>
      </c>
      <c r="W654" s="387" t="s">
        <v>543</v>
      </c>
      <c r="X654" s="387" t="s">
        <v>543</v>
      </c>
      <c r="Y654" s="387" t="s">
        <v>543</v>
      </c>
      <c r="Z654" s="387" t="s">
        <v>543</v>
      </c>
      <c r="AA654" s="388" t="s">
        <v>543</v>
      </c>
      <c r="AB654" s="388" t="s">
        <v>543</v>
      </c>
      <c r="AC654" s="387" t="s">
        <v>543</v>
      </c>
      <c r="AD654" s="389">
        <v>20</v>
      </c>
      <c r="AE654" s="390">
        <v>44317</v>
      </c>
      <c r="AF654" s="390">
        <v>45412</v>
      </c>
      <c r="AG654" s="391" t="s">
        <v>545</v>
      </c>
      <c r="AH654" s="391" t="s">
        <v>5376</v>
      </c>
      <c r="AI654" s="391" t="s">
        <v>3047</v>
      </c>
      <c r="AJ654" s="391">
        <v>0</v>
      </c>
      <c r="AK654" s="390">
        <v>44317</v>
      </c>
      <c r="AL654" s="389">
        <v>100</v>
      </c>
      <c r="AM654" s="391" t="s">
        <v>548</v>
      </c>
      <c r="AN654" s="391" t="s">
        <v>549</v>
      </c>
      <c r="AO654" s="391" t="s">
        <v>5377</v>
      </c>
    </row>
    <row r="655" spans="1:41" ht="16" thickBot="1">
      <c r="A655" s="387" t="s">
        <v>1748</v>
      </c>
      <c r="B655" s="387" t="s">
        <v>3285</v>
      </c>
      <c r="C655" s="387" t="s">
        <v>5378</v>
      </c>
      <c r="D655" s="387" t="s">
        <v>5379</v>
      </c>
      <c r="E655" s="387">
        <v>5</v>
      </c>
      <c r="F655" s="387" t="s">
        <v>531</v>
      </c>
      <c r="G655" s="387">
        <v>5</v>
      </c>
      <c r="H655" s="387" t="s">
        <v>531</v>
      </c>
      <c r="I655" s="387" t="s">
        <v>1751</v>
      </c>
      <c r="J655" s="387" t="s">
        <v>5357</v>
      </c>
      <c r="K655" s="387" t="s">
        <v>5380</v>
      </c>
      <c r="L655" s="387" t="s">
        <v>3043</v>
      </c>
      <c r="M655" s="387" t="s">
        <v>3044</v>
      </c>
      <c r="N655" s="388">
        <v>2.89</v>
      </c>
      <c r="O655" s="388">
        <v>14</v>
      </c>
      <c r="P655" s="387" t="s">
        <v>538</v>
      </c>
      <c r="Q655" s="387" t="s">
        <v>539</v>
      </c>
      <c r="R655" s="387" t="s">
        <v>5370</v>
      </c>
      <c r="S655" s="387" t="s">
        <v>541</v>
      </c>
      <c r="T655" s="387" t="s">
        <v>542</v>
      </c>
      <c r="U655" s="388">
        <v>1964420</v>
      </c>
      <c r="V655" s="387" t="s">
        <v>543</v>
      </c>
      <c r="W655" s="387" t="s">
        <v>543</v>
      </c>
      <c r="X655" s="387" t="s">
        <v>543</v>
      </c>
      <c r="Y655" s="387" t="s">
        <v>543</v>
      </c>
      <c r="Z655" s="387" t="s">
        <v>543</v>
      </c>
      <c r="AA655" s="388" t="s">
        <v>543</v>
      </c>
      <c r="AB655" s="388" t="s">
        <v>543</v>
      </c>
      <c r="AC655" s="387" t="s">
        <v>543</v>
      </c>
      <c r="AD655" s="389">
        <v>20</v>
      </c>
      <c r="AE655" s="390">
        <v>44317</v>
      </c>
      <c r="AF655" s="390">
        <v>45412</v>
      </c>
      <c r="AG655" s="391" t="s">
        <v>545</v>
      </c>
      <c r="AH655" s="391" t="s">
        <v>5381</v>
      </c>
      <c r="AI655" s="391" t="s">
        <v>3047</v>
      </c>
      <c r="AJ655" s="391">
        <v>0</v>
      </c>
      <c r="AK655" s="390">
        <v>44317</v>
      </c>
      <c r="AL655" s="389">
        <v>100</v>
      </c>
      <c r="AM655" s="391" t="s">
        <v>548</v>
      </c>
      <c r="AN655" s="391" t="s">
        <v>549</v>
      </c>
      <c r="AO655" s="391" t="s">
        <v>5377</v>
      </c>
    </row>
    <row r="656" spans="1:41" ht="16" thickBot="1">
      <c r="A656" s="387" t="s">
        <v>1766</v>
      </c>
      <c r="B656" s="387" t="s">
        <v>3467</v>
      </c>
      <c r="C656" s="387" t="s">
        <v>5382</v>
      </c>
      <c r="D656" s="387" t="s">
        <v>5383</v>
      </c>
      <c r="E656" s="387">
        <v>150</v>
      </c>
      <c r="F656" s="387" t="s">
        <v>531</v>
      </c>
      <c r="G656" s="387">
        <v>150</v>
      </c>
      <c r="H656" s="387" t="s">
        <v>531</v>
      </c>
      <c r="I656" s="387" t="s">
        <v>744</v>
      </c>
      <c r="J656" s="387" t="s">
        <v>5384</v>
      </c>
      <c r="K656" s="387" t="s">
        <v>5385</v>
      </c>
      <c r="L656" s="387" t="s">
        <v>1916</v>
      </c>
      <c r="M656" s="387" t="s">
        <v>1917</v>
      </c>
      <c r="N656" s="388">
        <v>1914.48</v>
      </c>
      <c r="O656" s="388">
        <v>14</v>
      </c>
      <c r="P656" s="387" t="s">
        <v>538</v>
      </c>
      <c r="Q656" s="387" t="s">
        <v>539</v>
      </c>
      <c r="R656" s="387" t="s">
        <v>5386</v>
      </c>
      <c r="S656" s="387" t="s">
        <v>171</v>
      </c>
      <c r="T656" s="387" t="s">
        <v>1908</v>
      </c>
      <c r="U656" s="388">
        <v>2480</v>
      </c>
      <c r="V656" s="387">
        <v>6005561000241</v>
      </c>
      <c r="W656" s="387">
        <v>6005561000241</v>
      </c>
      <c r="X656" s="387" t="s">
        <v>543</v>
      </c>
      <c r="Y656" s="387" t="s">
        <v>543</v>
      </c>
      <c r="Z656" s="387" t="s">
        <v>543</v>
      </c>
      <c r="AA656" s="388" t="s">
        <v>543</v>
      </c>
      <c r="AB656" s="388" t="s">
        <v>543</v>
      </c>
      <c r="AC656" s="387">
        <v>700466003</v>
      </c>
      <c r="AD656" s="389">
        <v>1</v>
      </c>
      <c r="AE656" s="390">
        <v>44470</v>
      </c>
      <c r="AF656" s="390">
        <v>45199</v>
      </c>
      <c r="AG656" s="391" t="s">
        <v>545</v>
      </c>
      <c r="AH656" s="391" t="s">
        <v>5387</v>
      </c>
      <c r="AI656" s="391" t="s">
        <v>1920</v>
      </c>
      <c r="AJ656" s="391">
        <v>0</v>
      </c>
      <c r="AK656" s="390">
        <v>44470</v>
      </c>
      <c r="AL656" s="389">
        <v>100</v>
      </c>
      <c r="AM656" s="391" t="s">
        <v>548</v>
      </c>
      <c r="AN656" s="391" t="s">
        <v>549</v>
      </c>
      <c r="AO656" s="391" t="s">
        <v>5388</v>
      </c>
    </row>
    <row r="657" spans="1:43" ht="16" thickBot="1">
      <c r="A657" s="387" t="s">
        <v>1766</v>
      </c>
      <c r="B657" s="387" t="s">
        <v>3482</v>
      </c>
      <c r="C657" s="387" t="s">
        <v>5389</v>
      </c>
      <c r="D657" s="387" t="s">
        <v>5390</v>
      </c>
      <c r="E657" s="387">
        <v>300</v>
      </c>
      <c r="F657" s="387" t="s">
        <v>531</v>
      </c>
      <c r="G657" s="387">
        <v>300</v>
      </c>
      <c r="H657" s="387" t="s">
        <v>531</v>
      </c>
      <c r="I657" s="387" t="s">
        <v>1838</v>
      </c>
      <c r="J657" s="387" t="s">
        <v>5384</v>
      </c>
      <c r="K657" s="387" t="s">
        <v>5391</v>
      </c>
      <c r="L657" s="387" t="s">
        <v>1916</v>
      </c>
      <c r="M657" s="387" t="s">
        <v>1917</v>
      </c>
      <c r="N657" s="388">
        <v>191.35</v>
      </c>
      <c r="O657" s="388">
        <v>14</v>
      </c>
      <c r="P657" s="387" t="s">
        <v>538</v>
      </c>
      <c r="Q657" s="387" t="s">
        <v>539</v>
      </c>
      <c r="R657" s="387" t="s">
        <v>5386</v>
      </c>
      <c r="S657" s="387" t="s">
        <v>541</v>
      </c>
      <c r="T657" s="387" t="s">
        <v>1908</v>
      </c>
      <c r="U657" s="388">
        <v>34270</v>
      </c>
      <c r="V657" s="387">
        <v>6005561000289</v>
      </c>
      <c r="W657" s="387">
        <v>6005561000289</v>
      </c>
      <c r="X657" s="387" t="s">
        <v>543</v>
      </c>
      <c r="Y657" s="387" t="s">
        <v>543</v>
      </c>
      <c r="Z657" s="387" t="s">
        <v>543</v>
      </c>
      <c r="AA657" s="388" t="s">
        <v>543</v>
      </c>
      <c r="AB657" s="388" t="s">
        <v>543</v>
      </c>
      <c r="AC657" s="387">
        <v>898507008</v>
      </c>
      <c r="AD657" s="389">
        <v>10</v>
      </c>
      <c r="AE657" s="390">
        <v>44470</v>
      </c>
      <c r="AF657" s="390">
        <v>45199</v>
      </c>
      <c r="AG657" s="391" t="s">
        <v>545</v>
      </c>
      <c r="AH657" s="391" t="s">
        <v>5392</v>
      </c>
      <c r="AI657" s="391" t="s">
        <v>1920</v>
      </c>
      <c r="AJ657" s="391">
        <v>0</v>
      </c>
      <c r="AK657" s="390">
        <v>44470</v>
      </c>
      <c r="AL657" s="389">
        <v>100</v>
      </c>
      <c r="AM657" s="391" t="s">
        <v>548</v>
      </c>
      <c r="AN657" s="391" t="s">
        <v>549</v>
      </c>
      <c r="AO657" s="391" t="s">
        <v>5393</v>
      </c>
    </row>
    <row r="658" spans="1:43" ht="16" thickBot="1">
      <c r="A658" s="387" t="s">
        <v>1766</v>
      </c>
      <c r="B658" s="387" t="s">
        <v>3490</v>
      </c>
      <c r="C658" s="387" t="s">
        <v>5394</v>
      </c>
      <c r="D658" s="387" t="s">
        <v>5395</v>
      </c>
      <c r="E658" s="387">
        <v>10</v>
      </c>
      <c r="F658" s="387" t="s">
        <v>559</v>
      </c>
      <c r="G658" s="387">
        <v>10</v>
      </c>
      <c r="H658" s="387" t="s">
        <v>559</v>
      </c>
      <c r="I658" s="387" t="s">
        <v>560</v>
      </c>
      <c r="J658" s="387" t="s">
        <v>5384</v>
      </c>
      <c r="K658" s="387" t="s">
        <v>5396</v>
      </c>
      <c r="L658" s="387" t="s">
        <v>2200</v>
      </c>
      <c r="M658" s="387" t="s">
        <v>2201</v>
      </c>
      <c r="N658" s="388">
        <v>128.44</v>
      </c>
      <c r="O658" s="388">
        <v>14</v>
      </c>
      <c r="P658" s="387" t="s">
        <v>538</v>
      </c>
      <c r="Q658" s="387" t="s">
        <v>539</v>
      </c>
      <c r="R658" s="387" t="s">
        <v>5386</v>
      </c>
      <c r="S658" s="387" t="s">
        <v>171</v>
      </c>
      <c r="T658" s="387" t="s">
        <v>1908</v>
      </c>
      <c r="U658" s="388">
        <v>278980</v>
      </c>
      <c r="V658" s="387">
        <v>8901463130032</v>
      </c>
      <c r="W658" s="387">
        <v>8901463130032</v>
      </c>
      <c r="X658" s="387" t="s">
        <v>543</v>
      </c>
      <c r="Y658" s="387" t="s">
        <v>543</v>
      </c>
      <c r="Z658" s="387" t="s">
        <v>543</v>
      </c>
      <c r="AA658" s="388" t="s">
        <v>543</v>
      </c>
      <c r="AB658" s="388" t="s">
        <v>543</v>
      </c>
      <c r="AC658" s="387" t="s">
        <v>543</v>
      </c>
      <c r="AD658" s="389">
        <v>20</v>
      </c>
      <c r="AE658" s="390">
        <v>44470</v>
      </c>
      <c r="AF658" s="390">
        <v>45199</v>
      </c>
      <c r="AG658" s="390">
        <v>45199</v>
      </c>
      <c r="AH658" s="391" t="s">
        <v>5397</v>
      </c>
      <c r="AI658" s="391" t="s">
        <v>2203</v>
      </c>
      <c r="AJ658" s="391">
        <v>19</v>
      </c>
      <c r="AK658" s="390">
        <v>45047</v>
      </c>
      <c r="AL658" s="389">
        <v>100</v>
      </c>
      <c r="AM658" s="391" t="s">
        <v>548</v>
      </c>
      <c r="AN658" s="391" t="s">
        <v>549</v>
      </c>
      <c r="AO658" s="391" t="s">
        <v>5398</v>
      </c>
    </row>
    <row r="659" spans="1:43" ht="16" thickBot="1">
      <c r="A659" s="387" t="s">
        <v>1729</v>
      </c>
      <c r="B659" s="387" t="s">
        <v>590</v>
      </c>
      <c r="C659" s="387" t="s">
        <v>5399</v>
      </c>
      <c r="D659" s="387" t="s">
        <v>5400</v>
      </c>
      <c r="E659" s="387">
        <v>200</v>
      </c>
      <c r="F659" s="387" t="s">
        <v>531</v>
      </c>
      <c r="G659" s="387" t="s">
        <v>543</v>
      </c>
      <c r="H659" s="387" t="s">
        <v>531</v>
      </c>
      <c r="I659" s="387" t="s">
        <v>1732</v>
      </c>
      <c r="J659" s="387" t="s">
        <v>5401</v>
      </c>
      <c r="K659" s="387" t="s">
        <v>5402</v>
      </c>
      <c r="L659" s="387" t="s">
        <v>1855</v>
      </c>
      <c r="M659" s="387" t="s">
        <v>1856</v>
      </c>
      <c r="N659" s="388">
        <v>11.23</v>
      </c>
      <c r="O659" s="388">
        <v>14</v>
      </c>
      <c r="P659" s="387" t="s">
        <v>538</v>
      </c>
      <c r="Q659" s="387" t="s">
        <v>539</v>
      </c>
      <c r="R659" s="387" t="s">
        <v>5403</v>
      </c>
      <c r="S659" s="387" t="s">
        <v>171</v>
      </c>
      <c r="T659" s="387" t="s">
        <v>757</v>
      </c>
      <c r="U659" s="388">
        <v>1006186</v>
      </c>
      <c r="V659" s="387">
        <v>6001668005233</v>
      </c>
      <c r="W659" s="387" t="s">
        <v>543</v>
      </c>
      <c r="X659" s="387" t="s">
        <v>543</v>
      </c>
      <c r="Y659" s="387">
        <v>16001668005230</v>
      </c>
      <c r="Z659" s="387" t="s">
        <v>543</v>
      </c>
      <c r="AA659" s="388" t="s">
        <v>543</v>
      </c>
      <c r="AB659" s="388" t="s">
        <v>543</v>
      </c>
      <c r="AC659" s="387" t="s">
        <v>543</v>
      </c>
      <c r="AD659" s="389">
        <v>70</v>
      </c>
      <c r="AE659" s="390">
        <v>44105</v>
      </c>
      <c r="AF659" s="390">
        <v>45199</v>
      </c>
      <c r="AG659" s="390">
        <v>45199</v>
      </c>
      <c r="AH659" s="391" t="s">
        <v>5404</v>
      </c>
      <c r="AI659" s="391" t="s">
        <v>1859</v>
      </c>
      <c r="AJ659" s="391">
        <v>17</v>
      </c>
      <c r="AK659" s="390">
        <v>45040</v>
      </c>
      <c r="AL659" s="389">
        <v>100</v>
      </c>
      <c r="AM659" s="391" t="s">
        <v>548</v>
      </c>
      <c r="AN659" s="391" t="s">
        <v>545</v>
      </c>
      <c r="AO659" s="391" t="s">
        <v>5405</v>
      </c>
    </row>
    <row r="660" spans="1:43" ht="16" thickBot="1">
      <c r="A660" s="387" t="s">
        <v>1717</v>
      </c>
      <c r="B660" s="387" t="s">
        <v>5406</v>
      </c>
      <c r="C660" s="387" t="s">
        <v>5407</v>
      </c>
      <c r="D660" s="387" t="s">
        <v>5408</v>
      </c>
      <c r="E660" s="387">
        <v>6</v>
      </c>
      <c r="F660" s="387" t="s">
        <v>559</v>
      </c>
      <c r="G660" s="387" t="s">
        <v>543</v>
      </c>
      <c r="H660" s="387" t="s">
        <v>559</v>
      </c>
      <c r="I660" s="387" t="s">
        <v>560</v>
      </c>
      <c r="J660" s="387" t="s">
        <v>5409</v>
      </c>
      <c r="K660" s="387" t="s">
        <v>5410</v>
      </c>
      <c r="L660" s="387" t="s">
        <v>654</v>
      </c>
      <c r="M660" s="387" t="s">
        <v>655</v>
      </c>
      <c r="N660" s="388">
        <v>1.39</v>
      </c>
      <c r="O660" s="388">
        <v>14</v>
      </c>
      <c r="P660" s="387" t="s">
        <v>538</v>
      </c>
      <c r="Q660" s="387" t="s">
        <v>539</v>
      </c>
      <c r="R660" s="387" t="s">
        <v>5411</v>
      </c>
      <c r="S660" s="387" t="s">
        <v>171</v>
      </c>
      <c r="T660" s="387" t="s">
        <v>542</v>
      </c>
      <c r="U660" s="388">
        <v>5263539</v>
      </c>
      <c r="V660" s="387">
        <v>6004405009112</v>
      </c>
      <c r="W660" s="387">
        <v>6004405009112</v>
      </c>
      <c r="X660" s="387" t="s">
        <v>543</v>
      </c>
      <c r="Y660" s="387">
        <v>16004405009119</v>
      </c>
      <c r="Z660" s="387" t="s">
        <v>543</v>
      </c>
      <c r="AA660" s="388" t="s">
        <v>543</v>
      </c>
      <c r="AB660" s="388" t="s">
        <v>543</v>
      </c>
      <c r="AC660" s="387">
        <v>79201115</v>
      </c>
      <c r="AD660" s="389">
        <v>176</v>
      </c>
      <c r="AE660" s="390">
        <v>45047</v>
      </c>
      <c r="AF660" s="390">
        <v>46142</v>
      </c>
      <c r="AG660" s="391" t="s">
        <v>545</v>
      </c>
      <c r="AH660" s="391" t="s">
        <v>5412</v>
      </c>
      <c r="AI660" s="391" t="s">
        <v>658</v>
      </c>
      <c r="AJ660" s="391">
        <v>0</v>
      </c>
      <c r="AK660" s="390">
        <v>45047</v>
      </c>
      <c r="AL660" s="389">
        <v>90</v>
      </c>
      <c r="AM660" s="391" t="s">
        <v>548</v>
      </c>
      <c r="AN660" s="391" t="s">
        <v>549</v>
      </c>
      <c r="AO660" s="391" t="s">
        <v>5413</v>
      </c>
      <c r="AP660" s="372">
        <f>N660/E660</f>
        <v>0.23166666666666666</v>
      </c>
      <c r="AQ660" s="372">
        <f>SUMPRODUCT(AP660:AP661,U660:U661)/SUM(U660:U661)</f>
        <v>0.24683334111326952</v>
      </c>
    </row>
    <row r="661" spans="1:43" ht="16" thickBot="1">
      <c r="A661" s="387" t="s">
        <v>1717</v>
      </c>
      <c r="B661" s="387" t="s">
        <v>5406</v>
      </c>
      <c r="C661" s="387" t="s">
        <v>5407</v>
      </c>
      <c r="D661" s="387" t="s">
        <v>5408</v>
      </c>
      <c r="E661" s="387">
        <v>6</v>
      </c>
      <c r="F661" s="387" t="s">
        <v>559</v>
      </c>
      <c r="G661" s="387" t="s">
        <v>543</v>
      </c>
      <c r="H661" s="387" t="s">
        <v>559</v>
      </c>
      <c r="I661" s="387" t="s">
        <v>560</v>
      </c>
      <c r="J661" s="387" t="s">
        <v>5409</v>
      </c>
      <c r="K661" s="387" t="s">
        <v>5414</v>
      </c>
      <c r="L661" s="387" t="s">
        <v>2046</v>
      </c>
      <c r="M661" s="387" t="s">
        <v>2047</v>
      </c>
      <c r="N661" s="388">
        <v>2.2999999999999998</v>
      </c>
      <c r="O661" s="388">
        <v>14</v>
      </c>
      <c r="P661" s="387" t="s">
        <v>538</v>
      </c>
      <c r="Q661" s="387" t="s">
        <v>539</v>
      </c>
      <c r="R661" s="387" t="s">
        <v>5411</v>
      </c>
      <c r="S661" s="387" t="s">
        <v>171</v>
      </c>
      <c r="T661" s="387" t="s">
        <v>542</v>
      </c>
      <c r="U661" s="388">
        <v>584838</v>
      </c>
      <c r="V661" s="387">
        <v>6006352006831</v>
      </c>
      <c r="W661" s="387">
        <v>6006352028444</v>
      </c>
      <c r="X661" s="387" t="s">
        <v>543</v>
      </c>
      <c r="Y661" s="387" t="s">
        <v>543</v>
      </c>
      <c r="Z661" s="387" t="s">
        <v>543</v>
      </c>
      <c r="AA661" s="388" t="s">
        <v>543</v>
      </c>
      <c r="AB661" s="388" t="s">
        <v>543</v>
      </c>
      <c r="AC661" s="387">
        <v>707342001</v>
      </c>
      <c r="AD661" s="389">
        <v>960</v>
      </c>
      <c r="AE661" s="390">
        <v>45047</v>
      </c>
      <c r="AF661" s="390">
        <v>46142</v>
      </c>
      <c r="AG661" s="391" t="s">
        <v>545</v>
      </c>
      <c r="AH661" s="391" t="s">
        <v>5412</v>
      </c>
      <c r="AI661" s="391" t="s">
        <v>2050</v>
      </c>
      <c r="AJ661" s="391">
        <v>0</v>
      </c>
      <c r="AK661" s="390">
        <v>45047</v>
      </c>
      <c r="AL661" s="389">
        <v>10</v>
      </c>
      <c r="AM661" s="391" t="s">
        <v>548</v>
      </c>
      <c r="AN661" s="391" t="s">
        <v>549</v>
      </c>
      <c r="AO661" s="391" t="s">
        <v>5413</v>
      </c>
      <c r="AP661" s="372">
        <f>N661/E661</f>
        <v>0.3833333333333333</v>
      </c>
    </row>
    <row r="662" spans="1:43" ht="16" thickBot="1">
      <c r="A662" s="387" t="s">
        <v>529</v>
      </c>
      <c r="B662" s="387" t="s">
        <v>1004</v>
      </c>
      <c r="C662" s="387" t="s">
        <v>1005</v>
      </c>
      <c r="D662" s="387" t="s">
        <v>713</v>
      </c>
      <c r="E662" s="387">
        <v>60</v>
      </c>
      <c r="F662" s="387" t="s">
        <v>559</v>
      </c>
      <c r="G662" s="387">
        <v>60</v>
      </c>
      <c r="H662" s="387" t="s">
        <v>559</v>
      </c>
      <c r="I662" s="387" t="s">
        <v>560</v>
      </c>
      <c r="J662" s="387" t="s">
        <v>714</v>
      </c>
      <c r="K662" s="387" t="s">
        <v>715</v>
      </c>
      <c r="L662" s="387" t="s">
        <v>562</v>
      </c>
      <c r="M662" s="387" t="s">
        <v>563</v>
      </c>
      <c r="N662" s="388">
        <v>72.13</v>
      </c>
      <c r="O662" s="388">
        <v>14</v>
      </c>
      <c r="P662" s="387" t="s">
        <v>538</v>
      </c>
      <c r="Q662" s="387" t="s">
        <v>539</v>
      </c>
      <c r="R662" s="387" t="s">
        <v>716</v>
      </c>
      <c r="S662" s="387" t="s">
        <v>541</v>
      </c>
      <c r="T662" s="387" t="s">
        <v>542</v>
      </c>
      <c r="U662" s="388">
        <v>1632792</v>
      </c>
      <c r="V662" s="387" t="s">
        <v>543</v>
      </c>
      <c r="W662" s="387" t="s">
        <v>543</v>
      </c>
      <c r="X662" s="387" t="s">
        <v>543</v>
      </c>
      <c r="Y662" s="387" t="s">
        <v>543</v>
      </c>
      <c r="Z662" s="387" t="s">
        <v>543</v>
      </c>
      <c r="AA662" s="388" t="s">
        <v>543</v>
      </c>
      <c r="AB662" s="388" t="s">
        <v>543</v>
      </c>
      <c r="AC662" s="387" t="s">
        <v>543</v>
      </c>
      <c r="AD662" s="389">
        <v>144</v>
      </c>
      <c r="AE662" s="390">
        <v>44743</v>
      </c>
      <c r="AF662" s="390">
        <v>45838</v>
      </c>
      <c r="AG662" s="390">
        <v>45838</v>
      </c>
      <c r="AH662" s="391" t="s">
        <v>717</v>
      </c>
      <c r="AI662" s="391" t="s">
        <v>565</v>
      </c>
      <c r="AJ662" s="391">
        <v>23</v>
      </c>
      <c r="AK662" s="390">
        <v>45047</v>
      </c>
      <c r="AL662" s="389">
        <v>100</v>
      </c>
      <c r="AM662" s="391" t="s">
        <v>548</v>
      </c>
      <c r="AN662" s="391" t="s">
        <v>549</v>
      </c>
      <c r="AO662" s="391" t="s">
        <v>718</v>
      </c>
    </row>
    <row r="663" spans="1:43" ht="16" thickBot="1">
      <c r="A663" s="387" t="s">
        <v>529</v>
      </c>
      <c r="B663" s="387" t="s">
        <v>573</v>
      </c>
      <c r="C663" s="387" t="s">
        <v>974</v>
      </c>
      <c r="D663" s="387" t="s">
        <v>719</v>
      </c>
      <c r="E663" s="387">
        <v>112</v>
      </c>
      <c r="F663" s="387" t="s">
        <v>559</v>
      </c>
      <c r="G663" s="387">
        <v>112</v>
      </c>
      <c r="H663" s="387" t="s">
        <v>559</v>
      </c>
      <c r="I663" s="387" t="s">
        <v>560</v>
      </c>
      <c r="J663" s="387" t="s">
        <v>714</v>
      </c>
      <c r="K663" s="387" t="s">
        <v>723</v>
      </c>
      <c r="L663" s="387" t="s">
        <v>724</v>
      </c>
      <c r="M663" s="387" t="s">
        <v>725</v>
      </c>
      <c r="N663" s="388">
        <v>273.22000000000003</v>
      </c>
      <c r="O663" s="388">
        <v>14</v>
      </c>
      <c r="P663" s="387" t="s">
        <v>538</v>
      </c>
      <c r="Q663" s="387" t="s">
        <v>539</v>
      </c>
      <c r="R663" s="387" t="s">
        <v>716</v>
      </c>
      <c r="S663" s="387" t="s">
        <v>541</v>
      </c>
      <c r="T663" s="387" t="s">
        <v>542</v>
      </c>
      <c r="U663" s="388">
        <v>1228542</v>
      </c>
      <c r="V663" s="387">
        <v>6001127044841</v>
      </c>
      <c r="W663" s="387">
        <v>6001127044841</v>
      </c>
      <c r="X663" s="387" t="s">
        <v>543</v>
      </c>
      <c r="Y663" s="387" t="s">
        <v>543</v>
      </c>
      <c r="Z663" s="387" t="s">
        <v>543</v>
      </c>
      <c r="AA663" s="388" t="s">
        <v>543</v>
      </c>
      <c r="AB663" s="388" t="s">
        <v>543</v>
      </c>
      <c r="AC663" s="387">
        <v>710028002</v>
      </c>
      <c r="AD663" s="389">
        <v>84</v>
      </c>
      <c r="AE663" s="390">
        <v>44743</v>
      </c>
      <c r="AF663" s="390">
        <v>45838</v>
      </c>
      <c r="AG663" s="391" t="s">
        <v>545</v>
      </c>
      <c r="AH663" s="391" t="s">
        <v>721</v>
      </c>
      <c r="AI663" s="391" t="s">
        <v>726</v>
      </c>
      <c r="AJ663" s="391">
        <v>0</v>
      </c>
      <c r="AK663" s="390">
        <v>44743</v>
      </c>
      <c r="AL663" s="389">
        <v>20</v>
      </c>
      <c r="AM663" s="391" t="s">
        <v>548</v>
      </c>
      <c r="AN663" s="391" t="s">
        <v>549</v>
      </c>
      <c r="AO663" s="391" t="s">
        <v>722</v>
      </c>
      <c r="AP663" s="372">
        <f>N663/E663</f>
        <v>2.4394642857142861</v>
      </c>
      <c r="AQ663" s="372">
        <f>SUMPRODUCT(AP663:AP664,U663:U664)/SUM(U663:U664)</f>
        <v>2.3790357142857141</v>
      </c>
    </row>
    <row r="664" spans="1:43" ht="16" thickBot="1">
      <c r="A664" s="387" t="s">
        <v>529</v>
      </c>
      <c r="B664" s="387" t="s">
        <v>573</v>
      </c>
      <c r="C664" s="387" t="s">
        <v>974</v>
      </c>
      <c r="D664" s="387" t="s">
        <v>719</v>
      </c>
      <c r="E664" s="387">
        <v>112</v>
      </c>
      <c r="F664" s="387" t="s">
        <v>559</v>
      </c>
      <c r="G664" s="387">
        <v>112</v>
      </c>
      <c r="H664" s="387" t="s">
        <v>559</v>
      </c>
      <c r="I664" s="387" t="s">
        <v>560</v>
      </c>
      <c r="J664" s="387" t="s">
        <v>714</v>
      </c>
      <c r="K664" s="387" t="s">
        <v>720</v>
      </c>
      <c r="L664" s="387" t="s">
        <v>562</v>
      </c>
      <c r="M664" s="387" t="s">
        <v>563</v>
      </c>
      <c r="N664" s="388">
        <v>264.76</v>
      </c>
      <c r="O664" s="388">
        <v>14</v>
      </c>
      <c r="P664" s="387" t="s">
        <v>538</v>
      </c>
      <c r="Q664" s="387" t="s">
        <v>539</v>
      </c>
      <c r="R664" s="387" t="s">
        <v>716</v>
      </c>
      <c r="S664" s="387" t="s">
        <v>541</v>
      </c>
      <c r="T664" s="387" t="s">
        <v>542</v>
      </c>
      <c r="U664" s="388">
        <v>4914168</v>
      </c>
      <c r="V664" s="387">
        <v>6009628332733</v>
      </c>
      <c r="W664" s="387">
        <v>6009628332733</v>
      </c>
      <c r="X664" s="387" t="s">
        <v>543</v>
      </c>
      <c r="Y664" s="387">
        <v>16009628332730</v>
      </c>
      <c r="Z664" s="387" t="s">
        <v>543</v>
      </c>
      <c r="AA664" s="388" t="s">
        <v>543</v>
      </c>
      <c r="AB664" s="388" t="s">
        <v>543</v>
      </c>
      <c r="AC664" s="387" t="s">
        <v>543</v>
      </c>
      <c r="AD664" s="389">
        <v>48</v>
      </c>
      <c r="AE664" s="390">
        <v>44743</v>
      </c>
      <c r="AF664" s="390">
        <v>45838</v>
      </c>
      <c r="AG664" s="390">
        <v>45838</v>
      </c>
      <c r="AH664" s="391" t="s">
        <v>721</v>
      </c>
      <c r="AI664" s="391" t="s">
        <v>565</v>
      </c>
      <c r="AJ664" s="391">
        <v>23</v>
      </c>
      <c r="AK664" s="390">
        <v>45047</v>
      </c>
      <c r="AL664" s="389">
        <v>80</v>
      </c>
      <c r="AM664" s="391" t="s">
        <v>548</v>
      </c>
      <c r="AN664" s="391" t="s">
        <v>549</v>
      </c>
      <c r="AO664" s="391" t="s">
        <v>722</v>
      </c>
      <c r="AP664" s="372">
        <f>N664/E664</f>
        <v>2.3639285714285712</v>
      </c>
    </row>
    <row r="665" spans="1:43" ht="16" thickBot="1">
      <c r="A665" s="387" t="s">
        <v>529</v>
      </c>
      <c r="B665" s="387" t="s">
        <v>557</v>
      </c>
      <c r="C665" s="387" t="s">
        <v>1016</v>
      </c>
      <c r="D665" s="387" t="s">
        <v>727</v>
      </c>
      <c r="E665" s="387">
        <v>120</v>
      </c>
      <c r="F665" s="387" t="s">
        <v>584</v>
      </c>
      <c r="G665" s="387">
        <v>120</v>
      </c>
      <c r="H665" s="387" t="s">
        <v>584</v>
      </c>
      <c r="I665" s="387" t="s">
        <v>585</v>
      </c>
      <c r="J665" s="387" t="s">
        <v>714</v>
      </c>
      <c r="K665" s="387" t="s">
        <v>728</v>
      </c>
      <c r="L665" s="387" t="s">
        <v>675</v>
      </c>
      <c r="M665" s="387" t="s">
        <v>676</v>
      </c>
      <c r="N665" s="388">
        <v>250.91</v>
      </c>
      <c r="O665" s="388">
        <v>14</v>
      </c>
      <c r="P665" s="387" t="s">
        <v>538</v>
      </c>
      <c r="Q665" s="387" t="s">
        <v>539</v>
      </c>
      <c r="R665" s="387" t="s">
        <v>716</v>
      </c>
      <c r="S665" s="387" t="s">
        <v>541</v>
      </c>
      <c r="T665" s="387" t="s">
        <v>542</v>
      </c>
      <c r="U665" s="388">
        <v>463610</v>
      </c>
      <c r="V665" s="387">
        <v>6006352034155</v>
      </c>
      <c r="W665" s="387" t="s">
        <v>543</v>
      </c>
      <c r="X665" s="387" t="s">
        <v>543</v>
      </c>
      <c r="Y665" s="387">
        <v>6006352034162</v>
      </c>
      <c r="Z665" s="387" t="s">
        <v>543</v>
      </c>
      <c r="AA665" s="388" t="s">
        <v>543</v>
      </c>
      <c r="AB665" s="388" t="s">
        <v>543</v>
      </c>
      <c r="AC665" s="387">
        <v>3001450001</v>
      </c>
      <c r="AD665" s="389">
        <v>70</v>
      </c>
      <c r="AE665" s="390">
        <v>44743</v>
      </c>
      <c r="AF665" s="390">
        <v>45838</v>
      </c>
      <c r="AG665" s="390">
        <v>45838</v>
      </c>
      <c r="AH665" s="391" t="s">
        <v>729</v>
      </c>
      <c r="AI665" s="391" t="s">
        <v>679</v>
      </c>
      <c r="AJ665" s="391">
        <v>17</v>
      </c>
      <c r="AK665" s="390">
        <v>45047</v>
      </c>
      <c r="AL665" s="389">
        <v>100</v>
      </c>
      <c r="AM665" s="391" t="s">
        <v>548</v>
      </c>
      <c r="AN665" s="391" t="s">
        <v>549</v>
      </c>
      <c r="AO665" s="391" t="s">
        <v>730</v>
      </c>
    </row>
    <row r="666" spans="1:43" ht="16" thickBot="1">
      <c r="A666" s="387" t="s">
        <v>529</v>
      </c>
      <c r="B666" s="387" t="s">
        <v>972</v>
      </c>
      <c r="C666" s="387" t="s">
        <v>973</v>
      </c>
      <c r="D666" s="387" t="s">
        <v>731</v>
      </c>
      <c r="E666" s="387">
        <v>60</v>
      </c>
      <c r="F666" s="387" t="s">
        <v>531</v>
      </c>
      <c r="G666" s="387">
        <v>60</v>
      </c>
      <c r="H666" s="387" t="s">
        <v>531</v>
      </c>
      <c r="I666" s="387" t="s">
        <v>532</v>
      </c>
      <c r="J666" s="387" t="s">
        <v>714</v>
      </c>
      <c r="K666" s="387" t="s">
        <v>732</v>
      </c>
      <c r="L666" s="387" t="s">
        <v>724</v>
      </c>
      <c r="M666" s="387" t="s">
        <v>725</v>
      </c>
      <c r="N666" s="388">
        <v>71.63</v>
      </c>
      <c r="O666" s="388">
        <v>14</v>
      </c>
      <c r="P666" s="387" t="s">
        <v>538</v>
      </c>
      <c r="Q666" s="387" t="s">
        <v>539</v>
      </c>
      <c r="R666" s="387" t="s">
        <v>716</v>
      </c>
      <c r="S666" s="387" t="s">
        <v>541</v>
      </c>
      <c r="T666" s="387" t="s">
        <v>542</v>
      </c>
      <c r="U666" s="388">
        <v>1918401</v>
      </c>
      <c r="V666" s="387">
        <v>600127043738</v>
      </c>
      <c r="W666" s="387">
        <v>600127043738</v>
      </c>
      <c r="X666" s="387" t="s">
        <v>543</v>
      </c>
      <c r="Y666" s="387" t="s">
        <v>543</v>
      </c>
      <c r="Z666" s="387" t="s">
        <v>543</v>
      </c>
      <c r="AA666" s="388" t="s">
        <v>543</v>
      </c>
      <c r="AB666" s="388" t="s">
        <v>543</v>
      </c>
      <c r="AC666" s="387">
        <v>700924019</v>
      </c>
      <c r="AD666" s="389" t="s">
        <v>733</v>
      </c>
      <c r="AE666" s="390">
        <v>44743</v>
      </c>
      <c r="AF666" s="390">
        <v>45838</v>
      </c>
      <c r="AG666" s="391" t="s">
        <v>545</v>
      </c>
      <c r="AH666" s="391" t="s">
        <v>734</v>
      </c>
      <c r="AI666" s="391" t="s">
        <v>726</v>
      </c>
      <c r="AJ666" s="391">
        <v>0</v>
      </c>
      <c r="AK666" s="390">
        <v>44743</v>
      </c>
      <c r="AL666" s="389">
        <v>100</v>
      </c>
      <c r="AM666" s="391" t="s">
        <v>548</v>
      </c>
      <c r="AN666" s="391" t="s">
        <v>549</v>
      </c>
      <c r="AO666" s="391" t="s">
        <v>735</v>
      </c>
    </row>
    <row r="667" spans="1:43" ht="16" thickBot="1">
      <c r="A667" s="387" t="s">
        <v>1717</v>
      </c>
      <c r="B667" s="387" t="s">
        <v>5415</v>
      </c>
      <c r="C667" s="387" t="s">
        <v>5416</v>
      </c>
      <c r="D667" s="387" t="s">
        <v>5417</v>
      </c>
      <c r="E667" s="387">
        <v>100</v>
      </c>
      <c r="F667" s="387" t="s">
        <v>559</v>
      </c>
      <c r="G667" s="387">
        <v>100</v>
      </c>
      <c r="H667" s="387" t="s">
        <v>559</v>
      </c>
      <c r="I667" s="387" t="s">
        <v>560</v>
      </c>
      <c r="J667" s="387" t="s">
        <v>5418</v>
      </c>
      <c r="K667" s="387" t="s">
        <v>5419</v>
      </c>
      <c r="L667" s="387" t="s">
        <v>535</v>
      </c>
      <c r="M667" s="387" t="s">
        <v>536</v>
      </c>
      <c r="N667" s="388">
        <v>106.08</v>
      </c>
      <c r="O667" s="388">
        <v>14</v>
      </c>
      <c r="P667" s="387" t="s">
        <v>538</v>
      </c>
      <c r="Q667" s="387" t="s">
        <v>539</v>
      </c>
      <c r="R667" s="387" t="s">
        <v>5420</v>
      </c>
      <c r="S667" s="387" t="s">
        <v>614</v>
      </c>
      <c r="T667" s="387" t="s">
        <v>757</v>
      </c>
      <c r="U667" s="388">
        <v>110136</v>
      </c>
      <c r="V667" s="387">
        <v>6001390957640</v>
      </c>
      <c r="W667" s="387">
        <v>6001390957640</v>
      </c>
      <c r="X667" s="387" t="s">
        <v>543</v>
      </c>
      <c r="Y667" s="387" t="s">
        <v>543</v>
      </c>
      <c r="Z667" s="387" t="s">
        <v>543</v>
      </c>
      <c r="AA667" s="388" t="s">
        <v>543</v>
      </c>
      <c r="AB667" s="388" t="s">
        <v>543</v>
      </c>
      <c r="AC667" s="387">
        <v>771759002</v>
      </c>
      <c r="AD667" s="389">
        <v>10</v>
      </c>
      <c r="AE667" s="390">
        <v>45047</v>
      </c>
      <c r="AF667" s="390">
        <v>46142</v>
      </c>
      <c r="AG667" s="391" t="s">
        <v>545</v>
      </c>
      <c r="AH667" s="391" t="s">
        <v>5421</v>
      </c>
      <c r="AI667" s="391" t="s">
        <v>547</v>
      </c>
      <c r="AJ667" s="391">
        <v>0</v>
      </c>
      <c r="AK667" s="390">
        <v>45047</v>
      </c>
      <c r="AL667" s="389">
        <v>100</v>
      </c>
      <c r="AM667" s="391" t="s">
        <v>548</v>
      </c>
      <c r="AN667" s="391" t="s">
        <v>549</v>
      </c>
      <c r="AO667" s="391" t="s">
        <v>5422</v>
      </c>
    </row>
    <row r="668" spans="1:43" ht="16" thickBot="1">
      <c r="A668" s="387" t="s">
        <v>1717</v>
      </c>
      <c r="B668" s="387" t="s">
        <v>5423</v>
      </c>
      <c r="C668" s="387" t="s">
        <v>5424</v>
      </c>
      <c r="D668" s="387" t="s">
        <v>5425</v>
      </c>
      <c r="E668" s="387">
        <v>100</v>
      </c>
      <c r="F668" s="387" t="s">
        <v>559</v>
      </c>
      <c r="G668" s="387">
        <v>100</v>
      </c>
      <c r="H668" s="387" t="s">
        <v>559</v>
      </c>
      <c r="I668" s="387" t="s">
        <v>560</v>
      </c>
      <c r="J668" s="387" t="s">
        <v>5418</v>
      </c>
      <c r="K668" s="387" t="s">
        <v>5426</v>
      </c>
      <c r="L668" s="387" t="s">
        <v>535</v>
      </c>
      <c r="M668" s="387" t="s">
        <v>536</v>
      </c>
      <c r="N668" s="388">
        <v>166.14</v>
      </c>
      <c r="O668" s="388">
        <v>14</v>
      </c>
      <c r="P668" s="387" t="s">
        <v>538</v>
      </c>
      <c r="Q668" s="387" t="s">
        <v>539</v>
      </c>
      <c r="R668" s="387" t="s">
        <v>5420</v>
      </c>
      <c r="S668" s="387" t="s">
        <v>171</v>
      </c>
      <c r="T668" s="387" t="s">
        <v>757</v>
      </c>
      <c r="U668" s="388">
        <v>33131</v>
      </c>
      <c r="V668" s="387">
        <v>6001390957657</v>
      </c>
      <c r="W668" s="387">
        <v>6001390957657</v>
      </c>
      <c r="X668" s="387" t="s">
        <v>543</v>
      </c>
      <c r="Y668" s="387" t="s">
        <v>543</v>
      </c>
      <c r="Z668" s="387" t="s">
        <v>543</v>
      </c>
      <c r="AA668" s="388" t="s">
        <v>543</v>
      </c>
      <c r="AB668" s="388" t="s">
        <v>543</v>
      </c>
      <c r="AC668" s="387">
        <v>771767005</v>
      </c>
      <c r="AD668" s="389">
        <v>5</v>
      </c>
      <c r="AE668" s="390">
        <v>45047</v>
      </c>
      <c r="AF668" s="390">
        <v>46142</v>
      </c>
      <c r="AG668" s="391" t="s">
        <v>545</v>
      </c>
      <c r="AH668" s="391" t="s">
        <v>5427</v>
      </c>
      <c r="AI668" s="391" t="s">
        <v>547</v>
      </c>
      <c r="AJ668" s="391">
        <v>0</v>
      </c>
      <c r="AK668" s="390">
        <v>45047</v>
      </c>
      <c r="AL668" s="389">
        <v>100</v>
      </c>
      <c r="AM668" s="391" t="s">
        <v>548</v>
      </c>
      <c r="AN668" s="391" t="s">
        <v>549</v>
      </c>
      <c r="AO668" s="391" t="s">
        <v>5428</v>
      </c>
    </row>
    <row r="669" spans="1:43" ht="16" thickBot="1">
      <c r="A669" s="387" t="s">
        <v>1717</v>
      </c>
      <c r="B669" s="387" t="s">
        <v>5429</v>
      </c>
      <c r="C669" s="387" t="s">
        <v>5430</v>
      </c>
      <c r="D669" s="387" t="s">
        <v>5431</v>
      </c>
      <c r="E669" s="387">
        <v>28</v>
      </c>
      <c r="F669" s="387" t="s">
        <v>559</v>
      </c>
      <c r="G669" s="387">
        <v>28</v>
      </c>
      <c r="H669" s="387" t="s">
        <v>559</v>
      </c>
      <c r="I669" s="387" t="s">
        <v>560</v>
      </c>
      <c r="J669" s="387" t="s">
        <v>5432</v>
      </c>
      <c r="K669" s="387" t="s">
        <v>5433</v>
      </c>
      <c r="L669" s="387" t="s">
        <v>1886</v>
      </c>
      <c r="M669" s="387" t="s">
        <v>1887</v>
      </c>
      <c r="N669" s="388">
        <v>16.579999999999998</v>
      </c>
      <c r="O669" s="388">
        <v>14</v>
      </c>
      <c r="P669" s="387" t="s">
        <v>538</v>
      </c>
      <c r="Q669" s="387" t="s">
        <v>539</v>
      </c>
      <c r="R669" s="387" t="s">
        <v>5434</v>
      </c>
      <c r="S669" s="387" t="s">
        <v>171</v>
      </c>
      <c r="T669" s="387" t="s">
        <v>757</v>
      </c>
      <c r="U669" s="388">
        <v>797142</v>
      </c>
      <c r="V669" s="387">
        <v>6009691114304</v>
      </c>
      <c r="W669" s="387">
        <v>6009691114304</v>
      </c>
      <c r="X669" s="387" t="s">
        <v>543</v>
      </c>
      <c r="Y669" s="387">
        <v>16009691114301</v>
      </c>
      <c r="Z669" s="387" t="s">
        <v>543</v>
      </c>
      <c r="AA669" s="388" t="s">
        <v>543</v>
      </c>
      <c r="AB669" s="388" t="s">
        <v>543</v>
      </c>
      <c r="AC669" s="387">
        <v>717069</v>
      </c>
      <c r="AD669" s="389">
        <v>10</v>
      </c>
      <c r="AE669" s="390">
        <v>45047</v>
      </c>
      <c r="AF669" s="390">
        <v>46142</v>
      </c>
      <c r="AG669" s="391" t="s">
        <v>545</v>
      </c>
      <c r="AH669" s="391" t="s">
        <v>5435</v>
      </c>
      <c r="AI669" s="391" t="s">
        <v>1889</v>
      </c>
      <c r="AJ669" s="391">
        <v>0</v>
      </c>
      <c r="AK669" s="390">
        <v>45047</v>
      </c>
      <c r="AL669" s="389">
        <v>100</v>
      </c>
      <c r="AM669" s="391" t="s">
        <v>548</v>
      </c>
      <c r="AN669" s="391" t="s">
        <v>549</v>
      </c>
      <c r="AO669" s="391" t="s">
        <v>5436</v>
      </c>
    </row>
    <row r="670" spans="1:43" ht="16" thickBot="1">
      <c r="A670" s="387" t="s">
        <v>1717</v>
      </c>
      <c r="B670" s="387" t="s">
        <v>5437</v>
      </c>
      <c r="C670" s="387" t="s">
        <v>5438</v>
      </c>
      <c r="D670" s="387" t="s">
        <v>5439</v>
      </c>
      <c r="E670" s="387">
        <v>28</v>
      </c>
      <c r="F670" s="387" t="s">
        <v>559</v>
      </c>
      <c r="G670" s="387">
        <v>28</v>
      </c>
      <c r="H670" s="387" t="s">
        <v>559</v>
      </c>
      <c r="I670" s="387" t="s">
        <v>560</v>
      </c>
      <c r="J670" s="387" t="s">
        <v>5432</v>
      </c>
      <c r="K670" s="387" t="s">
        <v>5440</v>
      </c>
      <c r="L670" s="387" t="s">
        <v>1886</v>
      </c>
      <c r="M670" s="387" t="s">
        <v>1887</v>
      </c>
      <c r="N670" s="388">
        <v>7.74</v>
      </c>
      <c r="O670" s="388">
        <v>14</v>
      </c>
      <c r="P670" s="387" t="s">
        <v>538</v>
      </c>
      <c r="Q670" s="387" t="s">
        <v>539</v>
      </c>
      <c r="R670" s="387" t="s">
        <v>5434</v>
      </c>
      <c r="S670" s="387" t="s">
        <v>171</v>
      </c>
      <c r="T670" s="387" t="s">
        <v>757</v>
      </c>
      <c r="U670" s="388">
        <v>1400755</v>
      </c>
      <c r="V670" s="387">
        <v>6009691114298</v>
      </c>
      <c r="W670" s="387">
        <v>6009691114298</v>
      </c>
      <c r="X670" s="387" t="s">
        <v>543</v>
      </c>
      <c r="Y670" s="387">
        <v>16009691114295</v>
      </c>
      <c r="Z670" s="387" t="s">
        <v>543</v>
      </c>
      <c r="AA670" s="388" t="s">
        <v>543</v>
      </c>
      <c r="AB670" s="388" t="s">
        <v>543</v>
      </c>
      <c r="AC670" s="387">
        <v>716666</v>
      </c>
      <c r="AD670" s="389">
        <v>10</v>
      </c>
      <c r="AE670" s="390">
        <v>45047</v>
      </c>
      <c r="AF670" s="390">
        <v>46142</v>
      </c>
      <c r="AG670" s="391" t="s">
        <v>545</v>
      </c>
      <c r="AH670" s="391" t="s">
        <v>5441</v>
      </c>
      <c r="AI670" s="391" t="s">
        <v>1889</v>
      </c>
      <c r="AJ670" s="391">
        <v>0</v>
      </c>
      <c r="AK670" s="390">
        <v>45047</v>
      </c>
      <c r="AL670" s="389">
        <v>100</v>
      </c>
      <c r="AM670" s="391" t="s">
        <v>548</v>
      </c>
      <c r="AN670" s="391" t="s">
        <v>549</v>
      </c>
      <c r="AO670" s="391" t="s">
        <v>5442</v>
      </c>
    </row>
    <row r="671" spans="1:43" ht="16" thickBot="1">
      <c r="A671" s="387" t="s">
        <v>1729</v>
      </c>
      <c r="B671" s="387" t="s">
        <v>2418</v>
      </c>
      <c r="C671" s="387" t="s">
        <v>5443</v>
      </c>
      <c r="D671" s="387" t="s">
        <v>5444</v>
      </c>
      <c r="E671" s="387">
        <v>5</v>
      </c>
      <c r="F671" s="387" t="s">
        <v>2746</v>
      </c>
      <c r="G671" s="387">
        <v>5</v>
      </c>
      <c r="H671" s="387" t="s">
        <v>2746</v>
      </c>
      <c r="I671" s="387" t="s">
        <v>532</v>
      </c>
      <c r="J671" s="387" t="s">
        <v>5445</v>
      </c>
      <c r="K671" s="387" t="s">
        <v>5446</v>
      </c>
      <c r="L671" s="387" t="s">
        <v>1735</v>
      </c>
      <c r="M671" s="387" t="s">
        <v>1736</v>
      </c>
      <c r="N671" s="388">
        <v>230</v>
      </c>
      <c r="O671" s="388">
        <v>14</v>
      </c>
      <c r="P671" s="387" t="s">
        <v>379</v>
      </c>
      <c r="Q671" s="387" t="s">
        <v>160</v>
      </c>
      <c r="R671" s="387" t="s">
        <v>1745</v>
      </c>
      <c r="S671" s="387" t="s">
        <v>160</v>
      </c>
      <c r="T671" s="387" t="s">
        <v>160</v>
      </c>
      <c r="U671" s="388">
        <v>12430</v>
      </c>
      <c r="V671" s="387" t="s">
        <v>543</v>
      </c>
      <c r="W671" s="387" t="s">
        <v>543</v>
      </c>
      <c r="X671" s="387" t="s">
        <v>543</v>
      </c>
      <c r="Y671" s="387" t="s">
        <v>543</v>
      </c>
      <c r="Z671" s="387" t="s">
        <v>543</v>
      </c>
      <c r="AA671" s="388" t="s">
        <v>543</v>
      </c>
      <c r="AB671" s="388" t="s">
        <v>543</v>
      </c>
      <c r="AC671" s="387" t="s">
        <v>543</v>
      </c>
      <c r="AD671" s="389">
        <v>20</v>
      </c>
      <c r="AE671" s="390">
        <v>44105</v>
      </c>
      <c r="AF671" s="390">
        <v>45199</v>
      </c>
      <c r="AG671" s="390">
        <v>45199</v>
      </c>
      <c r="AH671" s="391" t="s">
        <v>5447</v>
      </c>
      <c r="AI671" s="391" t="s">
        <v>1739</v>
      </c>
      <c r="AJ671" s="391">
        <v>0</v>
      </c>
      <c r="AK671" s="390">
        <v>44105</v>
      </c>
      <c r="AL671" s="389">
        <v>100</v>
      </c>
      <c r="AM671" s="391" t="s">
        <v>548</v>
      </c>
      <c r="AN671" s="391" t="s">
        <v>545</v>
      </c>
      <c r="AO671" s="391" t="s">
        <v>5448</v>
      </c>
    </row>
    <row r="672" spans="1:43" ht="16" thickBot="1">
      <c r="A672" s="387" t="s">
        <v>2177</v>
      </c>
      <c r="B672" s="387" t="s">
        <v>2671</v>
      </c>
      <c r="C672" s="387" t="s">
        <v>5449</v>
      </c>
      <c r="D672" s="387" t="s">
        <v>5450</v>
      </c>
      <c r="E672" s="387">
        <v>1</v>
      </c>
      <c r="F672" s="387" t="s">
        <v>5451</v>
      </c>
      <c r="G672" s="387">
        <v>1</v>
      </c>
      <c r="H672" s="387" t="s">
        <v>5451</v>
      </c>
      <c r="I672" s="387" t="s">
        <v>3829</v>
      </c>
      <c r="J672" s="387" t="s">
        <v>5452</v>
      </c>
      <c r="K672" s="387" t="s">
        <v>5453</v>
      </c>
      <c r="L672" s="387" t="s">
        <v>5454</v>
      </c>
      <c r="M672" s="387" t="s">
        <v>5455</v>
      </c>
      <c r="N672" s="388">
        <v>0.41</v>
      </c>
      <c r="O672" s="388">
        <v>14</v>
      </c>
      <c r="P672" s="387" t="s">
        <v>538</v>
      </c>
      <c r="Q672" s="387" t="s">
        <v>539</v>
      </c>
      <c r="R672" s="387" t="s">
        <v>1745</v>
      </c>
      <c r="S672" s="387" t="s">
        <v>614</v>
      </c>
      <c r="T672" s="387" t="s">
        <v>160</v>
      </c>
      <c r="U672" s="388">
        <v>11422289</v>
      </c>
      <c r="V672" s="387">
        <v>6009626860603</v>
      </c>
      <c r="W672" s="387">
        <v>6009626860603</v>
      </c>
      <c r="X672" s="387" t="s">
        <v>543</v>
      </c>
      <c r="Y672" s="387" t="s">
        <v>543</v>
      </c>
      <c r="Z672" s="387" t="s">
        <v>543</v>
      </c>
      <c r="AA672" s="388" t="s">
        <v>543</v>
      </c>
      <c r="AB672" s="388" t="s">
        <v>543</v>
      </c>
      <c r="AC672" s="387" t="s">
        <v>543</v>
      </c>
      <c r="AD672" s="389" t="s">
        <v>5456</v>
      </c>
      <c r="AE672" s="390">
        <v>44013</v>
      </c>
      <c r="AF672" s="390">
        <v>45107</v>
      </c>
      <c r="AG672" s="390">
        <v>45107</v>
      </c>
      <c r="AH672" s="391" t="s">
        <v>5457</v>
      </c>
      <c r="AI672" s="391" t="s">
        <v>5458</v>
      </c>
      <c r="AJ672" s="391">
        <v>0</v>
      </c>
      <c r="AK672" s="390">
        <v>44013</v>
      </c>
      <c r="AL672" s="389">
        <v>100</v>
      </c>
      <c r="AM672" s="391" t="s">
        <v>548</v>
      </c>
      <c r="AN672" s="391" t="s">
        <v>545</v>
      </c>
      <c r="AO672" s="391" t="s">
        <v>5459</v>
      </c>
    </row>
    <row r="673" spans="1:43" ht="16" thickBot="1">
      <c r="A673" s="387" t="s">
        <v>2177</v>
      </c>
      <c r="B673" s="387" t="s">
        <v>2622</v>
      </c>
      <c r="C673" s="387" t="s">
        <v>5460</v>
      </c>
      <c r="D673" s="387" t="s">
        <v>5461</v>
      </c>
      <c r="E673" s="387">
        <v>50</v>
      </c>
      <c r="F673" s="387" t="s">
        <v>2180</v>
      </c>
      <c r="G673" s="387">
        <v>50</v>
      </c>
      <c r="H673" s="387" t="s">
        <v>2180</v>
      </c>
      <c r="I673" s="387" t="s">
        <v>3829</v>
      </c>
      <c r="J673" s="387" t="s">
        <v>5452</v>
      </c>
      <c r="K673" s="387" t="s">
        <v>5462</v>
      </c>
      <c r="L673" s="387" t="s">
        <v>1905</v>
      </c>
      <c r="M673" s="387" t="s">
        <v>1906</v>
      </c>
      <c r="N673" s="388">
        <v>9.43</v>
      </c>
      <c r="O673" s="388">
        <v>14</v>
      </c>
      <c r="P673" s="387" t="s">
        <v>538</v>
      </c>
      <c r="Q673" s="387" t="s">
        <v>539</v>
      </c>
      <c r="R673" s="387" t="s">
        <v>1745</v>
      </c>
      <c r="S673" s="387" t="s">
        <v>614</v>
      </c>
      <c r="T673" s="387" t="s">
        <v>160</v>
      </c>
      <c r="U673" s="388">
        <v>274460</v>
      </c>
      <c r="V673" s="387">
        <v>6009673880876</v>
      </c>
      <c r="W673" s="387" t="s">
        <v>543</v>
      </c>
      <c r="X673" s="387" t="s">
        <v>543</v>
      </c>
      <c r="Y673" s="387">
        <v>6009673880876</v>
      </c>
      <c r="Z673" s="387" t="s">
        <v>543</v>
      </c>
      <c r="AA673" s="388" t="s">
        <v>543</v>
      </c>
      <c r="AB673" s="388" t="s">
        <v>543</v>
      </c>
      <c r="AC673" s="387" t="s">
        <v>543</v>
      </c>
      <c r="AD673" s="389">
        <v>1</v>
      </c>
      <c r="AE673" s="390">
        <v>44013</v>
      </c>
      <c r="AF673" s="390">
        <v>45107</v>
      </c>
      <c r="AG673" s="390">
        <v>45107</v>
      </c>
      <c r="AH673" s="391" t="s">
        <v>5463</v>
      </c>
      <c r="AI673" s="391" t="s">
        <v>1910</v>
      </c>
      <c r="AJ673" s="391">
        <v>0</v>
      </c>
      <c r="AK673" s="390">
        <v>44013</v>
      </c>
      <c r="AL673" s="389">
        <v>100</v>
      </c>
      <c r="AM673" s="391" t="s">
        <v>548</v>
      </c>
      <c r="AN673" s="391" t="s">
        <v>545</v>
      </c>
      <c r="AO673" s="391" t="s">
        <v>5459</v>
      </c>
    </row>
    <row r="674" spans="1:43" ht="16" thickBot="1">
      <c r="A674" s="387" t="s">
        <v>1835</v>
      </c>
      <c r="B674" s="387" t="s">
        <v>990</v>
      </c>
      <c r="C674" s="387" t="s">
        <v>5464</v>
      </c>
      <c r="D674" s="387" t="s">
        <v>5465</v>
      </c>
      <c r="E674" s="387">
        <v>200</v>
      </c>
      <c r="F674" s="387" t="s">
        <v>531</v>
      </c>
      <c r="G674" s="387">
        <v>200</v>
      </c>
      <c r="H674" s="387" t="s">
        <v>531</v>
      </c>
      <c r="I674" s="387" t="s">
        <v>1838</v>
      </c>
      <c r="J674" s="387" t="s">
        <v>5466</v>
      </c>
      <c r="K674" s="387" t="s">
        <v>5467</v>
      </c>
      <c r="L674" s="387" t="s">
        <v>1841</v>
      </c>
      <c r="M674" s="387" t="s">
        <v>1842</v>
      </c>
      <c r="N674" s="388">
        <v>1424.05</v>
      </c>
      <c r="O674" s="388">
        <v>14</v>
      </c>
      <c r="P674" s="387" t="s">
        <v>538</v>
      </c>
      <c r="Q674" s="387" t="s">
        <v>539</v>
      </c>
      <c r="R674" s="387" t="s">
        <v>5468</v>
      </c>
      <c r="S674" s="387" t="s">
        <v>614</v>
      </c>
      <c r="T674" s="387" t="s">
        <v>757</v>
      </c>
      <c r="U674" s="388">
        <v>110145</v>
      </c>
      <c r="V674" s="387" t="s">
        <v>543</v>
      </c>
      <c r="W674" s="387" t="s">
        <v>543</v>
      </c>
      <c r="X674" s="387" t="s">
        <v>543</v>
      </c>
      <c r="Y674" s="387" t="s">
        <v>543</v>
      </c>
      <c r="Z674" s="387" t="s">
        <v>543</v>
      </c>
      <c r="AA674" s="388" t="s">
        <v>543</v>
      </c>
      <c r="AB674" s="388" t="s">
        <v>543</v>
      </c>
      <c r="AC674" s="387">
        <v>820342009</v>
      </c>
      <c r="AD674" s="389">
        <v>12</v>
      </c>
      <c r="AE674" s="390">
        <v>44974</v>
      </c>
      <c r="AF674" s="390">
        <v>45657</v>
      </c>
      <c r="AG674" s="391" t="s">
        <v>545</v>
      </c>
      <c r="AH674" s="391" t="s">
        <v>5469</v>
      </c>
      <c r="AI674" s="391" t="s">
        <v>1845</v>
      </c>
      <c r="AJ674" s="391">
        <v>0</v>
      </c>
      <c r="AK674" s="390">
        <v>44974</v>
      </c>
      <c r="AL674" s="389">
        <v>100</v>
      </c>
      <c r="AM674" s="391" t="s">
        <v>548</v>
      </c>
      <c r="AN674" s="391" t="s">
        <v>549</v>
      </c>
      <c r="AO674" s="391" t="s">
        <v>5470</v>
      </c>
    </row>
    <row r="675" spans="1:43" ht="16" thickBot="1">
      <c r="A675" s="387" t="s">
        <v>1835</v>
      </c>
      <c r="B675" s="387" t="s">
        <v>982</v>
      </c>
      <c r="C675" s="387" t="s">
        <v>5471</v>
      </c>
      <c r="D675" s="387" t="s">
        <v>5472</v>
      </c>
      <c r="E675" s="387">
        <v>50</v>
      </c>
      <c r="F675" s="387" t="s">
        <v>531</v>
      </c>
      <c r="G675" s="387">
        <v>50</v>
      </c>
      <c r="H675" s="387" t="s">
        <v>531</v>
      </c>
      <c r="I675" s="387" t="s">
        <v>1838</v>
      </c>
      <c r="J675" s="387" t="s">
        <v>5466</v>
      </c>
      <c r="K675" s="387" t="s">
        <v>5473</v>
      </c>
      <c r="L675" s="387" t="s">
        <v>1841</v>
      </c>
      <c r="M675" s="387" t="s">
        <v>1842</v>
      </c>
      <c r="N675" s="388">
        <v>356.01</v>
      </c>
      <c r="O675" s="388">
        <v>14</v>
      </c>
      <c r="P675" s="387" t="s">
        <v>538</v>
      </c>
      <c r="Q675" s="387" t="s">
        <v>539</v>
      </c>
      <c r="R675" s="387" t="s">
        <v>5468</v>
      </c>
      <c r="S675" s="387" t="s">
        <v>614</v>
      </c>
      <c r="T675" s="387" t="s">
        <v>757</v>
      </c>
      <c r="U675" s="388">
        <v>12060</v>
      </c>
      <c r="V675" s="387" t="s">
        <v>543</v>
      </c>
      <c r="W675" s="387" t="s">
        <v>543</v>
      </c>
      <c r="X675" s="387" t="s">
        <v>543</v>
      </c>
      <c r="Y675" s="387" t="s">
        <v>543</v>
      </c>
      <c r="Z675" s="387" t="s">
        <v>543</v>
      </c>
      <c r="AA675" s="388" t="s">
        <v>543</v>
      </c>
      <c r="AB675" s="388" t="s">
        <v>543</v>
      </c>
      <c r="AC675" s="387">
        <v>854522018</v>
      </c>
      <c r="AD675" s="389">
        <v>12</v>
      </c>
      <c r="AE675" s="390">
        <v>44974</v>
      </c>
      <c r="AF675" s="390">
        <v>45657</v>
      </c>
      <c r="AG675" s="391" t="s">
        <v>545</v>
      </c>
      <c r="AH675" s="391" t="s">
        <v>5474</v>
      </c>
      <c r="AI675" s="391" t="s">
        <v>1845</v>
      </c>
      <c r="AJ675" s="391">
        <v>0</v>
      </c>
      <c r="AK675" s="390">
        <v>44974</v>
      </c>
      <c r="AL675" s="389">
        <v>100</v>
      </c>
      <c r="AM675" s="391" t="s">
        <v>548</v>
      </c>
      <c r="AN675" s="391" t="s">
        <v>549</v>
      </c>
      <c r="AO675" s="391" t="s">
        <v>5470</v>
      </c>
    </row>
    <row r="676" spans="1:43" ht="16" thickBot="1">
      <c r="A676" s="387" t="s">
        <v>2177</v>
      </c>
      <c r="B676" s="387" t="s">
        <v>2679</v>
      </c>
      <c r="C676" s="387" t="s">
        <v>5475</v>
      </c>
      <c r="D676" s="387" t="s">
        <v>5476</v>
      </c>
      <c r="E676" s="387">
        <v>500</v>
      </c>
      <c r="F676" s="387" t="s">
        <v>2180</v>
      </c>
      <c r="G676" s="387">
        <v>500</v>
      </c>
      <c r="H676" s="387" t="s">
        <v>2180</v>
      </c>
      <c r="I676" s="387" t="s">
        <v>2390</v>
      </c>
      <c r="J676" s="387" t="s">
        <v>5477</v>
      </c>
      <c r="K676" s="387" t="s">
        <v>5478</v>
      </c>
      <c r="L676" s="387" t="s">
        <v>1809</v>
      </c>
      <c r="M676" s="387" t="s">
        <v>1810</v>
      </c>
      <c r="N676" s="388">
        <v>12.02</v>
      </c>
      <c r="O676" s="388">
        <v>14</v>
      </c>
      <c r="P676" s="387" t="s">
        <v>379</v>
      </c>
      <c r="Q676" s="387" t="s">
        <v>160</v>
      </c>
      <c r="R676" s="387" t="s">
        <v>5479</v>
      </c>
      <c r="S676" s="387" t="s">
        <v>160</v>
      </c>
      <c r="T676" s="387" t="s">
        <v>160</v>
      </c>
      <c r="U676" s="388">
        <v>3435</v>
      </c>
      <c r="V676" s="387">
        <v>6006845002982</v>
      </c>
      <c r="W676" s="387" t="s">
        <v>543</v>
      </c>
      <c r="X676" s="387" t="s">
        <v>543</v>
      </c>
      <c r="Y676" s="387">
        <v>16006845002989</v>
      </c>
      <c r="Z676" s="387" t="s">
        <v>543</v>
      </c>
      <c r="AA676" s="388" t="s">
        <v>543</v>
      </c>
      <c r="AB676" s="388" t="s">
        <v>543</v>
      </c>
      <c r="AC676" s="387" t="s">
        <v>543</v>
      </c>
      <c r="AD676" s="389">
        <v>18</v>
      </c>
      <c r="AE676" s="390">
        <v>44013</v>
      </c>
      <c r="AF676" s="390">
        <v>45107</v>
      </c>
      <c r="AG676" s="390">
        <v>45107</v>
      </c>
      <c r="AH676" s="391" t="s">
        <v>5480</v>
      </c>
      <c r="AI676" s="391" t="s">
        <v>1813</v>
      </c>
      <c r="AJ676" s="391">
        <v>37</v>
      </c>
      <c r="AK676" s="390">
        <v>44409</v>
      </c>
      <c r="AL676" s="389">
        <v>100</v>
      </c>
      <c r="AM676" s="391" t="s">
        <v>548</v>
      </c>
      <c r="AN676" s="391" t="s">
        <v>545</v>
      </c>
      <c r="AO676" s="391" t="s">
        <v>5481</v>
      </c>
    </row>
    <row r="677" spans="1:43" ht="16" thickBot="1">
      <c r="A677" s="387" t="s">
        <v>1748</v>
      </c>
      <c r="B677" s="387" t="s">
        <v>4381</v>
      </c>
      <c r="C677" s="387" t="s">
        <v>5482</v>
      </c>
      <c r="D677" s="387" t="s">
        <v>5483</v>
      </c>
      <c r="E677" s="387">
        <v>2</v>
      </c>
      <c r="F677" s="387" t="s">
        <v>531</v>
      </c>
      <c r="G677" s="387">
        <v>2</v>
      </c>
      <c r="H677" s="387" t="s">
        <v>531</v>
      </c>
      <c r="I677" s="387" t="s">
        <v>1751</v>
      </c>
      <c r="J677" s="387" t="s">
        <v>5477</v>
      </c>
      <c r="K677" s="387" t="s">
        <v>5484</v>
      </c>
      <c r="L677" s="387" t="s">
        <v>1975</v>
      </c>
      <c r="M677" s="387" t="s">
        <v>1976</v>
      </c>
      <c r="N677" s="388">
        <v>3.45</v>
      </c>
      <c r="O677" s="388">
        <v>14</v>
      </c>
      <c r="P677" s="387" t="s">
        <v>538</v>
      </c>
      <c r="Q677" s="387" t="s">
        <v>539</v>
      </c>
      <c r="R677" s="387" t="s">
        <v>5479</v>
      </c>
      <c r="S677" s="387" t="s">
        <v>541</v>
      </c>
      <c r="T677" s="387" t="s">
        <v>542</v>
      </c>
      <c r="U677" s="388">
        <v>5111040</v>
      </c>
      <c r="V677" s="387">
        <v>6004405009839</v>
      </c>
      <c r="W677" s="387">
        <v>6004405009839</v>
      </c>
      <c r="X677" s="387" t="s">
        <v>543</v>
      </c>
      <c r="Y677" s="387">
        <v>16004405009836</v>
      </c>
      <c r="Z677" s="387" t="s">
        <v>543</v>
      </c>
      <c r="AA677" s="388" t="s">
        <v>543</v>
      </c>
      <c r="AB677" s="388" t="s">
        <v>543</v>
      </c>
      <c r="AC677" s="387">
        <v>862797004</v>
      </c>
      <c r="AD677" s="389">
        <v>10</v>
      </c>
      <c r="AE677" s="390">
        <v>44317</v>
      </c>
      <c r="AF677" s="390">
        <v>45412</v>
      </c>
      <c r="AG677" s="391" t="s">
        <v>545</v>
      </c>
      <c r="AH677" s="391" t="s">
        <v>5485</v>
      </c>
      <c r="AI677" s="391" t="s">
        <v>1979</v>
      </c>
      <c r="AJ677" s="391">
        <v>0</v>
      </c>
      <c r="AK677" s="390">
        <v>44317</v>
      </c>
      <c r="AL677" s="389">
        <v>100</v>
      </c>
      <c r="AM677" s="391" t="s">
        <v>548</v>
      </c>
      <c r="AN677" s="391" t="s">
        <v>549</v>
      </c>
      <c r="AO677" s="391" t="s">
        <v>5486</v>
      </c>
    </row>
    <row r="678" spans="1:43" ht="16" thickBot="1">
      <c r="A678" s="387" t="s">
        <v>1748</v>
      </c>
      <c r="B678" s="387" t="s">
        <v>3302</v>
      </c>
      <c r="C678" s="387" t="s">
        <v>5487</v>
      </c>
      <c r="D678" s="387" t="s">
        <v>5488</v>
      </c>
      <c r="E678" s="387">
        <v>50</v>
      </c>
      <c r="F678" s="387" t="s">
        <v>531</v>
      </c>
      <c r="G678" s="387">
        <v>50</v>
      </c>
      <c r="H678" s="387" t="s">
        <v>531</v>
      </c>
      <c r="I678" s="387" t="s">
        <v>1751</v>
      </c>
      <c r="J678" s="387" t="s">
        <v>5489</v>
      </c>
      <c r="K678" s="387" t="s">
        <v>5490</v>
      </c>
      <c r="L678" s="387" t="s">
        <v>1955</v>
      </c>
      <c r="M678" s="387" t="s">
        <v>1956</v>
      </c>
      <c r="N678" s="388">
        <v>49.51</v>
      </c>
      <c r="O678" s="388">
        <v>14</v>
      </c>
      <c r="P678" s="387" t="s">
        <v>538</v>
      </c>
      <c r="Q678" s="387" t="s">
        <v>539</v>
      </c>
      <c r="R678" s="387" t="s">
        <v>5491</v>
      </c>
      <c r="S678" s="387" t="s">
        <v>171</v>
      </c>
      <c r="T678" s="387" t="s">
        <v>757</v>
      </c>
      <c r="U678" s="388">
        <v>19320</v>
      </c>
      <c r="V678" s="387" t="s">
        <v>543</v>
      </c>
      <c r="W678" s="387" t="s">
        <v>543</v>
      </c>
      <c r="X678" s="387" t="s">
        <v>543</v>
      </c>
      <c r="Y678" s="387" t="s">
        <v>543</v>
      </c>
      <c r="Z678" s="387" t="s">
        <v>543</v>
      </c>
      <c r="AA678" s="388" t="s">
        <v>543</v>
      </c>
      <c r="AB678" s="388" t="s">
        <v>543</v>
      </c>
      <c r="AC678" s="387" t="s">
        <v>543</v>
      </c>
      <c r="AD678" s="389" t="s">
        <v>3604</v>
      </c>
      <c r="AE678" s="390">
        <v>44317</v>
      </c>
      <c r="AF678" s="390">
        <v>45412</v>
      </c>
      <c r="AG678" s="391" t="s">
        <v>545</v>
      </c>
      <c r="AH678" s="391" t="s">
        <v>5492</v>
      </c>
      <c r="AI678" s="391" t="s">
        <v>1959</v>
      </c>
      <c r="AJ678" s="391">
        <v>0</v>
      </c>
      <c r="AK678" s="390">
        <v>44317</v>
      </c>
      <c r="AL678" s="389">
        <v>100</v>
      </c>
      <c r="AM678" s="391" t="s">
        <v>548</v>
      </c>
      <c r="AN678" s="391" t="s">
        <v>549</v>
      </c>
      <c r="AO678" s="391" t="s">
        <v>5493</v>
      </c>
    </row>
    <row r="679" spans="1:43" ht="16" thickBot="1">
      <c r="A679" s="387" t="s">
        <v>2743</v>
      </c>
      <c r="B679" s="387" t="s">
        <v>554</v>
      </c>
      <c r="C679" s="387" t="s">
        <v>5494</v>
      </c>
      <c r="D679" s="387" t="s">
        <v>5495</v>
      </c>
      <c r="E679" s="387">
        <v>3</v>
      </c>
      <c r="F679" s="387" t="s">
        <v>2746</v>
      </c>
      <c r="G679" s="387">
        <v>3</v>
      </c>
      <c r="H679" s="387" t="s">
        <v>2746</v>
      </c>
      <c r="I679" s="387" t="s">
        <v>1838</v>
      </c>
      <c r="J679" s="387" t="s">
        <v>5489</v>
      </c>
      <c r="K679" s="387" t="s">
        <v>5496</v>
      </c>
      <c r="L679" s="387" t="s">
        <v>1975</v>
      </c>
      <c r="M679" s="387" t="s">
        <v>1976</v>
      </c>
      <c r="N679" s="388">
        <v>93.76</v>
      </c>
      <c r="O679" s="388">
        <v>14</v>
      </c>
      <c r="P679" s="387" t="s">
        <v>538</v>
      </c>
      <c r="Q679" s="387" t="s">
        <v>539</v>
      </c>
      <c r="R679" s="387" t="s">
        <v>5491</v>
      </c>
      <c r="S679" s="387" t="s">
        <v>171</v>
      </c>
      <c r="T679" s="387" t="s">
        <v>757</v>
      </c>
      <c r="U679" s="388">
        <v>24030</v>
      </c>
      <c r="V679" s="387">
        <v>6003252001171</v>
      </c>
      <c r="W679" s="387">
        <v>6003252001171</v>
      </c>
      <c r="X679" s="387" t="s">
        <v>543</v>
      </c>
      <c r="Y679" s="387">
        <v>16003252001178</v>
      </c>
      <c r="Z679" s="387" t="s">
        <v>543</v>
      </c>
      <c r="AA679" s="388" t="s">
        <v>543</v>
      </c>
      <c r="AB679" s="388" t="s">
        <v>543</v>
      </c>
      <c r="AC679" s="387">
        <v>862762006</v>
      </c>
      <c r="AD679" s="389">
        <v>42</v>
      </c>
      <c r="AE679" s="390">
        <v>44105</v>
      </c>
      <c r="AF679" s="390">
        <v>45199</v>
      </c>
      <c r="AG679" s="390">
        <v>45199</v>
      </c>
      <c r="AH679" s="391" t="s">
        <v>5497</v>
      </c>
      <c r="AI679" s="391" t="s">
        <v>1979</v>
      </c>
      <c r="AJ679" s="391">
        <v>10</v>
      </c>
      <c r="AK679" s="390">
        <v>44866</v>
      </c>
      <c r="AL679" s="389">
        <v>100</v>
      </c>
      <c r="AM679" s="391" t="s">
        <v>548</v>
      </c>
      <c r="AN679" s="391" t="s">
        <v>545</v>
      </c>
      <c r="AO679" s="391" t="s">
        <v>5498</v>
      </c>
    </row>
    <row r="680" spans="1:43" ht="16" thickBot="1">
      <c r="A680" s="387" t="s">
        <v>1766</v>
      </c>
      <c r="B680" s="387" t="s">
        <v>5499</v>
      </c>
      <c r="C680" s="387" t="s">
        <v>5500</v>
      </c>
      <c r="D680" s="387" t="s">
        <v>5501</v>
      </c>
      <c r="E680" s="387">
        <v>30</v>
      </c>
      <c r="F680" s="387" t="s">
        <v>531</v>
      </c>
      <c r="G680" s="387">
        <v>500</v>
      </c>
      <c r="H680" s="387" t="s">
        <v>531</v>
      </c>
      <c r="I680" s="387" t="s">
        <v>744</v>
      </c>
      <c r="J680" s="387" t="s">
        <v>5502</v>
      </c>
      <c r="K680" s="387" t="s">
        <v>5503</v>
      </c>
      <c r="L680" s="387" t="s">
        <v>1771</v>
      </c>
      <c r="M680" s="387" t="s">
        <v>1772</v>
      </c>
      <c r="N680" s="388">
        <v>12.72</v>
      </c>
      <c r="O680" s="388">
        <v>14</v>
      </c>
      <c r="P680" s="387" t="s">
        <v>538</v>
      </c>
      <c r="Q680" s="387" t="s">
        <v>539</v>
      </c>
      <c r="R680" s="387" t="s">
        <v>5504</v>
      </c>
      <c r="S680" s="387" t="s">
        <v>171</v>
      </c>
      <c r="T680" s="387" t="s">
        <v>542</v>
      </c>
      <c r="U680" s="388">
        <v>681400</v>
      </c>
      <c r="V680" s="387">
        <v>6006882013088</v>
      </c>
      <c r="W680" s="387">
        <v>6006882013088</v>
      </c>
      <c r="X680" s="387" t="s">
        <v>543</v>
      </c>
      <c r="Y680" s="387">
        <v>16006882013085</v>
      </c>
      <c r="Z680" s="387" t="s">
        <v>543</v>
      </c>
      <c r="AA680" s="388" t="s">
        <v>543</v>
      </c>
      <c r="AB680" s="388" t="s">
        <v>543</v>
      </c>
      <c r="AC680" s="387" t="s">
        <v>543</v>
      </c>
      <c r="AD680" s="389">
        <v>80</v>
      </c>
      <c r="AE680" s="390">
        <v>44470</v>
      </c>
      <c r="AF680" s="390">
        <v>45199</v>
      </c>
      <c r="AG680" s="390">
        <v>45199</v>
      </c>
      <c r="AH680" s="391" t="s">
        <v>5505</v>
      </c>
      <c r="AI680" s="391" t="s">
        <v>1776</v>
      </c>
      <c r="AJ680" s="391">
        <v>23</v>
      </c>
      <c r="AK680" s="390">
        <v>45047</v>
      </c>
      <c r="AL680" s="389">
        <v>100</v>
      </c>
      <c r="AM680" s="391" t="s">
        <v>548</v>
      </c>
      <c r="AN680" s="391" t="s">
        <v>549</v>
      </c>
      <c r="AO680" s="391" t="s">
        <v>5506</v>
      </c>
    </row>
    <row r="681" spans="1:43" ht="16" thickBot="1">
      <c r="A681" s="387" t="s">
        <v>1766</v>
      </c>
      <c r="B681" s="387" t="s">
        <v>3496</v>
      </c>
      <c r="C681" s="387" t="s">
        <v>5507</v>
      </c>
      <c r="D681" s="387" t="s">
        <v>5508</v>
      </c>
      <c r="E681" s="387">
        <v>6</v>
      </c>
      <c r="F681" s="387" t="s">
        <v>559</v>
      </c>
      <c r="G681" s="387">
        <v>6</v>
      </c>
      <c r="H681" s="387" t="s">
        <v>559</v>
      </c>
      <c r="I681" s="387" t="s">
        <v>560</v>
      </c>
      <c r="J681" s="387" t="s">
        <v>5502</v>
      </c>
      <c r="K681" s="387" t="s">
        <v>5509</v>
      </c>
      <c r="L681" s="387" t="s">
        <v>1771</v>
      </c>
      <c r="M681" s="387" t="s">
        <v>1772</v>
      </c>
      <c r="N681" s="388">
        <v>3.87</v>
      </c>
      <c r="O681" s="388">
        <v>14</v>
      </c>
      <c r="P681" s="387" t="s">
        <v>538</v>
      </c>
      <c r="Q681" s="387" t="s">
        <v>539</v>
      </c>
      <c r="R681" s="387" t="s">
        <v>5504</v>
      </c>
      <c r="S681" s="387" t="s">
        <v>171</v>
      </c>
      <c r="T681" s="387" t="s">
        <v>542</v>
      </c>
      <c r="U681" s="388">
        <v>3112300</v>
      </c>
      <c r="V681" s="387">
        <v>6006882004833</v>
      </c>
      <c r="W681" s="387" t="s">
        <v>543</v>
      </c>
      <c r="X681" s="387" t="s">
        <v>543</v>
      </c>
      <c r="Y681" s="387">
        <v>1220053</v>
      </c>
      <c r="Z681" s="387" t="s">
        <v>543</v>
      </c>
      <c r="AA681" s="388" t="s">
        <v>543</v>
      </c>
      <c r="AB681" s="388" t="s">
        <v>543</v>
      </c>
      <c r="AC681" s="387">
        <v>845671006</v>
      </c>
      <c r="AD681" s="389">
        <v>352</v>
      </c>
      <c r="AE681" s="390">
        <v>44470</v>
      </c>
      <c r="AF681" s="390">
        <v>45199</v>
      </c>
      <c r="AG681" s="390">
        <v>45199</v>
      </c>
      <c r="AH681" s="391" t="s">
        <v>5510</v>
      </c>
      <c r="AI681" s="391" t="s">
        <v>1776</v>
      </c>
      <c r="AJ681" s="391">
        <v>23</v>
      </c>
      <c r="AK681" s="390">
        <v>45047</v>
      </c>
      <c r="AL681" s="389">
        <v>100</v>
      </c>
      <c r="AM681" s="391" t="s">
        <v>548</v>
      </c>
      <c r="AN681" s="391" t="s">
        <v>549</v>
      </c>
      <c r="AO681" s="391" t="s">
        <v>5511</v>
      </c>
    </row>
    <row r="682" spans="1:43" ht="16" thickBot="1">
      <c r="A682" s="387" t="s">
        <v>1766</v>
      </c>
      <c r="B682" s="387" t="s">
        <v>3517</v>
      </c>
      <c r="C682" s="387" t="s">
        <v>5512</v>
      </c>
      <c r="D682" s="387" t="s">
        <v>5513</v>
      </c>
      <c r="E682" s="387">
        <v>1</v>
      </c>
      <c r="F682" s="387" t="s">
        <v>559</v>
      </c>
      <c r="G682" s="387">
        <v>1</v>
      </c>
      <c r="H682" s="387" t="s">
        <v>559</v>
      </c>
      <c r="I682" s="387" t="s">
        <v>560</v>
      </c>
      <c r="J682" s="387" t="s">
        <v>5502</v>
      </c>
      <c r="K682" s="387" t="s">
        <v>5514</v>
      </c>
      <c r="L682" s="387" t="s">
        <v>1771</v>
      </c>
      <c r="M682" s="387" t="s">
        <v>1772</v>
      </c>
      <c r="N682" s="388">
        <v>3.87</v>
      </c>
      <c r="O682" s="388">
        <v>14</v>
      </c>
      <c r="P682" s="387" t="s">
        <v>538</v>
      </c>
      <c r="Q682" s="387" t="s">
        <v>539</v>
      </c>
      <c r="R682" s="387" t="s">
        <v>5504</v>
      </c>
      <c r="S682" s="387" t="s">
        <v>171</v>
      </c>
      <c r="T682" s="387" t="s">
        <v>542</v>
      </c>
      <c r="U682" s="388">
        <v>9801190</v>
      </c>
      <c r="V682" s="387">
        <v>6006882004840</v>
      </c>
      <c r="W682" s="387" t="s">
        <v>543</v>
      </c>
      <c r="X682" s="387" t="s">
        <v>543</v>
      </c>
      <c r="Y682" s="387">
        <v>1220054</v>
      </c>
      <c r="Z682" s="387" t="s">
        <v>543</v>
      </c>
      <c r="AA682" s="388" t="s">
        <v>543</v>
      </c>
      <c r="AB682" s="388" t="s">
        <v>543</v>
      </c>
      <c r="AC682" s="387">
        <v>845701002</v>
      </c>
      <c r="AD682" s="389">
        <v>352</v>
      </c>
      <c r="AE682" s="390">
        <v>44470</v>
      </c>
      <c r="AF682" s="390">
        <v>45199</v>
      </c>
      <c r="AG682" s="390">
        <v>45199</v>
      </c>
      <c r="AH682" s="391" t="s">
        <v>5515</v>
      </c>
      <c r="AI682" s="391" t="s">
        <v>1776</v>
      </c>
      <c r="AJ682" s="391">
        <v>23</v>
      </c>
      <c r="AK682" s="390">
        <v>45047</v>
      </c>
      <c r="AL682" s="389">
        <v>100</v>
      </c>
      <c r="AM682" s="391" t="s">
        <v>548</v>
      </c>
      <c r="AN682" s="391" t="s">
        <v>549</v>
      </c>
      <c r="AO682" s="391" t="s">
        <v>5516</v>
      </c>
    </row>
    <row r="683" spans="1:43" ht="16" thickBot="1">
      <c r="A683" s="387" t="s">
        <v>2166</v>
      </c>
      <c r="B683" s="387" t="s">
        <v>2866</v>
      </c>
      <c r="C683" s="387" t="s">
        <v>5517</v>
      </c>
      <c r="D683" s="387" t="s">
        <v>5518</v>
      </c>
      <c r="E683" s="387">
        <v>100</v>
      </c>
      <c r="F683" s="387" t="s">
        <v>559</v>
      </c>
      <c r="G683" s="387">
        <v>100</v>
      </c>
      <c r="H683" s="387" t="s">
        <v>559</v>
      </c>
      <c r="I683" s="387" t="s">
        <v>560</v>
      </c>
      <c r="J683" s="387" t="s">
        <v>5519</v>
      </c>
      <c r="K683" s="387" t="s">
        <v>5520</v>
      </c>
      <c r="L683" s="387" t="s">
        <v>1916</v>
      </c>
      <c r="M683" s="387" t="s">
        <v>1917</v>
      </c>
      <c r="N683" s="388">
        <v>832.83</v>
      </c>
      <c r="O683" s="388">
        <v>14</v>
      </c>
      <c r="P683" s="387" t="s">
        <v>611</v>
      </c>
      <c r="Q683" s="387" t="s">
        <v>3265</v>
      </c>
      <c r="R683" s="387" t="s">
        <v>5521</v>
      </c>
      <c r="S683" s="387" t="s">
        <v>614</v>
      </c>
      <c r="T683" s="387" t="s">
        <v>160</v>
      </c>
      <c r="U683" s="388">
        <v>628</v>
      </c>
      <c r="V683" s="387">
        <v>6005561001576</v>
      </c>
      <c r="W683" s="387" t="s">
        <v>543</v>
      </c>
      <c r="X683" s="387" t="s">
        <v>543</v>
      </c>
      <c r="Y683" s="387" t="s">
        <v>543</v>
      </c>
      <c r="Z683" s="387" t="s">
        <v>543</v>
      </c>
      <c r="AA683" s="388" t="s">
        <v>543</v>
      </c>
      <c r="AB683" s="388" t="s">
        <v>543</v>
      </c>
      <c r="AC683" s="387">
        <v>757942008</v>
      </c>
      <c r="AD683" s="389">
        <v>1</v>
      </c>
      <c r="AE683" s="390">
        <v>44743</v>
      </c>
      <c r="AF683" s="390">
        <v>45473</v>
      </c>
      <c r="AG683" s="391" t="s">
        <v>545</v>
      </c>
      <c r="AH683" s="391" t="s">
        <v>5522</v>
      </c>
      <c r="AI683" s="391" t="s">
        <v>1920</v>
      </c>
      <c r="AJ683" s="391">
        <v>0</v>
      </c>
      <c r="AK683" s="390">
        <v>44743</v>
      </c>
      <c r="AL683" s="389">
        <v>100</v>
      </c>
      <c r="AM683" s="391" t="s">
        <v>548</v>
      </c>
      <c r="AN683" s="391" t="s">
        <v>549</v>
      </c>
      <c r="AO683" s="391" t="s">
        <v>5523</v>
      </c>
    </row>
    <row r="684" spans="1:43" ht="16" thickBot="1">
      <c r="A684" s="387" t="s">
        <v>4007</v>
      </c>
      <c r="B684" s="387" t="s">
        <v>1004</v>
      </c>
      <c r="C684" s="387" t="s">
        <v>5524</v>
      </c>
      <c r="D684" s="387" t="s">
        <v>5525</v>
      </c>
      <c r="E684" s="387">
        <v>30</v>
      </c>
      <c r="F684" s="387" t="s">
        <v>559</v>
      </c>
      <c r="G684" s="387">
        <v>30</v>
      </c>
      <c r="H684" s="387" t="s">
        <v>559</v>
      </c>
      <c r="I684" s="387" t="s">
        <v>560</v>
      </c>
      <c r="J684" s="387" t="s">
        <v>5519</v>
      </c>
      <c r="K684" s="387" t="s">
        <v>5526</v>
      </c>
      <c r="L684" s="387" t="s">
        <v>1916</v>
      </c>
      <c r="M684" s="387" t="s">
        <v>1917</v>
      </c>
      <c r="N684" s="388">
        <v>74.61</v>
      </c>
      <c r="O684" s="388">
        <v>14</v>
      </c>
      <c r="P684" s="387" t="s">
        <v>538</v>
      </c>
      <c r="Q684" s="387" t="s">
        <v>539</v>
      </c>
      <c r="R684" s="387" t="s">
        <v>5527</v>
      </c>
      <c r="S684" s="387" t="s">
        <v>171</v>
      </c>
      <c r="T684" s="387" t="s">
        <v>542</v>
      </c>
      <c r="U684" s="388">
        <v>4490</v>
      </c>
      <c r="V684" s="387">
        <v>6005561001538</v>
      </c>
      <c r="W684" s="387" t="s">
        <v>543</v>
      </c>
      <c r="X684" s="387" t="s">
        <v>543</v>
      </c>
      <c r="Y684" s="387" t="s">
        <v>543</v>
      </c>
      <c r="Z684" s="387" t="s">
        <v>543</v>
      </c>
      <c r="AA684" s="388" t="s">
        <v>543</v>
      </c>
      <c r="AB684" s="388" t="s">
        <v>543</v>
      </c>
      <c r="AC684" s="387">
        <v>808245007</v>
      </c>
      <c r="AD684" s="389">
        <v>1</v>
      </c>
      <c r="AE684" s="390">
        <v>44224</v>
      </c>
      <c r="AF684" s="390">
        <v>45199</v>
      </c>
      <c r="AG684" s="390">
        <v>45199</v>
      </c>
      <c r="AH684" s="391" t="s">
        <v>5528</v>
      </c>
      <c r="AI684" s="391" t="s">
        <v>1920</v>
      </c>
      <c r="AJ684" s="391">
        <v>0</v>
      </c>
      <c r="AK684" s="390">
        <v>44224</v>
      </c>
      <c r="AL684" s="389">
        <v>100</v>
      </c>
      <c r="AM684" s="391" t="s">
        <v>548</v>
      </c>
      <c r="AN684" s="391" t="s">
        <v>545</v>
      </c>
      <c r="AO684" s="391" t="s">
        <v>5529</v>
      </c>
    </row>
    <row r="685" spans="1:43" ht="16" thickBot="1">
      <c r="A685" s="387" t="s">
        <v>4007</v>
      </c>
      <c r="B685" s="387" t="s">
        <v>573</v>
      </c>
      <c r="C685" s="387" t="s">
        <v>5530</v>
      </c>
      <c r="D685" s="387" t="s">
        <v>5531</v>
      </c>
      <c r="E685" s="387">
        <v>1</v>
      </c>
      <c r="F685" s="387" t="s">
        <v>1780</v>
      </c>
      <c r="G685" s="387">
        <v>1</v>
      </c>
      <c r="H685" s="387" t="s">
        <v>1780</v>
      </c>
      <c r="I685" s="387" t="s">
        <v>1751</v>
      </c>
      <c r="J685" s="387" t="s">
        <v>5519</v>
      </c>
      <c r="K685" s="387" t="s">
        <v>5532</v>
      </c>
      <c r="L685" s="387" t="s">
        <v>1916</v>
      </c>
      <c r="M685" s="387" t="s">
        <v>1917</v>
      </c>
      <c r="N685" s="388">
        <v>18.2</v>
      </c>
      <c r="O685" s="388">
        <v>14</v>
      </c>
      <c r="P685" s="387" t="s">
        <v>538</v>
      </c>
      <c r="Q685" s="387" t="s">
        <v>539</v>
      </c>
      <c r="R685" s="387" t="s">
        <v>5521</v>
      </c>
      <c r="S685" s="387" t="s">
        <v>160</v>
      </c>
      <c r="T685" s="387" t="s">
        <v>542</v>
      </c>
      <c r="U685" s="388">
        <v>28558958</v>
      </c>
      <c r="V685" s="387">
        <v>6005561000463</v>
      </c>
      <c r="W685" s="387">
        <v>6005561000463</v>
      </c>
      <c r="X685" s="387" t="s">
        <v>543</v>
      </c>
      <c r="Y685" s="387" t="s">
        <v>543</v>
      </c>
      <c r="Z685" s="387" t="s">
        <v>543</v>
      </c>
      <c r="AA685" s="388" t="s">
        <v>543</v>
      </c>
      <c r="AB685" s="388" t="s">
        <v>543</v>
      </c>
      <c r="AC685" s="387">
        <v>718440005</v>
      </c>
      <c r="AD685" s="389" t="s">
        <v>5533</v>
      </c>
      <c r="AE685" s="390">
        <v>44224</v>
      </c>
      <c r="AF685" s="390">
        <v>45199</v>
      </c>
      <c r="AG685" s="390">
        <v>45199</v>
      </c>
      <c r="AH685" s="391" t="s">
        <v>5534</v>
      </c>
      <c r="AI685" s="391" t="s">
        <v>1920</v>
      </c>
      <c r="AJ685" s="391">
        <v>0</v>
      </c>
      <c r="AK685" s="390">
        <v>44224</v>
      </c>
      <c r="AL685" s="389">
        <v>100</v>
      </c>
      <c r="AM685" s="391" t="s">
        <v>548</v>
      </c>
      <c r="AN685" s="391" t="s">
        <v>545</v>
      </c>
      <c r="AO685" s="391" t="s">
        <v>5535</v>
      </c>
    </row>
    <row r="686" spans="1:43" ht="16" thickBot="1">
      <c r="A686" s="387" t="s">
        <v>4007</v>
      </c>
      <c r="B686" s="387" t="s">
        <v>557</v>
      </c>
      <c r="C686" s="387" t="s">
        <v>5536</v>
      </c>
      <c r="D686" s="387" t="s">
        <v>5537</v>
      </c>
      <c r="E686" s="387">
        <v>30</v>
      </c>
      <c r="F686" s="387" t="s">
        <v>559</v>
      </c>
      <c r="G686" s="387">
        <v>30</v>
      </c>
      <c r="H686" s="387" t="s">
        <v>559</v>
      </c>
      <c r="I686" s="387" t="s">
        <v>560</v>
      </c>
      <c r="J686" s="387" t="s">
        <v>5519</v>
      </c>
      <c r="K686" s="387" t="s">
        <v>5538</v>
      </c>
      <c r="L686" s="387" t="s">
        <v>1916</v>
      </c>
      <c r="M686" s="387" t="s">
        <v>1917</v>
      </c>
      <c r="N686" s="388">
        <v>52.12</v>
      </c>
      <c r="O686" s="388">
        <v>14</v>
      </c>
      <c r="P686" s="387" t="s">
        <v>538</v>
      </c>
      <c r="Q686" s="387" t="s">
        <v>539</v>
      </c>
      <c r="R686" s="387" t="s">
        <v>5527</v>
      </c>
      <c r="S686" s="387" t="s">
        <v>171</v>
      </c>
      <c r="T686" s="387" t="s">
        <v>542</v>
      </c>
      <c r="U686" s="388" t="s">
        <v>5539</v>
      </c>
      <c r="V686" s="387">
        <v>6005561001484</v>
      </c>
      <c r="W686" s="387" t="s">
        <v>543</v>
      </c>
      <c r="X686" s="387" t="s">
        <v>543</v>
      </c>
      <c r="Y686" s="387" t="s">
        <v>543</v>
      </c>
      <c r="Z686" s="387" t="s">
        <v>543</v>
      </c>
      <c r="AA686" s="388" t="s">
        <v>543</v>
      </c>
      <c r="AB686" s="388" t="s">
        <v>543</v>
      </c>
      <c r="AC686" s="387">
        <v>757934005</v>
      </c>
      <c r="AD686" s="389">
        <v>1</v>
      </c>
      <c r="AE686" s="390">
        <v>44224</v>
      </c>
      <c r="AF686" s="390">
        <v>45199</v>
      </c>
      <c r="AG686" s="390">
        <v>45199</v>
      </c>
      <c r="AH686" s="391" t="s">
        <v>5540</v>
      </c>
      <c r="AI686" s="391" t="s">
        <v>1920</v>
      </c>
      <c r="AJ686" s="391">
        <v>0</v>
      </c>
      <c r="AK686" s="390">
        <v>44224</v>
      </c>
      <c r="AL686" s="389">
        <v>100</v>
      </c>
      <c r="AM686" s="391" t="s">
        <v>548</v>
      </c>
      <c r="AN686" s="391" t="s">
        <v>545</v>
      </c>
      <c r="AO686" s="391" t="s">
        <v>5541</v>
      </c>
      <c r="AP686" s="372">
        <f>N686/E686</f>
        <v>1.7373333333333332</v>
      </c>
      <c r="AQ686" s="372">
        <f>AP686</f>
        <v>1.7373333333333332</v>
      </c>
    </row>
    <row r="687" spans="1:43" ht="16" thickBot="1">
      <c r="A687" s="387" t="s">
        <v>2387</v>
      </c>
      <c r="B687" s="387" t="s">
        <v>651</v>
      </c>
      <c r="C687" s="387" t="s">
        <v>5542</v>
      </c>
      <c r="D687" s="387" t="s">
        <v>5543</v>
      </c>
      <c r="E687" s="387">
        <v>100</v>
      </c>
      <c r="F687" s="387" t="s">
        <v>531</v>
      </c>
      <c r="G687" s="387">
        <v>100</v>
      </c>
      <c r="H687" s="387" t="s">
        <v>531</v>
      </c>
      <c r="I687" s="387" t="s">
        <v>1751</v>
      </c>
      <c r="J687" s="387" t="s">
        <v>5544</v>
      </c>
      <c r="K687" s="387" t="s">
        <v>5545</v>
      </c>
      <c r="L687" s="387" t="s">
        <v>3128</v>
      </c>
      <c r="M687" s="387" t="s">
        <v>3129</v>
      </c>
      <c r="N687" s="388">
        <v>636.66</v>
      </c>
      <c r="O687" s="388">
        <v>14</v>
      </c>
      <c r="P687" s="387" t="s">
        <v>611</v>
      </c>
      <c r="Q687" s="387" t="s">
        <v>612</v>
      </c>
      <c r="R687" s="387" t="s">
        <v>5546</v>
      </c>
      <c r="S687" s="387" t="s">
        <v>614</v>
      </c>
      <c r="T687" s="387" t="s">
        <v>160</v>
      </c>
      <c r="U687" s="388">
        <v>48575</v>
      </c>
      <c r="V687" s="387">
        <v>6005943000302</v>
      </c>
      <c r="W687" s="387">
        <v>6005943000302</v>
      </c>
      <c r="X687" s="387" t="s">
        <v>543</v>
      </c>
      <c r="Y687" s="387">
        <v>60059430003022</v>
      </c>
      <c r="Z687" s="387" t="s">
        <v>543</v>
      </c>
      <c r="AA687" s="388" t="s">
        <v>543</v>
      </c>
      <c r="AB687" s="388" t="s">
        <v>543</v>
      </c>
      <c r="AC687" s="387">
        <v>728314002</v>
      </c>
      <c r="AD687" s="389">
        <v>1</v>
      </c>
      <c r="AE687" s="390">
        <v>44378</v>
      </c>
      <c r="AF687" s="390">
        <v>45473</v>
      </c>
      <c r="AG687" s="391" t="s">
        <v>545</v>
      </c>
      <c r="AH687" s="391" t="s">
        <v>5547</v>
      </c>
      <c r="AI687" s="391" t="s">
        <v>3131</v>
      </c>
      <c r="AJ687" s="391">
        <v>0</v>
      </c>
      <c r="AK687" s="390">
        <v>44378</v>
      </c>
      <c r="AL687" s="389">
        <v>100</v>
      </c>
      <c r="AM687" s="391" t="s">
        <v>548</v>
      </c>
      <c r="AN687" s="391" t="s">
        <v>549</v>
      </c>
      <c r="AO687" s="391" t="s">
        <v>5548</v>
      </c>
    </row>
    <row r="688" spans="1:43" ht="16" thickBot="1">
      <c r="A688" s="387" t="s">
        <v>2387</v>
      </c>
      <c r="B688" s="387" t="s">
        <v>989</v>
      </c>
      <c r="C688" s="387" t="s">
        <v>5549</v>
      </c>
      <c r="D688" s="387" t="s">
        <v>5550</v>
      </c>
      <c r="E688" s="387">
        <v>250</v>
      </c>
      <c r="F688" s="387" t="s">
        <v>531</v>
      </c>
      <c r="G688" s="387">
        <v>250</v>
      </c>
      <c r="H688" s="387" t="s">
        <v>531</v>
      </c>
      <c r="I688" s="387" t="s">
        <v>1751</v>
      </c>
      <c r="J688" s="387" t="s">
        <v>5551</v>
      </c>
      <c r="K688" s="387" t="s">
        <v>5552</v>
      </c>
      <c r="L688" s="387" t="s">
        <v>3128</v>
      </c>
      <c r="M688" s="387" t="s">
        <v>3129</v>
      </c>
      <c r="N688" s="388">
        <v>429.23</v>
      </c>
      <c r="O688" s="388">
        <v>14</v>
      </c>
      <c r="P688" s="387" t="s">
        <v>611</v>
      </c>
      <c r="Q688" s="387" t="s">
        <v>612</v>
      </c>
      <c r="R688" s="387" t="s">
        <v>5546</v>
      </c>
      <c r="S688" s="387" t="s">
        <v>614</v>
      </c>
      <c r="T688" s="387" t="s">
        <v>160</v>
      </c>
      <c r="U688" s="388">
        <v>45490</v>
      </c>
      <c r="V688" s="387">
        <v>6005943001255</v>
      </c>
      <c r="W688" s="387">
        <v>6005943001255</v>
      </c>
      <c r="X688" s="387" t="s">
        <v>543</v>
      </c>
      <c r="Y688" s="387">
        <v>60059430012550</v>
      </c>
      <c r="Z688" s="387" t="s">
        <v>543</v>
      </c>
      <c r="AA688" s="388" t="s">
        <v>543</v>
      </c>
      <c r="AB688" s="388" t="s">
        <v>543</v>
      </c>
      <c r="AC688" s="387">
        <v>774170018</v>
      </c>
      <c r="AD688" s="389">
        <v>1</v>
      </c>
      <c r="AE688" s="390">
        <v>44378</v>
      </c>
      <c r="AF688" s="390">
        <v>45473</v>
      </c>
      <c r="AG688" s="391" t="s">
        <v>545</v>
      </c>
      <c r="AH688" s="391" t="s">
        <v>5553</v>
      </c>
      <c r="AI688" s="391" t="s">
        <v>3131</v>
      </c>
      <c r="AJ688" s="391">
        <v>0</v>
      </c>
      <c r="AK688" s="390">
        <v>44378</v>
      </c>
      <c r="AL688" s="389">
        <v>100</v>
      </c>
      <c r="AM688" s="391" t="s">
        <v>548</v>
      </c>
      <c r="AN688" s="391" t="s">
        <v>549</v>
      </c>
      <c r="AO688" s="391" t="s">
        <v>5554</v>
      </c>
    </row>
    <row r="689" spans="1:43" ht="16" thickBot="1">
      <c r="A689" s="387" t="s">
        <v>2375</v>
      </c>
      <c r="B689" s="387" t="s">
        <v>999</v>
      </c>
      <c r="C689" s="387" t="s">
        <v>5555</v>
      </c>
      <c r="D689" s="387" t="s">
        <v>5556</v>
      </c>
      <c r="E689" s="387">
        <v>20</v>
      </c>
      <c r="F689" s="387" t="s">
        <v>531</v>
      </c>
      <c r="G689" s="387">
        <v>20</v>
      </c>
      <c r="H689" s="387" t="s">
        <v>531</v>
      </c>
      <c r="I689" s="387" t="s">
        <v>1751</v>
      </c>
      <c r="J689" s="387" t="s">
        <v>5551</v>
      </c>
      <c r="K689" s="387" t="s">
        <v>5557</v>
      </c>
      <c r="L689" s="387" t="s">
        <v>3128</v>
      </c>
      <c r="M689" s="387" t="s">
        <v>3129</v>
      </c>
      <c r="N689" s="388">
        <v>136.55000000000001</v>
      </c>
      <c r="O689" s="388">
        <v>14</v>
      </c>
      <c r="P689" s="387" t="s">
        <v>611</v>
      </c>
      <c r="Q689" s="387" t="s">
        <v>612</v>
      </c>
      <c r="R689" s="387" t="s">
        <v>5546</v>
      </c>
      <c r="S689" s="387" t="s">
        <v>614</v>
      </c>
      <c r="T689" s="387" t="s">
        <v>160</v>
      </c>
      <c r="U689" s="388">
        <v>670</v>
      </c>
      <c r="V689" s="387">
        <v>6005943001262</v>
      </c>
      <c r="W689" s="387">
        <v>6005943001262</v>
      </c>
      <c r="X689" s="387" t="s">
        <v>543</v>
      </c>
      <c r="Y689" s="387">
        <v>60059430012628</v>
      </c>
      <c r="Z689" s="387" t="s">
        <v>543</v>
      </c>
      <c r="AA689" s="388" t="s">
        <v>543</v>
      </c>
      <c r="AB689" s="388" t="s">
        <v>543</v>
      </c>
      <c r="AC689" s="387">
        <v>774154004</v>
      </c>
      <c r="AD689" s="389" t="s">
        <v>3507</v>
      </c>
      <c r="AE689" s="390">
        <v>44620</v>
      </c>
      <c r="AF689" s="390">
        <v>45473</v>
      </c>
      <c r="AG689" s="390">
        <v>45473</v>
      </c>
      <c r="AH689" s="391" t="s">
        <v>5558</v>
      </c>
      <c r="AI689" s="391" t="s">
        <v>3131</v>
      </c>
      <c r="AJ689" s="391">
        <v>0</v>
      </c>
      <c r="AK689" s="390">
        <v>44620</v>
      </c>
      <c r="AL689" s="389">
        <v>100</v>
      </c>
      <c r="AM689" s="391" t="s">
        <v>548</v>
      </c>
      <c r="AN689" s="391" t="s">
        <v>549</v>
      </c>
      <c r="AO689" s="391" t="s">
        <v>5559</v>
      </c>
    </row>
    <row r="690" spans="1:43" ht="16" thickBot="1">
      <c r="A690" s="387" t="s">
        <v>2583</v>
      </c>
      <c r="B690" s="387" t="s">
        <v>2402</v>
      </c>
      <c r="C690" s="387" t="s">
        <v>5560</v>
      </c>
      <c r="D690" s="387" t="s">
        <v>5561</v>
      </c>
      <c r="E690" s="387">
        <v>25</v>
      </c>
      <c r="F690" s="387" t="s">
        <v>559</v>
      </c>
      <c r="G690" s="387">
        <v>25</v>
      </c>
      <c r="H690" s="387" t="s">
        <v>559</v>
      </c>
      <c r="I690" s="387" t="s">
        <v>560</v>
      </c>
      <c r="J690" s="387" t="s">
        <v>5562</v>
      </c>
      <c r="K690" s="387" t="s">
        <v>5563</v>
      </c>
      <c r="L690" s="387" t="s">
        <v>535</v>
      </c>
      <c r="M690" s="387" t="s">
        <v>536</v>
      </c>
      <c r="N690" s="388">
        <v>647.15</v>
      </c>
      <c r="O690" s="388">
        <v>14</v>
      </c>
      <c r="P690" s="387" t="s">
        <v>538</v>
      </c>
      <c r="Q690" s="387" t="s">
        <v>539</v>
      </c>
      <c r="R690" s="387" t="s">
        <v>5564</v>
      </c>
      <c r="S690" s="387" t="s">
        <v>171</v>
      </c>
      <c r="T690" s="387" t="s">
        <v>1908</v>
      </c>
      <c r="U690" s="388">
        <v>3092</v>
      </c>
      <c r="V690" s="387">
        <v>6091403209446</v>
      </c>
      <c r="W690" s="387">
        <v>6091403209446</v>
      </c>
      <c r="X690" s="387" t="s">
        <v>543</v>
      </c>
      <c r="Y690" s="387">
        <v>16091403209446</v>
      </c>
      <c r="Z690" s="387" t="s">
        <v>543</v>
      </c>
      <c r="AA690" s="388" t="s">
        <v>543</v>
      </c>
      <c r="AB690" s="388" t="s">
        <v>543</v>
      </c>
      <c r="AC690" s="387">
        <v>737887001</v>
      </c>
      <c r="AD690" s="389">
        <v>2</v>
      </c>
      <c r="AE690" s="390">
        <v>44949</v>
      </c>
      <c r="AF690" s="390">
        <v>45473</v>
      </c>
      <c r="AG690" s="391" t="s">
        <v>545</v>
      </c>
      <c r="AH690" s="391" t="s">
        <v>5565</v>
      </c>
      <c r="AI690" s="391" t="s">
        <v>547</v>
      </c>
      <c r="AJ690" s="391">
        <v>0</v>
      </c>
      <c r="AK690" s="390">
        <v>44949</v>
      </c>
      <c r="AL690" s="389">
        <v>100</v>
      </c>
      <c r="AM690" s="391" t="s">
        <v>548</v>
      </c>
      <c r="AN690" s="391" t="s">
        <v>549</v>
      </c>
      <c r="AO690" s="391" t="s">
        <v>5566</v>
      </c>
    </row>
    <row r="691" spans="1:43" ht="16" thickBot="1">
      <c r="A691" s="387" t="s">
        <v>2583</v>
      </c>
      <c r="B691" s="387" t="s">
        <v>2879</v>
      </c>
      <c r="C691" s="387" t="s">
        <v>5567</v>
      </c>
      <c r="D691" s="387" t="s">
        <v>5568</v>
      </c>
      <c r="E691" s="387">
        <v>1</v>
      </c>
      <c r="F691" s="387" t="s">
        <v>1780</v>
      </c>
      <c r="G691" s="387">
        <v>25</v>
      </c>
      <c r="H691" s="387" t="s">
        <v>1780</v>
      </c>
      <c r="I691" s="387" t="s">
        <v>1751</v>
      </c>
      <c r="J691" s="387" t="s">
        <v>5562</v>
      </c>
      <c r="K691" s="387" t="s">
        <v>5569</v>
      </c>
      <c r="L691" s="387" t="s">
        <v>535</v>
      </c>
      <c r="M691" s="387" t="s">
        <v>536</v>
      </c>
      <c r="N691" s="388">
        <v>690</v>
      </c>
      <c r="O691" s="388">
        <v>14</v>
      </c>
      <c r="P691" s="387" t="s">
        <v>538</v>
      </c>
      <c r="Q691" s="387" t="s">
        <v>539</v>
      </c>
      <c r="R691" s="387" t="s">
        <v>5564</v>
      </c>
      <c r="S691" s="387" t="s">
        <v>171</v>
      </c>
      <c r="T691" s="387" t="s">
        <v>1908</v>
      </c>
      <c r="U691" s="388">
        <v>966</v>
      </c>
      <c r="V691" s="387">
        <v>6001424000700</v>
      </c>
      <c r="W691" s="387" t="s">
        <v>543</v>
      </c>
      <c r="X691" s="387" t="s">
        <v>543</v>
      </c>
      <c r="Y691" s="387" t="s">
        <v>543</v>
      </c>
      <c r="Z691" s="387" t="s">
        <v>543</v>
      </c>
      <c r="AA691" s="388" t="s">
        <v>543</v>
      </c>
      <c r="AB691" s="388" t="s">
        <v>543</v>
      </c>
      <c r="AC691" s="387">
        <v>797774009</v>
      </c>
      <c r="AD691" s="389">
        <v>2</v>
      </c>
      <c r="AE691" s="390">
        <v>44949</v>
      </c>
      <c r="AF691" s="390">
        <v>45473</v>
      </c>
      <c r="AG691" s="391" t="s">
        <v>545</v>
      </c>
      <c r="AH691" s="391" t="s">
        <v>5570</v>
      </c>
      <c r="AI691" s="391" t="s">
        <v>547</v>
      </c>
      <c r="AJ691" s="391">
        <v>0</v>
      </c>
      <c r="AK691" s="390">
        <v>44949</v>
      </c>
      <c r="AL691" s="389">
        <v>100</v>
      </c>
      <c r="AM691" s="391" t="s">
        <v>548</v>
      </c>
      <c r="AN691" s="391" t="s">
        <v>549</v>
      </c>
      <c r="AO691" s="391" t="s">
        <v>5571</v>
      </c>
    </row>
    <row r="692" spans="1:43" ht="16" thickBot="1">
      <c r="A692" s="387" t="s">
        <v>2166</v>
      </c>
      <c r="B692" s="387" t="s">
        <v>2424</v>
      </c>
      <c r="C692" s="387" t="s">
        <v>5572</v>
      </c>
      <c r="D692" s="387" t="s">
        <v>5573</v>
      </c>
      <c r="E692" s="387">
        <v>25</v>
      </c>
      <c r="F692" s="387" t="s">
        <v>559</v>
      </c>
      <c r="G692" s="387">
        <v>25</v>
      </c>
      <c r="H692" s="387" t="s">
        <v>559</v>
      </c>
      <c r="I692" s="387" t="s">
        <v>560</v>
      </c>
      <c r="J692" s="387" t="s">
        <v>5574</v>
      </c>
      <c r="K692" s="387" t="s">
        <v>5575</v>
      </c>
      <c r="L692" s="387" t="s">
        <v>535</v>
      </c>
      <c r="M692" s="387" t="s">
        <v>536</v>
      </c>
      <c r="N692" s="388">
        <v>1118.8599999999999</v>
      </c>
      <c r="O692" s="388">
        <v>14</v>
      </c>
      <c r="P692" s="387" t="s">
        <v>611</v>
      </c>
      <c r="Q692" s="387" t="s">
        <v>668</v>
      </c>
      <c r="R692" s="387" t="s">
        <v>5576</v>
      </c>
      <c r="S692" s="387" t="s">
        <v>614</v>
      </c>
      <c r="T692" s="387" t="s">
        <v>160</v>
      </c>
      <c r="U692" s="388">
        <v>11384</v>
      </c>
      <c r="V692" s="387">
        <v>6001424001059</v>
      </c>
      <c r="W692" s="387">
        <v>6001424001059</v>
      </c>
      <c r="X692" s="387" t="s">
        <v>543</v>
      </c>
      <c r="Y692" s="387">
        <v>16001424001059</v>
      </c>
      <c r="Z692" s="387" t="s">
        <v>543</v>
      </c>
      <c r="AA692" s="388" t="s">
        <v>543</v>
      </c>
      <c r="AB692" s="388" t="s">
        <v>543</v>
      </c>
      <c r="AC692" s="387">
        <v>758302002</v>
      </c>
      <c r="AD692" s="389">
        <v>1</v>
      </c>
      <c r="AE692" s="390">
        <v>44743</v>
      </c>
      <c r="AF692" s="390">
        <v>45473</v>
      </c>
      <c r="AG692" s="391" t="s">
        <v>545</v>
      </c>
      <c r="AH692" s="391" t="s">
        <v>5577</v>
      </c>
      <c r="AI692" s="391" t="s">
        <v>547</v>
      </c>
      <c r="AJ692" s="391">
        <v>0</v>
      </c>
      <c r="AK692" s="390">
        <v>44743</v>
      </c>
      <c r="AL692" s="389">
        <v>100</v>
      </c>
      <c r="AM692" s="391" t="s">
        <v>548</v>
      </c>
      <c r="AN692" s="391" t="s">
        <v>549</v>
      </c>
      <c r="AO692" s="391" t="s">
        <v>5578</v>
      </c>
    </row>
    <row r="693" spans="1:43" ht="16" thickBot="1">
      <c r="A693" s="387" t="s">
        <v>1766</v>
      </c>
      <c r="B693" s="387" t="s">
        <v>3529</v>
      </c>
      <c r="C693" s="387" t="s">
        <v>5579</v>
      </c>
      <c r="D693" s="387" t="s">
        <v>5580</v>
      </c>
      <c r="E693" s="387">
        <v>30</v>
      </c>
      <c r="F693" s="387" t="s">
        <v>531</v>
      </c>
      <c r="G693" s="387">
        <v>1</v>
      </c>
      <c r="H693" s="387" t="s">
        <v>1780</v>
      </c>
      <c r="I693" s="387" t="s">
        <v>1751</v>
      </c>
      <c r="J693" s="387" t="s">
        <v>5581</v>
      </c>
      <c r="K693" s="387" t="s">
        <v>5582</v>
      </c>
      <c r="L693" s="387" t="s">
        <v>1771</v>
      </c>
      <c r="M693" s="387" t="s">
        <v>1772</v>
      </c>
      <c r="N693" s="388">
        <v>76.209999999999994</v>
      </c>
      <c r="O693" s="388">
        <v>14</v>
      </c>
      <c r="P693" s="387" t="s">
        <v>538</v>
      </c>
      <c r="Q693" s="387" t="s">
        <v>539</v>
      </c>
      <c r="R693" s="387" t="s">
        <v>5583</v>
      </c>
      <c r="S693" s="387" t="s">
        <v>541</v>
      </c>
      <c r="T693" s="387" t="s">
        <v>757</v>
      </c>
      <c r="U693" s="388">
        <v>507710</v>
      </c>
      <c r="V693" s="387">
        <v>6008288003403</v>
      </c>
      <c r="W693" s="387" t="s">
        <v>543</v>
      </c>
      <c r="X693" s="387" t="s">
        <v>543</v>
      </c>
      <c r="Y693" s="387" t="s">
        <v>5584</v>
      </c>
      <c r="Z693" s="387" t="s">
        <v>543</v>
      </c>
      <c r="AA693" s="388" t="s">
        <v>543</v>
      </c>
      <c r="AB693" s="388" t="s">
        <v>543</v>
      </c>
      <c r="AC693" s="387">
        <v>715775001</v>
      </c>
      <c r="AD693" s="389">
        <v>64</v>
      </c>
      <c r="AE693" s="390">
        <v>44470</v>
      </c>
      <c r="AF693" s="390">
        <v>45199</v>
      </c>
      <c r="AG693" s="390">
        <v>45199</v>
      </c>
      <c r="AH693" s="391" t="s">
        <v>5585</v>
      </c>
      <c r="AI693" s="391" t="s">
        <v>1776</v>
      </c>
      <c r="AJ693" s="391">
        <v>23</v>
      </c>
      <c r="AK693" s="390">
        <v>45047</v>
      </c>
      <c r="AL693" s="389">
        <v>100</v>
      </c>
      <c r="AM693" s="391" t="s">
        <v>548</v>
      </c>
      <c r="AN693" s="391" t="s">
        <v>549</v>
      </c>
      <c r="AO693" s="391" t="s">
        <v>5586</v>
      </c>
    </row>
    <row r="694" spans="1:43" ht="16" thickBot="1">
      <c r="A694" s="387" t="s">
        <v>1766</v>
      </c>
      <c r="B694" s="387" t="s">
        <v>3541</v>
      </c>
      <c r="C694" s="387" t="s">
        <v>5587</v>
      </c>
      <c r="D694" s="387" t="s">
        <v>5588</v>
      </c>
      <c r="E694" s="387">
        <v>20</v>
      </c>
      <c r="F694" s="387" t="s">
        <v>531</v>
      </c>
      <c r="G694" s="387">
        <v>1</v>
      </c>
      <c r="H694" s="387" t="s">
        <v>1780</v>
      </c>
      <c r="I694" s="387" t="s">
        <v>1751</v>
      </c>
      <c r="J694" s="387" t="s">
        <v>5581</v>
      </c>
      <c r="K694" s="387" t="s">
        <v>5589</v>
      </c>
      <c r="L694" s="387" t="s">
        <v>1771</v>
      </c>
      <c r="M694" s="387" t="s">
        <v>1772</v>
      </c>
      <c r="N694" s="388">
        <v>44.66</v>
      </c>
      <c r="O694" s="388">
        <v>14</v>
      </c>
      <c r="P694" s="387" t="s">
        <v>538</v>
      </c>
      <c r="Q694" s="387" t="s">
        <v>539</v>
      </c>
      <c r="R694" s="387" t="s">
        <v>5583</v>
      </c>
      <c r="S694" s="387" t="s">
        <v>541</v>
      </c>
      <c r="T694" s="387" t="s">
        <v>757</v>
      </c>
      <c r="U694" s="388">
        <v>325140</v>
      </c>
      <c r="V694" s="387">
        <v>6008288003397</v>
      </c>
      <c r="W694" s="387" t="s">
        <v>543</v>
      </c>
      <c r="X694" s="387" t="s">
        <v>543</v>
      </c>
      <c r="Y694" s="387" t="s">
        <v>5590</v>
      </c>
      <c r="Z694" s="387" t="s">
        <v>543</v>
      </c>
      <c r="AA694" s="388" t="s">
        <v>543</v>
      </c>
      <c r="AB694" s="388" t="s">
        <v>543</v>
      </c>
      <c r="AC694" s="387">
        <v>715774001</v>
      </c>
      <c r="AD694" s="389">
        <v>64</v>
      </c>
      <c r="AE694" s="390">
        <v>44470</v>
      </c>
      <c r="AF694" s="390">
        <v>45199</v>
      </c>
      <c r="AG694" s="390">
        <v>45199</v>
      </c>
      <c r="AH694" s="391" t="s">
        <v>5591</v>
      </c>
      <c r="AI694" s="391" t="s">
        <v>1776</v>
      </c>
      <c r="AJ694" s="391">
        <v>23</v>
      </c>
      <c r="AK694" s="390">
        <v>45047</v>
      </c>
      <c r="AL694" s="389">
        <v>100</v>
      </c>
      <c r="AM694" s="391" t="s">
        <v>548</v>
      </c>
      <c r="AN694" s="391" t="s">
        <v>549</v>
      </c>
      <c r="AO694" s="391" t="s">
        <v>5592</v>
      </c>
    </row>
    <row r="695" spans="1:43" ht="16" thickBot="1">
      <c r="A695" s="387" t="s">
        <v>1717</v>
      </c>
      <c r="B695" s="387" t="s">
        <v>5593</v>
      </c>
      <c r="C695" s="387" t="s">
        <v>5594</v>
      </c>
      <c r="D695" s="387" t="s">
        <v>5595</v>
      </c>
      <c r="E695" s="387">
        <v>90</v>
      </c>
      <c r="F695" s="387" t="s">
        <v>559</v>
      </c>
      <c r="G695" s="387">
        <v>90</v>
      </c>
      <c r="H695" s="387" t="s">
        <v>559</v>
      </c>
      <c r="I695" s="387" t="s">
        <v>560</v>
      </c>
      <c r="J695" s="387" t="s">
        <v>5596</v>
      </c>
      <c r="K695" s="387" t="s">
        <v>5597</v>
      </c>
      <c r="L695" s="387" t="s">
        <v>1711</v>
      </c>
      <c r="M695" s="387" t="s">
        <v>1712</v>
      </c>
      <c r="N695" s="388">
        <v>320</v>
      </c>
      <c r="O695" s="388">
        <v>14</v>
      </c>
      <c r="P695" s="387" t="s">
        <v>538</v>
      </c>
      <c r="Q695" s="387" t="s">
        <v>539</v>
      </c>
      <c r="R695" s="387" t="s">
        <v>5598</v>
      </c>
      <c r="S695" s="387" t="s">
        <v>171</v>
      </c>
      <c r="T695" s="387" t="s">
        <v>1908</v>
      </c>
      <c r="U695" s="388">
        <v>24185</v>
      </c>
      <c r="V695" s="387">
        <v>6009601190398</v>
      </c>
      <c r="W695" s="387">
        <v>6009601190398</v>
      </c>
      <c r="X695" s="387" t="s">
        <v>543</v>
      </c>
      <c r="Y695" s="387" t="s">
        <v>543</v>
      </c>
      <c r="Z695" s="387" t="s">
        <v>543</v>
      </c>
      <c r="AA695" s="388" t="s">
        <v>543</v>
      </c>
      <c r="AB695" s="388" t="s">
        <v>543</v>
      </c>
      <c r="AC695" s="387" t="s">
        <v>5599</v>
      </c>
      <c r="AD695" s="389">
        <v>20</v>
      </c>
      <c r="AE695" s="390">
        <v>45047</v>
      </c>
      <c r="AF695" s="390">
        <v>46142</v>
      </c>
      <c r="AG695" s="391" t="s">
        <v>545</v>
      </c>
      <c r="AH695" s="391" t="s">
        <v>5600</v>
      </c>
      <c r="AI695" s="391" t="s">
        <v>1715</v>
      </c>
      <c r="AJ695" s="391">
        <v>0</v>
      </c>
      <c r="AK695" s="390">
        <v>45047</v>
      </c>
      <c r="AL695" s="389">
        <v>100</v>
      </c>
      <c r="AM695" s="391" t="s">
        <v>548</v>
      </c>
      <c r="AN695" s="391" t="s">
        <v>549</v>
      </c>
      <c r="AO695" s="391" t="s">
        <v>5601</v>
      </c>
    </row>
    <row r="696" spans="1:43" ht="16" thickBot="1">
      <c r="A696" s="387" t="s">
        <v>2166</v>
      </c>
      <c r="B696" s="387" t="s">
        <v>2434</v>
      </c>
      <c r="C696" s="387" t="s">
        <v>5602</v>
      </c>
      <c r="D696" s="387" t="s">
        <v>5603</v>
      </c>
      <c r="E696" s="387">
        <v>1</v>
      </c>
      <c r="F696" s="387" t="s">
        <v>1780</v>
      </c>
      <c r="G696" s="387">
        <v>1</v>
      </c>
      <c r="H696" s="387" t="s">
        <v>1780</v>
      </c>
      <c r="I696" s="387" t="s">
        <v>1751</v>
      </c>
      <c r="J696" s="387" t="s">
        <v>5604</v>
      </c>
      <c r="K696" s="387" t="s">
        <v>5605</v>
      </c>
      <c r="L696" s="387" t="s">
        <v>3420</v>
      </c>
      <c r="M696" s="387" t="s">
        <v>3421</v>
      </c>
      <c r="N696" s="388">
        <v>42.04</v>
      </c>
      <c r="O696" s="388">
        <v>14</v>
      </c>
      <c r="P696" s="387" t="s">
        <v>611</v>
      </c>
      <c r="Q696" s="387" t="s">
        <v>668</v>
      </c>
      <c r="R696" s="387" t="s">
        <v>5606</v>
      </c>
      <c r="S696" s="387" t="s">
        <v>614</v>
      </c>
      <c r="T696" s="387" t="s">
        <v>160</v>
      </c>
      <c r="U696" s="388">
        <v>80684</v>
      </c>
      <c r="V696" s="387">
        <v>6009879994065</v>
      </c>
      <c r="W696" s="387">
        <v>1380017000008</v>
      </c>
      <c r="X696" s="387" t="s">
        <v>543</v>
      </c>
      <c r="Y696" s="387">
        <v>1380017000008</v>
      </c>
      <c r="Z696" s="387" t="s">
        <v>543</v>
      </c>
      <c r="AA696" s="388" t="s">
        <v>543</v>
      </c>
      <c r="AB696" s="388" t="s">
        <v>543</v>
      </c>
      <c r="AC696" s="387">
        <v>784052018</v>
      </c>
      <c r="AD696" s="389" t="s">
        <v>5607</v>
      </c>
      <c r="AE696" s="390">
        <v>44743</v>
      </c>
      <c r="AF696" s="390">
        <v>45473</v>
      </c>
      <c r="AG696" s="391" t="s">
        <v>545</v>
      </c>
      <c r="AH696" s="391" t="s">
        <v>5608</v>
      </c>
      <c r="AI696" s="391" t="s">
        <v>3424</v>
      </c>
      <c r="AJ696" s="391">
        <v>0</v>
      </c>
      <c r="AK696" s="390">
        <v>44743</v>
      </c>
      <c r="AL696" s="389">
        <v>100</v>
      </c>
      <c r="AM696" s="391" t="s">
        <v>548</v>
      </c>
      <c r="AN696" s="391" t="s">
        <v>549</v>
      </c>
      <c r="AO696" s="391" t="s">
        <v>5609</v>
      </c>
    </row>
    <row r="697" spans="1:43" ht="16" thickBot="1">
      <c r="A697" s="387" t="s">
        <v>1717</v>
      </c>
      <c r="B697" s="387" t="s">
        <v>5610</v>
      </c>
      <c r="C697" s="387" t="s">
        <v>5611</v>
      </c>
      <c r="D697" s="387" t="s">
        <v>5612</v>
      </c>
      <c r="E697" s="387">
        <v>112</v>
      </c>
      <c r="F697" s="387" t="s">
        <v>559</v>
      </c>
      <c r="G697" s="387">
        <v>112</v>
      </c>
      <c r="H697" s="387" t="s">
        <v>559</v>
      </c>
      <c r="I697" s="387" t="s">
        <v>560</v>
      </c>
      <c r="J697" s="387" t="s">
        <v>5613</v>
      </c>
      <c r="K697" s="387" t="s">
        <v>5614</v>
      </c>
      <c r="L697" s="387" t="s">
        <v>2200</v>
      </c>
      <c r="M697" s="387" t="s">
        <v>2201</v>
      </c>
      <c r="N697" s="388">
        <v>18.100000000000001</v>
      </c>
      <c r="O697" s="388">
        <v>14</v>
      </c>
      <c r="P697" s="387" t="s">
        <v>538</v>
      </c>
      <c r="Q697" s="387" t="s">
        <v>539</v>
      </c>
      <c r="R697" s="387" t="s">
        <v>5615</v>
      </c>
      <c r="S697" s="387" t="s">
        <v>171</v>
      </c>
      <c r="T697" s="387" t="s">
        <v>542</v>
      </c>
      <c r="U697" s="388">
        <v>602630</v>
      </c>
      <c r="V697" s="387" t="s">
        <v>543</v>
      </c>
      <c r="W697" s="387" t="s">
        <v>543</v>
      </c>
      <c r="X697" s="387" t="s">
        <v>543</v>
      </c>
      <c r="Y697" s="387" t="s">
        <v>543</v>
      </c>
      <c r="Z697" s="387" t="s">
        <v>543</v>
      </c>
      <c r="AA697" s="388" t="s">
        <v>543</v>
      </c>
      <c r="AB697" s="388" t="s">
        <v>543</v>
      </c>
      <c r="AC697" s="387" t="s">
        <v>543</v>
      </c>
      <c r="AD697" s="389" t="s">
        <v>5616</v>
      </c>
      <c r="AE697" s="390">
        <v>45047</v>
      </c>
      <c r="AF697" s="390">
        <v>46142</v>
      </c>
      <c r="AG697" s="391" t="s">
        <v>545</v>
      </c>
      <c r="AH697" s="391" t="s">
        <v>5617</v>
      </c>
      <c r="AI697" s="391" t="s">
        <v>2203</v>
      </c>
      <c r="AJ697" s="391">
        <v>0</v>
      </c>
      <c r="AK697" s="390">
        <v>45047</v>
      </c>
      <c r="AL697" s="389">
        <v>70</v>
      </c>
      <c r="AM697" s="391" t="s">
        <v>548</v>
      </c>
      <c r="AN697" s="391" t="s">
        <v>549</v>
      </c>
      <c r="AO697" s="391" t="s">
        <v>5618</v>
      </c>
    </row>
    <row r="698" spans="1:43" ht="16" thickBot="1">
      <c r="A698" s="387" t="s">
        <v>1717</v>
      </c>
      <c r="B698" s="387" t="s">
        <v>5610</v>
      </c>
      <c r="C698" s="387" t="s">
        <v>5611</v>
      </c>
      <c r="D698" s="387" t="s">
        <v>5612</v>
      </c>
      <c r="E698" s="387">
        <v>112</v>
      </c>
      <c r="F698" s="387" t="s">
        <v>559</v>
      </c>
      <c r="G698" s="387">
        <v>112</v>
      </c>
      <c r="H698" s="387" t="s">
        <v>559</v>
      </c>
      <c r="I698" s="387" t="s">
        <v>560</v>
      </c>
      <c r="J698" s="387" t="s">
        <v>5613</v>
      </c>
      <c r="K698" s="387" t="s">
        <v>5619</v>
      </c>
      <c r="L698" s="387" t="s">
        <v>2062</v>
      </c>
      <c r="M698" s="387" t="s">
        <v>2063</v>
      </c>
      <c r="N698" s="388">
        <v>20.65</v>
      </c>
      <c r="O698" s="388">
        <v>14</v>
      </c>
      <c r="P698" s="387" t="s">
        <v>538</v>
      </c>
      <c r="Q698" s="387" t="s">
        <v>539</v>
      </c>
      <c r="R698" s="387" t="s">
        <v>5615</v>
      </c>
      <c r="S698" s="387" t="s">
        <v>171</v>
      </c>
      <c r="T698" s="387" t="s">
        <v>542</v>
      </c>
      <c r="U698" s="388">
        <v>258270</v>
      </c>
      <c r="V698" s="387" t="s">
        <v>543</v>
      </c>
      <c r="W698" s="387" t="s">
        <v>543</v>
      </c>
      <c r="X698" s="387" t="s">
        <v>543</v>
      </c>
      <c r="Y698" s="387" t="s">
        <v>543</v>
      </c>
      <c r="Z698" s="387" t="s">
        <v>543</v>
      </c>
      <c r="AA698" s="388" t="s">
        <v>543</v>
      </c>
      <c r="AB698" s="388" t="s">
        <v>543</v>
      </c>
      <c r="AC698" s="387" t="s">
        <v>543</v>
      </c>
      <c r="AD698" s="389">
        <v>36</v>
      </c>
      <c r="AE698" s="390">
        <v>45047</v>
      </c>
      <c r="AF698" s="390">
        <v>46142</v>
      </c>
      <c r="AG698" s="391" t="s">
        <v>545</v>
      </c>
      <c r="AH698" s="391" t="s">
        <v>5617</v>
      </c>
      <c r="AI698" s="391" t="s">
        <v>2064</v>
      </c>
      <c r="AJ698" s="391">
        <v>0</v>
      </c>
      <c r="AK698" s="390">
        <v>45047</v>
      </c>
      <c r="AL698" s="389">
        <v>30</v>
      </c>
      <c r="AM698" s="391" t="s">
        <v>548</v>
      </c>
      <c r="AN698" s="391" t="s">
        <v>549</v>
      </c>
      <c r="AO698" s="391" t="s">
        <v>5618</v>
      </c>
    </row>
    <row r="699" spans="1:43" ht="16" thickBot="1">
      <c r="A699" s="387" t="s">
        <v>1717</v>
      </c>
      <c r="B699" s="387" t="s">
        <v>5620</v>
      </c>
      <c r="C699" s="387" t="s">
        <v>5621</v>
      </c>
      <c r="D699" s="387" t="s">
        <v>5622</v>
      </c>
      <c r="E699" s="387">
        <v>56</v>
      </c>
      <c r="F699" s="387" t="s">
        <v>559</v>
      </c>
      <c r="G699" s="387" t="s">
        <v>543</v>
      </c>
      <c r="H699" s="387" t="s">
        <v>559</v>
      </c>
      <c r="I699" s="387" t="s">
        <v>560</v>
      </c>
      <c r="J699" s="387" t="s">
        <v>5613</v>
      </c>
      <c r="K699" s="387" t="s">
        <v>5623</v>
      </c>
      <c r="L699" s="387" t="s">
        <v>1886</v>
      </c>
      <c r="M699" s="387" t="s">
        <v>1887</v>
      </c>
      <c r="N699" s="388">
        <v>10.039999999999999</v>
      </c>
      <c r="O699" s="388">
        <v>14</v>
      </c>
      <c r="P699" s="387" t="s">
        <v>538</v>
      </c>
      <c r="Q699" s="387" t="s">
        <v>539</v>
      </c>
      <c r="R699" s="387" t="s">
        <v>5615</v>
      </c>
      <c r="S699" s="387" t="s">
        <v>171</v>
      </c>
      <c r="T699" s="387" t="s">
        <v>542</v>
      </c>
      <c r="U699" s="388">
        <v>4611712</v>
      </c>
      <c r="V699" s="387">
        <v>6009691111143</v>
      </c>
      <c r="W699" s="387">
        <v>6009691111143</v>
      </c>
      <c r="X699" s="387" t="s">
        <v>543</v>
      </c>
      <c r="Y699" s="387">
        <v>16009691111140</v>
      </c>
      <c r="Z699" s="387" t="s">
        <v>543</v>
      </c>
      <c r="AA699" s="388" t="s">
        <v>543</v>
      </c>
      <c r="AB699" s="388" t="s">
        <v>543</v>
      </c>
      <c r="AC699" s="387">
        <v>705757</v>
      </c>
      <c r="AD699" s="389">
        <v>10</v>
      </c>
      <c r="AE699" s="390">
        <v>45047</v>
      </c>
      <c r="AF699" s="390">
        <v>46142</v>
      </c>
      <c r="AG699" s="391" t="s">
        <v>545</v>
      </c>
      <c r="AH699" s="391" t="s">
        <v>5624</v>
      </c>
      <c r="AI699" s="391" t="s">
        <v>1889</v>
      </c>
      <c r="AJ699" s="391">
        <v>0</v>
      </c>
      <c r="AK699" s="390">
        <v>45047</v>
      </c>
      <c r="AL699" s="389">
        <v>33.159999999999997</v>
      </c>
      <c r="AM699" s="391" t="s">
        <v>548</v>
      </c>
      <c r="AN699" s="391" t="s">
        <v>549</v>
      </c>
      <c r="AO699" s="391" t="s">
        <v>5618</v>
      </c>
    </row>
    <row r="700" spans="1:43" ht="16" thickBot="1">
      <c r="A700" s="387" t="s">
        <v>1717</v>
      </c>
      <c r="B700" s="387" t="s">
        <v>5620</v>
      </c>
      <c r="C700" s="387" t="s">
        <v>5621</v>
      </c>
      <c r="D700" s="387" t="s">
        <v>5622</v>
      </c>
      <c r="E700" s="387">
        <v>56</v>
      </c>
      <c r="F700" s="387" t="s">
        <v>559</v>
      </c>
      <c r="G700" s="387" t="s">
        <v>543</v>
      </c>
      <c r="H700" s="387" t="s">
        <v>559</v>
      </c>
      <c r="I700" s="387" t="s">
        <v>560</v>
      </c>
      <c r="J700" s="387" t="s">
        <v>5613</v>
      </c>
      <c r="K700" s="387" t="s">
        <v>5625</v>
      </c>
      <c r="L700" s="387" t="s">
        <v>562</v>
      </c>
      <c r="M700" s="387" t="s">
        <v>563</v>
      </c>
      <c r="N700" s="388">
        <v>9.73</v>
      </c>
      <c r="O700" s="388">
        <v>14</v>
      </c>
      <c r="P700" s="387" t="s">
        <v>538</v>
      </c>
      <c r="Q700" s="387" t="s">
        <v>539</v>
      </c>
      <c r="R700" s="387" t="s">
        <v>5615</v>
      </c>
      <c r="S700" s="387" t="s">
        <v>171</v>
      </c>
      <c r="T700" s="387" t="s">
        <v>542</v>
      </c>
      <c r="U700" s="388">
        <v>4557939</v>
      </c>
      <c r="V700" s="387">
        <v>6009628331057</v>
      </c>
      <c r="W700" s="387">
        <v>6009628331057</v>
      </c>
      <c r="X700" s="387" t="s">
        <v>543</v>
      </c>
      <c r="Y700" s="387">
        <v>16009628331054</v>
      </c>
      <c r="Z700" s="387" t="s">
        <v>543</v>
      </c>
      <c r="AA700" s="388" t="s">
        <v>543</v>
      </c>
      <c r="AB700" s="388" t="s">
        <v>543</v>
      </c>
      <c r="AC700" s="387" t="s">
        <v>543</v>
      </c>
      <c r="AD700" s="389">
        <v>90</v>
      </c>
      <c r="AE700" s="390">
        <v>45047</v>
      </c>
      <c r="AF700" s="390">
        <v>46142</v>
      </c>
      <c r="AG700" s="391" t="s">
        <v>545</v>
      </c>
      <c r="AH700" s="391" t="s">
        <v>5624</v>
      </c>
      <c r="AI700" s="391" t="s">
        <v>565</v>
      </c>
      <c r="AJ700" s="391">
        <v>0</v>
      </c>
      <c r="AK700" s="390">
        <v>45047</v>
      </c>
      <c r="AL700" s="389">
        <v>32.770000000000003</v>
      </c>
      <c r="AM700" s="391" t="s">
        <v>548</v>
      </c>
      <c r="AN700" s="391" t="s">
        <v>549</v>
      </c>
      <c r="AO700" s="391" t="s">
        <v>5618</v>
      </c>
    </row>
    <row r="701" spans="1:43" ht="16" thickBot="1">
      <c r="A701" s="387" t="s">
        <v>1717</v>
      </c>
      <c r="B701" s="387" t="s">
        <v>5620</v>
      </c>
      <c r="C701" s="387" t="s">
        <v>5621</v>
      </c>
      <c r="D701" s="387" t="s">
        <v>5622</v>
      </c>
      <c r="E701" s="387">
        <v>56</v>
      </c>
      <c r="F701" s="387" t="s">
        <v>559</v>
      </c>
      <c r="G701" s="387" t="s">
        <v>543</v>
      </c>
      <c r="H701" s="387" t="s">
        <v>559</v>
      </c>
      <c r="I701" s="387" t="s">
        <v>560</v>
      </c>
      <c r="J701" s="387" t="s">
        <v>5613</v>
      </c>
      <c r="K701" s="387" t="s">
        <v>5626</v>
      </c>
      <c r="L701" s="387" t="s">
        <v>1829</v>
      </c>
      <c r="M701" s="387" t="s">
        <v>1830</v>
      </c>
      <c r="N701" s="388">
        <v>9.75</v>
      </c>
      <c r="O701" s="388">
        <v>14</v>
      </c>
      <c r="P701" s="387" t="s">
        <v>538</v>
      </c>
      <c r="Q701" s="387" t="s">
        <v>539</v>
      </c>
      <c r="R701" s="387" t="s">
        <v>5615</v>
      </c>
      <c r="S701" s="387" t="s">
        <v>171</v>
      </c>
      <c r="T701" s="387" t="s">
        <v>542</v>
      </c>
      <c r="U701" s="388">
        <v>4739069</v>
      </c>
      <c r="V701" s="387">
        <v>6009694780414</v>
      </c>
      <c r="W701" s="387">
        <v>6009694780414</v>
      </c>
      <c r="X701" s="387" t="s">
        <v>543</v>
      </c>
      <c r="Y701" s="387">
        <v>16009694780473</v>
      </c>
      <c r="Z701" s="387" t="s">
        <v>543</v>
      </c>
      <c r="AA701" s="388" t="s">
        <v>543</v>
      </c>
      <c r="AB701" s="388" t="s">
        <v>543</v>
      </c>
      <c r="AC701" s="387" t="s">
        <v>543</v>
      </c>
      <c r="AD701" s="389">
        <v>10</v>
      </c>
      <c r="AE701" s="390">
        <v>45047</v>
      </c>
      <c r="AF701" s="390">
        <v>46142</v>
      </c>
      <c r="AG701" s="391" t="s">
        <v>545</v>
      </c>
      <c r="AH701" s="391" t="s">
        <v>5624</v>
      </c>
      <c r="AI701" s="391" t="s">
        <v>1833</v>
      </c>
      <c r="AJ701" s="391">
        <v>0</v>
      </c>
      <c r="AK701" s="390">
        <v>45047</v>
      </c>
      <c r="AL701" s="389">
        <v>34.07</v>
      </c>
      <c r="AM701" s="391" t="s">
        <v>548</v>
      </c>
      <c r="AN701" s="391" t="s">
        <v>549</v>
      </c>
      <c r="AO701" s="391" t="s">
        <v>5618</v>
      </c>
    </row>
    <row r="702" spans="1:43" ht="16" thickBot="1">
      <c r="A702" s="387" t="s">
        <v>1717</v>
      </c>
      <c r="B702" s="387" t="s">
        <v>5627</v>
      </c>
      <c r="C702" s="387" t="s">
        <v>5628</v>
      </c>
      <c r="D702" s="387" t="s">
        <v>5629</v>
      </c>
      <c r="E702" s="387">
        <v>84</v>
      </c>
      <c r="F702" s="387" t="s">
        <v>559</v>
      </c>
      <c r="G702" s="387" t="s">
        <v>543</v>
      </c>
      <c r="H702" s="387" t="s">
        <v>559</v>
      </c>
      <c r="I702" s="387" t="s">
        <v>560</v>
      </c>
      <c r="J702" s="387" t="s">
        <v>5613</v>
      </c>
      <c r="K702" s="387" t="s">
        <v>5614</v>
      </c>
      <c r="L702" s="387" t="s">
        <v>2200</v>
      </c>
      <c r="M702" s="387" t="s">
        <v>2201</v>
      </c>
      <c r="N702" s="388">
        <v>13.99</v>
      </c>
      <c r="O702" s="388">
        <v>14</v>
      </c>
      <c r="P702" s="387" t="s">
        <v>538</v>
      </c>
      <c r="Q702" s="387" t="s">
        <v>539</v>
      </c>
      <c r="R702" s="387" t="s">
        <v>5615</v>
      </c>
      <c r="S702" s="387" t="s">
        <v>171</v>
      </c>
      <c r="T702" s="387" t="s">
        <v>542</v>
      </c>
      <c r="U702" s="388">
        <v>1816119</v>
      </c>
      <c r="V702" s="387" t="s">
        <v>543</v>
      </c>
      <c r="W702" s="387" t="s">
        <v>543</v>
      </c>
      <c r="X702" s="387" t="s">
        <v>543</v>
      </c>
      <c r="Y702" s="387" t="s">
        <v>543</v>
      </c>
      <c r="Z702" s="387" t="s">
        <v>543</v>
      </c>
      <c r="AA702" s="388" t="s">
        <v>543</v>
      </c>
      <c r="AB702" s="388" t="s">
        <v>543</v>
      </c>
      <c r="AC702" s="387" t="s">
        <v>543</v>
      </c>
      <c r="AD702" s="389" t="s">
        <v>5630</v>
      </c>
      <c r="AE702" s="390">
        <v>45047</v>
      </c>
      <c r="AF702" s="390">
        <v>46142</v>
      </c>
      <c r="AG702" s="391" t="s">
        <v>545</v>
      </c>
      <c r="AH702" s="391" t="s">
        <v>5631</v>
      </c>
      <c r="AI702" s="391" t="s">
        <v>2203</v>
      </c>
      <c r="AJ702" s="391">
        <v>0</v>
      </c>
      <c r="AK702" s="390">
        <v>45047</v>
      </c>
      <c r="AL702" s="389">
        <v>40</v>
      </c>
      <c r="AM702" s="391" t="s">
        <v>548</v>
      </c>
      <c r="AN702" s="391" t="s">
        <v>549</v>
      </c>
      <c r="AO702" s="391" t="s">
        <v>5618</v>
      </c>
    </row>
    <row r="703" spans="1:43" ht="16" thickBot="1">
      <c r="A703" s="387" t="s">
        <v>1717</v>
      </c>
      <c r="B703" s="387" t="s">
        <v>5627</v>
      </c>
      <c r="C703" s="387" t="s">
        <v>5628</v>
      </c>
      <c r="D703" s="387" t="s">
        <v>5629</v>
      </c>
      <c r="E703" s="387">
        <v>84</v>
      </c>
      <c r="F703" s="387" t="s">
        <v>559</v>
      </c>
      <c r="G703" s="387" t="s">
        <v>543</v>
      </c>
      <c r="H703" s="387" t="s">
        <v>559</v>
      </c>
      <c r="I703" s="387" t="s">
        <v>560</v>
      </c>
      <c r="J703" s="387" t="s">
        <v>5613</v>
      </c>
      <c r="K703" s="387" t="s">
        <v>5625</v>
      </c>
      <c r="L703" s="387" t="s">
        <v>562</v>
      </c>
      <c r="M703" s="387" t="s">
        <v>563</v>
      </c>
      <c r="N703" s="388">
        <v>13.89</v>
      </c>
      <c r="O703" s="388">
        <v>14</v>
      </c>
      <c r="P703" s="387" t="s">
        <v>538</v>
      </c>
      <c r="Q703" s="387" t="s">
        <v>539</v>
      </c>
      <c r="R703" s="387" t="s">
        <v>5615</v>
      </c>
      <c r="S703" s="387" t="s">
        <v>171</v>
      </c>
      <c r="T703" s="387" t="s">
        <v>542</v>
      </c>
      <c r="U703" s="388">
        <v>2724179</v>
      </c>
      <c r="V703" s="387">
        <v>6009628331064</v>
      </c>
      <c r="W703" s="387">
        <v>6009628331064</v>
      </c>
      <c r="X703" s="387" t="s">
        <v>543</v>
      </c>
      <c r="Y703" s="387">
        <v>16009628331078</v>
      </c>
      <c r="Z703" s="387" t="s">
        <v>543</v>
      </c>
      <c r="AA703" s="388" t="s">
        <v>543</v>
      </c>
      <c r="AB703" s="388" t="s">
        <v>543</v>
      </c>
      <c r="AC703" s="387" t="s">
        <v>543</v>
      </c>
      <c r="AD703" s="389">
        <v>60</v>
      </c>
      <c r="AE703" s="390">
        <v>45047</v>
      </c>
      <c r="AF703" s="390">
        <v>46142</v>
      </c>
      <c r="AG703" s="391" t="s">
        <v>545</v>
      </c>
      <c r="AH703" s="391" t="s">
        <v>5631</v>
      </c>
      <c r="AI703" s="391" t="s">
        <v>565</v>
      </c>
      <c r="AJ703" s="391">
        <v>0</v>
      </c>
      <c r="AK703" s="390">
        <v>45047</v>
      </c>
      <c r="AL703" s="389">
        <v>60</v>
      </c>
      <c r="AM703" s="391" t="s">
        <v>548</v>
      </c>
      <c r="AN703" s="391" t="s">
        <v>549</v>
      </c>
      <c r="AO703" s="391" t="s">
        <v>5618</v>
      </c>
    </row>
    <row r="704" spans="1:43" ht="16" thickBot="1">
      <c r="A704" s="387" t="s">
        <v>1717</v>
      </c>
      <c r="B704" s="387" t="s">
        <v>5632</v>
      </c>
      <c r="C704" s="387" t="s">
        <v>5633</v>
      </c>
      <c r="D704" s="387" t="s">
        <v>5634</v>
      </c>
      <c r="E704" s="387">
        <v>28</v>
      </c>
      <c r="F704" s="387" t="s">
        <v>559</v>
      </c>
      <c r="G704" s="387" t="s">
        <v>543</v>
      </c>
      <c r="H704" s="387" t="s">
        <v>559</v>
      </c>
      <c r="I704" s="387" t="s">
        <v>560</v>
      </c>
      <c r="J704" s="387" t="s">
        <v>5613</v>
      </c>
      <c r="K704" s="387" t="s">
        <v>5635</v>
      </c>
      <c r="L704" s="387" t="s">
        <v>1829</v>
      </c>
      <c r="M704" s="387" t="s">
        <v>1830</v>
      </c>
      <c r="N704" s="388">
        <v>7.48</v>
      </c>
      <c r="O704" s="388">
        <v>14</v>
      </c>
      <c r="P704" s="387" t="s">
        <v>538</v>
      </c>
      <c r="Q704" s="387" t="s">
        <v>539</v>
      </c>
      <c r="R704" s="387" t="s">
        <v>5615</v>
      </c>
      <c r="S704" s="387" t="s">
        <v>171</v>
      </c>
      <c r="T704" s="387" t="s">
        <v>542</v>
      </c>
      <c r="U704" s="388">
        <v>1120719</v>
      </c>
      <c r="V704" s="387">
        <v>6009694780612</v>
      </c>
      <c r="W704" s="387">
        <v>6009694780612</v>
      </c>
      <c r="X704" s="387" t="s">
        <v>543</v>
      </c>
      <c r="Y704" s="387">
        <v>16009694780619</v>
      </c>
      <c r="Z704" s="387" t="s">
        <v>543</v>
      </c>
      <c r="AA704" s="388" t="s">
        <v>543</v>
      </c>
      <c r="AB704" s="388" t="s">
        <v>543</v>
      </c>
      <c r="AC704" s="387" t="s">
        <v>543</v>
      </c>
      <c r="AD704" s="389">
        <v>10</v>
      </c>
      <c r="AE704" s="390">
        <v>45047</v>
      </c>
      <c r="AF704" s="390">
        <v>46142</v>
      </c>
      <c r="AG704" s="391" t="s">
        <v>545</v>
      </c>
      <c r="AH704" s="391" t="s">
        <v>5636</v>
      </c>
      <c r="AI704" s="391" t="s">
        <v>1833</v>
      </c>
      <c r="AJ704" s="391">
        <v>0</v>
      </c>
      <c r="AK704" s="390">
        <v>45047</v>
      </c>
      <c r="AL704" s="389">
        <v>60</v>
      </c>
      <c r="AM704" s="391" t="s">
        <v>548</v>
      </c>
      <c r="AN704" s="391" t="s">
        <v>549</v>
      </c>
      <c r="AO704" s="391" t="s">
        <v>5637</v>
      </c>
      <c r="AP704" s="372">
        <f>N704/E704</f>
        <v>0.26714285714285718</v>
      </c>
      <c r="AQ704" s="372">
        <f>SUMPRODUCT(AP704:AP710,U704:U710)/SUM(U704:U710)</f>
        <v>0.24251214563675313</v>
      </c>
    </row>
    <row r="705" spans="1:43" ht="16" thickBot="1">
      <c r="A705" s="387" t="s">
        <v>1717</v>
      </c>
      <c r="B705" s="387" t="s">
        <v>5632</v>
      </c>
      <c r="C705" s="387" t="s">
        <v>5633</v>
      </c>
      <c r="D705" s="387" t="s">
        <v>5634</v>
      </c>
      <c r="E705" s="387">
        <v>28</v>
      </c>
      <c r="F705" s="387" t="s">
        <v>559</v>
      </c>
      <c r="G705" s="387" t="s">
        <v>543</v>
      </c>
      <c r="H705" s="387" t="s">
        <v>559</v>
      </c>
      <c r="I705" s="387" t="s">
        <v>560</v>
      </c>
      <c r="J705" s="387" t="s">
        <v>5613</v>
      </c>
      <c r="K705" s="387" t="s">
        <v>5638</v>
      </c>
      <c r="L705" s="387" t="s">
        <v>562</v>
      </c>
      <c r="M705" s="387" t="s">
        <v>563</v>
      </c>
      <c r="N705" s="388">
        <v>7.29</v>
      </c>
      <c r="O705" s="388">
        <v>14</v>
      </c>
      <c r="P705" s="387" t="s">
        <v>538</v>
      </c>
      <c r="Q705" s="387" t="s">
        <v>539</v>
      </c>
      <c r="R705" s="387" t="s">
        <v>5615</v>
      </c>
      <c r="S705" s="387" t="s">
        <v>171</v>
      </c>
      <c r="T705" s="387" t="s">
        <v>542</v>
      </c>
      <c r="U705" s="388">
        <v>747146</v>
      </c>
      <c r="V705" s="387" t="s">
        <v>543</v>
      </c>
      <c r="W705" s="387" t="s">
        <v>543</v>
      </c>
      <c r="X705" s="387" t="s">
        <v>543</v>
      </c>
      <c r="Y705" s="387" t="s">
        <v>543</v>
      </c>
      <c r="Z705" s="387" t="s">
        <v>543</v>
      </c>
      <c r="AA705" s="388" t="s">
        <v>543</v>
      </c>
      <c r="AB705" s="388" t="s">
        <v>543</v>
      </c>
      <c r="AC705" s="387" t="s">
        <v>543</v>
      </c>
      <c r="AD705" s="389">
        <v>90</v>
      </c>
      <c r="AE705" s="390">
        <v>45047</v>
      </c>
      <c r="AF705" s="390">
        <v>46142</v>
      </c>
      <c r="AG705" s="391" t="s">
        <v>545</v>
      </c>
      <c r="AH705" s="391" t="s">
        <v>5636</v>
      </c>
      <c r="AI705" s="391" t="s">
        <v>565</v>
      </c>
      <c r="AJ705" s="391">
        <v>0</v>
      </c>
      <c r="AK705" s="390">
        <v>45047</v>
      </c>
      <c r="AL705" s="389">
        <v>40</v>
      </c>
      <c r="AM705" s="391" t="s">
        <v>548</v>
      </c>
      <c r="AN705" s="391" t="s">
        <v>549</v>
      </c>
      <c r="AO705" s="391" t="s">
        <v>5637</v>
      </c>
      <c r="AP705" s="372">
        <f>N705/E705</f>
        <v>0.26035714285714284</v>
      </c>
    </row>
    <row r="706" spans="1:43" ht="16" thickBot="1">
      <c r="A706" s="387" t="s">
        <v>1717</v>
      </c>
      <c r="B706" s="387" t="s">
        <v>5639</v>
      </c>
      <c r="C706" s="387" t="s">
        <v>5640</v>
      </c>
      <c r="D706" s="387" t="s">
        <v>5641</v>
      </c>
      <c r="E706" s="387">
        <v>56</v>
      </c>
      <c r="F706" s="387" t="s">
        <v>559</v>
      </c>
      <c r="G706" s="387" t="s">
        <v>543</v>
      </c>
      <c r="H706" s="387" t="s">
        <v>559</v>
      </c>
      <c r="I706" s="387" t="s">
        <v>560</v>
      </c>
      <c r="J706" s="387" t="s">
        <v>5613</v>
      </c>
      <c r="K706" s="387" t="s">
        <v>5642</v>
      </c>
      <c r="L706" s="387" t="s">
        <v>1886</v>
      </c>
      <c r="M706" s="387" t="s">
        <v>1887</v>
      </c>
      <c r="N706" s="388">
        <v>14.01</v>
      </c>
      <c r="O706" s="388">
        <v>14</v>
      </c>
      <c r="P706" s="387" t="s">
        <v>538</v>
      </c>
      <c r="Q706" s="387" t="s">
        <v>539</v>
      </c>
      <c r="R706" s="387" t="s">
        <v>5615</v>
      </c>
      <c r="S706" s="387" t="s">
        <v>171</v>
      </c>
      <c r="T706" s="387" t="s">
        <v>542</v>
      </c>
      <c r="U706" s="388">
        <v>3390266</v>
      </c>
      <c r="V706" s="387">
        <v>6009691111167</v>
      </c>
      <c r="W706" s="387">
        <v>6009691111167</v>
      </c>
      <c r="X706" s="387" t="s">
        <v>543</v>
      </c>
      <c r="Y706" s="387">
        <v>16009691111164</v>
      </c>
      <c r="Z706" s="387" t="s">
        <v>543</v>
      </c>
      <c r="AA706" s="388" t="s">
        <v>543</v>
      </c>
      <c r="AB706" s="388" t="s">
        <v>543</v>
      </c>
      <c r="AC706" s="387">
        <v>705758</v>
      </c>
      <c r="AD706" s="389">
        <v>10</v>
      </c>
      <c r="AE706" s="390">
        <v>45047</v>
      </c>
      <c r="AF706" s="390">
        <v>46142</v>
      </c>
      <c r="AG706" s="390">
        <v>46142</v>
      </c>
      <c r="AH706" s="391" t="s">
        <v>5643</v>
      </c>
      <c r="AI706" s="391" t="s">
        <v>1889</v>
      </c>
      <c r="AJ706" s="391">
        <v>0</v>
      </c>
      <c r="AK706" s="390">
        <v>45047</v>
      </c>
      <c r="AL706" s="389">
        <v>33.21</v>
      </c>
      <c r="AM706" s="391" t="s">
        <v>548</v>
      </c>
      <c r="AN706" s="391" t="s">
        <v>549</v>
      </c>
      <c r="AO706" s="391" t="s">
        <v>5637</v>
      </c>
      <c r="AP706" s="372">
        <f t="shared" ref="AP706:AP710" si="23">N706/E706</f>
        <v>0.25017857142857142</v>
      </c>
    </row>
    <row r="707" spans="1:43" ht="16" thickBot="1">
      <c r="A707" s="387" t="s">
        <v>1717</v>
      </c>
      <c r="B707" s="387" t="s">
        <v>5639</v>
      </c>
      <c r="C707" s="387" t="s">
        <v>5640</v>
      </c>
      <c r="D707" s="387" t="s">
        <v>5641</v>
      </c>
      <c r="E707" s="387">
        <v>56</v>
      </c>
      <c r="F707" s="387" t="s">
        <v>559</v>
      </c>
      <c r="G707" s="387" t="s">
        <v>543</v>
      </c>
      <c r="H707" s="387" t="s">
        <v>559</v>
      </c>
      <c r="I707" s="387" t="s">
        <v>560</v>
      </c>
      <c r="J707" s="387" t="s">
        <v>5613</v>
      </c>
      <c r="K707" s="387" t="s">
        <v>5635</v>
      </c>
      <c r="L707" s="387" t="s">
        <v>1829</v>
      </c>
      <c r="M707" s="387" t="s">
        <v>1830</v>
      </c>
      <c r="N707" s="388">
        <v>13.77</v>
      </c>
      <c r="O707" s="388">
        <v>14</v>
      </c>
      <c r="P707" s="387" t="s">
        <v>538</v>
      </c>
      <c r="Q707" s="387" t="s">
        <v>539</v>
      </c>
      <c r="R707" s="387" t="s">
        <v>5615</v>
      </c>
      <c r="S707" s="387" t="s">
        <v>171</v>
      </c>
      <c r="T707" s="387" t="s">
        <v>542</v>
      </c>
      <c r="U707" s="388">
        <v>3446501</v>
      </c>
      <c r="V707" s="387">
        <v>6009694780506</v>
      </c>
      <c r="W707" s="387">
        <v>6009694780506</v>
      </c>
      <c r="X707" s="387" t="s">
        <v>543</v>
      </c>
      <c r="Y707" s="387">
        <v>16009694780527</v>
      </c>
      <c r="Z707" s="387" t="s">
        <v>543</v>
      </c>
      <c r="AA707" s="388" t="s">
        <v>543</v>
      </c>
      <c r="AB707" s="388" t="s">
        <v>543</v>
      </c>
      <c r="AC707" s="387" t="s">
        <v>543</v>
      </c>
      <c r="AD707" s="389">
        <v>10</v>
      </c>
      <c r="AE707" s="390">
        <v>45047</v>
      </c>
      <c r="AF707" s="390">
        <v>46142</v>
      </c>
      <c r="AG707" s="390">
        <v>46142</v>
      </c>
      <c r="AH707" s="391" t="s">
        <v>5643</v>
      </c>
      <c r="AI707" s="391" t="s">
        <v>1833</v>
      </c>
      <c r="AJ707" s="391">
        <v>0</v>
      </c>
      <c r="AK707" s="390">
        <v>45047</v>
      </c>
      <c r="AL707" s="389">
        <v>33.76</v>
      </c>
      <c r="AM707" s="391" t="s">
        <v>548</v>
      </c>
      <c r="AN707" s="391" t="s">
        <v>549</v>
      </c>
      <c r="AO707" s="391" t="s">
        <v>5637</v>
      </c>
      <c r="AP707" s="372">
        <f t="shared" si="23"/>
        <v>0.24589285714285714</v>
      </c>
    </row>
    <row r="708" spans="1:43" ht="16" thickBot="1">
      <c r="A708" s="387" t="s">
        <v>1717</v>
      </c>
      <c r="B708" s="387" t="s">
        <v>5639</v>
      </c>
      <c r="C708" s="387" t="s">
        <v>5640</v>
      </c>
      <c r="D708" s="387" t="s">
        <v>5641</v>
      </c>
      <c r="E708" s="387">
        <v>56</v>
      </c>
      <c r="F708" s="387" t="s">
        <v>559</v>
      </c>
      <c r="G708" s="387" t="s">
        <v>543</v>
      </c>
      <c r="H708" s="387" t="s">
        <v>559</v>
      </c>
      <c r="I708" s="387" t="s">
        <v>560</v>
      </c>
      <c r="J708" s="387" t="s">
        <v>5613</v>
      </c>
      <c r="K708" s="387" t="s">
        <v>5638</v>
      </c>
      <c r="L708" s="387" t="s">
        <v>562</v>
      </c>
      <c r="M708" s="387" t="s">
        <v>563</v>
      </c>
      <c r="N708" s="388">
        <v>13.49</v>
      </c>
      <c r="O708" s="388">
        <v>14</v>
      </c>
      <c r="P708" s="387" t="s">
        <v>538</v>
      </c>
      <c r="Q708" s="387" t="s">
        <v>539</v>
      </c>
      <c r="R708" s="387" t="s">
        <v>5615</v>
      </c>
      <c r="S708" s="387" t="s">
        <v>171</v>
      </c>
      <c r="T708" s="387" t="s">
        <v>542</v>
      </c>
      <c r="U708" s="388">
        <v>3371625</v>
      </c>
      <c r="V708" s="387">
        <v>6009628331071</v>
      </c>
      <c r="W708" s="387">
        <v>6009628331071</v>
      </c>
      <c r="X708" s="387" t="s">
        <v>543</v>
      </c>
      <c r="Y708" s="387">
        <v>16009628331078</v>
      </c>
      <c r="Z708" s="387" t="s">
        <v>543</v>
      </c>
      <c r="AA708" s="388" t="s">
        <v>543</v>
      </c>
      <c r="AB708" s="388" t="s">
        <v>543</v>
      </c>
      <c r="AC708" s="387" t="s">
        <v>543</v>
      </c>
      <c r="AD708" s="389">
        <v>60</v>
      </c>
      <c r="AE708" s="390">
        <v>45047</v>
      </c>
      <c r="AF708" s="390">
        <v>46142</v>
      </c>
      <c r="AG708" s="390">
        <v>46142</v>
      </c>
      <c r="AH708" s="391" t="s">
        <v>5643</v>
      </c>
      <c r="AI708" s="391" t="s">
        <v>565</v>
      </c>
      <c r="AJ708" s="391">
        <v>0</v>
      </c>
      <c r="AK708" s="390">
        <v>45047</v>
      </c>
      <c r="AL708" s="389">
        <v>33.03</v>
      </c>
      <c r="AM708" s="391" t="s">
        <v>548</v>
      </c>
      <c r="AN708" s="391" t="s">
        <v>549</v>
      </c>
      <c r="AO708" s="391" t="s">
        <v>5637</v>
      </c>
      <c r="AP708" s="372">
        <f t="shared" si="23"/>
        <v>0.24089285714285716</v>
      </c>
    </row>
    <row r="709" spans="1:43" ht="16" thickBot="1">
      <c r="A709" s="387" t="s">
        <v>1717</v>
      </c>
      <c r="B709" s="387" t="s">
        <v>5644</v>
      </c>
      <c r="C709" s="387" t="s">
        <v>5645</v>
      </c>
      <c r="D709" s="387" t="s">
        <v>5646</v>
      </c>
      <c r="E709" s="387">
        <v>84</v>
      </c>
      <c r="F709" s="387" t="s">
        <v>559</v>
      </c>
      <c r="G709" s="387" t="s">
        <v>543</v>
      </c>
      <c r="H709" s="387" t="s">
        <v>559</v>
      </c>
      <c r="I709" s="387" t="s">
        <v>560</v>
      </c>
      <c r="J709" s="387" t="s">
        <v>5613</v>
      </c>
      <c r="K709" s="387" t="s">
        <v>5638</v>
      </c>
      <c r="L709" s="387" t="s">
        <v>562</v>
      </c>
      <c r="M709" s="387" t="s">
        <v>563</v>
      </c>
      <c r="N709" s="388">
        <v>18.91</v>
      </c>
      <c r="O709" s="388">
        <v>14</v>
      </c>
      <c r="P709" s="387" t="s">
        <v>538</v>
      </c>
      <c r="Q709" s="387" t="s">
        <v>539</v>
      </c>
      <c r="R709" s="387" t="s">
        <v>5615</v>
      </c>
      <c r="S709" s="387" t="s">
        <v>171</v>
      </c>
      <c r="T709" s="387" t="s">
        <v>542</v>
      </c>
      <c r="U709" s="388">
        <v>1465001</v>
      </c>
      <c r="V709" s="387">
        <v>6009628331088</v>
      </c>
      <c r="W709" s="387">
        <v>6009628331088</v>
      </c>
      <c r="X709" s="387" t="s">
        <v>543</v>
      </c>
      <c r="Y709" s="387">
        <v>16009628331085</v>
      </c>
      <c r="Z709" s="387" t="s">
        <v>543</v>
      </c>
      <c r="AA709" s="388" t="s">
        <v>543</v>
      </c>
      <c r="AB709" s="388" t="s">
        <v>543</v>
      </c>
      <c r="AC709" s="387" t="s">
        <v>543</v>
      </c>
      <c r="AD709" s="389">
        <v>40</v>
      </c>
      <c r="AE709" s="390">
        <v>45047</v>
      </c>
      <c r="AF709" s="390">
        <v>46142</v>
      </c>
      <c r="AG709" s="391" t="s">
        <v>545</v>
      </c>
      <c r="AH709" s="391" t="s">
        <v>5647</v>
      </c>
      <c r="AI709" s="391" t="s">
        <v>565</v>
      </c>
      <c r="AJ709" s="391">
        <v>0</v>
      </c>
      <c r="AK709" s="390">
        <v>45047</v>
      </c>
      <c r="AL709" s="389">
        <v>40</v>
      </c>
      <c r="AM709" s="391" t="s">
        <v>548</v>
      </c>
      <c r="AN709" s="391" t="s">
        <v>549</v>
      </c>
      <c r="AO709" s="391" t="s">
        <v>5637</v>
      </c>
      <c r="AP709" s="372">
        <f t="shared" si="23"/>
        <v>0.22511904761904761</v>
      </c>
    </row>
    <row r="710" spans="1:43" ht="16" thickBot="1">
      <c r="A710" s="387" t="s">
        <v>1717</v>
      </c>
      <c r="B710" s="387" t="s">
        <v>5644</v>
      </c>
      <c r="C710" s="387" t="s">
        <v>5645</v>
      </c>
      <c r="D710" s="387" t="s">
        <v>5646</v>
      </c>
      <c r="E710" s="387">
        <v>84</v>
      </c>
      <c r="F710" s="387" t="s">
        <v>559</v>
      </c>
      <c r="G710" s="387" t="s">
        <v>543</v>
      </c>
      <c r="H710" s="387" t="s">
        <v>559</v>
      </c>
      <c r="I710" s="387" t="s">
        <v>560</v>
      </c>
      <c r="J710" s="387" t="s">
        <v>5613</v>
      </c>
      <c r="K710" s="387" t="s">
        <v>5648</v>
      </c>
      <c r="L710" s="387" t="s">
        <v>2200</v>
      </c>
      <c r="M710" s="387" t="s">
        <v>2201</v>
      </c>
      <c r="N710" s="388">
        <v>18.55</v>
      </c>
      <c r="O710" s="388">
        <v>14</v>
      </c>
      <c r="P710" s="387" t="s">
        <v>538</v>
      </c>
      <c r="Q710" s="387" t="s">
        <v>539</v>
      </c>
      <c r="R710" s="387" t="s">
        <v>5615</v>
      </c>
      <c r="S710" s="387" t="s">
        <v>171</v>
      </c>
      <c r="T710" s="387" t="s">
        <v>542</v>
      </c>
      <c r="U710" s="388">
        <v>2197502</v>
      </c>
      <c r="V710" s="387" t="s">
        <v>543</v>
      </c>
      <c r="W710" s="387" t="s">
        <v>543</v>
      </c>
      <c r="X710" s="387" t="s">
        <v>543</v>
      </c>
      <c r="Y710" s="387" t="s">
        <v>543</v>
      </c>
      <c r="Z710" s="387" t="s">
        <v>543</v>
      </c>
      <c r="AA710" s="388" t="s">
        <v>543</v>
      </c>
      <c r="AB710" s="388" t="s">
        <v>543</v>
      </c>
      <c r="AC710" s="387" t="s">
        <v>543</v>
      </c>
      <c r="AD710" s="389" t="s">
        <v>5649</v>
      </c>
      <c r="AE710" s="390">
        <v>45047</v>
      </c>
      <c r="AF710" s="390">
        <v>46142</v>
      </c>
      <c r="AG710" s="391" t="s">
        <v>545</v>
      </c>
      <c r="AH710" s="391" t="s">
        <v>5647</v>
      </c>
      <c r="AI710" s="391" t="s">
        <v>2203</v>
      </c>
      <c r="AJ710" s="391">
        <v>0</v>
      </c>
      <c r="AK710" s="390">
        <v>45047</v>
      </c>
      <c r="AL710" s="389">
        <v>60</v>
      </c>
      <c r="AM710" s="391" t="s">
        <v>548</v>
      </c>
      <c r="AN710" s="391" t="s">
        <v>549</v>
      </c>
      <c r="AO710" s="391" t="s">
        <v>5637</v>
      </c>
      <c r="AP710" s="372">
        <f t="shared" si="23"/>
        <v>0.22083333333333335</v>
      </c>
    </row>
    <row r="711" spans="1:43" ht="16" thickBot="1">
      <c r="A711" s="387" t="s">
        <v>1729</v>
      </c>
      <c r="B711" s="387" t="s">
        <v>2943</v>
      </c>
      <c r="C711" s="387" t="s">
        <v>5650</v>
      </c>
      <c r="D711" s="387" t="s">
        <v>5651</v>
      </c>
      <c r="E711" s="387">
        <v>60</v>
      </c>
      <c r="F711" s="387" t="s">
        <v>531</v>
      </c>
      <c r="G711" s="387">
        <v>60</v>
      </c>
      <c r="H711" s="387" t="s">
        <v>531</v>
      </c>
      <c r="I711" s="387" t="s">
        <v>532</v>
      </c>
      <c r="J711" s="387" t="s">
        <v>5652</v>
      </c>
      <c r="K711" s="387" t="s">
        <v>5653</v>
      </c>
      <c r="L711" s="387" t="s">
        <v>1711</v>
      </c>
      <c r="M711" s="387" t="s">
        <v>1712</v>
      </c>
      <c r="N711" s="388">
        <v>56.5</v>
      </c>
      <c r="O711" s="388">
        <v>14</v>
      </c>
      <c r="P711" s="387" t="s">
        <v>538</v>
      </c>
      <c r="Q711" s="387" t="s">
        <v>539</v>
      </c>
      <c r="R711" s="387" t="s">
        <v>5654</v>
      </c>
      <c r="S711" s="387" t="s">
        <v>171</v>
      </c>
      <c r="T711" s="387" t="s">
        <v>757</v>
      </c>
      <c r="U711" s="388">
        <v>4552</v>
      </c>
      <c r="V711" s="387" t="s">
        <v>543</v>
      </c>
      <c r="W711" s="387" t="s">
        <v>543</v>
      </c>
      <c r="X711" s="387" t="s">
        <v>543</v>
      </c>
      <c r="Y711" s="387" t="s">
        <v>543</v>
      </c>
      <c r="Z711" s="387" t="s">
        <v>543</v>
      </c>
      <c r="AA711" s="388" t="s">
        <v>543</v>
      </c>
      <c r="AB711" s="388" t="s">
        <v>543</v>
      </c>
      <c r="AC711" s="387" t="s">
        <v>543</v>
      </c>
      <c r="AD711" s="389">
        <v>12</v>
      </c>
      <c r="AE711" s="390">
        <v>44105</v>
      </c>
      <c r="AF711" s="390">
        <v>45199</v>
      </c>
      <c r="AG711" s="390">
        <v>45199</v>
      </c>
      <c r="AH711" s="391" t="s">
        <v>545</v>
      </c>
      <c r="AI711" s="391" t="s">
        <v>1715</v>
      </c>
      <c r="AJ711" s="391">
        <v>0</v>
      </c>
      <c r="AK711" s="390">
        <v>44105</v>
      </c>
      <c r="AL711" s="389">
        <v>100</v>
      </c>
      <c r="AM711" s="391" t="s">
        <v>548</v>
      </c>
      <c r="AN711" s="391" t="s">
        <v>545</v>
      </c>
      <c r="AO711" s="391" t="s">
        <v>5655</v>
      </c>
    </row>
    <row r="712" spans="1:43" ht="16" thickBot="1">
      <c r="A712" s="387" t="s">
        <v>2166</v>
      </c>
      <c r="B712" s="387" t="s">
        <v>2630</v>
      </c>
      <c r="C712" s="387" t="s">
        <v>5656</v>
      </c>
      <c r="D712" s="387" t="s">
        <v>5657</v>
      </c>
      <c r="E712" s="387">
        <v>10</v>
      </c>
      <c r="F712" s="387" t="s">
        <v>531</v>
      </c>
      <c r="G712" s="387">
        <v>10</v>
      </c>
      <c r="H712" s="387" t="s">
        <v>531</v>
      </c>
      <c r="I712" s="387" t="s">
        <v>1751</v>
      </c>
      <c r="J712" s="387" t="s">
        <v>5658</v>
      </c>
      <c r="K712" s="387" t="s">
        <v>5659</v>
      </c>
      <c r="L712" s="387" t="s">
        <v>1793</v>
      </c>
      <c r="M712" s="387" t="s">
        <v>1794</v>
      </c>
      <c r="N712" s="388">
        <v>662.14</v>
      </c>
      <c r="O712" s="388">
        <v>14</v>
      </c>
      <c r="P712" s="387" t="s">
        <v>538</v>
      </c>
      <c r="Q712" s="387" t="s">
        <v>539</v>
      </c>
      <c r="R712" s="387" t="s">
        <v>5660</v>
      </c>
      <c r="S712" s="387" t="s">
        <v>541</v>
      </c>
      <c r="T712" s="387" t="s">
        <v>1908</v>
      </c>
      <c r="U712" s="388">
        <v>11112</v>
      </c>
      <c r="V712" s="387">
        <v>6009646070013</v>
      </c>
      <c r="W712" s="387">
        <v>6009646070013</v>
      </c>
      <c r="X712" s="387" t="s">
        <v>543</v>
      </c>
      <c r="Y712" s="387">
        <v>6009646070013</v>
      </c>
      <c r="Z712" s="387" t="s">
        <v>543</v>
      </c>
      <c r="AA712" s="388" t="s">
        <v>543</v>
      </c>
      <c r="AB712" s="388" t="s">
        <v>543</v>
      </c>
      <c r="AC712" s="387">
        <v>782564003</v>
      </c>
      <c r="AD712" s="389">
        <v>5</v>
      </c>
      <c r="AE712" s="390">
        <v>44743</v>
      </c>
      <c r="AF712" s="390">
        <v>45473</v>
      </c>
      <c r="AG712" s="390">
        <v>45473</v>
      </c>
      <c r="AH712" s="391" t="s">
        <v>5661</v>
      </c>
      <c r="AI712" s="391" t="s">
        <v>1797</v>
      </c>
      <c r="AJ712" s="391">
        <v>8</v>
      </c>
      <c r="AK712" s="390">
        <v>44958</v>
      </c>
      <c r="AL712" s="389">
        <v>100</v>
      </c>
      <c r="AM712" s="391" t="s">
        <v>548</v>
      </c>
      <c r="AN712" s="391" t="s">
        <v>549</v>
      </c>
      <c r="AO712" s="391" t="s">
        <v>5662</v>
      </c>
    </row>
    <row r="713" spans="1:43" ht="16" thickBot="1">
      <c r="A713" s="387" t="s">
        <v>2166</v>
      </c>
      <c r="B713" s="387" t="s">
        <v>2857</v>
      </c>
      <c r="C713" s="387" t="s">
        <v>5663</v>
      </c>
      <c r="D713" s="387" t="s">
        <v>5664</v>
      </c>
      <c r="E713" s="387">
        <v>100</v>
      </c>
      <c r="F713" s="387" t="s">
        <v>559</v>
      </c>
      <c r="G713" s="387">
        <v>100</v>
      </c>
      <c r="H713" s="387" t="s">
        <v>559</v>
      </c>
      <c r="I713" s="387" t="s">
        <v>560</v>
      </c>
      <c r="J713" s="387" t="s">
        <v>5658</v>
      </c>
      <c r="K713" s="387" t="s">
        <v>5665</v>
      </c>
      <c r="L713" s="387" t="s">
        <v>1793</v>
      </c>
      <c r="M713" s="387" t="s">
        <v>1794</v>
      </c>
      <c r="N713" s="388">
        <v>157.26</v>
      </c>
      <c r="O713" s="388">
        <v>14</v>
      </c>
      <c r="P713" s="387" t="s">
        <v>538</v>
      </c>
      <c r="Q713" s="387" t="s">
        <v>539</v>
      </c>
      <c r="R713" s="387" t="s">
        <v>5666</v>
      </c>
      <c r="S713" s="387" t="s">
        <v>541</v>
      </c>
      <c r="T713" s="387" t="s">
        <v>757</v>
      </c>
      <c r="U713" s="388">
        <v>152981</v>
      </c>
      <c r="V713" s="387">
        <v>6009646070488</v>
      </c>
      <c r="W713" s="387">
        <v>6009646070488</v>
      </c>
      <c r="X713" s="387" t="s">
        <v>543</v>
      </c>
      <c r="Y713" s="387">
        <v>6009646070488</v>
      </c>
      <c r="Z713" s="387" t="s">
        <v>543</v>
      </c>
      <c r="AA713" s="388" t="s">
        <v>543</v>
      </c>
      <c r="AB713" s="388" t="s">
        <v>543</v>
      </c>
      <c r="AC713" s="387">
        <v>712504001</v>
      </c>
      <c r="AD713" s="389">
        <v>15</v>
      </c>
      <c r="AE713" s="390">
        <v>44743</v>
      </c>
      <c r="AF713" s="390">
        <v>45473</v>
      </c>
      <c r="AG713" s="391" t="s">
        <v>545</v>
      </c>
      <c r="AH713" s="391" t="s">
        <v>5667</v>
      </c>
      <c r="AI713" s="391" t="s">
        <v>1797</v>
      </c>
      <c r="AJ713" s="391">
        <v>0</v>
      </c>
      <c r="AK713" s="390">
        <v>44743</v>
      </c>
      <c r="AL713" s="389">
        <v>100</v>
      </c>
      <c r="AM713" s="391" t="s">
        <v>548</v>
      </c>
      <c r="AN713" s="391" t="s">
        <v>549</v>
      </c>
      <c r="AO713" s="391" t="s">
        <v>5668</v>
      </c>
    </row>
    <row r="714" spans="1:43" ht="16" thickBot="1">
      <c r="A714" s="387" t="s">
        <v>2166</v>
      </c>
      <c r="B714" s="387" t="s">
        <v>3070</v>
      </c>
      <c r="C714" s="387" t="s">
        <v>5669</v>
      </c>
      <c r="D714" s="387" t="s">
        <v>5670</v>
      </c>
      <c r="E714" s="387">
        <v>2</v>
      </c>
      <c r="F714" s="387" t="s">
        <v>531</v>
      </c>
      <c r="G714" s="387">
        <v>2</v>
      </c>
      <c r="H714" s="387" t="s">
        <v>531</v>
      </c>
      <c r="I714" s="387" t="s">
        <v>1751</v>
      </c>
      <c r="J714" s="387" t="s">
        <v>5658</v>
      </c>
      <c r="K714" s="387" t="s">
        <v>5671</v>
      </c>
      <c r="L714" s="387" t="s">
        <v>1793</v>
      </c>
      <c r="M714" s="387" t="s">
        <v>1794</v>
      </c>
      <c r="N714" s="388">
        <v>47.39</v>
      </c>
      <c r="O714" s="388">
        <v>14</v>
      </c>
      <c r="P714" s="387" t="s">
        <v>538</v>
      </c>
      <c r="Q714" s="387" t="s">
        <v>539</v>
      </c>
      <c r="R714" s="387" t="s">
        <v>5660</v>
      </c>
      <c r="S714" s="387" t="s">
        <v>541</v>
      </c>
      <c r="T714" s="387" t="s">
        <v>757</v>
      </c>
      <c r="U714" s="388">
        <v>21224</v>
      </c>
      <c r="V714" s="387">
        <v>6009646070020</v>
      </c>
      <c r="W714" s="387">
        <v>6009646070020</v>
      </c>
      <c r="X714" s="387" t="s">
        <v>543</v>
      </c>
      <c r="Y714" s="387">
        <v>6009646070020</v>
      </c>
      <c r="Z714" s="387" t="s">
        <v>543</v>
      </c>
      <c r="AA714" s="388" t="s">
        <v>543</v>
      </c>
      <c r="AB714" s="388" t="s">
        <v>543</v>
      </c>
      <c r="AC714" s="387">
        <v>782548009</v>
      </c>
      <c r="AD714" s="389">
        <v>45</v>
      </c>
      <c r="AE714" s="390">
        <v>44743</v>
      </c>
      <c r="AF714" s="390">
        <v>45473</v>
      </c>
      <c r="AG714" s="390">
        <v>45473</v>
      </c>
      <c r="AH714" s="391" t="s">
        <v>5672</v>
      </c>
      <c r="AI714" s="391" t="s">
        <v>1797</v>
      </c>
      <c r="AJ714" s="391">
        <v>8</v>
      </c>
      <c r="AK714" s="390">
        <v>44958</v>
      </c>
      <c r="AL714" s="389">
        <v>100</v>
      </c>
      <c r="AM714" s="391" t="s">
        <v>548</v>
      </c>
      <c r="AN714" s="391" t="s">
        <v>549</v>
      </c>
      <c r="AO714" s="391" t="s">
        <v>5673</v>
      </c>
    </row>
    <row r="715" spans="1:43" ht="16" thickBot="1">
      <c r="A715" s="387" t="s">
        <v>2166</v>
      </c>
      <c r="B715" s="387" t="s">
        <v>3076</v>
      </c>
      <c r="C715" s="387" t="s">
        <v>5674</v>
      </c>
      <c r="D715" s="387" t="s">
        <v>5675</v>
      </c>
      <c r="E715" s="387">
        <v>50</v>
      </c>
      <c r="F715" s="387" t="s">
        <v>531</v>
      </c>
      <c r="G715" s="387">
        <v>50</v>
      </c>
      <c r="H715" s="387" t="s">
        <v>531</v>
      </c>
      <c r="I715" s="387" t="s">
        <v>1751</v>
      </c>
      <c r="J715" s="387" t="s">
        <v>5658</v>
      </c>
      <c r="K715" s="387" t="s">
        <v>5676</v>
      </c>
      <c r="L715" s="387" t="s">
        <v>1793</v>
      </c>
      <c r="M715" s="387" t="s">
        <v>1794</v>
      </c>
      <c r="N715" s="388">
        <v>3670.86</v>
      </c>
      <c r="O715" s="388">
        <v>14</v>
      </c>
      <c r="P715" s="387" t="s">
        <v>538</v>
      </c>
      <c r="Q715" s="387" t="s">
        <v>539</v>
      </c>
      <c r="R715" s="387" t="s">
        <v>5660</v>
      </c>
      <c r="S715" s="387" t="s">
        <v>541</v>
      </c>
      <c r="T715" s="387" t="s">
        <v>1908</v>
      </c>
      <c r="U715" s="388">
        <v>1640</v>
      </c>
      <c r="V715" s="387">
        <v>6009646070167</v>
      </c>
      <c r="W715" s="387">
        <v>6009646070167</v>
      </c>
      <c r="X715" s="387" t="s">
        <v>543</v>
      </c>
      <c r="Y715" s="387">
        <v>6009646070167</v>
      </c>
      <c r="Z715" s="387" t="s">
        <v>543</v>
      </c>
      <c r="AA715" s="388" t="s">
        <v>543</v>
      </c>
      <c r="AB715" s="388" t="s">
        <v>543</v>
      </c>
      <c r="AC715" s="387">
        <v>701110001</v>
      </c>
      <c r="AD715" s="389">
        <v>1</v>
      </c>
      <c r="AE715" s="390">
        <v>44743</v>
      </c>
      <c r="AF715" s="390">
        <v>45473</v>
      </c>
      <c r="AG715" s="390">
        <v>45473</v>
      </c>
      <c r="AH715" s="391" t="s">
        <v>5677</v>
      </c>
      <c r="AI715" s="391" t="s">
        <v>1797</v>
      </c>
      <c r="AJ715" s="391">
        <v>8</v>
      </c>
      <c r="AK715" s="390">
        <v>44958</v>
      </c>
      <c r="AL715" s="389">
        <v>100</v>
      </c>
      <c r="AM715" s="391" t="s">
        <v>548</v>
      </c>
      <c r="AN715" s="391" t="s">
        <v>549</v>
      </c>
      <c r="AO715" s="391" t="s">
        <v>5678</v>
      </c>
    </row>
    <row r="716" spans="1:43" ht="16" thickBot="1">
      <c r="A716" s="387" t="s">
        <v>2177</v>
      </c>
      <c r="B716" s="387" t="s">
        <v>2692</v>
      </c>
      <c r="C716" s="387" t="s">
        <v>5679</v>
      </c>
      <c r="D716" s="387" t="s">
        <v>5680</v>
      </c>
      <c r="E716" s="387">
        <v>25</v>
      </c>
      <c r="F716" s="387" t="s">
        <v>2180</v>
      </c>
      <c r="G716" s="387">
        <v>25</v>
      </c>
      <c r="H716" s="387" t="s">
        <v>2180</v>
      </c>
      <c r="I716" s="387" t="s">
        <v>2720</v>
      </c>
      <c r="J716" s="387" t="s">
        <v>5681</v>
      </c>
      <c r="K716" s="387" t="s">
        <v>5682</v>
      </c>
      <c r="L716" s="387" t="s">
        <v>2735</v>
      </c>
      <c r="M716" s="387" t="s">
        <v>2736</v>
      </c>
      <c r="N716" s="388">
        <v>3.41</v>
      </c>
      <c r="O716" s="388">
        <v>14</v>
      </c>
      <c r="P716" s="387" t="s">
        <v>538</v>
      </c>
      <c r="Q716" s="387" t="s">
        <v>539</v>
      </c>
      <c r="R716" s="387" t="s">
        <v>5683</v>
      </c>
      <c r="S716" s="387" t="s">
        <v>614</v>
      </c>
      <c r="T716" s="387" t="s">
        <v>542</v>
      </c>
      <c r="U716" s="388">
        <v>8919993</v>
      </c>
      <c r="V716" s="387">
        <v>6009900440606</v>
      </c>
      <c r="W716" s="387">
        <v>6009900440606</v>
      </c>
      <c r="X716" s="387" t="s">
        <v>543</v>
      </c>
      <c r="Y716" s="387">
        <v>16009900091638</v>
      </c>
      <c r="Z716" s="387" t="s">
        <v>543</v>
      </c>
      <c r="AA716" s="388" t="s">
        <v>543</v>
      </c>
      <c r="AB716" s="388" t="s">
        <v>543</v>
      </c>
      <c r="AC716" s="387">
        <v>3001271001</v>
      </c>
      <c r="AD716" s="389">
        <v>500</v>
      </c>
      <c r="AE716" s="390">
        <v>44013</v>
      </c>
      <c r="AF716" s="390">
        <v>45107</v>
      </c>
      <c r="AG716" s="390">
        <v>45107</v>
      </c>
      <c r="AH716" s="391" t="s">
        <v>5684</v>
      </c>
      <c r="AI716" s="391" t="s">
        <v>2737</v>
      </c>
      <c r="AJ716" s="391">
        <v>50</v>
      </c>
      <c r="AK716" s="390">
        <v>44910</v>
      </c>
      <c r="AL716" s="389">
        <v>40</v>
      </c>
      <c r="AM716" s="391" t="s">
        <v>548</v>
      </c>
      <c r="AN716" s="391" t="s">
        <v>545</v>
      </c>
      <c r="AO716" s="391" t="s">
        <v>5685</v>
      </c>
      <c r="AP716" s="372">
        <f>N716/E716</f>
        <v>0.13639999999999999</v>
      </c>
      <c r="AQ716" s="372">
        <f>SUMPRODUCT(AP716:AP717,U716:U717)/SUM(U716:U717)</f>
        <v>0.11576000030852043</v>
      </c>
    </row>
    <row r="717" spans="1:43" ht="16" thickBot="1">
      <c r="A717" s="387" t="s">
        <v>2177</v>
      </c>
      <c r="B717" s="387" t="s">
        <v>2692</v>
      </c>
      <c r="C717" s="387" t="s">
        <v>5679</v>
      </c>
      <c r="D717" s="387" t="s">
        <v>5680</v>
      </c>
      <c r="E717" s="387">
        <v>25</v>
      </c>
      <c r="F717" s="387" t="s">
        <v>2180</v>
      </c>
      <c r="G717" s="387">
        <v>25</v>
      </c>
      <c r="H717" s="387" t="s">
        <v>2180</v>
      </c>
      <c r="I717" s="387" t="s">
        <v>2720</v>
      </c>
      <c r="J717" s="387" t="s">
        <v>5681</v>
      </c>
      <c r="K717" s="387" t="s">
        <v>5686</v>
      </c>
      <c r="L717" s="387" t="s">
        <v>1855</v>
      </c>
      <c r="M717" s="387" t="s">
        <v>1856</v>
      </c>
      <c r="N717" s="388">
        <v>2.5499999999999998</v>
      </c>
      <c r="O717" s="388">
        <v>14</v>
      </c>
      <c r="P717" s="387" t="s">
        <v>538</v>
      </c>
      <c r="Q717" s="387" t="s">
        <v>539</v>
      </c>
      <c r="R717" s="387" t="s">
        <v>5683</v>
      </c>
      <c r="S717" s="387" t="s">
        <v>614</v>
      </c>
      <c r="T717" s="387" t="s">
        <v>542</v>
      </c>
      <c r="U717" s="388">
        <v>13379989</v>
      </c>
      <c r="V717" s="387">
        <v>6001668004564</v>
      </c>
      <c r="W717" s="387" t="s">
        <v>543</v>
      </c>
      <c r="X717" s="387" t="s">
        <v>543</v>
      </c>
      <c r="Y717" s="387">
        <v>16001668004445</v>
      </c>
      <c r="Z717" s="387" t="s">
        <v>543</v>
      </c>
      <c r="AA717" s="388" t="s">
        <v>543</v>
      </c>
      <c r="AB717" s="388" t="s">
        <v>543</v>
      </c>
      <c r="AC717" s="387" t="s">
        <v>543</v>
      </c>
      <c r="AD717" s="389">
        <v>294</v>
      </c>
      <c r="AE717" s="390">
        <v>44013</v>
      </c>
      <c r="AF717" s="390">
        <v>45107</v>
      </c>
      <c r="AG717" s="390">
        <v>45107</v>
      </c>
      <c r="AH717" s="391" t="s">
        <v>5684</v>
      </c>
      <c r="AI717" s="391" t="s">
        <v>1859</v>
      </c>
      <c r="AJ717" s="391">
        <v>51</v>
      </c>
      <c r="AK717" s="390">
        <v>44958</v>
      </c>
      <c r="AL717" s="389">
        <v>60</v>
      </c>
      <c r="AM717" s="391" t="s">
        <v>548</v>
      </c>
      <c r="AN717" s="391" t="s">
        <v>545</v>
      </c>
      <c r="AO717" s="391" t="s">
        <v>5685</v>
      </c>
      <c r="AP717" s="372">
        <f>N717/E717</f>
        <v>0.10199999999999999</v>
      </c>
    </row>
    <row r="718" spans="1:43" ht="16" thickBot="1">
      <c r="A718" s="387" t="s">
        <v>1717</v>
      </c>
      <c r="B718" s="387" t="s">
        <v>5687</v>
      </c>
      <c r="C718" s="387" t="s">
        <v>5688</v>
      </c>
      <c r="D718" s="387" t="s">
        <v>5689</v>
      </c>
      <c r="E718" s="387">
        <v>56</v>
      </c>
      <c r="F718" s="387" t="s">
        <v>559</v>
      </c>
      <c r="G718" s="387" t="s">
        <v>543</v>
      </c>
      <c r="H718" s="387" t="s">
        <v>559</v>
      </c>
      <c r="I718" s="387" t="s">
        <v>560</v>
      </c>
      <c r="J718" s="387" t="s">
        <v>5690</v>
      </c>
      <c r="K718" s="387" t="s">
        <v>5691</v>
      </c>
      <c r="L718" s="387" t="s">
        <v>1829</v>
      </c>
      <c r="M718" s="387" t="s">
        <v>1830</v>
      </c>
      <c r="N718" s="388">
        <v>48.76</v>
      </c>
      <c r="O718" s="388">
        <v>14</v>
      </c>
      <c r="P718" s="387" t="s">
        <v>538</v>
      </c>
      <c r="Q718" s="387" t="s">
        <v>539</v>
      </c>
      <c r="R718" s="387" t="s">
        <v>5692</v>
      </c>
      <c r="S718" s="387" t="s">
        <v>171</v>
      </c>
      <c r="T718" s="387" t="s">
        <v>542</v>
      </c>
      <c r="U718" s="388">
        <v>443238</v>
      </c>
      <c r="V718" s="387">
        <v>6009694782623</v>
      </c>
      <c r="W718" s="387">
        <v>6009694782623</v>
      </c>
      <c r="X718" s="387" t="s">
        <v>543</v>
      </c>
      <c r="Y718" s="387">
        <v>16009694782620</v>
      </c>
      <c r="Z718" s="387" t="s">
        <v>543</v>
      </c>
      <c r="AA718" s="388" t="s">
        <v>543</v>
      </c>
      <c r="AB718" s="388" t="s">
        <v>543</v>
      </c>
      <c r="AC718" s="387" t="s">
        <v>543</v>
      </c>
      <c r="AD718" s="389">
        <v>10</v>
      </c>
      <c r="AE718" s="390">
        <v>45047</v>
      </c>
      <c r="AF718" s="390">
        <v>46142</v>
      </c>
      <c r="AG718" s="391" t="s">
        <v>545</v>
      </c>
      <c r="AH718" s="391" t="s">
        <v>5693</v>
      </c>
      <c r="AI718" s="391" t="s">
        <v>1833</v>
      </c>
      <c r="AJ718" s="391">
        <v>0</v>
      </c>
      <c r="AK718" s="390">
        <v>45047</v>
      </c>
      <c r="AL718" s="389">
        <v>40</v>
      </c>
      <c r="AM718" s="391" t="s">
        <v>548</v>
      </c>
      <c r="AN718" s="391" t="s">
        <v>549</v>
      </c>
      <c r="AO718" s="391" t="s">
        <v>5694</v>
      </c>
    </row>
    <row r="719" spans="1:43" ht="16" thickBot="1">
      <c r="A719" s="387" t="s">
        <v>1717</v>
      </c>
      <c r="B719" s="387" t="s">
        <v>5687</v>
      </c>
      <c r="C719" s="387" t="s">
        <v>5688</v>
      </c>
      <c r="D719" s="387" t="s">
        <v>5689</v>
      </c>
      <c r="E719" s="387">
        <v>56</v>
      </c>
      <c r="F719" s="387" t="s">
        <v>559</v>
      </c>
      <c r="G719" s="387" t="s">
        <v>543</v>
      </c>
      <c r="H719" s="387" t="s">
        <v>559</v>
      </c>
      <c r="I719" s="387" t="s">
        <v>560</v>
      </c>
      <c r="J719" s="387" t="s">
        <v>5690</v>
      </c>
      <c r="K719" s="387" t="s">
        <v>5695</v>
      </c>
      <c r="L719" s="387" t="s">
        <v>4317</v>
      </c>
      <c r="M719" s="387" t="s">
        <v>4318</v>
      </c>
      <c r="N719" s="388">
        <v>42.68</v>
      </c>
      <c r="O719" s="388">
        <v>14</v>
      </c>
      <c r="P719" s="387" t="s">
        <v>538</v>
      </c>
      <c r="Q719" s="387" t="s">
        <v>539</v>
      </c>
      <c r="R719" s="387" t="s">
        <v>5692</v>
      </c>
      <c r="S719" s="387" t="s">
        <v>171</v>
      </c>
      <c r="T719" s="387" t="s">
        <v>542</v>
      </c>
      <c r="U719" s="388">
        <v>664857</v>
      </c>
      <c r="V719" s="387" t="s">
        <v>543</v>
      </c>
      <c r="W719" s="387" t="s">
        <v>543</v>
      </c>
      <c r="X719" s="387" t="s">
        <v>543</v>
      </c>
      <c r="Y719" s="387" t="s">
        <v>543</v>
      </c>
      <c r="Z719" s="387" t="s">
        <v>543</v>
      </c>
      <c r="AA719" s="388" t="s">
        <v>543</v>
      </c>
      <c r="AB719" s="388" t="s">
        <v>543</v>
      </c>
      <c r="AC719" s="387" t="s">
        <v>543</v>
      </c>
      <c r="AD719" s="389">
        <v>150</v>
      </c>
      <c r="AE719" s="390">
        <v>45047</v>
      </c>
      <c r="AF719" s="390">
        <v>46142</v>
      </c>
      <c r="AG719" s="391" t="s">
        <v>545</v>
      </c>
      <c r="AH719" s="391" t="s">
        <v>5693</v>
      </c>
      <c r="AI719" s="391" t="s">
        <v>4320</v>
      </c>
      <c r="AJ719" s="391">
        <v>0</v>
      </c>
      <c r="AK719" s="390">
        <v>45047</v>
      </c>
      <c r="AL719" s="389">
        <v>60</v>
      </c>
      <c r="AM719" s="391" t="s">
        <v>548</v>
      </c>
      <c r="AN719" s="391" t="s">
        <v>549</v>
      </c>
      <c r="AO719" s="391" t="s">
        <v>5694</v>
      </c>
    </row>
    <row r="720" spans="1:43" ht="16" thickBot="1">
      <c r="A720" s="387" t="s">
        <v>1717</v>
      </c>
      <c r="B720" s="387" t="s">
        <v>5696</v>
      </c>
      <c r="C720" s="387" t="s">
        <v>5697</v>
      </c>
      <c r="D720" s="387" t="s">
        <v>5698</v>
      </c>
      <c r="E720" s="387">
        <v>84</v>
      </c>
      <c r="F720" s="387" t="s">
        <v>559</v>
      </c>
      <c r="G720" s="387" t="s">
        <v>543</v>
      </c>
      <c r="H720" s="387" t="s">
        <v>559</v>
      </c>
      <c r="I720" s="387" t="s">
        <v>560</v>
      </c>
      <c r="J720" s="387" t="s">
        <v>5690</v>
      </c>
      <c r="K720" s="387" t="s">
        <v>5695</v>
      </c>
      <c r="L720" s="387" t="s">
        <v>4317</v>
      </c>
      <c r="M720" s="387" t="s">
        <v>4318</v>
      </c>
      <c r="N720" s="388">
        <v>61.04</v>
      </c>
      <c r="O720" s="388">
        <v>14</v>
      </c>
      <c r="P720" s="387" t="s">
        <v>538</v>
      </c>
      <c r="Q720" s="387" t="s">
        <v>539</v>
      </c>
      <c r="R720" s="387" t="s">
        <v>5692</v>
      </c>
      <c r="S720" s="387" t="s">
        <v>171</v>
      </c>
      <c r="T720" s="387" t="s">
        <v>542</v>
      </c>
      <c r="U720" s="388">
        <v>988145</v>
      </c>
      <c r="V720" s="387" t="s">
        <v>543</v>
      </c>
      <c r="W720" s="387" t="s">
        <v>543</v>
      </c>
      <c r="X720" s="387" t="s">
        <v>543</v>
      </c>
      <c r="Y720" s="387" t="s">
        <v>543</v>
      </c>
      <c r="Z720" s="387" t="s">
        <v>543</v>
      </c>
      <c r="AA720" s="388" t="s">
        <v>543</v>
      </c>
      <c r="AB720" s="388" t="s">
        <v>543</v>
      </c>
      <c r="AC720" s="387" t="s">
        <v>543</v>
      </c>
      <c r="AD720" s="389">
        <v>150</v>
      </c>
      <c r="AE720" s="390">
        <v>45047</v>
      </c>
      <c r="AF720" s="390">
        <v>46142</v>
      </c>
      <c r="AG720" s="390">
        <v>46142</v>
      </c>
      <c r="AH720" s="391" t="s">
        <v>5699</v>
      </c>
      <c r="AI720" s="391" t="s">
        <v>4320</v>
      </c>
      <c r="AJ720" s="391">
        <v>0</v>
      </c>
      <c r="AK720" s="390">
        <v>45047</v>
      </c>
      <c r="AL720" s="389">
        <v>60</v>
      </c>
      <c r="AM720" s="391" t="s">
        <v>548</v>
      </c>
      <c r="AN720" s="391" t="s">
        <v>549</v>
      </c>
      <c r="AO720" s="391" t="s">
        <v>5694</v>
      </c>
    </row>
    <row r="721" spans="1:43" ht="16" thickBot="1">
      <c r="A721" s="387" t="s">
        <v>1717</v>
      </c>
      <c r="B721" s="387" t="s">
        <v>5696</v>
      </c>
      <c r="C721" s="387" t="s">
        <v>5697</v>
      </c>
      <c r="D721" s="387" t="s">
        <v>5698</v>
      </c>
      <c r="E721" s="387">
        <v>84</v>
      </c>
      <c r="F721" s="387" t="s">
        <v>559</v>
      </c>
      <c r="G721" s="387" t="s">
        <v>543</v>
      </c>
      <c r="H721" s="387" t="s">
        <v>559</v>
      </c>
      <c r="I721" s="387" t="s">
        <v>560</v>
      </c>
      <c r="J721" s="387" t="s">
        <v>5690</v>
      </c>
      <c r="K721" s="387" t="s">
        <v>5691</v>
      </c>
      <c r="L721" s="387" t="s">
        <v>1829</v>
      </c>
      <c r="M721" s="387" t="s">
        <v>1830</v>
      </c>
      <c r="N721" s="388">
        <v>66.900000000000006</v>
      </c>
      <c r="O721" s="388">
        <v>14</v>
      </c>
      <c r="P721" s="387" t="s">
        <v>538</v>
      </c>
      <c r="Q721" s="387" t="s">
        <v>539</v>
      </c>
      <c r="R721" s="387" t="s">
        <v>5692</v>
      </c>
      <c r="S721" s="387" t="s">
        <v>171</v>
      </c>
      <c r="T721" s="387" t="s">
        <v>542</v>
      </c>
      <c r="U721" s="388">
        <v>658763</v>
      </c>
      <c r="V721" s="387">
        <v>6009694782630</v>
      </c>
      <c r="W721" s="387">
        <v>6009694782630</v>
      </c>
      <c r="X721" s="387" t="s">
        <v>543</v>
      </c>
      <c r="Y721" s="387">
        <v>16009694782637</v>
      </c>
      <c r="Z721" s="387" t="s">
        <v>543</v>
      </c>
      <c r="AA721" s="388" t="s">
        <v>543</v>
      </c>
      <c r="AB721" s="388" t="s">
        <v>543</v>
      </c>
      <c r="AC721" s="387" t="s">
        <v>543</v>
      </c>
      <c r="AD721" s="389">
        <v>10</v>
      </c>
      <c r="AE721" s="390">
        <v>45047</v>
      </c>
      <c r="AF721" s="390">
        <v>46142</v>
      </c>
      <c r="AG721" s="390">
        <v>46142</v>
      </c>
      <c r="AH721" s="391" t="s">
        <v>5699</v>
      </c>
      <c r="AI721" s="391" t="s">
        <v>1833</v>
      </c>
      <c r="AJ721" s="391">
        <v>0</v>
      </c>
      <c r="AK721" s="390">
        <v>45047</v>
      </c>
      <c r="AL721" s="389">
        <v>40</v>
      </c>
      <c r="AM721" s="391" t="s">
        <v>548</v>
      </c>
      <c r="AN721" s="391" t="s">
        <v>549</v>
      </c>
      <c r="AO721" s="391" t="s">
        <v>5694</v>
      </c>
    </row>
    <row r="722" spans="1:43" ht="16" thickBot="1">
      <c r="A722" s="387" t="s">
        <v>1717</v>
      </c>
      <c r="B722" s="387" t="s">
        <v>5700</v>
      </c>
      <c r="C722" s="387" t="s">
        <v>5701</v>
      </c>
      <c r="D722" s="387" t="s">
        <v>5702</v>
      </c>
      <c r="E722" s="387">
        <v>30</v>
      </c>
      <c r="F722" s="387" t="s">
        <v>559</v>
      </c>
      <c r="G722" s="387">
        <v>30</v>
      </c>
      <c r="H722" s="387" t="s">
        <v>559</v>
      </c>
      <c r="I722" s="387" t="s">
        <v>560</v>
      </c>
      <c r="J722" s="387" t="s">
        <v>5703</v>
      </c>
      <c r="K722" s="387" t="s">
        <v>5704</v>
      </c>
      <c r="L722" s="387" t="s">
        <v>1905</v>
      </c>
      <c r="M722" s="387" t="s">
        <v>1906</v>
      </c>
      <c r="N722" s="388">
        <v>25.38</v>
      </c>
      <c r="O722" s="388">
        <v>14</v>
      </c>
      <c r="P722" s="387" t="s">
        <v>538</v>
      </c>
      <c r="Q722" s="387" t="s">
        <v>539</v>
      </c>
      <c r="R722" s="387" t="s">
        <v>5705</v>
      </c>
      <c r="S722" s="387" t="s">
        <v>171</v>
      </c>
      <c r="T722" s="387" t="s">
        <v>757</v>
      </c>
      <c r="U722" s="388">
        <v>871438</v>
      </c>
      <c r="V722" s="387">
        <v>6006823005080</v>
      </c>
      <c r="W722" s="387" t="s">
        <v>543</v>
      </c>
      <c r="X722" s="387" t="s">
        <v>543</v>
      </c>
      <c r="Y722" s="387" t="s">
        <v>543</v>
      </c>
      <c r="Z722" s="387" t="s">
        <v>543</v>
      </c>
      <c r="AA722" s="388" t="s">
        <v>543</v>
      </c>
      <c r="AB722" s="388" t="s">
        <v>543</v>
      </c>
      <c r="AC722" s="387" t="s">
        <v>543</v>
      </c>
      <c r="AD722" s="389">
        <v>10</v>
      </c>
      <c r="AE722" s="390">
        <v>45047</v>
      </c>
      <c r="AF722" s="390">
        <v>46142</v>
      </c>
      <c r="AG722" s="391" t="s">
        <v>545</v>
      </c>
      <c r="AH722" s="391" t="s">
        <v>5706</v>
      </c>
      <c r="AI722" s="391" t="s">
        <v>1910</v>
      </c>
      <c r="AJ722" s="391">
        <v>0</v>
      </c>
      <c r="AK722" s="390">
        <v>45047</v>
      </c>
      <c r="AL722" s="389">
        <v>100</v>
      </c>
      <c r="AM722" s="391" t="s">
        <v>548</v>
      </c>
      <c r="AN722" s="391" t="s">
        <v>549</v>
      </c>
      <c r="AO722" s="391" t="s">
        <v>5707</v>
      </c>
    </row>
    <row r="723" spans="1:43" ht="16" thickBot="1">
      <c r="A723" s="387" t="s">
        <v>1717</v>
      </c>
      <c r="B723" s="387" t="s">
        <v>5708</v>
      </c>
      <c r="C723" s="387" t="s">
        <v>5709</v>
      </c>
      <c r="D723" s="387" t="s">
        <v>5710</v>
      </c>
      <c r="E723" s="387">
        <v>30</v>
      </c>
      <c r="F723" s="387" t="s">
        <v>559</v>
      </c>
      <c r="G723" s="387">
        <v>30</v>
      </c>
      <c r="H723" s="387" t="s">
        <v>559</v>
      </c>
      <c r="I723" s="387" t="s">
        <v>560</v>
      </c>
      <c r="J723" s="387" t="s">
        <v>5703</v>
      </c>
      <c r="K723" s="387" t="s">
        <v>5711</v>
      </c>
      <c r="L723" s="387" t="s">
        <v>1761</v>
      </c>
      <c r="M723" s="387" t="s">
        <v>1762</v>
      </c>
      <c r="N723" s="388">
        <v>139.9</v>
      </c>
      <c r="O723" s="388">
        <v>14</v>
      </c>
      <c r="P723" s="387" t="s">
        <v>538</v>
      </c>
      <c r="Q723" s="387" t="s">
        <v>539</v>
      </c>
      <c r="R723" s="387" t="s">
        <v>5705</v>
      </c>
      <c r="S723" s="387" t="s">
        <v>171</v>
      </c>
      <c r="T723" s="387" t="s">
        <v>757</v>
      </c>
      <c r="U723" s="388">
        <v>326848</v>
      </c>
      <c r="V723" s="387" t="s">
        <v>543</v>
      </c>
      <c r="W723" s="387" t="s">
        <v>543</v>
      </c>
      <c r="X723" s="387" t="s">
        <v>543</v>
      </c>
      <c r="Y723" s="387" t="s">
        <v>543</v>
      </c>
      <c r="Z723" s="387" t="s">
        <v>543</v>
      </c>
      <c r="AA723" s="388" t="s">
        <v>543</v>
      </c>
      <c r="AB723" s="388" t="s">
        <v>543</v>
      </c>
      <c r="AC723" s="387" t="s">
        <v>543</v>
      </c>
      <c r="AD723" s="389">
        <v>50</v>
      </c>
      <c r="AE723" s="390">
        <v>45047</v>
      </c>
      <c r="AF723" s="390">
        <v>46142</v>
      </c>
      <c r="AG723" s="391" t="s">
        <v>545</v>
      </c>
      <c r="AH723" s="391" t="s">
        <v>5712</v>
      </c>
      <c r="AI723" s="391" t="s">
        <v>1764</v>
      </c>
      <c r="AJ723" s="391">
        <v>0</v>
      </c>
      <c r="AK723" s="390">
        <v>45047</v>
      </c>
      <c r="AL723" s="389">
        <v>100</v>
      </c>
      <c r="AM723" s="391" t="s">
        <v>548</v>
      </c>
      <c r="AN723" s="391" t="s">
        <v>549</v>
      </c>
      <c r="AO723" s="391" t="s">
        <v>5713</v>
      </c>
    </row>
    <row r="724" spans="1:43" ht="16" thickBot="1">
      <c r="A724" s="387" t="s">
        <v>1717</v>
      </c>
      <c r="B724" s="387" t="s">
        <v>5714</v>
      </c>
      <c r="C724" s="387" t="s">
        <v>5715</v>
      </c>
      <c r="D724" s="387" t="s">
        <v>5716</v>
      </c>
      <c r="E724" s="387">
        <v>30</v>
      </c>
      <c r="F724" s="387" t="s">
        <v>559</v>
      </c>
      <c r="G724" s="387">
        <v>30</v>
      </c>
      <c r="H724" s="387" t="s">
        <v>559</v>
      </c>
      <c r="I724" s="387" t="s">
        <v>5717</v>
      </c>
      <c r="J724" s="387" t="s">
        <v>5703</v>
      </c>
      <c r="K724" s="387" t="s">
        <v>5718</v>
      </c>
      <c r="L724" s="387" t="s">
        <v>1761</v>
      </c>
      <c r="M724" s="387" t="s">
        <v>1762</v>
      </c>
      <c r="N724" s="388">
        <v>166.75</v>
      </c>
      <c r="O724" s="388">
        <v>14</v>
      </c>
      <c r="P724" s="387" t="s">
        <v>611</v>
      </c>
      <c r="Q724" s="387" t="s">
        <v>539</v>
      </c>
      <c r="R724" s="387" t="s">
        <v>5705</v>
      </c>
      <c r="S724" s="387" t="s">
        <v>171</v>
      </c>
      <c r="T724" s="387" t="s">
        <v>757</v>
      </c>
      <c r="U724" s="388">
        <v>143316</v>
      </c>
      <c r="V724" s="387" t="s">
        <v>543</v>
      </c>
      <c r="W724" s="387" t="s">
        <v>543</v>
      </c>
      <c r="X724" s="387" t="s">
        <v>543</v>
      </c>
      <c r="Y724" s="387" t="s">
        <v>543</v>
      </c>
      <c r="Z724" s="387" t="s">
        <v>543</v>
      </c>
      <c r="AA724" s="388" t="s">
        <v>543</v>
      </c>
      <c r="AB724" s="388" t="s">
        <v>543</v>
      </c>
      <c r="AC724" s="387" t="s">
        <v>543</v>
      </c>
      <c r="AD724" s="389">
        <v>50</v>
      </c>
      <c r="AE724" s="390">
        <v>45047</v>
      </c>
      <c r="AF724" s="390">
        <v>46142</v>
      </c>
      <c r="AG724" s="391" t="s">
        <v>545</v>
      </c>
      <c r="AH724" s="391" t="s">
        <v>5719</v>
      </c>
      <c r="AI724" s="391" t="s">
        <v>1764</v>
      </c>
      <c r="AJ724" s="391">
        <v>0</v>
      </c>
      <c r="AK724" s="390">
        <v>45047</v>
      </c>
      <c r="AL724" s="389">
        <v>100</v>
      </c>
      <c r="AM724" s="391" t="s">
        <v>548</v>
      </c>
      <c r="AN724" s="391" t="s">
        <v>549</v>
      </c>
      <c r="AO724" s="391" t="s">
        <v>5720</v>
      </c>
    </row>
    <row r="725" spans="1:43" ht="16" thickBot="1">
      <c r="A725" s="387" t="s">
        <v>1717</v>
      </c>
      <c r="B725" s="387" t="s">
        <v>5721</v>
      </c>
      <c r="C725" s="387" t="s">
        <v>5722</v>
      </c>
      <c r="D725" s="387" t="s">
        <v>5723</v>
      </c>
      <c r="E725" s="387">
        <v>30</v>
      </c>
      <c r="F725" s="387" t="s">
        <v>559</v>
      </c>
      <c r="G725" s="387">
        <v>30</v>
      </c>
      <c r="H725" s="387" t="s">
        <v>559</v>
      </c>
      <c r="I725" s="387" t="s">
        <v>560</v>
      </c>
      <c r="J725" s="387" t="s">
        <v>5703</v>
      </c>
      <c r="K725" s="387" t="s">
        <v>5724</v>
      </c>
      <c r="L725" s="387" t="s">
        <v>1761</v>
      </c>
      <c r="M725" s="387" t="s">
        <v>1762</v>
      </c>
      <c r="N725" s="388">
        <v>173.13</v>
      </c>
      <c r="O725" s="388">
        <v>14</v>
      </c>
      <c r="P725" s="387" t="s">
        <v>538</v>
      </c>
      <c r="Q725" s="387" t="s">
        <v>539</v>
      </c>
      <c r="R725" s="387" t="s">
        <v>5705</v>
      </c>
      <c r="S725" s="387" t="s">
        <v>171</v>
      </c>
      <c r="T725" s="387" t="s">
        <v>757</v>
      </c>
      <c r="U725" s="388">
        <v>7770</v>
      </c>
      <c r="V725" s="387" t="s">
        <v>543</v>
      </c>
      <c r="W725" s="387" t="s">
        <v>543</v>
      </c>
      <c r="X725" s="387" t="s">
        <v>543</v>
      </c>
      <c r="Y725" s="387" t="s">
        <v>543</v>
      </c>
      <c r="Z725" s="387" t="s">
        <v>543</v>
      </c>
      <c r="AA725" s="388" t="s">
        <v>543</v>
      </c>
      <c r="AB725" s="388" t="s">
        <v>543</v>
      </c>
      <c r="AC725" s="387" t="s">
        <v>543</v>
      </c>
      <c r="AD725" s="389">
        <v>50</v>
      </c>
      <c r="AE725" s="390">
        <v>45047</v>
      </c>
      <c r="AF725" s="390">
        <v>46142</v>
      </c>
      <c r="AG725" s="391" t="s">
        <v>545</v>
      </c>
      <c r="AH725" s="391" t="s">
        <v>5725</v>
      </c>
      <c r="AI725" s="391" t="s">
        <v>1764</v>
      </c>
      <c r="AJ725" s="391">
        <v>0</v>
      </c>
      <c r="AK725" s="390">
        <v>45047</v>
      </c>
      <c r="AL725" s="389">
        <v>100</v>
      </c>
      <c r="AM725" s="391" t="s">
        <v>548</v>
      </c>
      <c r="AN725" s="391" t="s">
        <v>549</v>
      </c>
      <c r="AO725" s="391" t="s">
        <v>5726</v>
      </c>
    </row>
    <row r="726" spans="1:43" ht="16" thickBot="1">
      <c r="A726" s="387" t="s">
        <v>1748</v>
      </c>
      <c r="B726" s="387" t="s">
        <v>3381</v>
      </c>
      <c r="C726" s="387" t="s">
        <v>5727</v>
      </c>
      <c r="D726" s="387" t="s">
        <v>5728</v>
      </c>
      <c r="E726" s="387">
        <v>2</v>
      </c>
      <c r="F726" s="387" t="s">
        <v>531</v>
      </c>
      <c r="G726" s="387">
        <v>2</v>
      </c>
      <c r="H726" s="387" t="s">
        <v>531</v>
      </c>
      <c r="I726" s="387" t="s">
        <v>1751</v>
      </c>
      <c r="J726" s="387" t="s">
        <v>5729</v>
      </c>
      <c r="K726" s="387" t="s">
        <v>5730</v>
      </c>
      <c r="L726" s="387" t="s">
        <v>1916</v>
      </c>
      <c r="M726" s="387" t="s">
        <v>1917</v>
      </c>
      <c r="N726" s="388">
        <v>34.880000000000003</v>
      </c>
      <c r="O726" s="388">
        <v>14</v>
      </c>
      <c r="P726" s="387" t="s">
        <v>538</v>
      </c>
      <c r="Q726" s="387" t="s">
        <v>539</v>
      </c>
      <c r="R726" s="387" t="s">
        <v>5731</v>
      </c>
      <c r="S726" s="387" t="s">
        <v>171</v>
      </c>
      <c r="T726" s="387" t="s">
        <v>757</v>
      </c>
      <c r="U726" s="388">
        <v>257150</v>
      </c>
      <c r="V726" s="387">
        <v>6005561000357</v>
      </c>
      <c r="W726" s="387" t="s">
        <v>543</v>
      </c>
      <c r="X726" s="387" t="s">
        <v>543</v>
      </c>
      <c r="Y726" s="387" t="s">
        <v>543</v>
      </c>
      <c r="Z726" s="387" t="s">
        <v>543</v>
      </c>
      <c r="AA726" s="388" t="s">
        <v>543</v>
      </c>
      <c r="AB726" s="388" t="s">
        <v>543</v>
      </c>
      <c r="AC726" s="387">
        <v>718475003</v>
      </c>
      <c r="AD726" s="389">
        <v>1</v>
      </c>
      <c r="AE726" s="390">
        <v>44317</v>
      </c>
      <c r="AF726" s="390">
        <v>45412</v>
      </c>
      <c r="AG726" s="391" t="s">
        <v>545</v>
      </c>
      <c r="AH726" s="391" t="s">
        <v>5732</v>
      </c>
      <c r="AI726" s="391" t="s">
        <v>1920</v>
      </c>
      <c r="AJ726" s="391">
        <v>0</v>
      </c>
      <c r="AK726" s="390">
        <v>44317</v>
      </c>
      <c r="AL726" s="389">
        <v>100</v>
      </c>
      <c r="AM726" s="391" t="s">
        <v>548</v>
      </c>
      <c r="AN726" s="391" t="s">
        <v>549</v>
      </c>
      <c r="AO726" s="391" t="s">
        <v>5733</v>
      </c>
    </row>
    <row r="727" spans="1:43" ht="16" thickBot="1">
      <c r="A727" s="387" t="s">
        <v>1748</v>
      </c>
      <c r="B727" s="387" t="s">
        <v>3467</v>
      </c>
      <c r="C727" s="387" t="s">
        <v>5734</v>
      </c>
      <c r="D727" s="387" t="s">
        <v>5735</v>
      </c>
      <c r="E727" s="387">
        <v>5</v>
      </c>
      <c r="F727" s="387" t="s">
        <v>531</v>
      </c>
      <c r="G727" s="387">
        <v>5</v>
      </c>
      <c r="H727" s="387" t="s">
        <v>531</v>
      </c>
      <c r="I727" s="387" t="s">
        <v>1751</v>
      </c>
      <c r="J727" s="387" t="s">
        <v>5729</v>
      </c>
      <c r="K727" s="387" t="s">
        <v>5736</v>
      </c>
      <c r="L727" s="387" t="s">
        <v>1916</v>
      </c>
      <c r="M727" s="387" t="s">
        <v>1917</v>
      </c>
      <c r="N727" s="388">
        <v>97.18</v>
      </c>
      <c r="O727" s="388">
        <v>14</v>
      </c>
      <c r="P727" s="387" t="s">
        <v>538</v>
      </c>
      <c r="Q727" s="387" t="s">
        <v>539</v>
      </c>
      <c r="R727" s="387" t="s">
        <v>5731</v>
      </c>
      <c r="S727" s="387" t="s">
        <v>171</v>
      </c>
      <c r="T727" s="387" t="s">
        <v>757</v>
      </c>
      <c r="U727" s="388">
        <v>18412</v>
      </c>
      <c r="V727" s="387">
        <v>6005561000371</v>
      </c>
      <c r="W727" s="387" t="s">
        <v>543</v>
      </c>
      <c r="X727" s="387" t="s">
        <v>543</v>
      </c>
      <c r="Y727" s="387" t="s">
        <v>543</v>
      </c>
      <c r="Z727" s="387" t="s">
        <v>543</v>
      </c>
      <c r="AA727" s="388" t="s">
        <v>543</v>
      </c>
      <c r="AB727" s="388" t="s">
        <v>543</v>
      </c>
      <c r="AC727" s="387">
        <v>718483006</v>
      </c>
      <c r="AD727" s="389">
        <v>1</v>
      </c>
      <c r="AE727" s="390">
        <v>44317</v>
      </c>
      <c r="AF727" s="390">
        <v>45412</v>
      </c>
      <c r="AG727" s="391" t="s">
        <v>545</v>
      </c>
      <c r="AH727" s="391" t="s">
        <v>5737</v>
      </c>
      <c r="AI727" s="391" t="s">
        <v>1920</v>
      </c>
      <c r="AJ727" s="391">
        <v>0</v>
      </c>
      <c r="AK727" s="390">
        <v>44317</v>
      </c>
      <c r="AL727" s="389">
        <v>100</v>
      </c>
      <c r="AM727" s="391" t="s">
        <v>548</v>
      </c>
      <c r="AN727" s="391" t="s">
        <v>549</v>
      </c>
      <c r="AO727" s="391" t="s">
        <v>5733</v>
      </c>
    </row>
    <row r="728" spans="1:43" ht="16" thickBot="1">
      <c r="A728" s="387" t="s">
        <v>3950</v>
      </c>
      <c r="B728" s="387" t="s">
        <v>3361</v>
      </c>
      <c r="C728" s="387" t="s">
        <v>5738</v>
      </c>
      <c r="D728" s="387" t="s">
        <v>5739</v>
      </c>
      <c r="E728" s="387">
        <v>1</v>
      </c>
      <c r="F728" s="387" t="s">
        <v>531</v>
      </c>
      <c r="G728" s="387">
        <v>1</v>
      </c>
      <c r="H728" s="387" t="s">
        <v>531</v>
      </c>
      <c r="I728" s="387" t="s">
        <v>1751</v>
      </c>
      <c r="J728" s="387" t="s">
        <v>5740</v>
      </c>
      <c r="K728" s="387" t="s">
        <v>5741</v>
      </c>
      <c r="L728" s="387" t="s">
        <v>562</v>
      </c>
      <c r="M728" s="387" t="s">
        <v>563</v>
      </c>
      <c r="N728" s="388">
        <v>24.66</v>
      </c>
      <c r="O728" s="388">
        <v>14</v>
      </c>
      <c r="P728" s="387" t="s">
        <v>538</v>
      </c>
      <c r="Q728" s="387" t="s">
        <v>539</v>
      </c>
      <c r="R728" s="387" t="s">
        <v>5731</v>
      </c>
      <c r="S728" s="387" t="s">
        <v>171</v>
      </c>
      <c r="T728" s="387" t="s">
        <v>757</v>
      </c>
      <c r="U728" s="388">
        <v>5160</v>
      </c>
      <c r="V728" s="387" t="s">
        <v>543</v>
      </c>
      <c r="W728" s="387" t="s">
        <v>543</v>
      </c>
      <c r="X728" s="387" t="s">
        <v>543</v>
      </c>
      <c r="Y728" s="387" t="s">
        <v>543</v>
      </c>
      <c r="Z728" s="387" t="s">
        <v>543</v>
      </c>
      <c r="AA728" s="388" t="s">
        <v>543</v>
      </c>
      <c r="AB728" s="388" t="s">
        <v>543</v>
      </c>
      <c r="AC728" s="387" t="s">
        <v>543</v>
      </c>
      <c r="AD728" s="389">
        <v>90</v>
      </c>
      <c r="AE728" s="390">
        <v>44949</v>
      </c>
      <c r="AF728" s="390">
        <v>45412</v>
      </c>
      <c r="AG728" s="390">
        <v>45412</v>
      </c>
      <c r="AH728" s="391" t="s">
        <v>5742</v>
      </c>
      <c r="AI728" s="391" t="s">
        <v>565</v>
      </c>
      <c r="AJ728" s="391">
        <v>0</v>
      </c>
      <c r="AK728" s="390">
        <v>44949</v>
      </c>
      <c r="AL728" s="389">
        <v>100</v>
      </c>
      <c r="AM728" s="391" t="s">
        <v>548</v>
      </c>
      <c r="AN728" s="391" t="s">
        <v>549</v>
      </c>
      <c r="AO728" s="391" t="s">
        <v>5743</v>
      </c>
    </row>
    <row r="729" spans="1:43" ht="16" thickBot="1">
      <c r="A729" s="387" t="s">
        <v>1748</v>
      </c>
      <c r="B729" s="387" t="s">
        <v>5744</v>
      </c>
      <c r="C729" s="387" t="s">
        <v>5745</v>
      </c>
      <c r="D729" s="387" t="s">
        <v>5746</v>
      </c>
      <c r="E729" s="387">
        <v>8</v>
      </c>
      <c r="F729" s="387" t="s">
        <v>531</v>
      </c>
      <c r="G729" s="387">
        <v>8</v>
      </c>
      <c r="H729" s="387" t="s">
        <v>531</v>
      </c>
      <c r="I729" s="387" t="s">
        <v>1751</v>
      </c>
      <c r="J729" s="387" t="s">
        <v>5740</v>
      </c>
      <c r="K729" s="387" t="s">
        <v>5747</v>
      </c>
      <c r="L729" s="387" t="s">
        <v>1916</v>
      </c>
      <c r="M729" s="387" t="s">
        <v>1917</v>
      </c>
      <c r="N729" s="388">
        <v>159.91</v>
      </c>
      <c r="O729" s="388">
        <v>14</v>
      </c>
      <c r="P729" s="387" t="s">
        <v>611</v>
      </c>
      <c r="Q729" s="387" t="s">
        <v>539</v>
      </c>
      <c r="R729" s="387" t="s">
        <v>5731</v>
      </c>
      <c r="S729" s="387" t="s">
        <v>171</v>
      </c>
      <c r="T729" s="387" t="s">
        <v>757</v>
      </c>
      <c r="U729" s="388">
        <v>100830</v>
      </c>
      <c r="V729" s="387">
        <v>6005561001873</v>
      </c>
      <c r="W729" s="387" t="s">
        <v>543</v>
      </c>
      <c r="X729" s="387" t="s">
        <v>543</v>
      </c>
      <c r="Y729" s="387" t="s">
        <v>543</v>
      </c>
      <c r="Z729" s="387" t="s">
        <v>543</v>
      </c>
      <c r="AA729" s="388" t="s">
        <v>543</v>
      </c>
      <c r="AB729" s="388" t="s">
        <v>543</v>
      </c>
      <c r="AC729" s="387">
        <v>765066009</v>
      </c>
      <c r="AD729" s="389">
        <v>1</v>
      </c>
      <c r="AE729" s="390">
        <v>44317</v>
      </c>
      <c r="AF729" s="390">
        <v>45412</v>
      </c>
      <c r="AG729" s="391" t="s">
        <v>545</v>
      </c>
      <c r="AH729" s="391" t="s">
        <v>5748</v>
      </c>
      <c r="AI729" s="391" t="s">
        <v>1920</v>
      </c>
      <c r="AJ729" s="391">
        <v>0</v>
      </c>
      <c r="AK729" s="390">
        <v>44317</v>
      </c>
      <c r="AL729" s="389">
        <v>100</v>
      </c>
      <c r="AM729" s="391" t="s">
        <v>548</v>
      </c>
      <c r="AN729" s="391" t="s">
        <v>549</v>
      </c>
      <c r="AO729" s="391" t="s">
        <v>5749</v>
      </c>
    </row>
    <row r="730" spans="1:43" ht="16" thickBot="1">
      <c r="A730" s="387" t="s">
        <v>1748</v>
      </c>
      <c r="B730" s="387" t="s">
        <v>3482</v>
      </c>
      <c r="C730" s="387" t="s">
        <v>5750</v>
      </c>
      <c r="D730" s="387" t="s">
        <v>5751</v>
      </c>
      <c r="E730" s="387">
        <v>2</v>
      </c>
      <c r="F730" s="387" t="s">
        <v>531</v>
      </c>
      <c r="G730" s="387" t="s">
        <v>543</v>
      </c>
      <c r="H730" s="387" t="s">
        <v>531</v>
      </c>
      <c r="I730" s="387" t="s">
        <v>1751</v>
      </c>
      <c r="J730" s="387" t="s">
        <v>5752</v>
      </c>
      <c r="K730" s="387" t="s">
        <v>5753</v>
      </c>
      <c r="L730" s="387" t="s">
        <v>2312</v>
      </c>
      <c r="M730" s="387" t="s">
        <v>2313</v>
      </c>
      <c r="N730" s="388">
        <v>3.45</v>
      </c>
      <c r="O730" s="388">
        <v>14</v>
      </c>
      <c r="P730" s="387" t="s">
        <v>538</v>
      </c>
      <c r="Q730" s="387" t="s">
        <v>539</v>
      </c>
      <c r="R730" s="387" t="s">
        <v>5754</v>
      </c>
      <c r="S730" s="387" t="s">
        <v>171</v>
      </c>
      <c r="T730" s="387" t="s">
        <v>542</v>
      </c>
      <c r="U730" s="388">
        <v>7601990</v>
      </c>
      <c r="V730" s="387" t="s">
        <v>543</v>
      </c>
      <c r="W730" s="387" t="s">
        <v>543</v>
      </c>
      <c r="X730" s="387" t="s">
        <v>543</v>
      </c>
      <c r="Y730" s="387" t="s">
        <v>543</v>
      </c>
      <c r="Z730" s="387" t="s">
        <v>543</v>
      </c>
      <c r="AA730" s="388" t="s">
        <v>543</v>
      </c>
      <c r="AB730" s="388" t="s">
        <v>543</v>
      </c>
      <c r="AC730" s="387" t="s">
        <v>543</v>
      </c>
      <c r="AD730" s="389">
        <v>400</v>
      </c>
      <c r="AE730" s="390">
        <v>44317</v>
      </c>
      <c r="AF730" s="390">
        <v>45412</v>
      </c>
      <c r="AG730" s="390">
        <v>45412</v>
      </c>
      <c r="AH730" s="391" t="s">
        <v>5755</v>
      </c>
      <c r="AI730" s="391" t="s">
        <v>2314</v>
      </c>
      <c r="AJ730" s="391">
        <v>4</v>
      </c>
      <c r="AK730" s="390">
        <v>44356</v>
      </c>
      <c r="AL730" s="389">
        <v>10</v>
      </c>
      <c r="AM730" s="391" t="s">
        <v>548</v>
      </c>
      <c r="AN730" s="391" t="s">
        <v>549</v>
      </c>
      <c r="AO730" s="391" t="s">
        <v>5756</v>
      </c>
    </row>
    <row r="731" spans="1:43" ht="16" thickBot="1">
      <c r="A731" s="387" t="s">
        <v>1717</v>
      </c>
      <c r="B731" s="387" t="s">
        <v>5757</v>
      </c>
      <c r="C731" s="387" t="s">
        <v>5758</v>
      </c>
      <c r="D731" s="387" t="s">
        <v>5759</v>
      </c>
      <c r="E731" s="387">
        <v>10</v>
      </c>
      <c r="F731" s="387" t="s">
        <v>559</v>
      </c>
      <c r="G731" s="387" t="s">
        <v>543</v>
      </c>
      <c r="H731" s="387" t="s">
        <v>559</v>
      </c>
      <c r="I731" s="387" t="s">
        <v>560</v>
      </c>
      <c r="J731" s="387" t="s">
        <v>5752</v>
      </c>
      <c r="K731" s="387" t="s">
        <v>5760</v>
      </c>
      <c r="L731" s="387" t="s">
        <v>654</v>
      </c>
      <c r="M731" s="387" t="s">
        <v>655</v>
      </c>
      <c r="N731" s="388">
        <v>1.74</v>
      </c>
      <c r="O731" s="388">
        <v>14</v>
      </c>
      <c r="P731" s="387" t="s">
        <v>538</v>
      </c>
      <c r="Q731" s="387" t="s">
        <v>539</v>
      </c>
      <c r="R731" s="387" t="s">
        <v>5754</v>
      </c>
      <c r="S731" s="387" t="s">
        <v>171</v>
      </c>
      <c r="T731" s="387" t="s">
        <v>542</v>
      </c>
      <c r="U731" s="388">
        <v>3936241</v>
      </c>
      <c r="V731" s="387">
        <v>6004405009013</v>
      </c>
      <c r="W731" s="387">
        <v>6004405009013</v>
      </c>
      <c r="X731" s="387" t="s">
        <v>543</v>
      </c>
      <c r="Y731" s="387">
        <v>16004405009010</v>
      </c>
      <c r="Z731" s="387" t="s">
        <v>543</v>
      </c>
      <c r="AA731" s="388" t="s">
        <v>543</v>
      </c>
      <c r="AB731" s="388" t="s">
        <v>543</v>
      </c>
      <c r="AC731" s="387" t="s">
        <v>543</v>
      </c>
      <c r="AD731" s="389">
        <v>450</v>
      </c>
      <c r="AE731" s="390">
        <v>45047</v>
      </c>
      <c r="AF731" s="390">
        <v>46142</v>
      </c>
      <c r="AG731" s="391" t="s">
        <v>545</v>
      </c>
      <c r="AH731" s="391" t="s">
        <v>5761</v>
      </c>
      <c r="AI731" s="391" t="s">
        <v>658</v>
      </c>
      <c r="AJ731" s="391">
        <v>0</v>
      </c>
      <c r="AK731" s="390">
        <v>45047</v>
      </c>
      <c r="AL731" s="389">
        <v>80</v>
      </c>
      <c r="AM731" s="391" t="s">
        <v>548</v>
      </c>
      <c r="AN731" s="391" t="s">
        <v>549</v>
      </c>
      <c r="AO731" s="391" t="s">
        <v>5762</v>
      </c>
      <c r="AP731" s="372">
        <f>N731/E731</f>
        <v>0.17399999999999999</v>
      </c>
      <c r="AQ731" s="372">
        <f>SUMPRODUCT(AP731:AP732,U731:U732)/SUM(U731:U732)</f>
        <v>0.17899999898380203</v>
      </c>
    </row>
    <row r="732" spans="1:43" ht="16" thickBot="1">
      <c r="A732" s="387" t="s">
        <v>1717</v>
      </c>
      <c r="B732" s="387" t="s">
        <v>5757</v>
      </c>
      <c r="C732" s="387" t="s">
        <v>5758</v>
      </c>
      <c r="D732" s="387" t="s">
        <v>5759</v>
      </c>
      <c r="E732" s="387">
        <v>10</v>
      </c>
      <c r="F732" s="387" t="s">
        <v>559</v>
      </c>
      <c r="G732" s="387" t="s">
        <v>543</v>
      </c>
      <c r="H732" s="387" t="s">
        <v>559</v>
      </c>
      <c r="I732" s="387" t="s">
        <v>560</v>
      </c>
      <c r="J732" s="387" t="s">
        <v>5752</v>
      </c>
      <c r="K732" s="387" t="s">
        <v>5763</v>
      </c>
      <c r="L732" s="387" t="s">
        <v>2141</v>
      </c>
      <c r="M732" s="387" t="s">
        <v>2142</v>
      </c>
      <c r="N732" s="388">
        <v>1.99</v>
      </c>
      <c r="O732" s="388">
        <v>14</v>
      </c>
      <c r="P732" s="387" t="s">
        <v>538</v>
      </c>
      <c r="Q732" s="387" t="s">
        <v>539</v>
      </c>
      <c r="R732" s="387" t="s">
        <v>5754</v>
      </c>
      <c r="S732" s="387" t="s">
        <v>171</v>
      </c>
      <c r="T732" s="387" t="s">
        <v>542</v>
      </c>
      <c r="U732" s="388">
        <v>984060</v>
      </c>
      <c r="V732" s="387">
        <v>614143105647</v>
      </c>
      <c r="W732" s="387">
        <v>614143105647</v>
      </c>
      <c r="X732" s="387" t="s">
        <v>543</v>
      </c>
      <c r="Y732" s="387">
        <v>10614143105644</v>
      </c>
      <c r="Z732" s="387" t="s">
        <v>543</v>
      </c>
      <c r="AA732" s="388" t="s">
        <v>543</v>
      </c>
      <c r="AB732" s="388" t="s">
        <v>543</v>
      </c>
      <c r="AC732" s="387">
        <v>757845030</v>
      </c>
      <c r="AD732" s="389">
        <v>100</v>
      </c>
      <c r="AE732" s="390">
        <v>45047</v>
      </c>
      <c r="AF732" s="390">
        <v>46142</v>
      </c>
      <c r="AG732" s="391" t="s">
        <v>545</v>
      </c>
      <c r="AH732" s="391" t="s">
        <v>5761</v>
      </c>
      <c r="AI732" s="391" t="s">
        <v>2144</v>
      </c>
      <c r="AJ732" s="391">
        <v>0</v>
      </c>
      <c r="AK732" s="390">
        <v>45047</v>
      </c>
      <c r="AL732" s="389">
        <v>20</v>
      </c>
      <c r="AM732" s="391" t="s">
        <v>548</v>
      </c>
      <c r="AN732" s="391" t="s">
        <v>549</v>
      </c>
      <c r="AO732" s="391" t="s">
        <v>5762</v>
      </c>
      <c r="AP732" s="372">
        <f>N732/E732</f>
        <v>0.19900000000000001</v>
      </c>
    </row>
    <row r="733" spans="1:43" ht="16" thickBot="1">
      <c r="A733" s="387" t="s">
        <v>1717</v>
      </c>
      <c r="B733" s="387" t="s">
        <v>5764</v>
      </c>
      <c r="C733" s="387" t="s">
        <v>5765</v>
      </c>
      <c r="D733" s="387" t="s">
        <v>5766</v>
      </c>
      <c r="E733" s="387">
        <v>100</v>
      </c>
      <c r="F733" s="387" t="s">
        <v>559</v>
      </c>
      <c r="G733" s="387" t="s">
        <v>543</v>
      </c>
      <c r="H733" s="387" t="s">
        <v>559</v>
      </c>
      <c r="I733" s="387" t="s">
        <v>560</v>
      </c>
      <c r="J733" s="387" t="s">
        <v>5752</v>
      </c>
      <c r="K733" s="387" t="s">
        <v>5767</v>
      </c>
      <c r="L733" s="387" t="s">
        <v>654</v>
      </c>
      <c r="M733" s="387" t="s">
        <v>655</v>
      </c>
      <c r="N733" s="388">
        <v>10.61</v>
      </c>
      <c r="O733" s="388">
        <v>14</v>
      </c>
      <c r="P733" s="387" t="s">
        <v>538</v>
      </c>
      <c r="Q733" s="387" t="s">
        <v>539</v>
      </c>
      <c r="R733" s="387" t="s">
        <v>5754</v>
      </c>
      <c r="S733" s="387" t="s">
        <v>171</v>
      </c>
      <c r="T733" s="387" t="s">
        <v>542</v>
      </c>
      <c r="U733" s="388">
        <v>73586</v>
      </c>
      <c r="V733" s="387">
        <v>6004405004964</v>
      </c>
      <c r="W733" s="387">
        <v>6004405004964</v>
      </c>
      <c r="X733" s="387" t="s">
        <v>543</v>
      </c>
      <c r="Y733" s="387">
        <v>16004405004961</v>
      </c>
      <c r="Z733" s="387" t="s">
        <v>543</v>
      </c>
      <c r="AA733" s="388" t="s">
        <v>543</v>
      </c>
      <c r="AB733" s="388" t="s">
        <v>543</v>
      </c>
      <c r="AC733" s="387" t="s">
        <v>543</v>
      </c>
      <c r="AD733" s="389">
        <v>100</v>
      </c>
      <c r="AE733" s="390">
        <v>45047</v>
      </c>
      <c r="AF733" s="390">
        <v>46142</v>
      </c>
      <c r="AG733" s="391" t="s">
        <v>545</v>
      </c>
      <c r="AH733" s="391" t="s">
        <v>5768</v>
      </c>
      <c r="AI733" s="391" t="s">
        <v>658</v>
      </c>
      <c r="AJ733" s="391">
        <v>0</v>
      </c>
      <c r="AK733" s="390">
        <v>45047</v>
      </c>
      <c r="AL733" s="389">
        <v>100</v>
      </c>
      <c r="AM733" s="391" t="s">
        <v>548</v>
      </c>
      <c r="AN733" s="391" t="s">
        <v>549</v>
      </c>
      <c r="AO733" s="391" t="s">
        <v>5762</v>
      </c>
    </row>
    <row r="734" spans="1:43" ht="16" thickBot="1">
      <c r="A734" s="387" t="s">
        <v>1729</v>
      </c>
      <c r="B734" s="387" t="s">
        <v>2949</v>
      </c>
      <c r="C734" s="387" t="s">
        <v>5769</v>
      </c>
      <c r="D734" s="387" t="s">
        <v>5770</v>
      </c>
      <c r="E734" s="387">
        <v>100</v>
      </c>
      <c r="F734" s="387" t="s">
        <v>531</v>
      </c>
      <c r="G734" s="387">
        <v>100</v>
      </c>
      <c r="H734" s="387" t="s">
        <v>531</v>
      </c>
      <c r="I734" s="387" t="s">
        <v>848</v>
      </c>
      <c r="J734" s="387" t="s">
        <v>5752</v>
      </c>
      <c r="K734" s="387" t="s">
        <v>5771</v>
      </c>
      <c r="L734" s="387" t="s">
        <v>535</v>
      </c>
      <c r="M734" s="387" t="s">
        <v>536</v>
      </c>
      <c r="N734" s="388">
        <v>27.16</v>
      </c>
      <c r="O734" s="388">
        <v>14</v>
      </c>
      <c r="P734" s="387" t="s">
        <v>538</v>
      </c>
      <c r="Q734" s="387" t="s">
        <v>539</v>
      </c>
      <c r="R734" s="387" t="s">
        <v>5754</v>
      </c>
      <c r="S734" s="387" t="s">
        <v>171</v>
      </c>
      <c r="T734" s="387" t="s">
        <v>542</v>
      </c>
      <c r="U734" s="388">
        <v>395470</v>
      </c>
      <c r="V734" s="387" t="s">
        <v>543</v>
      </c>
      <c r="W734" s="387" t="s">
        <v>543</v>
      </c>
      <c r="X734" s="387" t="s">
        <v>543</v>
      </c>
      <c r="Y734" s="387" t="s">
        <v>543</v>
      </c>
      <c r="Z734" s="387" t="s">
        <v>543</v>
      </c>
      <c r="AA734" s="388" t="s">
        <v>543</v>
      </c>
      <c r="AB734" s="388" t="s">
        <v>543</v>
      </c>
      <c r="AC734" s="387" t="s">
        <v>543</v>
      </c>
      <c r="AD734" s="389">
        <v>12</v>
      </c>
      <c r="AE734" s="390">
        <v>44105</v>
      </c>
      <c r="AF734" s="390">
        <v>45199</v>
      </c>
      <c r="AG734" s="390">
        <v>45199</v>
      </c>
      <c r="AH734" s="391" t="s">
        <v>5772</v>
      </c>
      <c r="AI734" s="391" t="s">
        <v>547</v>
      </c>
      <c r="AJ734" s="391">
        <v>20</v>
      </c>
      <c r="AK734" s="390">
        <v>45047</v>
      </c>
      <c r="AL734" s="389">
        <v>100</v>
      </c>
      <c r="AM734" s="391" t="s">
        <v>548</v>
      </c>
      <c r="AN734" s="391" t="s">
        <v>545</v>
      </c>
      <c r="AO734" s="391" t="s">
        <v>5773</v>
      </c>
    </row>
    <row r="735" spans="1:43" ht="16" thickBot="1">
      <c r="A735" s="387" t="s">
        <v>1766</v>
      </c>
      <c r="B735" s="387" t="s">
        <v>3680</v>
      </c>
      <c r="C735" s="387" t="s">
        <v>5774</v>
      </c>
      <c r="D735" s="387" t="s">
        <v>5775</v>
      </c>
      <c r="E735" s="387">
        <v>100</v>
      </c>
      <c r="F735" s="387" t="s">
        <v>531</v>
      </c>
      <c r="G735" s="387">
        <v>100</v>
      </c>
      <c r="H735" s="387" t="s">
        <v>531</v>
      </c>
      <c r="I735" s="387" t="s">
        <v>744</v>
      </c>
      <c r="J735" s="387" t="s">
        <v>5776</v>
      </c>
      <c r="K735" s="387" t="s">
        <v>5777</v>
      </c>
      <c r="L735" s="387" t="s">
        <v>1819</v>
      </c>
      <c r="M735" s="387" t="s">
        <v>1820</v>
      </c>
      <c r="N735" s="388">
        <v>25.51</v>
      </c>
      <c r="O735" s="388">
        <v>14</v>
      </c>
      <c r="P735" s="387" t="s">
        <v>538</v>
      </c>
      <c r="Q735" s="387" t="s">
        <v>539</v>
      </c>
      <c r="R735" s="387" t="s">
        <v>5778</v>
      </c>
      <c r="S735" s="387" t="s">
        <v>171</v>
      </c>
      <c r="T735" s="387" t="s">
        <v>542</v>
      </c>
      <c r="U735" s="388">
        <v>1208620</v>
      </c>
      <c r="V735" s="387">
        <v>6006056002740</v>
      </c>
      <c r="W735" s="387" t="s">
        <v>543</v>
      </c>
      <c r="X735" s="387" t="s">
        <v>543</v>
      </c>
      <c r="Y735" s="387" t="s">
        <v>543</v>
      </c>
      <c r="Z735" s="387" t="s">
        <v>543</v>
      </c>
      <c r="AA735" s="388" t="s">
        <v>543</v>
      </c>
      <c r="AB735" s="388" t="s">
        <v>543</v>
      </c>
      <c r="AC735" s="387">
        <v>726338001</v>
      </c>
      <c r="AD735" s="389">
        <v>30</v>
      </c>
      <c r="AE735" s="390">
        <v>44470</v>
      </c>
      <c r="AF735" s="390">
        <v>45199</v>
      </c>
      <c r="AG735" s="391" t="s">
        <v>545</v>
      </c>
      <c r="AH735" s="391" t="s">
        <v>5779</v>
      </c>
      <c r="AI735" s="391" t="s">
        <v>1823</v>
      </c>
      <c r="AJ735" s="391">
        <v>0</v>
      </c>
      <c r="AK735" s="390">
        <v>44470</v>
      </c>
      <c r="AL735" s="389">
        <v>100</v>
      </c>
      <c r="AM735" s="391" t="s">
        <v>548</v>
      </c>
      <c r="AN735" s="391" t="s">
        <v>549</v>
      </c>
      <c r="AO735" s="391" t="s">
        <v>5780</v>
      </c>
      <c r="AP735" s="372">
        <f>N735/E735</f>
        <v>0.25509999999999999</v>
      </c>
      <c r="AQ735" s="372">
        <f>AP735</f>
        <v>0.25509999999999999</v>
      </c>
    </row>
    <row r="736" spans="1:43" ht="16" thickBot="1">
      <c r="A736" s="387" t="s">
        <v>1766</v>
      </c>
      <c r="B736" s="387" t="s">
        <v>3547</v>
      </c>
      <c r="C736" s="387" t="s">
        <v>5781</v>
      </c>
      <c r="D736" s="387" t="s">
        <v>5782</v>
      </c>
      <c r="E736" s="387">
        <v>21</v>
      </c>
      <c r="F736" s="387" t="s">
        <v>559</v>
      </c>
      <c r="G736" s="387">
        <v>21</v>
      </c>
      <c r="H736" s="387" t="s">
        <v>559</v>
      </c>
      <c r="I736" s="387" t="s">
        <v>560</v>
      </c>
      <c r="J736" s="387" t="s">
        <v>5776</v>
      </c>
      <c r="K736" s="387" t="s">
        <v>5783</v>
      </c>
      <c r="L736" s="387" t="s">
        <v>1829</v>
      </c>
      <c r="M736" s="387" t="s">
        <v>1830</v>
      </c>
      <c r="N736" s="388">
        <v>3.67</v>
      </c>
      <c r="O736" s="388">
        <v>14</v>
      </c>
      <c r="P736" s="387" t="s">
        <v>538</v>
      </c>
      <c r="Q736" s="387" t="s">
        <v>539</v>
      </c>
      <c r="R736" s="387" t="s">
        <v>5778</v>
      </c>
      <c r="S736" s="387" t="s">
        <v>171</v>
      </c>
      <c r="T736" s="387" t="s">
        <v>542</v>
      </c>
      <c r="U736" s="388">
        <v>1137325</v>
      </c>
      <c r="V736" s="387" t="s">
        <v>543</v>
      </c>
      <c r="W736" s="387" t="s">
        <v>543</v>
      </c>
      <c r="X736" s="387" t="s">
        <v>543</v>
      </c>
      <c r="Y736" s="387" t="s">
        <v>543</v>
      </c>
      <c r="Z736" s="387" t="s">
        <v>543</v>
      </c>
      <c r="AA736" s="388" t="s">
        <v>543</v>
      </c>
      <c r="AB736" s="388" t="s">
        <v>543</v>
      </c>
      <c r="AC736" s="387" t="s">
        <v>543</v>
      </c>
      <c r="AD736" s="389">
        <v>600</v>
      </c>
      <c r="AE736" s="390">
        <v>44470</v>
      </c>
      <c r="AF736" s="390">
        <v>45199</v>
      </c>
      <c r="AG736" s="390">
        <v>45199</v>
      </c>
      <c r="AH736" s="391" t="s">
        <v>5784</v>
      </c>
      <c r="AI736" s="391" t="s">
        <v>1833</v>
      </c>
      <c r="AJ736" s="391">
        <v>16</v>
      </c>
      <c r="AK736" s="390">
        <v>45047</v>
      </c>
      <c r="AL736" s="389">
        <v>70</v>
      </c>
      <c r="AM736" s="391" t="s">
        <v>548</v>
      </c>
      <c r="AN736" s="391" t="s">
        <v>549</v>
      </c>
      <c r="AO736" s="391" t="s">
        <v>5785</v>
      </c>
      <c r="AP736" s="372">
        <f>N736/E736</f>
        <v>0.17476190476190476</v>
      </c>
      <c r="AQ736" s="372">
        <f>SUMPRODUCT(AP736:AP737,U736:U737)/SUM(U736:U737)</f>
        <v>0.1769047619047619</v>
      </c>
    </row>
    <row r="737" spans="1:43" ht="16" thickBot="1">
      <c r="A737" s="387" t="s">
        <v>1766</v>
      </c>
      <c r="B737" s="387" t="s">
        <v>3547</v>
      </c>
      <c r="C737" s="387" t="s">
        <v>5781</v>
      </c>
      <c r="D737" s="387" t="s">
        <v>5782</v>
      </c>
      <c r="E737" s="387">
        <v>21</v>
      </c>
      <c r="F737" s="387" t="s">
        <v>559</v>
      </c>
      <c r="G737" s="387">
        <v>21</v>
      </c>
      <c r="H737" s="387" t="s">
        <v>559</v>
      </c>
      <c r="I737" s="387" t="s">
        <v>560</v>
      </c>
      <c r="J737" s="387" t="s">
        <v>5776</v>
      </c>
      <c r="K737" s="387" t="s">
        <v>5786</v>
      </c>
      <c r="L737" s="387" t="s">
        <v>1905</v>
      </c>
      <c r="M737" s="387" t="s">
        <v>1906</v>
      </c>
      <c r="N737" s="388">
        <v>3.82</v>
      </c>
      <c r="O737" s="388">
        <v>14</v>
      </c>
      <c r="P737" s="387" t="s">
        <v>538</v>
      </c>
      <c r="Q737" s="387" t="s">
        <v>539</v>
      </c>
      <c r="R737" s="387" t="s">
        <v>5778</v>
      </c>
      <c r="S737" s="387" t="s">
        <v>171</v>
      </c>
      <c r="T737" s="387" t="s">
        <v>542</v>
      </c>
      <c r="U737" s="388">
        <v>487425</v>
      </c>
      <c r="V737" s="387">
        <v>6006823001914</v>
      </c>
      <c r="W737" s="387" t="s">
        <v>543</v>
      </c>
      <c r="X737" s="387" t="s">
        <v>543</v>
      </c>
      <c r="Y737" s="387" t="s">
        <v>543</v>
      </c>
      <c r="Z737" s="387">
        <v>1600682300730</v>
      </c>
      <c r="AA737" s="388" t="s">
        <v>543</v>
      </c>
      <c r="AB737" s="388" t="s">
        <v>543</v>
      </c>
      <c r="AC737" s="387" t="s">
        <v>543</v>
      </c>
      <c r="AD737" s="389">
        <v>400</v>
      </c>
      <c r="AE737" s="390">
        <v>44470</v>
      </c>
      <c r="AF737" s="390">
        <v>45199</v>
      </c>
      <c r="AG737" s="390">
        <v>45199</v>
      </c>
      <c r="AH737" s="391" t="s">
        <v>5784</v>
      </c>
      <c r="AI737" s="391" t="s">
        <v>1910</v>
      </c>
      <c r="AJ737" s="391">
        <v>15</v>
      </c>
      <c r="AK737" s="390">
        <v>45047</v>
      </c>
      <c r="AL737" s="389">
        <v>30</v>
      </c>
      <c r="AM737" s="391" t="s">
        <v>548</v>
      </c>
      <c r="AN737" s="391" t="s">
        <v>549</v>
      </c>
      <c r="AO737" s="391" t="s">
        <v>5785</v>
      </c>
      <c r="AP737" s="372">
        <f>N737/E737</f>
        <v>0.1819047619047619</v>
      </c>
    </row>
    <row r="738" spans="1:43" ht="16" thickBot="1">
      <c r="A738" s="387" t="s">
        <v>1766</v>
      </c>
      <c r="B738" s="387" t="s">
        <v>5787</v>
      </c>
      <c r="C738" s="387" t="s">
        <v>5788</v>
      </c>
      <c r="D738" s="387" t="s">
        <v>5789</v>
      </c>
      <c r="E738" s="387">
        <v>250</v>
      </c>
      <c r="F738" s="387" t="s">
        <v>559</v>
      </c>
      <c r="G738" s="387">
        <v>250</v>
      </c>
      <c r="H738" s="387" t="s">
        <v>559</v>
      </c>
      <c r="I738" s="387" t="s">
        <v>560</v>
      </c>
      <c r="J738" s="387" t="s">
        <v>5776</v>
      </c>
      <c r="K738" s="387" t="s">
        <v>5790</v>
      </c>
      <c r="L738" s="387" t="s">
        <v>576</v>
      </c>
      <c r="M738" s="387" t="s">
        <v>577</v>
      </c>
      <c r="N738" s="388">
        <v>36.99</v>
      </c>
      <c r="O738" s="388">
        <v>14</v>
      </c>
      <c r="P738" s="387" t="s">
        <v>538</v>
      </c>
      <c r="Q738" s="387" t="s">
        <v>539</v>
      </c>
      <c r="R738" s="387" t="s">
        <v>5778</v>
      </c>
      <c r="S738" s="387" t="s">
        <v>171</v>
      </c>
      <c r="T738" s="387" t="s">
        <v>542</v>
      </c>
      <c r="U738" s="388">
        <v>56450</v>
      </c>
      <c r="V738" s="387">
        <v>6009688290950</v>
      </c>
      <c r="W738" s="387">
        <v>16009688290957</v>
      </c>
      <c r="X738" s="387" t="s">
        <v>543</v>
      </c>
      <c r="Y738" s="387">
        <v>16009688290957</v>
      </c>
      <c r="Z738" s="387" t="s">
        <v>543</v>
      </c>
      <c r="AA738" s="388" t="s">
        <v>543</v>
      </c>
      <c r="AB738" s="388" t="s">
        <v>543</v>
      </c>
      <c r="AC738" s="387" t="s">
        <v>543</v>
      </c>
      <c r="AD738" s="389">
        <v>45</v>
      </c>
      <c r="AE738" s="390">
        <v>44470</v>
      </c>
      <c r="AF738" s="390">
        <v>45199</v>
      </c>
      <c r="AG738" s="391" t="s">
        <v>545</v>
      </c>
      <c r="AH738" s="391" t="s">
        <v>5791</v>
      </c>
      <c r="AI738" s="391" t="s">
        <v>580</v>
      </c>
      <c r="AJ738" s="391">
        <v>0</v>
      </c>
      <c r="AK738" s="390">
        <v>44470</v>
      </c>
      <c r="AL738" s="389">
        <v>100</v>
      </c>
      <c r="AM738" s="391" t="s">
        <v>548</v>
      </c>
      <c r="AN738" s="391" t="s">
        <v>549</v>
      </c>
      <c r="AO738" s="391" t="s">
        <v>5785</v>
      </c>
    </row>
    <row r="739" spans="1:43" ht="16" thickBot="1">
      <c r="A739" s="387" t="s">
        <v>1766</v>
      </c>
      <c r="B739" s="387" t="s">
        <v>3673</v>
      </c>
      <c r="C739" s="387" t="s">
        <v>5792</v>
      </c>
      <c r="D739" s="387" t="s">
        <v>5793</v>
      </c>
      <c r="E739" s="387">
        <v>28</v>
      </c>
      <c r="F739" s="387" t="s">
        <v>559</v>
      </c>
      <c r="G739" s="387">
        <v>28</v>
      </c>
      <c r="H739" s="387" t="s">
        <v>559</v>
      </c>
      <c r="I739" s="387" t="s">
        <v>560</v>
      </c>
      <c r="J739" s="387" t="s">
        <v>5776</v>
      </c>
      <c r="K739" s="387" t="s">
        <v>5783</v>
      </c>
      <c r="L739" s="387" t="s">
        <v>1829</v>
      </c>
      <c r="M739" s="387" t="s">
        <v>1830</v>
      </c>
      <c r="N739" s="388">
        <v>4.3499999999999996</v>
      </c>
      <c r="O739" s="388">
        <v>14</v>
      </c>
      <c r="P739" s="387" t="s">
        <v>538</v>
      </c>
      <c r="Q739" s="387" t="s">
        <v>539</v>
      </c>
      <c r="R739" s="387" t="s">
        <v>5778</v>
      </c>
      <c r="S739" s="387" t="s">
        <v>171</v>
      </c>
      <c r="T739" s="387" t="s">
        <v>542</v>
      </c>
      <c r="U739" s="388">
        <v>383750</v>
      </c>
      <c r="V739" s="387" t="s">
        <v>543</v>
      </c>
      <c r="W739" s="387" t="s">
        <v>543</v>
      </c>
      <c r="X739" s="387" t="s">
        <v>543</v>
      </c>
      <c r="Y739" s="387" t="s">
        <v>543</v>
      </c>
      <c r="Z739" s="387" t="s">
        <v>543</v>
      </c>
      <c r="AA739" s="388" t="s">
        <v>543</v>
      </c>
      <c r="AB739" s="388" t="s">
        <v>543</v>
      </c>
      <c r="AC739" s="387" t="s">
        <v>543</v>
      </c>
      <c r="AD739" s="389">
        <v>60</v>
      </c>
      <c r="AE739" s="390">
        <v>44470</v>
      </c>
      <c r="AF739" s="390">
        <v>45199</v>
      </c>
      <c r="AG739" s="390">
        <v>45199</v>
      </c>
      <c r="AH739" s="391" t="s">
        <v>5794</v>
      </c>
      <c r="AI739" s="391" t="s">
        <v>1833</v>
      </c>
      <c r="AJ739" s="391">
        <v>16</v>
      </c>
      <c r="AK739" s="390">
        <v>45047</v>
      </c>
      <c r="AL739" s="389">
        <v>100</v>
      </c>
      <c r="AM739" s="391" t="s">
        <v>548</v>
      </c>
      <c r="AN739" s="391" t="s">
        <v>549</v>
      </c>
      <c r="AO739" s="391" t="s">
        <v>5785</v>
      </c>
      <c r="AP739" s="372">
        <f>N739/E739</f>
        <v>0.15535714285714283</v>
      </c>
      <c r="AQ739" s="372">
        <f>AP739</f>
        <v>0.15535714285714283</v>
      </c>
    </row>
    <row r="740" spans="1:43" ht="16" thickBot="1">
      <c r="A740" s="387" t="s">
        <v>1766</v>
      </c>
      <c r="B740" s="387" t="s">
        <v>3685</v>
      </c>
      <c r="C740" s="387" t="s">
        <v>5795</v>
      </c>
      <c r="D740" s="387" t="s">
        <v>5796</v>
      </c>
      <c r="E740" s="387">
        <v>100</v>
      </c>
      <c r="F740" s="387" t="s">
        <v>559</v>
      </c>
      <c r="G740" s="387">
        <v>100</v>
      </c>
      <c r="H740" s="387" t="s">
        <v>559</v>
      </c>
      <c r="I740" s="387" t="s">
        <v>560</v>
      </c>
      <c r="J740" s="387" t="s">
        <v>5776</v>
      </c>
      <c r="K740" s="387" t="s">
        <v>5797</v>
      </c>
      <c r="L740" s="387" t="s">
        <v>576</v>
      </c>
      <c r="M740" s="387" t="s">
        <v>577</v>
      </c>
      <c r="N740" s="388">
        <v>24.8</v>
      </c>
      <c r="O740" s="388">
        <v>14</v>
      </c>
      <c r="P740" s="387" t="s">
        <v>538</v>
      </c>
      <c r="Q740" s="387" t="s">
        <v>539</v>
      </c>
      <c r="R740" s="387" t="s">
        <v>5778</v>
      </c>
      <c r="S740" s="387" t="s">
        <v>171</v>
      </c>
      <c r="T740" s="387" t="s">
        <v>542</v>
      </c>
      <c r="U740" s="388">
        <v>98560</v>
      </c>
      <c r="V740" s="387">
        <v>6009688290653</v>
      </c>
      <c r="W740" s="387">
        <v>16009688290650</v>
      </c>
      <c r="X740" s="387" t="s">
        <v>543</v>
      </c>
      <c r="Y740" s="387">
        <v>16009688290650</v>
      </c>
      <c r="Z740" s="387" t="s">
        <v>543</v>
      </c>
      <c r="AA740" s="388" t="s">
        <v>543</v>
      </c>
      <c r="AB740" s="388" t="s">
        <v>543</v>
      </c>
      <c r="AC740" s="387" t="s">
        <v>543</v>
      </c>
      <c r="AD740" s="389">
        <v>74</v>
      </c>
      <c r="AE740" s="390">
        <v>44470</v>
      </c>
      <c r="AF740" s="390">
        <v>45199</v>
      </c>
      <c r="AG740" s="391" t="s">
        <v>545</v>
      </c>
      <c r="AH740" s="391" t="s">
        <v>5798</v>
      </c>
      <c r="AI740" s="391" t="s">
        <v>580</v>
      </c>
      <c r="AJ740" s="391">
        <v>0</v>
      </c>
      <c r="AK740" s="390">
        <v>44470</v>
      </c>
      <c r="AL740" s="389">
        <v>100</v>
      </c>
      <c r="AM740" s="391" t="s">
        <v>548</v>
      </c>
      <c r="AN740" s="391" t="s">
        <v>549</v>
      </c>
      <c r="AO740" s="391" t="s">
        <v>5799</v>
      </c>
    </row>
    <row r="741" spans="1:43" ht="16" thickBot="1">
      <c r="A741" s="387" t="s">
        <v>1766</v>
      </c>
      <c r="B741" s="387" t="s">
        <v>3693</v>
      </c>
      <c r="C741" s="387" t="s">
        <v>5800</v>
      </c>
      <c r="D741" s="387" t="s">
        <v>5801</v>
      </c>
      <c r="E741" s="387">
        <v>14</v>
      </c>
      <c r="F741" s="387" t="s">
        <v>559</v>
      </c>
      <c r="G741" s="387">
        <v>14</v>
      </c>
      <c r="H741" s="387" t="s">
        <v>559</v>
      </c>
      <c r="I741" s="387" t="s">
        <v>560</v>
      </c>
      <c r="J741" s="387" t="s">
        <v>5776</v>
      </c>
      <c r="K741" s="387" t="s">
        <v>5797</v>
      </c>
      <c r="L741" s="387" t="s">
        <v>576</v>
      </c>
      <c r="M741" s="387" t="s">
        <v>577</v>
      </c>
      <c r="N741" s="388">
        <v>3.99</v>
      </c>
      <c r="O741" s="388">
        <v>14</v>
      </c>
      <c r="P741" s="387" t="s">
        <v>538</v>
      </c>
      <c r="Q741" s="387" t="s">
        <v>539</v>
      </c>
      <c r="R741" s="387" t="s">
        <v>5778</v>
      </c>
      <c r="S741" s="387" t="s">
        <v>171</v>
      </c>
      <c r="T741" s="387" t="s">
        <v>542</v>
      </c>
      <c r="U741" s="388">
        <v>945584</v>
      </c>
      <c r="V741" s="387" t="s">
        <v>543</v>
      </c>
      <c r="W741" s="387" t="s">
        <v>543</v>
      </c>
      <c r="X741" s="387" t="s">
        <v>543</v>
      </c>
      <c r="Y741" s="387" t="s">
        <v>543</v>
      </c>
      <c r="Z741" s="387" t="s">
        <v>543</v>
      </c>
      <c r="AA741" s="388" t="s">
        <v>543</v>
      </c>
      <c r="AB741" s="388" t="s">
        <v>543</v>
      </c>
      <c r="AC741" s="387" t="s">
        <v>543</v>
      </c>
      <c r="AD741" s="389">
        <v>300</v>
      </c>
      <c r="AE741" s="390">
        <v>44470</v>
      </c>
      <c r="AF741" s="390">
        <v>45199</v>
      </c>
      <c r="AG741" s="391" t="s">
        <v>545</v>
      </c>
      <c r="AH741" s="391" t="s">
        <v>5802</v>
      </c>
      <c r="AI741" s="391" t="s">
        <v>580</v>
      </c>
      <c r="AJ741" s="391">
        <v>0</v>
      </c>
      <c r="AK741" s="390">
        <v>44470</v>
      </c>
      <c r="AL741" s="389">
        <v>40</v>
      </c>
      <c r="AM741" s="391" t="s">
        <v>548</v>
      </c>
      <c r="AN741" s="391" t="s">
        <v>549</v>
      </c>
      <c r="AO741" s="391" t="s">
        <v>5799</v>
      </c>
      <c r="AP741" s="372">
        <f>N741/E741</f>
        <v>0.28500000000000003</v>
      </c>
      <c r="AQ741" s="372">
        <f>SUMPRODUCT(AP741:AP742,U741:U742)/SUM(U741:U742)</f>
        <v>0.27771428571428569</v>
      </c>
    </row>
    <row r="742" spans="1:43" ht="16" thickBot="1">
      <c r="A742" s="387" t="s">
        <v>1766</v>
      </c>
      <c r="B742" s="387" t="s">
        <v>3693</v>
      </c>
      <c r="C742" s="387" t="s">
        <v>5800</v>
      </c>
      <c r="D742" s="387" t="s">
        <v>5801</v>
      </c>
      <c r="E742" s="387">
        <v>14</v>
      </c>
      <c r="F742" s="387" t="s">
        <v>559</v>
      </c>
      <c r="G742" s="387">
        <v>14</v>
      </c>
      <c r="H742" s="387" t="s">
        <v>559</v>
      </c>
      <c r="I742" s="387" t="s">
        <v>560</v>
      </c>
      <c r="J742" s="387" t="s">
        <v>5776</v>
      </c>
      <c r="K742" s="387" t="s">
        <v>5803</v>
      </c>
      <c r="L742" s="387" t="s">
        <v>1905</v>
      </c>
      <c r="M742" s="387" t="s">
        <v>1906</v>
      </c>
      <c r="N742" s="388">
        <v>3.82</v>
      </c>
      <c r="O742" s="388">
        <v>14</v>
      </c>
      <c r="P742" s="387" t="s">
        <v>538</v>
      </c>
      <c r="Q742" s="387" t="s">
        <v>539</v>
      </c>
      <c r="R742" s="387" t="s">
        <v>5778</v>
      </c>
      <c r="S742" s="387" t="s">
        <v>171</v>
      </c>
      <c r="T742" s="387" t="s">
        <v>542</v>
      </c>
      <c r="U742" s="388">
        <v>1418376</v>
      </c>
      <c r="V742" s="387">
        <v>6006823001907</v>
      </c>
      <c r="W742" s="387" t="s">
        <v>543</v>
      </c>
      <c r="X742" s="387" t="s">
        <v>543</v>
      </c>
      <c r="Y742" s="387">
        <v>60068200761</v>
      </c>
      <c r="Z742" s="387" t="s">
        <v>543</v>
      </c>
      <c r="AA742" s="388" t="s">
        <v>543</v>
      </c>
      <c r="AB742" s="388" t="s">
        <v>543</v>
      </c>
      <c r="AC742" s="387" t="s">
        <v>543</v>
      </c>
      <c r="AD742" s="389">
        <v>400</v>
      </c>
      <c r="AE742" s="390">
        <v>44470</v>
      </c>
      <c r="AF742" s="390">
        <v>45199</v>
      </c>
      <c r="AG742" s="390">
        <v>45199</v>
      </c>
      <c r="AH742" s="391" t="s">
        <v>5802</v>
      </c>
      <c r="AI742" s="391" t="s">
        <v>1910</v>
      </c>
      <c r="AJ742" s="391">
        <v>15</v>
      </c>
      <c r="AK742" s="390">
        <v>45047</v>
      </c>
      <c r="AL742" s="389">
        <v>60</v>
      </c>
      <c r="AM742" s="391" t="s">
        <v>548</v>
      </c>
      <c r="AN742" s="391" t="s">
        <v>549</v>
      </c>
      <c r="AO742" s="391" t="s">
        <v>5799</v>
      </c>
      <c r="AP742" s="372">
        <f>N742/E742</f>
        <v>0.27285714285714285</v>
      </c>
    </row>
    <row r="743" spans="1:43" ht="16" thickBot="1">
      <c r="A743" s="387" t="s">
        <v>1766</v>
      </c>
      <c r="B743" s="387" t="s">
        <v>3702</v>
      </c>
      <c r="C743" s="387" t="s">
        <v>5804</v>
      </c>
      <c r="D743" s="387" t="s">
        <v>5805</v>
      </c>
      <c r="E743" s="387">
        <v>21</v>
      </c>
      <c r="F743" s="387" t="s">
        <v>559</v>
      </c>
      <c r="G743" s="387">
        <v>21</v>
      </c>
      <c r="H743" s="387" t="s">
        <v>559</v>
      </c>
      <c r="I743" s="387" t="s">
        <v>560</v>
      </c>
      <c r="J743" s="387" t="s">
        <v>5776</v>
      </c>
      <c r="K743" s="387" t="s">
        <v>5797</v>
      </c>
      <c r="L743" s="387" t="s">
        <v>576</v>
      </c>
      <c r="M743" s="387" t="s">
        <v>577</v>
      </c>
      <c r="N743" s="388">
        <v>5.5</v>
      </c>
      <c r="O743" s="388">
        <v>14</v>
      </c>
      <c r="P743" s="387" t="s">
        <v>538</v>
      </c>
      <c r="Q743" s="387" t="s">
        <v>539</v>
      </c>
      <c r="R743" s="387" t="s">
        <v>5778</v>
      </c>
      <c r="S743" s="387" t="s">
        <v>171</v>
      </c>
      <c r="T743" s="387" t="s">
        <v>542</v>
      </c>
      <c r="U743" s="388">
        <v>1034170</v>
      </c>
      <c r="V743" s="387" t="s">
        <v>543</v>
      </c>
      <c r="W743" s="387" t="s">
        <v>543</v>
      </c>
      <c r="X743" s="387" t="s">
        <v>543</v>
      </c>
      <c r="Y743" s="387" t="s">
        <v>543</v>
      </c>
      <c r="Z743" s="387" t="s">
        <v>543</v>
      </c>
      <c r="AA743" s="388" t="s">
        <v>543</v>
      </c>
      <c r="AB743" s="388" t="s">
        <v>543</v>
      </c>
      <c r="AC743" s="387" t="s">
        <v>543</v>
      </c>
      <c r="AD743" s="389">
        <v>300</v>
      </c>
      <c r="AE743" s="390">
        <v>44470</v>
      </c>
      <c r="AF743" s="390">
        <v>45199</v>
      </c>
      <c r="AG743" s="391" t="s">
        <v>545</v>
      </c>
      <c r="AH743" s="391" t="s">
        <v>5806</v>
      </c>
      <c r="AI743" s="391" t="s">
        <v>580</v>
      </c>
      <c r="AJ743" s="391">
        <v>0</v>
      </c>
      <c r="AK743" s="390">
        <v>44470</v>
      </c>
      <c r="AL743" s="389">
        <v>100</v>
      </c>
      <c r="AM743" s="391" t="s">
        <v>548</v>
      </c>
      <c r="AN743" s="391" t="s">
        <v>549</v>
      </c>
      <c r="AO743" s="391" t="s">
        <v>5799</v>
      </c>
      <c r="AP743" s="372">
        <f>N743/E743</f>
        <v>0.26190476190476192</v>
      </c>
      <c r="AQ743" s="372">
        <f>AP743</f>
        <v>0.26190476190476192</v>
      </c>
    </row>
    <row r="744" spans="1:43" ht="16" thickBot="1">
      <c r="A744" s="387" t="s">
        <v>1766</v>
      </c>
      <c r="B744" s="387" t="s">
        <v>3726</v>
      </c>
      <c r="C744" s="387" t="s">
        <v>5807</v>
      </c>
      <c r="D744" s="387" t="s">
        <v>5808</v>
      </c>
      <c r="E744" s="387">
        <v>5</v>
      </c>
      <c r="F744" s="387" t="s">
        <v>559</v>
      </c>
      <c r="G744" s="387">
        <v>5</v>
      </c>
      <c r="H744" s="387" t="s">
        <v>559</v>
      </c>
      <c r="I744" s="387" t="s">
        <v>560</v>
      </c>
      <c r="J744" s="387" t="s">
        <v>5776</v>
      </c>
      <c r="K744" s="387" t="s">
        <v>5809</v>
      </c>
      <c r="L744" s="387" t="s">
        <v>1829</v>
      </c>
      <c r="M744" s="387" t="s">
        <v>1830</v>
      </c>
      <c r="N744" s="388">
        <v>1.96</v>
      </c>
      <c r="O744" s="388">
        <v>14</v>
      </c>
      <c r="P744" s="387" t="s">
        <v>538</v>
      </c>
      <c r="Q744" s="387" t="s">
        <v>539</v>
      </c>
      <c r="R744" s="387" t="s">
        <v>5778</v>
      </c>
      <c r="S744" s="387" t="s">
        <v>171</v>
      </c>
      <c r="T744" s="387" t="s">
        <v>542</v>
      </c>
      <c r="U744" s="388">
        <v>1700856</v>
      </c>
      <c r="V744" s="387" t="s">
        <v>543</v>
      </c>
      <c r="W744" s="387" t="s">
        <v>543</v>
      </c>
      <c r="X744" s="387" t="s">
        <v>543</v>
      </c>
      <c r="Y744" s="387" t="s">
        <v>543</v>
      </c>
      <c r="Z744" s="387" t="s">
        <v>543</v>
      </c>
      <c r="AA744" s="388" t="s">
        <v>543</v>
      </c>
      <c r="AB744" s="388" t="s">
        <v>543</v>
      </c>
      <c r="AC744" s="387" t="s">
        <v>543</v>
      </c>
      <c r="AD744" s="389">
        <v>100</v>
      </c>
      <c r="AE744" s="390">
        <v>44470</v>
      </c>
      <c r="AF744" s="390">
        <v>45199</v>
      </c>
      <c r="AG744" s="390">
        <v>45199</v>
      </c>
      <c r="AH744" s="391" t="s">
        <v>5810</v>
      </c>
      <c r="AI744" s="391" t="s">
        <v>1833</v>
      </c>
      <c r="AJ744" s="391">
        <v>16</v>
      </c>
      <c r="AK744" s="390">
        <v>45047</v>
      </c>
      <c r="AL744" s="389">
        <v>40</v>
      </c>
      <c r="AM744" s="391" t="s">
        <v>548</v>
      </c>
      <c r="AN744" s="391" t="s">
        <v>549</v>
      </c>
      <c r="AO744" s="391" t="s">
        <v>5799</v>
      </c>
      <c r="AP744" s="372">
        <f>N744/E744</f>
        <v>0.39200000000000002</v>
      </c>
      <c r="AQ744" s="372">
        <f>SUMPRODUCT(AP744:AP745,U744:U745)/SUM(U744:U745)</f>
        <v>0.37279999999999996</v>
      </c>
    </row>
    <row r="745" spans="1:43" ht="16" thickBot="1">
      <c r="A745" s="387" t="s">
        <v>1766</v>
      </c>
      <c r="B745" s="387" t="s">
        <v>3726</v>
      </c>
      <c r="C745" s="387" t="s">
        <v>5807</v>
      </c>
      <c r="D745" s="387" t="s">
        <v>5808</v>
      </c>
      <c r="E745" s="387">
        <v>5</v>
      </c>
      <c r="F745" s="387" t="s">
        <v>559</v>
      </c>
      <c r="G745" s="387">
        <v>5</v>
      </c>
      <c r="H745" s="387" t="s">
        <v>559</v>
      </c>
      <c r="I745" s="387" t="s">
        <v>560</v>
      </c>
      <c r="J745" s="387" t="s">
        <v>5776</v>
      </c>
      <c r="K745" s="387" t="s">
        <v>5811</v>
      </c>
      <c r="L745" s="387" t="s">
        <v>1905</v>
      </c>
      <c r="M745" s="387" t="s">
        <v>1906</v>
      </c>
      <c r="N745" s="388">
        <v>1.8</v>
      </c>
      <c r="O745" s="388">
        <v>14</v>
      </c>
      <c r="P745" s="387" t="s">
        <v>538</v>
      </c>
      <c r="Q745" s="387" t="s">
        <v>539</v>
      </c>
      <c r="R745" s="387" t="s">
        <v>5778</v>
      </c>
      <c r="S745" s="387" t="s">
        <v>171</v>
      </c>
      <c r="T745" s="387" t="s">
        <v>542</v>
      </c>
      <c r="U745" s="388">
        <v>2551284</v>
      </c>
      <c r="V745" s="387">
        <v>6006823001891</v>
      </c>
      <c r="W745" s="387">
        <v>6006823000740</v>
      </c>
      <c r="X745" s="387" t="s">
        <v>543</v>
      </c>
      <c r="Y745" s="387">
        <v>16006823000754</v>
      </c>
      <c r="Z745" s="387" t="s">
        <v>543</v>
      </c>
      <c r="AA745" s="388" t="s">
        <v>543</v>
      </c>
      <c r="AB745" s="388" t="s">
        <v>543</v>
      </c>
      <c r="AC745" s="387">
        <v>203202001</v>
      </c>
      <c r="AD745" s="389">
        <v>800</v>
      </c>
      <c r="AE745" s="390">
        <v>44470</v>
      </c>
      <c r="AF745" s="390">
        <v>45199</v>
      </c>
      <c r="AG745" s="390">
        <v>45199</v>
      </c>
      <c r="AH745" s="391" t="s">
        <v>5810</v>
      </c>
      <c r="AI745" s="391" t="s">
        <v>1910</v>
      </c>
      <c r="AJ745" s="391">
        <v>15</v>
      </c>
      <c r="AK745" s="390">
        <v>45047</v>
      </c>
      <c r="AL745" s="389">
        <v>60</v>
      </c>
      <c r="AM745" s="391" t="s">
        <v>548</v>
      </c>
      <c r="AN745" s="391" t="s">
        <v>549</v>
      </c>
      <c r="AO745" s="391" t="s">
        <v>5799</v>
      </c>
      <c r="AP745" s="372">
        <f>N745/E745</f>
        <v>0.36</v>
      </c>
    </row>
    <row r="746" spans="1:43" ht="16" thickBot="1">
      <c r="A746" s="387" t="s">
        <v>1766</v>
      </c>
      <c r="B746" s="387" t="s">
        <v>5812</v>
      </c>
      <c r="C746" s="387" t="s">
        <v>5813</v>
      </c>
      <c r="D746" s="387" t="s">
        <v>5814</v>
      </c>
      <c r="E746" s="387">
        <v>100</v>
      </c>
      <c r="F746" s="387" t="s">
        <v>531</v>
      </c>
      <c r="G746" s="387">
        <v>100</v>
      </c>
      <c r="H746" s="387" t="s">
        <v>531</v>
      </c>
      <c r="I746" s="387" t="s">
        <v>1751</v>
      </c>
      <c r="J746" s="387" t="s">
        <v>5776</v>
      </c>
      <c r="K746" s="387" t="s">
        <v>5815</v>
      </c>
      <c r="L746" s="387" t="s">
        <v>1955</v>
      </c>
      <c r="M746" s="387" t="s">
        <v>1956</v>
      </c>
      <c r="N746" s="388">
        <v>8.9</v>
      </c>
      <c r="O746" s="388">
        <v>14</v>
      </c>
      <c r="P746" s="387" t="s">
        <v>538</v>
      </c>
      <c r="Q746" s="387" t="s">
        <v>539</v>
      </c>
      <c r="R746" s="387" t="s">
        <v>5816</v>
      </c>
      <c r="S746" s="387" t="s">
        <v>171</v>
      </c>
      <c r="T746" s="387" t="s">
        <v>757</v>
      </c>
      <c r="U746" s="388">
        <v>474010</v>
      </c>
      <c r="V746" s="387">
        <v>6006267001587</v>
      </c>
      <c r="W746" s="387">
        <v>16006267001584</v>
      </c>
      <c r="X746" s="387" t="s">
        <v>543</v>
      </c>
      <c r="Y746" s="387">
        <v>16006267001584</v>
      </c>
      <c r="Z746" s="387" t="s">
        <v>543</v>
      </c>
      <c r="AA746" s="388" t="s">
        <v>543</v>
      </c>
      <c r="AB746" s="388" t="s">
        <v>543</v>
      </c>
      <c r="AC746" s="387">
        <v>772232091</v>
      </c>
      <c r="AD746" s="389">
        <v>40</v>
      </c>
      <c r="AE746" s="390">
        <v>44470</v>
      </c>
      <c r="AF746" s="390">
        <v>45199</v>
      </c>
      <c r="AG746" s="391" t="s">
        <v>545</v>
      </c>
      <c r="AH746" s="391" t="s">
        <v>5817</v>
      </c>
      <c r="AI746" s="391" t="s">
        <v>1959</v>
      </c>
      <c r="AJ746" s="391">
        <v>0</v>
      </c>
      <c r="AK746" s="390">
        <v>44470</v>
      </c>
      <c r="AL746" s="389">
        <v>10</v>
      </c>
      <c r="AM746" s="391" t="s">
        <v>548</v>
      </c>
      <c r="AN746" s="391" t="s">
        <v>549</v>
      </c>
      <c r="AO746" s="391" t="s">
        <v>5818</v>
      </c>
    </row>
    <row r="747" spans="1:43" ht="16" thickBot="1">
      <c r="A747" s="387" t="s">
        <v>1766</v>
      </c>
      <c r="B747" s="387" t="s">
        <v>5812</v>
      </c>
      <c r="C747" s="387" t="s">
        <v>5813</v>
      </c>
      <c r="D747" s="387" t="s">
        <v>5814</v>
      </c>
      <c r="E747" s="387">
        <v>100</v>
      </c>
      <c r="F747" s="387" t="s">
        <v>531</v>
      </c>
      <c r="G747" s="387">
        <v>100</v>
      </c>
      <c r="H747" s="387" t="s">
        <v>531</v>
      </c>
      <c r="I747" s="387" t="s">
        <v>1751</v>
      </c>
      <c r="J747" s="387" t="s">
        <v>5776</v>
      </c>
      <c r="K747" s="387" t="s">
        <v>5819</v>
      </c>
      <c r="L747" s="387" t="s">
        <v>1905</v>
      </c>
      <c r="M747" s="387" t="s">
        <v>1906</v>
      </c>
      <c r="N747" s="388">
        <v>6.74</v>
      </c>
      <c r="O747" s="388">
        <v>14</v>
      </c>
      <c r="P747" s="387" t="s">
        <v>538</v>
      </c>
      <c r="Q747" s="387" t="s">
        <v>539</v>
      </c>
      <c r="R747" s="387" t="s">
        <v>5816</v>
      </c>
      <c r="S747" s="387" t="s">
        <v>171</v>
      </c>
      <c r="T747" s="387" t="s">
        <v>757</v>
      </c>
      <c r="U747" s="388">
        <v>4266090</v>
      </c>
      <c r="V747" s="387">
        <v>6006823003062</v>
      </c>
      <c r="W747" s="387">
        <v>6006823003062</v>
      </c>
      <c r="X747" s="387" t="s">
        <v>543</v>
      </c>
      <c r="Y747" s="387">
        <v>16006823002284</v>
      </c>
      <c r="Z747" s="387" t="s">
        <v>543</v>
      </c>
      <c r="AA747" s="388" t="s">
        <v>543</v>
      </c>
      <c r="AB747" s="388" t="s">
        <v>543</v>
      </c>
      <c r="AC747" s="387">
        <v>718918001</v>
      </c>
      <c r="AD747" s="389">
        <v>100</v>
      </c>
      <c r="AE747" s="390">
        <v>44470</v>
      </c>
      <c r="AF747" s="390">
        <v>45199</v>
      </c>
      <c r="AG747" s="390">
        <v>45199</v>
      </c>
      <c r="AH747" s="391" t="s">
        <v>5817</v>
      </c>
      <c r="AI747" s="391" t="s">
        <v>1910</v>
      </c>
      <c r="AJ747" s="391">
        <v>15</v>
      </c>
      <c r="AK747" s="390">
        <v>45047</v>
      </c>
      <c r="AL747" s="389">
        <v>90</v>
      </c>
      <c r="AM747" s="391" t="s">
        <v>548</v>
      </c>
      <c r="AN747" s="391" t="s">
        <v>549</v>
      </c>
      <c r="AO747" s="391" t="s">
        <v>5818</v>
      </c>
    </row>
    <row r="748" spans="1:43" ht="16" thickBot="1">
      <c r="A748" s="387" t="s">
        <v>1766</v>
      </c>
      <c r="B748" s="387" t="s">
        <v>5820</v>
      </c>
      <c r="C748" s="387" t="s">
        <v>5821</v>
      </c>
      <c r="D748" s="387" t="s">
        <v>5822</v>
      </c>
      <c r="E748" s="387">
        <v>1</v>
      </c>
      <c r="F748" s="387" t="s">
        <v>1780</v>
      </c>
      <c r="G748" s="387">
        <v>1</v>
      </c>
      <c r="H748" s="387" t="s">
        <v>1780</v>
      </c>
      <c r="I748" s="387" t="s">
        <v>1751</v>
      </c>
      <c r="J748" s="387" t="s">
        <v>5823</v>
      </c>
      <c r="K748" s="387" t="s">
        <v>5824</v>
      </c>
      <c r="L748" s="387" t="s">
        <v>5825</v>
      </c>
      <c r="M748" s="387" t="s">
        <v>5826</v>
      </c>
      <c r="N748" s="388">
        <v>839.5</v>
      </c>
      <c r="O748" s="388">
        <v>14</v>
      </c>
      <c r="P748" s="387" t="s">
        <v>538</v>
      </c>
      <c r="Q748" s="387" t="s">
        <v>539</v>
      </c>
      <c r="R748" s="387" t="s">
        <v>5827</v>
      </c>
      <c r="S748" s="387" t="s">
        <v>171</v>
      </c>
      <c r="T748" s="387" t="s">
        <v>1908</v>
      </c>
      <c r="U748" s="388">
        <v>11750</v>
      </c>
      <c r="V748" s="387">
        <v>6009681160342</v>
      </c>
      <c r="W748" s="387">
        <v>6009681160830</v>
      </c>
      <c r="X748" s="387" t="s">
        <v>543</v>
      </c>
      <c r="Y748" s="387">
        <v>16009681160342</v>
      </c>
      <c r="Z748" s="387" t="s">
        <v>543</v>
      </c>
      <c r="AA748" s="388" t="s">
        <v>543</v>
      </c>
      <c r="AB748" s="388" t="s">
        <v>543</v>
      </c>
      <c r="AC748" s="387" t="s">
        <v>5828</v>
      </c>
      <c r="AD748" s="389">
        <v>10</v>
      </c>
      <c r="AE748" s="390">
        <v>44470</v>
      </c>
      <c r="AF748" s="390">
        <v>45199</v>
      </c>
      <c r="AG748" s="391" t="s">
        <v>545</v>
      </c>
      <c r="AH748" s="391" t="s">
        <v>5829</v>
      </c>
      <c r="AI748" s="391" t="s">
        <v>5830</v>
      </c>
      <c r="AJ748" s="391">
        <v>0</v>
      </c>
      <c r="AK748" s="390">
        <v>44470</v>
      </c>
      <c r="AL748" s="389">
        <v>100</v>
      </c>
      <c r="AM748" s="391" t="s">
        <v>548</v>
      </c>
      <c r="AN748" s="391" t="s">
        <v>549</v>
      </c>
      <c r="AO748" s="391" t="s">
        <v>5831</v>
      </c>
    </row>
    <row r="749" spans="1:43" ht="16" thickBot="1">
      <c r="A749" s="387" t="s">
        <v>1766</v>
      </c>
      <c r="B749" s="387" t="s">
        <v>3713</v>
      </c>
      <c r="C749" s="387" t="s">
        <v>5832</v>
      </c>
      <c r="D749" s="387" t="s">
        <v>5833</v>
      </c>
      <c r="E749" s="387">
        <v>1</v>
      </c>
      <c r="F749" s="387" t="s">
        <v>1780</v>
      </c>
      <c r="G749" s="387">
        <v>1</v>
      </c>
      <c r="H749" s="387" t="s">
        <v>1780</v>
      </c>
      <c r="I749" s="387" t="s">
        <v>1751</v>
      </c>
      <c r="J749" s="387" t="s">
        <v>5823</v>
      </c>
      <c r="K749" s="387" t="s">
        <v>5834</v>
      </c>
      <c r="L749" s="387" t="s">
        <v>5825</v>
      </c>
      <c r="M749" s="387" t="s">
        <v>5826</v>
      </c>
      <c r="N749" s="388">
        <v>461</v>
      </c>
      <c r="O749" s="388">
        <v>14</v>
      </c>
      <c r="P749" s="387" t="s">
        <v>538</v>
      </c>
      <c r="Q749" s="387" t="s">
        <v>539</v>
      </c>
      <c r="R749" s="387" t="s">
        <v>5827</v>
      </c>
      <c r="S749" s="387" t="s">
        <v>171</v>
      </c>
      <c r="T749" s="387" t="s">
        <v>1908</v>
      </c>
      <c r="U749" s="388">
        <v>10365</v>
      </c>
      <c r="V749" s="387">
        <v>6009681160335</v>
      </c>
      <c r="W749" s="387">
        <v>6009681160823</v>
      </c>
      <c r="X749" s="387" t="s">
        <v>543</v>
      </c>
      <c r="Y749" s="387">
        <v>16009681160335</v>
      </c>
      <c r="Z749" s="387" t="s">
        <v>543</v>
      </c>
      <c r="AA749" s="388" t="s">
        <v>543</v>
      </c>
      <c r="AB749" s="388" t="s">
        <v>543</v>
      </c>
      <c r="AC749" s="387" t="s">
        <v>5835</v>
      </c>
      <c r="AD749" s="389">
        <v>10</v>
      </c>
      <c r="AE749" s="390">
        <v>44470</v>
      </c>
      <c r="AF749" s="390">
        <v>45199</v>
      </c>
      <c r="AG749" s="391" t="s">
        <v>545</v>
      </c>
      <c r="AH749" s="391" t="s">
        <v>5836</v>
      </c>
      <c r="AI749" s="391" t="s">
        <v>5830</v>
      </c>
      <c r="AJ749" s="391">
        <v>0</v>
      </c>
      <c r="AK749" s="390">
        <v>44470</v>
      </c>
      <c r="AL749" s="389">
        <v>100</v>
      </c>
      <c r="AM749" s="391" t="s">
        <v>548</v>
      </c>
      <c r="AN749" s="391" t="s">
        <v>549</v>
      </c>
      <c r="AO749" s="391" t="s">
        <v>5837</v>
      </c>
    </row>
    <row r="750" spans="1:43" ht="16" thickBot="1">
      <c r="A750" s="387" t="s">
        <v>1766</v>
      </c>
      <c r="B750" s="387" t="s">
        <v>3775</v>
      </c>
      <c r="C750" s="387" t="s">
        <v>5838</v>
      </c>
      <c r="D750" s="387" t="s">
        <v>5839</v>
      </c>
      <c r="E750" s="387">
        <v>30</v>
      </c>
      <c r="F750" s="387" t="s">
        <v>2180</v>
      </c>
      <c r="G750" s="387" t="s">
        <v>543</v>
      </c>
      <c r="H750" s="387" t="s">
        <v>2180</v>
      </c>
      <c r="I750" s="387" t="s">
        <v>5840</v>
      </c>
      <c r="J750" s="387" t="s">
        <v>5841</v>
      </c>
      <c r="K750" s="387" t="s">
        <v>5842</v>
      </c>
      <c r="L750" s="387" t="s">
        <v>1855</v>
      </c>
      <c r="M750" s="387" t="s">
        <v>1856</v>
      </c>
      <c r="N750" s="388">
        <v>34.97</v>
      </c>
      <c r="O750" s="388">
        <v>14</v>
      </c>
      <c r="P750" s="387" t="s">
        <v>538</v>
      </c>
      <c r="Q750" s="387" t="s">
        <v>539</v>
      </c>
      <c r="R750" s="387" t="s">
        <v>5843</v>
      </c>
      <c r="S750" s="387" t="s">
        <v>171</v>
      </c>
      <c r="T750" s="387" t="s">
        <v>757</v>
      </c>
      <c r="U750" s="388">
        <v>338720</v>
      </c>
      <c r="V750" s="387">
        <v>6001668011135</v>
      </c>
      <c r="W750" s="387" t="s">
        <v>543</v>
      </c>
      <c r="X750" s="387" t="s">
        <v>543</v>
      </c>
      <c r="Y750" s="387">
        <v>16001668011170</v>
      </c>
      <c r="Z750" s="387">
        <v>16001668011170</v>
      </c>
      <c r="AA750" s="388" t="s">
        <v>543</v>
      </c>
      <c r="AB750" s="388" t="s">
        <v>543</v>
      </c>
      <c r="AC750" s="387" t="s">
        <v>543</v>
      </c>
      <c r="AD750" s="389">
        <v>150</v>
      </c>
      <c r="AE750" s="390">
        <v>44470</v>
      </c>
      <c r="AF750" s="390">
        <v>45199</v>
      </c>
      <c r="AG750" s="391" t="s">
        <v>545</v>
      </c>
      <c r="AH750" s="391" t="s">
        <v>5844</v>
      </c>
      <c r="AI750" s="391" t="s">
        <v>1859</v>
      </c>
      <c r="AJ750" s="391">
        <v>0</v>
      </c>
      <c r="AK750" s="390">
        <v>44470</v>
      </c>
      <c r="AL750" s="389">
        <v>100</v>
      </c>
      <c r="AM750" s="391" t="s">
        <v>548</v>
      </c>
      <c r="AN750" s="391" t="s">
        <v>549</v>
      </c>
      <c r="AO750" s="391" t="s">
        <v>5845</v>
      </c>
    </row>
    <row r="751" spans="1:43" ht="16" thickBot="1">
      <c r="A751" s="387" t="s">
        <v>1748</v>
      </c>
      <c r="B751" s="387" t="s">
        <v>5499</v>
      </c>
      <c r="C751" s="387" t="s">
        <v>5846</v>
      </c>
      <c r="D751" s="387" t="s">
        <v>5847</v>
      </c>
      <c r="E751" s="387">
        <v>3</v>
      </c>
      <c r="F751" s="387" t="s">
        <v>531</v>
      </c>
      <c r="G751" s="387">
        <v>3</v>
      </c>
      <c r="H751" s="387" t="s">
        <v>531</v>
      </c>
      <c r="I751" s="387" t="s">
        <v>1751</v>
      </c>
      <c r="J751" s="387" t="s">
        <v>5848</v>
      </c>
      <c r="K751" s="387" t="s">
        <v>5849</v>
      </c>
      <c r="L751" s="387" t="s">
        <v>1975</v>
      </c>
      <c r="M751" s="387" t="s">
        <v>1976</v>
      </c>
      <c r="N751" s="388">
        <v>8.17</v>
      </c>
      <c r="O751" s="388">
        <v>14</v>
      </c>
      <c r="P751" s="387" t="s">
        <v>538</v>
      </c>
      <c r="Q751" s="387" t="s">
        <v>539</v>
      </c>
      <c r="R751" s="387" t="s">
        <v>5850</v>
      </c>
      <c r="S751" s="387" t="s">
        <v>541</v>
      </c>
      <c r="T751" s="387" t="s">
        <v>542</v>
      </c>
      <c r="U751" s="388">
        <v>379572</v>
      </c>
      <c r="V751" s="387" t="s">
        <v>543</v>
      </c>
      <c r="W751" s="387" t="s">
        <v>543</v>
      </c>
      <c r="X751" s="387" t="s">
        <v>543</v>
      </c>
      <c r="Y751" s="387" t="s">
        <v>543</v>
      </c>
      <c r="Z751" s="387" t="s">
        <v>543</v>
      </c>
      <c r="AA751" s="388" t="s">
        <v>543</v>
      </c>
      <c r="AB751" s="388" t="s">
        <v>543</v>
      </c>
      <c r="AC751" s="387" t="s">
        <v>543</v>
      </c>
      <c r="AD751" s="389">
        <v>10</v>
      </c>
      <c r="AE751" s="390">
        <v>44317</v>
      </c>
      <c r="AF751" s="390">
        <v>45412</v>
      </c>
      <c r="AG751" s="391" t="s">
        <v>545</v>
      </c>
      <c r="AH751" s="391" t="s">
        <v>5851</v>
      </c>
      <c r="AI751" s="391" t="s">
        <v>1979</v>
      </c>
      <c r="AJ751" s="391">
        <v>0</v>
      </c>
      <c r="AK751" s="390">
        <v>44317</v>
      </c>
      <c r="AL751" s="389">
        <v>40</v>
      </c>
      <c r="AM751" s="391" t="s">
        <v>548</v>
      </c>
      <c r="AN751" s="391" t="s">
        <v>549</v>
      </c>
      <c r="AO751" s="391" t="s">
        <v>5852</v>
      </c>
    </row>
    <row r="752" spans="1:43" ht="16" thickBot="1">
      <c r="A752" s="387" t="s">
        <v>1748</v>
      </c>
      <c r="B752" s="387" t="s">
        <v>5499</v>
      </c>
      <c r="C752" s="387" t="s">
        <v>5846</v>
      </c>
      <c r="D752" s="387" t="s">
        <v>5847</v>
      </c>
      <c r="E752" s="387">
        <v>3</v>
      </c>
      <c r="F752" s="387" t="s">
        <v>531</v>
      </c>
      <c r="G752" s="387">
        <v>3</v>
      </c>
      <c r="H752" s="387" t="s">
        <v>531</v>
      </c>
      <c r="I752" s="387" t="s">
        <v>1751</v>
      </c>
      <c r="J752" s="387" t="s">
        <v>5848</v>
      </c>
      <c r="K752" s="387" t="s">
        <v>5853</v>
      </c>
      <c r="L752" s="387" t="s">
        <v>2312</v>
      </c>
      <c r="M752" s="387" t="s">
        <v>2313</v>
      </c>
      <c r="N752" s="388">
        <v>7.5</v>
      </c>
      <c r="O752" s="388">
        <v>14</v>
      </c>
      <c r="P752" s="387" t="s">
        <v>538</v>
      </c>
      <c r="Q752" s="387" t="s">
        <v>539</v>
      </c>
      <c r="R752" s="387" t="s">
        <v>5850</v>
      </c>
      <c r="S752" s="387" t="s">
        <v>541</v>
      </c>
      <c r="T752" s="387" t="s">
        <v>542</v>
      </c>
      <c r="U752" s="388">
        <v>569358</v>
      </c>
      <c r="V752" s="387">
        <v>6009802416396</v>
      </c>
      <c r="W752" s="387">
        <v>6009802416396</v>
      </c>
      <c r="X752" s="387" t="s">
        <v>543</v>
      </c>
      <c r="Y752" s="387">
        <v>16009802416393</v>
      </c>
      <c r="Z752" s="387" t="s">
        <v>543</v>
      </c>
      <c r="AA752" s="388" t="s">
        <v>543</v>
      </c>
      <c r="AB752" s="388" t="s">
        <v>543</v>
      </c>
      <c r="AC752" s="387">
        <v>705982001</v>
      </c>
      <c r="AD752" s="389">
        <v>300</v>
      </c>
      <c r="AE752" s="390">
        <v>44317</v>
      </c>
      <c r="AF752" s="390">
        <v>45412</v>
      </c>
      <c r="AG752" s="391" t="s">
        <v>545</v>
      </c>
      <c r="AH752" s="391" t="s">
        <v>5851</v>
      </c>
      <c r="AI752" s="391" t="s">
        <v>2314</v>
      </c>
      <c r="AJ752" s="391">
        <v>0</v>
      </c>
      <c r="AK752" s="390">
        <v>44317</v>
      </c>
      <c r="AL752" s="389">
        <v>60</v>
      </c>
      <c r="AM752" s="391" t="s">
        <v>548</v>
      </c>
      <c r="AN752" s="391" t="s">
        <v>549</v>
      </c>
      <c r="AO752" s="391" t="s">
        <v>5852</v>
      </c>
    </row>
    <row r="753" spans="1:41" ht="16" thickBot="1">
      <c r="A753" s="387" t="s">
        <v>1748</v>
      </c>
      <c r="B753" s="387" t="s">
        <v>3496</v>
      </c>
      <c r="C753" s="387" t="s">
        <v>5854</v>
      </c>
      <c r="D753" s="387" t="s">
        <v>5855</v>
      </c>
      <c r="E753" s="387">
        <v>10</v>
      </c>
      <c r="F753" s="387" t="s">
        <v>531</v>
      </c>
      <c r="G753" s="387">
        <v>10</v>
      </c>
      <c r="H753" s="387" t="s">
        <v>531</v>
      </c>
      <c r="I753" s="387" t="s">
        <v>1751</v>
      </c>
      <c r="J753" s="387" t="s">
        <v>5848</v>
      </c>
      <c r="K753" s="387" t="s">
        <v>5856</v>
      </c>
      <c r="L753" s="387" t="s">
        <v>2312</v>
      </c>
      <c r="M753" s="387" t="s">
        <v>2313</v>
      </c>
      <c r="N753" s="388">
        <v>19.25</v>
      </c>
      <c r="O753" s="388">
        <v>14</v>
      </c>
      <c r="P753" s="387" t="s">
        <v>538</v>
      </c>
      <c r="Q753" s="387" t="s">
        <v>539</v>
      </c>
      <c r="R753" s="387" t="s">
        <v>5850</v>
      </c>
      <c r="S753" s="387" t="s">
        <v>541</v>
      </c>
      <c r="T753" s="387" t="s">
        <v>542</v>
      </c>
      <c r="U753" s="388">
        <v>127300</v>
      </c>
      <c r="V753" s="387" t="s">
        <v>543</v>
      </c>
      <c r="W753" s="387" t="s">
        <v>543</v>
      </c>
      <c r="X753" s="387" t="s">
        <v>543</v>
      </c>
      <c r="Y753" s="387" t="s">
        <v>543</v>
      </c>
      <c r="Z753" s="387" t="s">
        <v>543</v>
      </c>
      <c r="AA753" s="388" t="s">
        <v>543</v>
      </c>
      <c r="AB753" s="388" t="s">
        <v>543</v>
      </c>
      <c r="AC753" s="387" t="s">
        <v>543</v>
      </c>
      <c r="AD753" s="389">
        <v>100</v>
      </c>
      <c r="AE753" s="390">
        <v>44317</v>
      </c>
      <c r="AF753" s="390">
        <v>45412</v>
      </c>
      <c r="AG753" s="391" t="s">
        <v>545</v>
      </c>
      <c r="AH753" s="391" t="s">
        <v>5857</v>
      </c>
      <c r="AI753" s="391" t="s">
        <v>2314</v>
      </c>
      <c r="AJ753" s="391">
        <v>0</v>
      </c>
      <c r="AK753" s="390">
        <v>44317</v>
      </c>
      <c r="AL753" s="389">
        <v>100</v>
      </c>
      <c r="AM753" s="391" t="s">
        <v>548</v>
      </c>
      <c r="AN753" s="391" t="s">
        <v>549</v>
      </c>
      <c r="AO753" s="391" t="s">
        <v>5858</v>
      </c>
    </row>
    <row r="754" spans="1:41" ht="16" thickBot="1">
      <c r="A754" s="387" t="s">
        <v>1748</v>
      </c>
      <c r="B754" s="387" t="s">
        <v>3490</v>
      </c>
      <c r="C754" s="387" t="s">
        <v>5859</v>
      </c>
      <c r="D754" s="387" t="s">
        <v>5860</v>
      </c>
      <c r="E754" s="387">
        <v>5</v>
      </c>
      <c r="F754" s="387" t="s">
        <v>531</v>
      </c>
      <c r="G754" s="387">
        <v>5</v>
      </c>
      <c r="H754" s="387" t="s">
        <v>531</v>
      </c>
      <c r="I754" s="387" t="s">
        <v>1751</v>
      </c>
      <c r="J754" s="387" t="s">
        <v>5848</v>
      </c>
      <c r="K754" s="387" t="s">
        <v>5861</v>
      </c>
      <c r="L754" s="387" t="s">
        <v>1975</v>
      </c>
      <c r="M754" s="387" t="s">
        <v>1976</v>
      </c>
      <c r="N754" s="388">
        <v>6.21</v>
      </c>
      <c r="O754" s="388">
        <v>14</v>
      </c>
      <c r="P754" s="387" t="s">
        <v>538</v>
      </c>
      <c r="Q754" s="387" t="s">
        <v>539</v>
      </c>
      <c r="R754" s="387" t="s">
        <v>5850</v>
      </c>
      <c r="S754" s="387" t="s">
        <v>541</v>
      </c>
      <c r="T754" s="387" t="s">
        <v>542</v>
      </c>
      <c r="U754" s="388">
        <v>357120</v>
      </c>
      <c r="V754" s="387" t="s">
        <v>543</v>
      </c>
      <c r="W754" s="387" t="s">
        <v>543</v>
      </c>
      <c r="X754" s="387" t="s">
        <v>543</v>
      </c>
      <c r="Y754" s="387" t="s">
        <v>543</v>
      </c>
      <c r="Z754" s="387" t="s">
        <v>543</v>
      </c>
      <c r="AA754" s="388" t="s">
        <v>543</v>
      </c>
      <c r="AB754" s="388" t="s">
        <v>543</v>
      </c>
      <c r="AC754" s="387" t="s">
        <v>543</v>
      </c>
      <c r="AD754" s="389">
        <v>10</v>
      </c>
      <c r="AE754" s="390">
        <v>44317</v>
      </c>
      <c r="AF754" s="390">
        <v>45412</v>
      </c>
      <c r="AG754" s="391" t="s">
        <v>545</v>
      </c>
      <c r="AH754" s="391" t="s">
        <v>5862</v>
      </c>
      <c r="AI754" s="391" t="s">
        <v>1979</v>
      </c>
      <c r="AJ754" s="391">
        <v>0</v>
      </c>
      <c r="AK754" s="390">
        <v>44317</v>
      </c>
      <c r="AL754" s="389">
        <v>60</v>
      </c>
      <c r="AM754" s="391" t="s">
        <v>548</v>
      </c>
      <c r="AN754" s="391" t="s">
        <v>549</v>
      </c>
      <c r="AO754" s="391" t="s">
        <v>5863</v>
      </c>
    </row>
    <row r="755" spans="1:41" ht="16" thickBot="1">
      <c r="A755" s="387" t="s">
        <v>1748</v>
      </c>
      <c r="B755" s="387" t="s">
        <v>3490</v>
      </c>
      <c r="C755" s="387" t="s">
        <v>5859</v>
      </c>
      <c r="D755" s="387" t="s">
        <v>5860</v>
      </c>
      <c r="E755" s="387">
        <v>5</v>
      </c>
      <c r="F755" s="387" t="s">
        <v>531</v>
      </c>
      <c r="G755" s="387">
        <v>5</v>
      </c>
      <c r="H755" s="387" t="s">
        <v>531</v>
      </c>
      <c r="I755" s="387" t="s">
        <v>1751</v>
      </c>
      <c r="J755" s="387" t="s">
        <v>5848</v>
      </c>
      <c r="K755" s="387" t="s">
        <v>5864</v>
      </c>
      <c r="L755" s="387" t="s">
        <v>2595</v>
      </c>
      <c r="M755" s="387" t="s">
        <v>2596</v>
      </c>
      <c r="N755" s="388">
        <v>5.75</v>
      </c>
      <c r="O755" s="388">
        <v>14</v>
      </c>
      <c r="P755" s="387" t="s">
        <v>538</v>
      </c>
      <c r="Q755" s="387" t="s">
        <v>539</v>
      </c>
      <c r="R755" s="387" t="s">
        <v>5850</v>
      </c>
      <c r="S755" s="387" t="s">
        <v>541</v>
      </c>
      <c r="T755" s="387" t="s">
        <v>542</v>
      </c>
      <c r="U755" s="388">
        <v>238080</v>
      </c>
      <c r="V755" s="387">
        <v>6009801985565</v>
      </c>
      <c r="W755" s="387" t="s">
        <v>543</v>
      </c>
      <c r="X755" s="387" t="s">
        <v>543</v>
      </c>
      <c r="Y755" s="387">
        <v>16009801985630</v>
      </c>
      <c r="Z755" s="387" t="s">
        <v>543</v>
      </c>
      <c r="AA755" s="388" t="s">
        <v>543</v>
      </c>
      <c r="AB755" s="388" t="s">
        <v>543</v>
      </c>
      <c r="AC755" s="387">
        <v>719621001</v>
      </c>
      <c r="AD755" s="389">
        <v>20</v>
      </c>
      <c r="AE755" s="390">
        <v>44317</v>
      </c>
      <c r="AF755" s="390">
        <v>45412</v>
      </c>
      <c r="AG755" s="391" t="s">
        <v>545</v>
      </c>
      <c r="AH755" s="391" t="s">
        <v>5862</v>
      </c>
      <c r="AI755" s="391" t="s">
        <v>2599</v>
      </c>
      <c r="AJ755" s="391">
        <v>0</v>
      </c>
      <c r="AK755" s="390">
        <v>44317</v>
      </c>
      <c r="AL755" s="389">
        <v>40</v>
      </c>
      <c r="AM755" s="391" t="s">
        <v>548</v>
      </c>
      <c r="AN755" s="391" t="s">
        <v>549</v>
      </c>
      <c r="AO755" s="391" t="s">
        <v>5863</v>
      </c>
    </row>
    <row r="756" spans="1:41" ht="16" thickBot="1">
      <c r="A756" s="387" t="s">
        <v>3235</v>
      </c>
      <c r="B756" s="387" t="s">
        <v>972</v>
      </c>
      <c r="C756" s="387" t="s">
        <v>5865</v>
      </c>
      <c r="D756" s="387" t="s">
        <v>5866</v>
      </c>
      <c r="E756" s="387">
        <v>3</v>
      </c>
      <c r="F756" s="387" t="s">
        <v>559</v>
      </c>
      <c r="G756" s="387">
        <v>3</v>
      </c>
      <c r="H756" s="387" t="s">
        <v>559</v>
      </c>
      <c r="I756" s="387" t="s">
        <v>560</v>
      </c>
      <c r="J756" s="387" t="s">
        <v>5867</v>
      </c>
      <c r="K756" s="387" t="s">
        <v>5868</v>
      </c>
      <c r="L756" s="387" t="s">
        <v>5869</v>
      </c>
      <c r="M756" s="387" t="s">
        <v>5870</v>
      </c>
      <c r="N756" s="388">
        <v>750</v>
      </c>
      <c r="O756" s="388">
        <v>14</v>
      </c>
      <c r="P756" s="387" t="s">
        <v>538</v>
      </c>
      <c r="Q756" s="387" t="s">
        <v>539</v>
      </c>
      <c r="R756" s="387" t="s">
        <v>5871</v>
      </c>
      <c r="S756" s="387" t="s">
        <v>171</v>
      </c>
      <c r="T756" s="387" t="s">
        <v>542</v>
      </c>
      <c r="U756" s="388">
        <v>57820</v>
      </c>
      <c r="V756" s="387">
        <v>8906022110029</v>
      </c>
      <c r="W756" s="387" t="s">
        <v>543</v>
      </c>
      <c r="X756" s="387" t="s">
        <v>543</v>
      </c>
      <c r="Y756" s="387" t="s">
        <v>5872</v>
      </c>
      <c r="Z756" s="387" t="s">
        <v>543</v>
      </c>
      <c r="AA756" s="388" t="s">
        <v>543</v>
      </c>
      <c r="AB756" s="388" t="s">
        <v>543</v>
      </c>
      <c r="AC756" s="387" t="s">
        <v>543</v>
      </c>
      <c r="AD756" s="389" t="s">
        <v>5873</v>
      </c>
      <c r="AE756" s="390">
        <v>44105</v>
      </c>
      <c r="AF756" s="390">
        <v>45199</v>
      </c>
      <c r="AG756" s="390">
        <v>45199</v>
      </c>
      <c r="AH756" s="391" t="s">
        <v>5874</v>
      </c>
      <c r="AI756" s="391" t="s">
        <v>5875</v>
      </c>
      <c r="AJ756" s="391">
        <v>0</v>
      </c>
      <c r="AK756" s="390">
        <v>44105</v>
      </c>
      <c r="AL756" s="389">
        <v>100</v>
      </c>
      <c r="AM756" s="391" t="s">
        <v>548</v>
      </c>
      <c r="AN756" s="391" t="s">
        <v>545</v>
      </c>
      <c r="AO756" s="391" t="s">
        <v>5876</v>
      </c>
    </row>
    <row r="757" spans="1:41" ht="16" thickBot="1">
      <c r="A757" s="387" t="s">
        <v>4007</v>
      </c>
      <c r="B757" s="387" t="s">
        <v>1006</v>
      </c>
      <c r="C757" s="387" t="s">
        <v>5877</v>
      </c>
      <c r="D757" s="387" t="s">
        <v>5878</v>
      </c>
      <c r="E757" s="387">
        <v>60</v>
      </c>
      <c r="F757" s="387" t="s">
        <v>559</v>
      </c>
      <c r="G757" s="387">
        <v>60</v>
      </c>
      <c r="H757" s="387" t="s">
        <v>559</v>
      </c>
      <c r="I757" s="387" t="s">
        <v>560</v>
      </c>
      <c r="J757" s="387" t="s">
        <v>5879</v>
      </c>
      <c r="K757" s="387" t="s">
        <v>5880</v>
      </c>
      <c r="L757" s="387" t="s">
        <v>1916</v>
      </c>
      <c r="M757" s="387" t="s">
        <v>1917</v>
      </c>
      <c r="N757" s="388">
        <v>297.63</v>
      </c>
      <c r="O757" s="388">
        <v>14</v>
      </c>
      <c r="P757" s="387" t="s">
        <v>538</v>
      </c>
      <c r="Q757" s="387" t="s">
        <v>539</v>
      </c>
      <c r="R757" s="387" t="s">
        <v>5881</v>
      </c>
      <c r="S757" s="387" t="s">
        <v>541</v>
      </c>
      <c r="T757" s="387" t="s">
        <v>542</v>
      </c>
      <c r="U757" s="388">
        <v>64678</v>
      </c>
      <c r="V757" s="387">
        <v>6001144032470</v>
      </c>
      <c r="W757" s="387" t="s">
        <v>543</v>
      </c>
      <c r="X757" s="387" t="s">
        <v>543</v>
      </c>
      <c r="Y757" s="387" t="s">
        <v>543</v>
      </c>
      <c r="Z757" s="387" t="s">
        <v>543</v>
      </c>
      <c r="AA757" s="388" t="s">
        <v>543</v>
      </c>
      <c r="AB757" s="388" t="s">
        <v>543</v>
      </c>
      <c r="AC757" s="387">
        <v>782416020</v>
      </c>
      <c r="AD757" s="389">
        <v>1</v>
      </c>
      <c r="AE757" s="390">
        <v>44224</v>
      </c>
      <c r="AF757" s="390">
        <v>45199</v>
      </c>
      <c r="AG757" s="390">
        <v>45199</v>
      </c>
      <c r="AH757" s="391" t="s">
        <v>5882</v>
      </c>
      <c r="AI757" s="391" t="s">
        <v>1920</v>
      </c>
      <c r="AJ757" s="391">
        <v>0</v>
      </c>
      <c r="AK757" s="390">
        <v>44224</v>
      </c>
      <c r="AL757" s="389">
        <v>100</v>
      </c>
      <c r="AM757" s="391" t="s">
        <v>548</v>
      </c>
      <c r="AN757" s="391" t="s">
        <v>545</v>
      </c>
      <c r="AO757" s="391" t="s">
        <v>5883</v>
      </c>
    </row>
    <row r="758" spans="1:41" ht="16" thickBot="1">
      <c r="A758" s="387" t="s">
        <v>1717</v>
      </c>
      <c r="B758" s="387" t="s">
        <v>5884</v>
      </c>
      <c r="C758" s="387" t="s">
        <v>5885</v>
      </c>
      <c r="D758" s="387" t="s">
        <v>5886</v>
      </c>
      <c r="E758" s="387">
        <v>28</v>
      </c>
      <c r="F758" s="387" t="s">
        <v>559</v>
      </c>
      <c r="G758" s="387">
        <v>28</v>
      </c>
      <c r="H758" s="387" t="s">
        <v>559</v>
      </c>
      <c r="I758" s="387" t="s">
        <v>560</v>
      </c>
      <c r="J758" s="387" t="s">
        <v>5887</v>
      </c>
      <c r="K758" s="387" t="s">
        <v>5888</v>
      </c>
      <c r="L758" s="387" t="s">
        <v>2200</v>
      </c>
      <c r="M758" s="387" t="s">
        <v>2201</v>
      </c>
      <c r="N758" s="388">
        <v>16.2</v>
      </c>
      <c r="O758" s="388">
        <v>14</v>
      </c>
      <c r="P758" s="387" t="s">
        <v>538</v>
      </c>
      <c r="Q758" s="387" t="s">
        <v>539</v>
      </c>
      <c r="R758" s="387" t="s">
        <v>5889</v>
      </c>
      <c r="S758" s="387" t="s">
        <v>171</v>
      </c>
      <c r="T758" s="387" t="s">
        <v>1908</v>
      </c>
      <c r="U758" s="388">
        <v>71110</v>
      </c>
      <c r="V758" s="387" t="s">
        <v>543</v>
      </c>
      <c r="W758" s="387" t="s">
        <v>543</v>
      </c>
      <c r="X758" s="387" t="s">
        <v>543</v>
      </c>
      <c r="Y758" s="387" t="s">
        <v>543</v>
      </c>
      <c r="Z758" s="387" t="s">
        <v>543</v>
      </c>
      <c r="AA758" s="388" t="s">
        <v>543</v>
      </c>
      <c r="AB758" s="388" t="s">
        <v>543</v>
      </c>
      <c r="AC758" s="387" t="s">
        <v>543</v>
      </c>
      <c r="AD758" s="389" t="s">
        <v>5890</v>
      </c>
      <c r="AE758" s="390">
        <v>45047</v>
      </c>
      <c r="AF758" s="390">
        <v>46142</v>
      </c>
      <c r="AG758" s="391" t="s">
        <v>545</v>
      </c>
      <c r="AH758" s="391" t="s">
        <v>5891</v>
      </c>
      <c r="AI758" s="391" t="s">
        <v>2203</v>
      </c>
      <c r="AJ758" s="391">
        <v>0</v>
      </c>
      <c r="AK758" s="390">
        <v>45047</v>
      </c>
      <c r="AL758" s="389">
        <v>100</v>
      </c>
      <c r="AM758" s="391" t="s">
        <v>548</v>
      </c>
      <c r="AN758" s="391" t="s">
        <v>549</v>
      </c>
      <c r="AO758" s="391" t="s">
        <v>5892</v>
      </c>
    </row>
    <row r="759" spans="1:41" ht="16" thickBot="1">
      <c r="A759" s="387" t="s">
        <v>1717</v>
      </c>
      <c r="B759" s="387" t="s">
        <v>5893</v>
      </c>
      <c r="C759" s="387" t="s">
        <v>5894</v>
      </c>
      <c r="D759" s="387" t="s">
        <v>5895</v>
      </c>
      <c r="E759" s="387">
        <v>28</v>
      </c>
      <c r="F759" s="387" t="s">
        <v>559</v>
      </c>
      <c r="G759" s="387">
        <v>28</v>
      </c>
      <c r="H759" s="387" t="s">
        <v>559</v>
      </c>
      <c r="I759" s="387" t="s">
        <v>5896</v>
      </c>
      <c r="J759" s="387" t="s">
        <v>5887</v>
      </c>
      <c r="K759" s="387" t="s">
        <v>5897</v>
      </c>
      <c r="L759" s="387" t="s">
        <v>2200</v>
      </c>
      <c r="M759" s="387" t="s">
        <v>2201</v>
      </c>
      <c r="N759" s="388">
        <v>15</v>
      </c>
      <c r="O759" s="388">
        <v>14</v>
      </c>
      <c r="P759" s="387" t="s">
        <v>538</v>
      </c>
      <c r="Q759" s="387" t="s">
        <v>539</v>
      </c>
      <c r="R759" s="387" t="s">
        <v>5889</v>
      </c>
      <c r="S759" s="387" t="s">
        <v>171</v>
      </c>
      <c r="T759" s="387" t="s">
        <v>1908</v>
      </c>
      <c r="U759" s="388">
        <v>5268</v>
      </c>
      <c r="V759" s="387" t="s">
        <v>543</v>
      </c>
      <c r="W759" s="387" t="s">
        <v>543</v>
      </c>
      <c r="X759" s="387" t="s">
        <v>543</v>
      </c>
      <c r="Y759" s="387" t="s">
        <v>543</v>
      </c>
      <c r="Z759" s="387" t="s">
        <v>543</v>
      </c>
      <c r="AA759" s="388" t="s">
        <v>543</v>
      </c>
      <c r="AB759" s="388" t="s">
        <v>543</v>
      </c>
      <c r="AC759" s="387" t="s">
        <v>543</v>
      </c>
      <c r="AD759" s="389">
        <v>50</v>
      </c>
      <c r="AE759" s="390">
        <v>45047</v>
      </c>
      <c r="AF759" s="390">
        <v>46142</v>
      </c>
      <c r="AG759" s="391" t="s">
        <v>545</v>
      </c>
      <c r="AH759" s="391" t="s">
        <v>5898</v>
      </c>
      <c r="AI759" s="391" t="s">
        <v>2203</v>
      </c>
      <c r="AJ759" s="391">
        <v>0</v>
      </c>
      <c r="AK759" s="390">
        <v>45047</v>
      </c>
      <c r="AL759" s="389">
        <v>100</v>
      </c>
      <c r="AM759" s="391" t="s">
        <v>548</v>
      </c>
      <c r="AN759" s="391" t="s">
        <v>549</v>
      </c>
      <c r="AO759" s="391" t="s">
        <v>5899</v>
      </c>
    </row>
    <row r="760" spans="1:41" ht="16" thickBot="1">
      <c r="A760" s="387" t="s">
        <v>1717</v>
      </c>
      <c r="B760" s="387" t="s">
        <v>5900</v>
      </c>
      <c r="C760" s="387" t="s">
        <v>5901</v>
      </c>
      <c r="D760" s="387" t="s">
        <v>5902</v>
      </c>
      <c r="E760" s="387">
        <v>28</v>
      </c>
      <c r="F760" s="387" t="s">
        <v>559</v>
      </c>
      <c r="G760" s="387">
        <v>28</v>
      </c>
      <c r="H760" s="387" t="s">
        <v>559</v>
      </c>
      <c r="I760" s="387" t="s">
        <v>560</v>
      </c>
      <c r="J760" s="387" t="s">
        <v>5887</v>
      </c>
      <c r="K760" s="387" t="s">
        <v>5903</v>
      </c>
      <c r="L760" s="387" t="s">
        <v>2200</v>
      </c>
      <c r="M760" s="387" t="s">
        <v>2201</v>
      </c>
      <c r="N760" s="388">
        <v>15.5</v>
      </c>
      <c r="O760" s="388">
        <v>14</v>
      </c>
      <c r="P760" s="387" t="s">
        <v>538</v>
      </c>
      <c r="Q760" s="387" t="s">
        <v>539</v>
      </c>
      <c r="R760" s="387" t="s">
        <v>5889</v>
      </c>
      <c r="S760" s="387" t="s">
        <v>171</v>
      </c>
      <c r="T760" s="387" t="s">
        <v>1908</v>
      </c>
      <c r="U760" s="388">
        <v>53417</v>
      </c>
      <c r="V760" s="387" t="s">
        <v>543</v>
      </c>
      <c r="W760" s="387" t="s">
        <v>543</v>
      </c>
      <c r="X760" s="387" t="s">
        <v>543</v>
      </c>
      <c r="Y760" s="387" t="s">
        <v>543</v>
      </c>
      <c r="Z760" s="387" t="s">
        <v>543</v>
      </c>
      <c r="AA760" s="388" t="s">
        <v>543</v>
      </c>
      <c r="AB760" s="388" t="s">
        <v>543</v>
      </c>
      <c r="AC760" s="387" t="s">
        <v>543</v>
      </c>
      <c r="AD760" s="389">
        <v>50</v>
      </c>
      <c r="AE760" s="390">
        <v>45047</v>
      </c>
      <c r="AF760" s="390">
        <v>46142</v>
      </c>
      <c r="AG760" s="391" t="s">
        <v>545</v>
      </c>
      <c r="AH760" s="391" t="s">
        <v>5904</v>
      </c>
      <c r="AI760" s="391" t="s">
        <v>2203</v>
      </c>
      <c r="AJ760" s="391">
        <v>0</v>
      </c>
      <c r="AK760" s="390">
        <v>45047</v>
      </c>
      <c r="AL760" s="389">
        <v>100</v>
      </c>
      <c r="AM760" s="391" t="s">
        <v>548</v>
      </c>
      <c r="AN760" s="391" t="s">
        <v>549</v>
      </c>
      <c r="AO760" s="391" t="s">
        <v>5905</v>
      </c>
    </row>
    <row r="761" spans="1:41" ht="16" thickBot="1">
      <c r="A761" s="387" t="s">
        <v>2177</v>
      </c>
      <c r="B761" s="387" t="s">
        <v>3117</v>
      </c>
      <c r="C761" s="387" t="s">
        <v>5906</v>
      </c>
      <c r="D761" s="387" t="s">
        <v>5907</v>
      </c>
      <c r="E761" s="387">
        <v>10</v>
      </c>
      <c r="F761" s="387" t="s">
        <v>2180</v>
      </c>
      <c r="G761" s="387">
        <v>10</v>
      </c>
      <c r="H761" s="387" t="s">
        <v>2180</v>
      </c>
      <c r="I761" s="387" t="s">
        <v>2390</v>
      </c>
      <c r="J761" s="387" t="s">
        <v>5908</v>
      </c>
      <c r="K761" s="387" t="s">
        <v>5909</v>
      </c>
      <c r="L761" s="387" t="s">
        <v>1855</v>
      </c>
      <c r="M761" s="387" t="s">
        <v>1856</v>
      </c>
      <c r="N761" s="388">
        <v>428.19</v>
      </c>
      <c r="O761" s="388">
        <v>14</v>
      </c>
      <c r="P761" s="387" t="s">
        <v>538</v>
      </c>
      <c r="Q761" s="387" t="s">
        <v>539</v>
      </c>
      <c r="R761" s="387" t="s">
        <v>5910</v>
      </c>
      <c r="S761" s="387" t="s">
        <v>171</v>
      </c>
      <c r="T761" s="387" t="s">
        <v>757</v>
      </c>
      <c r="U761" s="388">
        <v>39808</v>
      </c>
      <c r="V761" s="387">
        <v>6001668005523</v>
      </c>
      <c r="W761" s="387" t="s">
        <v>543</v>
      </c>
      <c r="X761" s="387" t="s">
        <v>543</v>
      </c>
      <c r="Y761" s="387">
        <v>16001668006105</v>
      </c>
      <c r="Z761" s="387" t="s">
        <v>543</v>
      </c>
      <c r="AA761" s="388" t="s">
        <v>543</v>
      </c>
      <c r="AB761" s="388" t="s">
        <v>543</v>
      </c>
      <c r="AC761" s="387" t="s">
        <v>543</v>
      </c>
      <c r="AD761" s="389">
        <v>10</v>
      </c>
      <c r="AE761" s="390">
        <v>44013</v>
      </c>
      <c r="AF761" s="390">
        <v>45107</v>
      </c>
      <c r="AG761" s="390">
        <v>45107</v>
      </c>
      <c r="AH761" s="391" t="s">
        <v>5911</v>
      </c>
      <c r="AI761" s="391" t="s">
        <v>1859</v>
      </c>
      <c r="AJ761" s="391">
        <v>51</v>
      </c>
      <c r="AK761" s="390">
        <v>44958</v>
      </c>
      <c r="AL761" s="389">
        <v>100</v>
      </c>
      <c r="AM761" s="391" t="s">
        <v>548</v>
      </c>
      <c r="AN761" s="391" t="s">
        <v>545</v>
      </c>
      <c r="AO761" s="391" t="s">
        <v>5912</v>
      </c>
    </row>
    <row r="762" spans="1:41" ht="16" thickBot="1">
      <c r="A762" s="387" t="s">
        <v>1748</v>
      </c>
      <c r="B762" s="387" t="s">
        <v>3517</v>
      </c>
      <c r="C762" s="387" t="s">
        <v>5913</v>
      </c>
      <c r="D762" s="387" t="s">
        <v>5914</v>
      </c>
      <c r="E762" s="387">
        <v>1</v>
      </c>
      <c r="F762" s="387" t="s">
        <v>531</v>
      </c>
      <c r="G762" s="387">
        <v>1</v>
      </c>
      <c r="H762" s="387" t="s">
        <v>531</v>
      </c>
      <c r="I762" s="387" t="s">
        <v>1751</v>
      </c>
      <c r="J762" s="387" t="s">
        <v>5908</v>
      </c>
      <c r="K762" s="387" t="s">
        <v>5915</v>
      </c>
      <c r="L762" s="387" t="s">
        <v>1955</v>
      </c>
      <c r="M762" s="387" t="s">
        <v>1956</v>
      </c>
      <c r="N762" s="388">
        <v>5.24</v>
      </c>
      <c r="O762" s="388">
        <v>14</v>
      </c>
      <c r="P762" s="387" t="s">
        <v>538</v>
      </c>
      <c r="Q762" s="387" t="s">
        <v>539</v>
      </c>
      <c r="R762" s="387" t="s">
        <v>5910</v>
      </c>
      <c r="S762" s="387" t="s">
        <v>541</v>
      </c>
      <c r="T762" s="387" t="s">
        <v>542</v>
      </c>
      <c r="U762" s="388">
        <v>330711</v>
      </c>
      <c r="V762" s="387">
        <v>6006267001037</v>
      </c>
      <c r="W762" s="387">
        <v>6006267001037</v>
      </c>
      <c r="X762" s="387" t="s">
        <v>543</v>
      </c>
      <c r="Y762" s="387">
        <v>16006267001034</v>
      </c>
      <c r="Z762" s="387" t="s">
        <v>543</v>
      </c>
      <c r="AA762" s="388" t="s">
        <v>543</v>
      </c>
      <c r="AB762" s="388" t="s">
        <v>543</v>
      </c>
      <c r="AC762" s="387">
        <v>744530008</v>
      </c>
      <c r="AD762" s="389" t="s">
        <v>2308</v>
      </c>
      <c r="AE762" s="390">
        <v>44317</v>
      </c>
      <c r="AF762" s="390">
        <v>45412</v>
      </c>
      <c r="AG762" s="390">
        <v>45412</v>
      </c>
      <c r="AH762" s="391" t="s">
        <v>5916</v>
      </c>
      <c r="AI762" s="391" t="s">
        <v>1959</v>
      </c>
      <c r="AJ762" s="391">
        <v>0</v>
      </c>
      <c r="AK762" s="390">
        <v>44317</v>
      </c>
      <c r="AL762" s="389">
        <v>10</v>
      </c>
      <c r="AM762" s="391" t="s">
        <v>548</v>
      </c>
      <c r="AN762" s="391" t="s">
        <v>549</v>
      </c>
      <c r="AO762" s="391" t="s">
        <v>5917</v>
      </c>
    </row>
    <row r="763" spans="1:41" ht="16" thickBot="1">
      <c r="A763" s="387" t="s">
        <v>1748</v>
      </c>
      <c r="B763" s="387" t="s">
        <v>3517</v>
      </c>
      <c r="C763" s="387" t="s">
        <v>5913</v>
      </c>
      <c r="D763" s="387" t="s">
        <v>5914</v>
      </c>
      <c r="E763" s="387">
        <v>1</v>
      </c>
      <c r="F763" s="387" t="s">
        <v>531</v>
      </c>
      <c r="G763" s="387">
        <v>1</v>
      </c>
      <c r="H763" s="387" t="s">
        <v>531</v>
      </c>
      <c r="I763" s="387" t="s">
        <v>1751</v>
      </c>
      <c r="J763" s="387" t="s">
        <v>5908</v>
      </c>
      <c r="K763" s="387" t="s">
        <v>5918</v>
      </c>
      <c r="L763" s="387" t="s">
        <v>2312</v>
      </c>
      <c r="M763" s="387" t="s">
        <v>2313</v>
      </c>
      <c r="N763" s="388">
        <v>3.9</v>
      </c>
      <c r="O763" s="388">
        <v>14</v>
      </c>
      <c r="P763" s="387" t="s">
        <v>538</v>
      </c>
      <c r="Q763" s="387" t="s">
        <v>539</v>
      </c>
      <c r="R763" s="387" t="s">
        <v>5910</v>
      </c>
      <c r="S763" s="387" t="s">
        <v>541</v>
      </c>
      <c r="T763" s="387" t="s">
        <v>542</v>
      </c>
      <c r="U763" s="388">
        <v>2976399</v>
      </c>
      <c r="V763" s="387">
        <v>6009802416433</v>
      </c>
      <c r="W763" s="387">
        <v>6009802416433</v>
      </c>
      <c r="X763" s="387" t="s">
        <v>543</v>
      </c>
      <c r="Y763" s="387">
        <v>16009802416430</v>
      </c>
      <c r="Z763" s="387" t="s">
        <v>543</v>
      </c>
      <c r="AA763" s="388" t="s">
        <v>543</v>
      </c>
      <c r="AB763" s="388" t="s">
        <v>543</v>
      </c>
      <c r="AC763" s="387">
        <v>895157007</v>
      </c>
      <c r="AD763" s="389">
        <v>300</v>
      </c>
      <c r="AE763" s="390">
        <v>44317</v>
      </c>
      <c r="AF763" s="390">
        <v>45412</v>
      </c>
      <c r="AG763" s="391" t="s">
        <v>545</v>
      </c>
      <c r="AH763" s="391" t="s">
        <v>5916</v>
      </c>
      <c r="AI763" s="391" t="s">
        <v>2314</v>
      </c>
      <c r="AJ763" s="391">
        <v>0</v>
      </c>
      <c r="AK763" s="390">
        <v>44317</v>
      </c>
      <c r="AL763" s="389">
        <v>90</v>
      </c>
      <c r="AM763" s="391" t="s">
        <v>548</v>
      </c>
      <c r="AN763" s="391" t="s">
        <v>549</v>
      </c>
      <c r="AO763" s="391" t="s">
        <v>5917</v>
      </c>
    </row>
    <row r="764" spans="1:41" ht="16" thickBot="1">
      <c r="A764" s="387" t="s">
        <v>1748</v>
      </c>
      <c r="B764" s="387" t="s">
        <v>3529</v>
      </c>
      <c r="C764" s="387" t="s">
        <v>5919</v>
      </c>
      <c r="D764" s="387" t="s">
        <v>5920</v>
      </c>
      <c r="E764" s="387">
        <v>1</v>
      </c>
      <c r="F764" s="387" t="s">
        <v>531</v>
      </c>
      <c r="G764" s="387">
        <v>1</v>
      </c>
      <c r="H764" s="387" t="s">
        <v>531</v>
      </c>
      <c r="I764" s="387" t="s">
        <v>1751</v>
      </c>
      <c r="J764" s="387" t="s">
        <v>5908</v>
      </c>
      <c r="K764" s="387" t="s">
        <v>5921</v>
      </c>
      <c r="L764" s="387" t="s">
        <v>2312</v>
      </c>
      <c r="M764" s="387" t="s">
        <v>2313</v>
      </c>
      <c r="N764" s="388">
        <v>4.0999999999999996</v>
      </c>
      <c r="O764" s="388">
        <v>14</v>
      </c>
      <c r="P764" s="387" t="s">
        <v>538</v>
      </c>
      <c r="Q764" s="387" t="s">
        <v>539</v>
      </c>
      <c r="R764" s="387" t="s">
        <v>5910</v>
      </c>
      <c r="S764" s="387" t="s">
        <v>541</v>
      </c>
      <c r="T764" s="387" t="s">
        <v>542</v>
      </c>
      <c r="U764" s="388">
        <v>1595475</v>
      </c>
      <c r="V764" s="387">
        <v>6009802416440</v>
      </c>
      <c r="W764" s="387">
        <v>6009802416440</v>
      </c>
      <c r="X764" s="387" t="s">
        <v>543</v>
      </c>
      <c r="Y764" s="387">
        <v>16009802416447</v>
      </c>
      <c r="Z764" s="387" t="s">
        <v>543</v>
      </c>
      <c r="AA764" s="388" t="s">
        <v>543</v>
      </c>
      <c r="AB764" s="388" t="s">
        <v>543</v>
      </c>
      <c r="AC764" s="387">
        <v>894951004</v>
      </c>
      <c r="AD764" s="389">
        <v>300</v>
      </c>
      <c r="AE764" s="390">
        <v>44317</v>
      </c>
      <c r="AF764" s="390">
        <v>45412</v>
      </c>
      <c r="AG764" s="391" t="s">
        <v>545</v>
      </c>
      <c r="AH764" s="391" t="s">
        <v>5922</v>
      </c>
      <c r="AI764" s="391" t="s">
        <v>2314</v>
      </c>
      <c r="AJ764" s="391">
        <v>0</v>
      </c>
      <c r="AK764" s="390">
        <v>44317</v>
      </c>
      <c r="AL764" s="389">
        <v>90</v>
      </c>
      <c r="AM764" s="391" t="s">
        <v>548</v>
      </c>
      <c r="AN764" s="391" t="s">
        <v>549</v>
      </c>
      <c r="AO764" s="391" t="s">
        <v>5923</v>
      </c>
    </row>
    <row r="765" spans="1:41" ht="16" thickBot="1">
      <c r="A765" s="387" t="s">
        <v>1748</v>
      </c>
      <c r="B765" s="387" t="s">
        <v>3529</v>
      </c>
      <c r="C765" s="387" t="s">
        <v>5919</v>
      </c>
      <c r="D765" s="387" t="s">
        <v>5920</v>
      </c>
      <c r="E765" s="387">
        <v>1</v>
      </c>
      <c r="F765" s="387" t="s">
        <v>531</v>
      </c>
      <c r="G765" s="387">
        <v>1</v>
      </c>
      <c r="H765" s="387" t="s">
        <v>531</v>
      </c>
      <c r="I765" s="387" t="s">
        <v>1751</v>
      </c>
      <c r="J765" s="387" t="s">
        <v>5908</v>
      </c>
      <c r="K765" s="387" t="s">
        <v>5924</v>
      </c>
      <c r="L765" s="387" t="s">
        <v>1955</v>
      </c>
      <c r="M765" s="387" t="s">
        <v>1956</v>
      </c>
      <c r="N765" s="388">
        <v>5.35</v>
      </c>
      <c r="O765" s="388">
        <v>14</v>
      </c>
      <c r="P765" s="387" t="s">
        <v>538</v>
      </c>
      <c r="Q765" s="387" t="s">
        <v>539</v>
      </c>
      <c r="R765" s="387" t="s">
        <v>5910</v>
      </c>
      <c r="S765" s="387" t="s">
        <v>541</v>
      </c>
      <c r="T765" s="387" t="s">
        <v>542</v>
      </c>
      <c r="U765" s="388">
        <v>177275</v>
      </c>
      <c r="V765" s="387">
        <v>6006267001044</v>
      </c>
      <c r="W765" s="387">
        <v>6006267001044</v>
      </c>
      <c r="X765" s="387" t="s">
        <v>543</v>
      </c>
      <c r="Y765" s="387">
        <v>16006267001041</v>
      </c>
      <c r="Z765" s="387" t="s">
        <v>543</v>
      </c>
      <c r="AA765" s="388" t="s">
        <v>543</v>
      </c>
      <c r="AB765" s="388" t="s">
        <v>543</v>
      </c>
      <c r="AC765" s="387">
        <v>744549019</v>
      </c>
      <c r="AD765" s="389" t="s">
        <v>2308</v>
      </c>
      <c r="AE765" s="390">
        <v>44317</v>
      </c>
      <c r="AF765" s="390">
        <v>45412</v>
      </c>
      <c r="AG765" s="391" t="s">
        <v>545</v>
      </c>
      <c r="AH765" s="391" t="s">
        <v>5922</v>
      </c>
      <c r="AI765" s="391" t="s">
        <v>1959</v>
      </c>
      <c r="AJ765" s="391">
        <v>0</v>
      </c>
      <c r="AK765" s="390">
        <v>44317</v>
      </c>
      <c r="AL765" s="389">
        <v>10</v>
      </c>
      <c r="AM765" s="391" t="s">
        <v>548</v>
      </c>
      <c r="AN765" s="391" t="s">
        <v>549</v>
      </c>
      <c r="AO765" s="391" t="s">
        <v>5923</v>
      </c>
    </row>
    <row r="766" spans="1:41" ht="16" thickBot="1">
      <c r="A766" s="387" t="s">
        <v>1766</v>
      </c>
      <c r="B766" s="387" t="s">
        <v>3783</v>
      </c>
      <c r="C766" s="387" t="s">
        <v>5925</v>
      </c>
      <c r="D766" s="387" t="s">
        <v>5926</v>
      </c>
      <c r="E766" s="387">
        <v>250</v>
      </c>
      <c r="F766" s="387" t="s">
        <v>531</v>
      </c>
      <c r="G766" s="387">
        <v>250</v>
      </c>
      <c r="H766" s="387" t="s">
        <v>531</v>
      </c>
      <c r="I766" s="387" t="s">
        <v>1751</v>
      </c>
      <c r="J766" s="387" t="s">
        <v>5927</v>
      </c>
      <c r="K766" s="387" t="s">
        <v>5928</v>
      </c>
      <c r="L766" s="387" t="s">
        <v>1886</v>
      </c>
      <c r="M766" s="387" t="s">
        <v>1887</v>
      </c>
      <c r="N766" s="388">
        <v>135.71</v>
      </c>
      <c r="O766" s="388">
        <v>14</v>
      </c>
      <c r="P766" s="387" t="s">
        <v>538</v>
      </c>
      <c r="Q766" s="387" t="s">
        <v>539</v>
      </c>
      <c r="R766" s="387" t="s">
        <v>5929</v>
      </c>
      <c r="S766" s="387" t="s">
        <v>171</v>
      </c>
      <c r="T766" s="387" t="s">
        <v>757</v>
      </c>
      <c r="U766" s="388">
        <v>3692</v>
      </c>
      <c r="V766" s="387">
        <v>6009691114335</v>
      </c>
      <c r="W766" s="387" t="s">
        <v>543</v>
      </c>
      <c r="X766" s="387" t="s">
        <v>543</v>
      </c>
      <c r="Y766" s="387">
        <v>16009691114332</v>
      </c>
      <c r="Z766" s="387">
        <v>6009691114335</v>
      </c>
      <c r="AA766" s="388" t="s">
        <v>543</v>
      </c>
      <c r="AB766" s="388" t="s">
        <v>543</v>
      </c>
      <c r="AC766" s="387">
        <v>724026001</v>
      </c>
      <c r="AD766" s="389">
        <v>64</v>
      </c>
      <c r="AE766" s="390">
        <v>44470</v>
      </c>
      <c r="AF766" s="390">
        <v>45199</v>
      </c>
      <c r="AG766" s="391" t="s">
        <v>545</v>
      </c>
      <c r="AH766" s="391" t="s">
        <v>5930</v>
      </c>
      <c r="AI766" s="391" t="s">
        <v>1889</v>
      </c>
      <c r="AJ766" s="391">
        <v>0</v>
      </c>
      <c r="AK766" s="390">
        <v>44470</v>
      </c>
      <c r="AL766" s="389">
        <v>100</v>
      </c>
      <c r="AM766" s="391" t="s">
        <v>548</v>
      </c>
      <c r="AN766" s="391" t="s">
        <v>549</v>
      </c>
      <c r="AO766" s="391" t="s">
        <v>5931</v>
      </c>
    </row>
    <row r="767" spans="1:41" ht="16" thickBot="1">
      <c r="A767" s="387" t="s">
        <v>1766</v>
      </c>
      <c r="B767" s="387" t="s">
        <v>5932</v>
      </c>
      <c r="C767" s="387" t="s">
        <v>5933</v>
      </c>
      <c r="D767" s="387" t="s">
        <v>5934</v>
      </c>
      <c r="E767" s="387">
        <v>10</v>
      </c>
      <c r="F767" s="387" t="s">
        <v>559</v>
      </c>
      <c r="G767" s="387">
        <v>10</v>
      </c>
      <c r="H767" s="387" t="s">
        <v>559</v>
      </c>
      <c r="I767" s="387" t="s">
        <v>560</v>
      </c>
      <c r="J767" s="387" t="s">
        <v>5927</v>
      </c>
      <c r="K767" s="387" t="s">
        <v>5935</v>
      </c>
      <c r="L767" s="387" t="s">
        <v>2200</v>
      </c>
      <c r="M767" s="387" t="s">
        <v>2201</v>
      </c>
      <c r="N767" s="388">
        <v>43.01</v>
      </c>
      <c r="O767" s="388">
        <v>14</v>
      </c>
      <c r="P767" s="387" t="s">
        <v>538</v>
      </c>
      <c r="Q767" s="387" t="s">
        <v>539</v>
      </c>
      <c r="R767" s="387" t="s">
        <v>5929</v>
      </c>
      <c r="S767" s="387" t="s">
        <v>171</v>
      </c>
      <c r="T767" s="387" t="s">
        <v>542</v>
      </c>
      <c r="U767" s="388">
        <v>2540</v>
      </c>
      <c r="V767" s="387">
        <v>8901463123409</v>
      </c>
      <c r="W767" s="387">
        <v>8901463123409</v>
      </c>
      <c r="X767" s="387" t="s">
        <v>543</v>
      </c>
      <c r="Y767" s="387">
        <v>58901463119230</v>
      </c>
      <c r="Z767" s="387" t="s">
        <v>543</v>
      </c>
      <c r="AA767" s="388" t="s">
        <v>543</v>
      </c>
      <c r="AB767" s="388" t="s">
        <v>543</v>
      </c>
      <c r="AC767" s="387">
        <v>721160002</v>
      </c>
      <c r="AD767" s="389">
        <v>112</v>
      </c>
      <c r="AE767" s="390">
        <v>44470</v>
      </c>
      <c r="AF767" s="390">
        <v>45199</v>
      </c>
      <c r="AG767" s="390">
        <v>45199</v>
      </c>
      <c r="AH767" s="391" t="s">
        <v>5936</v>
      </c>
      <c r="AI767" s="391" t="s">
        <v>2203</v>
      </c>
      <c r="AJ767" s="391">
        <v>19</v>
      </c>
      <c r="AK767" s="390">
        <v>45047</v>
      </c>
      <c r="AL767" s="389">
        <v>100</v>
      </c>
      <c r="AM767" s="391" t="s">
        <v>548</v>
      </c>
      <c r="AN767" s="391" t="s">
        <v>549</v>
      </c>
      <c r="AO767" s="391" t="s">
        <v>5937</v>
      </c>
    </row>
    <row r="768" spans="1:41" ht="16" thickBot="1">
      <c r="A768" s="387" t="s">
        <v>1703</v>
      </c>
      <c r="B768" s="387" t="s">
        <v>1890</v>
      </c>
      <c r="C768" s="387" t="s">
        <v>5938</v>
      </c>
      <c r="D768" s="387" t="s">
        <v>5939</v>
      </c>
      <c r="E768" s="387">
        <v>28</v>
      </c>
      <c r="F768" s="387" t="s">
        <v>559</v>
      </c>
      <c r="G768" s="387">
        <v>28</v>
      </c>
      <c r="H768" s="387" t="s">
        <v>559</v>
      </c>
      <c r="I768" s="387" t="s">
        <v>560</v>
      </c>
      <c r="J768" s="387" t="s">
        <v>5927</v>
      </c>
      <c r="K768" s="387" t="s">
        <v>5935</v>
      </c>
      <c r="L768" s="387" t="s">
        <v>2200</v>
      </c>
      <c r="M768" s="387" t="s">
        <v>2201</v>
      </c>
      <c r="N768" s="388">
        <v>103.06</v>
      </c>
      <c r="O768" s="388">
        <v>14</v>
      </c>
      <c r="P768" s="387" t="s">
        <v>538</v>
      </c>
      <c r="Q768" s="387" t="s">
        <v>539</v>
      </c>
      <c r="R768" s="387" t="s">
        <v>5929</v>
      </c>
      <c r="S768" s="387" t="s">
        <v>171</v>
      </c>
      <c r="T768" s="387" t="s">
        <v>542</v>
      </c>
      <c r="U768" s="388">
        <v>25700</v>
      </c>
      <c r="V768" s="387">
        <v>8901463123218</v>
      </c>
      <c r="W768" s="387">
        <v>8901463123218</v>
      </c>
      <c r="X768" s="387" t="s">
        <v>543</v>
      </c>
      <c r="Y768" s="387">
        <v>58901463123213</v>
      </c>
      <c r="Z768" s="387" t="s">
        <v>543</v>
      </c>
      <c r="AA768" s="388" t="s">
        <v>543</v>
      </c>
      <c r="AB768" s="388" t="s">
        <v>543</v>
      </c>
      <c r="AC768" s="387">
        <v>721160003</v>
      </c>
      <c r="AD768" s="389">
        <v>100</v>
      </c>
      <c r="AE768" s="390">
        <v>44470</v>
      </c>
      <c r="AF768" s="390">
        <v>45199</v>
      </c>
      <c r="AG768" s="390">
        <v>45199</v>
      </c>
      <c r="AH768" s="391" t="s">
        <v>5940</v>
      </c>
      <c r="AI768" s="391" t="s">
        <v>2203</v>
      </c>
      <c r="AJ768" s="391">
        <v>4</v>
      </c>
      <c r="AK768" s="390">
        <v>45047</v>
      </c>
      <c r="AL768" s="389">
        <v>100</v>
      </c>
      <c r="AM768" s="391" t="s">
        <v>548</v>
      </c>
      <c r="AN768" s="391" t="s">
        <v>549</v>
      </c>
      <c r="AO768" s="391" t="s">
        <v>5937</v>
      </c>
    </row>
    <row r="769" spans="1:41" ht="16" thickBot="1">
      <c r="A769" s="387" t="s">
        <v>1766</v>
      </c>
      <c r="B769" s="387" t="s">
        <v>3850</v>
      </c>
      <c r="C769" s="387" t="s">
        <v>5941</v>
      </c>
      <c r="D769" s="387" t="s">
        <v>5942</v>
      </c>
      <c r="E769" s="387">
        <v>5</v>
      </c>
      <c r="F769" s="387" t="s">
        <v>559</v>
      </c>
      <c r="G769" s="387">
        <v>5</v>
      </c>
      <c r="H769" s="387" t="s">
        <v>559</v>
      </c>
      <c r="I769" s="387" t="s">
        <v>560</v>
      </c>
      <c r="J769" s="387" t="s">
        <v>5927</v>
      </c>
      <c r="K769" s="387" t="s">
        <v>5943</v>
      </c>
      <c r="L769" s="387" t="s">
        <v>2200</v>
      </c>
      <c r="M769" s="387" t="s">
        <v>2201</v>
      </c>
      <c r="N769" s="388">
        <v>24.61</v>
      </c>
      <c r="O769" s="388">
        <v>14</v>
      </c>
      <c r="P769" s="387" t="s">
        <v>538</v>
      </c>
      <c r="Q769" s="387" t="s">
        <v>539</v>
      </c>
      <c r="R769" s="387" t="s">
        <v>5929</v>
      </c>
      <c r="S769" s="387" t="s">
        <v>171</v>
      </c>
      <c r="T769" s="387" t="s">
        <v>542</v>
      </c>
      <c r="U769" s="388">
        <v>7670</v>
      </c>
      <c r="V769" s="387">
        <v>8901464119006</v>
      </c>
      <c r="W769" s="387">
        <v>8901464119006</v>
      </c>
      <c r="X769" s="387" t="s">
        <v>543</v>
      </c>
      <c r="Y769" s="387" t="s">
        <v>543</v>
      </c>
      <c r="Z769" s="387" t="s">
        <v>543</v>
      </c>
      <c r="AA769" s="388" t="s">
        <v>543</v>
      </c>
      <c r="AB769" s="388" t="s">
        <v>543</v>
      </c>
      <c r="AC769" s="387" t="s">
        <v>5944</v>
      </c>
      <c r="AD769" s="389">
        <v>112</v>
      </c>
      <c r="AE769" s="390">
        <v>44470</v>
      </c>
      <c r="AF769" s="390">
        <v>45199</v>
      </c>
      <c r="AG769" s="390">
        <v>45199</v>
      </c>
      <c r="AH769" s="391" t="s">
        <v>5945</v>
      </c>
      <c r="AI769" s="391" t="s">
        <v>2203</v>
      </c>
      <c r="AJ769" s="391">
        <v>19</v>
      </c>
      <c r="AK769" s="390">
        <v>45047</v>
      </c>
      <c r="AL769" s="389">
        <v>100</v>
      </c>
      <c r="AM769" s="391" t="s">
        <v>548</v>
      </c>
      <c r="AN769" s="391" t="s">
        <v>549</v>
      </c>
      <c r="AO769" s="391" t="s">
        <v>5937</v>
      </c>
    </row>
    <row r="770" spans="1:41" ht="16" thickBot="1">
      <c r="A770" s="387" t="s">
        <v>2743</v>
      </c>
      <c r="B770" s="387" t="s">
        <v>1026</v>
      </c>
      <c r="C770" s="387" t="s">
        <v>5946</v>
      </c>
      <c r="D770" s="387" t="s">
        <v>5947</v>
      </c>
      <c r="E770" s="387">
        <v>2</v>
      </c>
      <c r="F770" s="387" t="s">
        <v>2746</v>
      </c>
      <c r="G770" s="387">
        <v>2</v>
      </c>
      <c r="H770" s="387" t="s">
        <v>2746</v>
      </c>
      <c r="I770" s="387" t="s">
        <v>1838</v>
      </c>
      <c r="J770" s="387" t="s">
        <v>5948</v>
      </c>
      <c r="K770" s="387" t="s">
        <v>5949</v>
      </c>
      <c r="L770" s="387" t="s">
        <v>1975</v>
      </c>
      <c r="M770" s="387" t="s">
        <v>1976</v>
      </c>
      <c r="N770" s="388">
        <v>1829.08</v>
      </c>
      <c r="O770" s="388">
        <v>14</v>
      </c>
      <c r="P770" s="387" t="s">
        <v>538</v>
      </c>
      <c r="Q770" s="387" t="s">
        <v>539</v>
      </c>
      <c r="R770" s="387" t="s">
        <v>5950</v>
      </c>
      <c r="S770" s="387" t="s">
        <v>171</v>
      </c>
      <c r="T770" s="387" t="s">
        <v>757</v>
      </c>
      <c r="U770" s="388">
        <v>700</v>
      </c>
      <c r="V770" s="387">
        <v>85412586885</v>
      </c>
      <c r="W770" s="387">
        <v>50085412586880</v>
      </c>
      <c r="X770" s="387" t="s">
        <v>543</v>
      </c>
      <c r="Y770" s="387" t="s">
        <v>543</v>
      </c>
      <c r="Z770" s="387" t="s">
        <v>543</v>
      </c>
      <c r="AA770" s="388" t="s">
        <v>543</v>
      </c>
      <c r="AB770" s="388" t="s">
        <v>543</v>
      </c>
      <c r="AC770" s="387">
        <v>723684001</v>
      </c>
      <c r="AD770" s="389">
        <v>4</v>
      </c>
      <c r="AE770" s="390">
        <v>44105</v>
      </c>
      <c r="AF770" s="390">
        <v>45199</v>
      </c>
      <c r="AG770" s="390">
        <v>45199</v>
      </c>
      <c r="AH770" s="391" t="s">
        <v>545</v>
      </c>
      <c r="AI770" s="391" t="s">
        <v>1979</v>
      </c>
      <c r="AJ770" s="391">
        <v>0</v>
      </c>
      <c r="AK770" s="390">
        <v>44105</v>
      </c>
      <c r="AL770" s="389">
        <v>100</v>
      </c>
      <c r="AM770" s="391" t="s">
        <v>548</v>
      </c>
      <c r="AN770" s="391" t="s">
        <v>545</v>
      </c>
      <c r="AO770" s="391" t="s">
        <v>5951</v>
      </c>
    </row>
    <row r="771" spans="1:41" ht="16" thickBot="1">
      <c r="A771" s="387" t="s">
        <v>2743</v>
      </c>
      <c r="B771" s="387" t="s">
        <v>590</v>
      </c>
      <c r="C771" s="387" t="s">
        <v>5952</v>
      </c>
      <c r="D771" s="387" t="s">
        <v>5953</v>
      </c>
      <c r="E771" s="387">
        <v>2</v>
      </c>
      <c r="F771" s="387" t="s">
        <v>2746</v>
      </c>
      <c r="G771" s="387">
        <v>2</v>
      </c>
      <c r="H771" s="387" t="s">
        <v>2746</v>
      </c>
      <c r="I771" s="387" t="s">
        <v>1838</v>
      </c>
      <c r="J771" s="387" t="s">
        <v>5954</v>
      </c>
      <c r="K771" s="387" t="s">
        <v>5955</v>
      </c>
      <c r="L771" s="387" t="s">
        <v>3043</v>
      </c>
      <c r="M771" s="387" t="s">
        <v>3044</v>
      </c>
      <c r="N771" s="388">
        <v>802.13</v>
      </c>
      <c r="O771" s="388">
        <v>14</v>
      </c>
      <c r="P771" s="387" t="s">
        <v>538</v>
      </c>
      <c r="Q771" s="387" t="s">
        <v>539</v>
      </c>
      <c r="R771" s="387" t="s">
        <v>5950</v>
      </c>
      <c r="S771" s="387" t="s">
        <v>171</v>
      </c>
      <c r="T771" s="387" t="s">
        <v>757</v>
      </c>
      <c r="U771" s="388">
        <v>15762</v>
      </c>
      <c r="V771" s="387">
        <v>4030539117944</v>
      </c>
      <c r="W771" s="387">
        <v>4030539117937</v>
      </c>
      <c r="X771" s="387" t="s">
        <v>543</v>
      </c>
      <c r="Y771" s="387">
        <v>4046964915307</v>
      </c>
      <c r="Z771" s="387" t="s">
        <v>543</v>
      </c>
      <c r="AA771" s="388" t="s">
        <v>543</v>
      </c>
      <c r="AB771" s="388" t="s">
        <v>543</v>
      </c>
      <c r="AC771" s="387" t="s">
        <v>5956</v>
      </c>
      <c r="AD771" s="389">
        <v>5</v>
      </c>
      <c r="AE771" s="390">
        <v>44105</v>
      </c>
      <c r="AF771" s="390">
        <v>45199</v>
      </c>
      <c r="AG771" s="390">
        <v>45199</v>
      </c>
      <c r="AH771" s="391" t="s">
        <v>545</v>
      </c>
      <c r="AI771" s="391" t="s">
        <v>3047</v>
      </c>
      <c r="AJ771" s="391">
        <v>9</v>
      </c>
      <c r="AK771" s="390">
        <v>44791</v>
      </c>
      <c r="AL771" s="389">
        <v>100</v>
      </c>
      <c r="AM771" s="391" t="s">
        <v>548</v>
      </c>
      <c r="AN771" s="391" t="s">
        <v>545</v>
      </c>
      <c r="AO771" s="391" t="s">
        <v>5957</v>
      </c>
    </row>
    <row r="772" spans="1:41" ht="16" thickBot="1">
      <c r="A772" s="387" t="s">
        <v>2743</v>
      </c>
      <c r="B772" s="387" t="s">
        <v>2418</v>
      </c>
      <c r="C772" s="387" t="s">
        <v>5958</v>
      </c>
      <c r="D772" s="387" t="s">
        <v>5959</v>
      </c>
      <c r="E772" s="387">
        <v>2</v>
      </c>
      <c r="F772" s="387" t="s">
        <v>2746</v>
      </c>
      <c r="G772" s="387">
        <v>2</v>
      </c>
      <c r="H772" s="387" t="s">
        <v>2746</v>
      </c>
      <c r="I772" s="387" t="s">
        <v>1838</v>
      </c>
      <c r="J772" s="387" t="s">
        <v>5960</v>
      </c>
      <c r="K772" s="387" t="s">
        <v>5961</v>
      </c>
      <c r="L772" s="387" t="s">
        <v>3043</v>
      </c>
      <c r="M772" s="387" t="s">
        <v>3044</v>
      </c>
      <c r="N772" s="388">
        <v>680.2</v>
      </c>
      <c r="O772" s="388">
        <v>14</v>
      </c>
      <c r="P772" s="387" t="s">
        <v>538</v>
      </c>
      <c r="Q772" s="387" t="s">
        <v>539</v>
      </c>
      <c r="R772" s="387" t="s">
        <v>5950</v>
      </c>
      <c r="S772" s="387" t="s">
        <v>171</v>
      </c>
      <c r="T772" s="387" t="s">
        <v>757</v>
      </c>
      <c r="U772" s="388">
        <v>1980</v>
      </c>
      <c r="V772" s="387">
        <v>4030539117920</v>
      </c>
      <c r="W772" s="387">
        <v>4030539117913</v>
      </c>
      <c r="X772" s="387" t="s">
        <v>543</v>
      </c>
      <c r="Y772" s="387">
        <v>4046964915321</v>
      </c>
      <c r="Z772" s="387" t="s">
        <v>543</v>
      </c>
      <c r="AA772" s="388" t="s">
        <v>543</v>
      </c>
      <c r="AB772" s="388" t="s">
        <v>543</v>
      </c>
      <c r="AC772" s="387" t="s">
        <v>5962</v>
      </c>
      <c r="AD772" s="389">
        <v>5</v>
      </c>
      <c r="AE772" s="390">
        <v>44105</v>
      </c>
      <c r="AF772" s="390">
        <v>45199</v>
      </c>
      <c r="AG772" s="390">
        <v>45199</v>
      </c>
      <c r="AH772" s="391" t="s">
        <v>545</v>
      </c>
      <c r="AI772" s="391" t="s">
        <v>3047</v>
      </c>
      <c r="AJ772" s="391">
        <v>9</v>
      </c>
      <c r="AK772" s="390">
        <v>44791</v>
      </c>
      <c r="AL772" s="389">
        <v>100</v>
      </c>
      <c r="AM772" s="391" t="s">
        <v>548</v>
      </c>
      <c r="AN772" s="391" t="s">
        <v>545</v>
      </c>
      <c r="AO772" s="391" t="s">
        <v>5963</v>
      </c>
    </row>
    <row r="773" spans="1:41" ht="16" thickBot="1">
      <c r="A773" s="387" t="s">
        <v>2743</v>
      </c>
      <c r="B773" s="387" t="s">
        <v>2943</v>
      </c>
      <c r="C773" s="387" t="s">
        <v>5964</v>
      </c>
      <c r="D773" s="387" t="s">
        <v>5965</v>
      </c>
      <c r="E773" s="387">
        <v>1.5</v>
      </c>
      <c r="F773" s="387" t="s">
        <v>2746</v>
      </c>
      <c r="G773" s="387">
        <v>1.5</v>
      </c>
      <c r="H773" s="387" t="s">
        <v>2746</v>
      </c>
      <c r="I773" s="387" t="s">
        <v>1838</v>
      </c>
      <c r="J773" s="387" t="s">
        <v>5966</v>
      </c>
      <c r="K773" s="387" t="s">
        <v>5967</v>
      </c>
      <c r="L773" s="387" t="s">
        <v>1975</v>
      </c>
      <c r="M773" s="387" t="s">
        <v>1976</v>
      </c>
      <c r="N773" s="388">
        <v>914.54</v>
      </c>
      <c r="O773" s="388">
        <v>14</v>
      </c>
      <c r="P773" s="387" t="s">
        <v>538</v>
      </c>
      <c r="Q773" s="387" t="s">
        <v>539</v>
      </c>
      <c r="R773" s="387" t="s">
        <v>5950</v>
      </c>
      <c r="S773" s="387" t="s">
        <v>171</v>
      </c>
      <c r="T773" s="387" t="s">
        <v>757</v>
      </c>
      <c r="U773" s="388">
        <v>700</v>
      </c>
      <c r="V773" s="387">
        <v>85412586861</v>
      </c>
      <c r="W773" s="387">
        <v>50085412586866</v>
      </c>
      <c r="X773" s="387" t="s">
        <v>543</v>
      </c>
      <c r="Y773" s="387" t="s">
        <v>543</v>
      </c>
      <c r="Z773" s="387" t="s">
        <v>543</v>
      </c>
      <c r="AA773" s="388" t="s">
        <v>543</v>
      </c>
      <c r="AB773" s="388" t="s">
        <v>543</v>
      </c>
      <c r="AC773" s="387">
        <v>723682001</v>
      </c>
      <c r="AD773" s="389">
        <v>6</v>
      </c>
      <c r="AE773" s="390">
        <v>44105</v>
      </c>
      <c r="AF773" s="390">
        <v>45199</v>
      </c>
      <c r="AG773" s="390">
        <v>45199</v>
      </c>
      <c r="AH773" s="391" t="s">
        <v>545</v>
      </c>
      <c r="AI773" s="391" t="s">
        <v>1979</v>
      </c>
      <c r="AJ773" s="391">
        <v>0</v>
      </c>
      <c r="AK773" s="390">
        <v>44105</v>
      </c>
      <c r="AL773" s="389">
        <v>100</v>
      </c>
      <c r="AM773" s="391" t="s">
        <v>548</v>
      </c>
      <c r="AN773" s="391" t="s">
        <v>545</v>
      </c>
      <c r="AO773" s="391" t="s">
        <v>5968</v>
      </c>
    </row>
    <row r="774" spans="1:41" ht="16" thickBot="1">
      <c r="A774" s="387" t="s">
        <v>2743</v>
      </c>
      <c r="B774" s="387" t="s">
        <v>2622</v>
      </c>
      <c r="C774" s="387" t="s">
        <v>5969</v>
      </c>
      <c r="D774" s="387" t="s">
        <v>5970</v>
      </c>
      <c r="E774" s="387">
        <v>1.5</v>
      </c>
      <c r="F774" s="387" t="s">
        <v>2746</v>
      </c>
      <c r="G774" s="387">
        <v>1.5</v>
      </c>
      <c r="H774" s="387" t="s">
        <v>2746</v>
      </c>
      <c r="I774" s="387" t="s">
        <v>1838</v>
      </c>
      <c r="J774" s="387" t="s">
        <v>5971</v>
      </c>
      <c r="K774" s="387" t="s">
        <v>5972</v>
      </c>
      <c r="L774" s="387" t="s">
        <v>3043</v>
      </c>
      <c r="M774" s="387" t="s">
        <v>3044</v>
      </c>
      <c r="N774" s="388">
        <v>660.95</v>
      </c>
      <c r="O774" s="388">
        <v>14</v>
      </c>
      <c r="P774" s="387" t="s">
        <v>538</v>
      </c>
      <c r="Q774" s="387" t="s">
        <v>539</v>
      </c>
      <c r="R774" s="387" t="s">
        <v>5950</v>
      </c>
      <c r="S774" s="387" t="s">
        <v>171</v>
      </c>
      <c r="T774" s="387" t="s">
        <v>757</v>
      </c>
      <c r="U774" s="388">
        <v>7590</v>
      </c>
      <c r="V774" s="387">
        <v>4030539122146</v>
      </c>
      <c r="W774" s="387">
        <v>4030539122139</v>
      </c>
      <c r="X774" s="387" t="s">
        <v>543</v>
      </c>
      <c r="Y774" s="387">
        <v>4046964908309</v>
      </c>
      <c r="Z774" s="387" t="s">
        <v>543</v>
      </c>
      <c r="AA774" s="388" t="s">
        <v>543</v>
      </c>
      <c r="AB774" s="388" t="s">
        <v>543</v>
      </c>
      <c r="AC774" s="387" t="s">
        <v>5973</v>
      </c>
      <c r="AD774" s="389">
        <v>5</v>
      </c>
      <c r="AE774" s="390">
        <v>44105</v>
      </c>
      <c r="AF774" s="390">
        <v>45199</v>
      </c>
      <c r="AG774" s="390">
        <v>45199</v>
      </c>
      <c r="AH774" s="391" t="s">
        <v>545</v>
      </c>
      <c r="AI774" s="391" t="s">
        <v>3047</v>
      </c>
      <c r="AJ774" s="391">
        <v>9</v>
      </c>
      <c r="AK774" s="390">
        <v>44791</v>
      </c>
      <c r="AL774" s="389">
        <v>100</v>
      </c>
      <c r="AM774" s="391" t="s">
        <v>548</v>
      </c>
      <c r="AN774" s="391" t="s">
        <v>545</v>
      </c>
      <c r="AO774" s="391" t="s">
        <v>5974</v>
      </c>
    </row>
    <row r="775" spans="1:41" ht="16" thickBot="1">
      <c r="A775" s="387" t="s">
        <v>2743</v>
      </c>
      <c r="B775" s="387" t="s">
        <v>4343</v>
      </c>
      <c r="C775" s="387" t="s">
        <v>5975</v>
      </c>
      <c r="D775" s="387" t="s">
        <v>5976</v>
      </c>
      <c r="E775" s="387">
        <v>1</v>
      </c>
      <c r="F775" s="387" t="s">
        <v>2746</v>
      </c>
      <c r="G775" s="387">
        <v>1.5</v>
      </c>
      <c r="H775" s="387" t="s">
        <v>2746</v>
      </c>
      <c r="I775" s="387" t="s">
        <v>1838</v>
      </c>
      <c r="J775" s="387" t="s">
        <v>5977</v>
      </c>
      <c r="K775" s="387" t="s">
        <v>5978</v>
      </c>
      <c r="L775" s="387" t="s">
        <v>1975</v>
      </c>
      <c r="M775" s="387" t="s">
        <v>1976</v>
      </c>
      <c r="N775" s="388">
        <v>914.54</v>
      </c>
      <c r="O775" s="388">
        <v>14</v>
      </c>
      <c r="P775" s="387" t="s">
        <v>538</v>
      </c>
      <c r="Q775" s="387" t="s">
        <v>539</v>
      </c>
      <c r="R775" s="387" t="s">
        <v>5950</v>
      </c>
      <c r="S775" s="387" t="s">
        <v>171</v>
      </c>
      <c r="T775" s="387" t="s">
        <v>757</v>
      </c>
      <c r="U775" s="388">
        <v>700</v>
      </c>
      <c r="V775" s="387">
        <v>85412586892</v>
      </c>
      <c r="W775" s="387">
        <v>50085412586897</v>
      </c>
      <c r="X775" s="387" t="s">
        <v>543</v>
      </c>
      <c r="Y775" s="387" t="s">
        <v>543</v>
      </c>
      <c r="Z775" s="387" t="s">
        <v>543</v>
      </c>
      <c r="AA775" s="388" t="s">
        <v>543</v>
      </c>
      <c r="AB775" s="388" t="s">
        <v>543</v>
      </c>
      <c r="AC775" s="387">
        <v>723685001</v>
      </c>
      <c r="AD775" s="389">
        <v>6</v>
      </c>
      <c r="AE775" s="390">
        <v>44105</v>
      </c>
      <c r="AF775" s="390">
        <v>45199</v>
      </c>
      <c r="AG775" s="390">
        <v>45199</v>
      </c>
      <c r="AH775" s="391" t="s">
        <v>545</v>
      </c>
      <c r="AI775" s="391" t="s">
        <v>1979</v>
      </c>
      <c r="AJ775" s="391">
        <v>0</v>
      </c>
      <c r="AK775" s="390">
        <v>44105</v>
      </c>
      <c r="AL775" s="389">
        <v>100</v>
      </c>
      <c r="AM775" s="391" t="s">
        <v>548</v>
      </c>
      <c r="AN775" s="391" t="s">
        <v>545</v>
      </c>
      <c r="AO775" s="391" t="s">
        <v>5979</v>
      </c>
    </row>
    <row r="776" spans="1:41" ht="16" thickBot="1">
      <c r="A776" s="387" t="s">
        <v>2743</v>
      </c>
      <c r="B776" s="387" t="s">
        <v>634</v>
      </c>
      <c r="C776" s="387" t="s">
        <v>5980</v>
      </c>
      <c r="D776" s="387" t="s">
        <v>5981</v>
      </c>
      <c r="E776" s="387">
        <v>1</v>
      </c>
      <c r="F776" s="387" t="s">
        <v>2746</v>
      </c>
      <c r="G776" s="387">
        <v>1</v>
      </c>
      <c r="H776" s="387" t="s">
        <v>2746</v>
      </c>
      <c r="I776" s="387" t="s">
        <v>1838</v>
      </c>
      <c r="J776" s="387" t="s">
        <v>5982</v>
      </c>
      <c r="K776" s="387" t="s">
        <v>5983</v>
      </c>
      <c r="L776" s="387" t="s">
        <v>3043</v>
      </c>
      <c r="M776" s="387" t="s">
        <v>3044</v>
      </c>
      <c r="N776" s="388">
        <v>487.69</v>
      </c>
      <c r="O776" s="388">
        <v>14</v>
      </c>
      <c r="P776" s="387" t="s">
        <v>538</v>
      </c>
      <c r="Q776" s="387" t="s">
        <v>539</v>
      </c>
      <c r="R776" s="387" t="s">
        <v>5984</v>
      </c>
      <c r="S776" s="387" t="s">
        <v>171</v>
      </c>
      <c r="T776" s="387" t="s">
        <v>757</v>
      </c>
      <c r="U776" s="388">
        <v>8640</v>
      </c>
      <c r="V776" s="387">
        <v>4030539122092</v>
      </c>
      <c r="W776" s="387">
        <v>4030539122160</v>
      </c>
      <c r="X776" s="387" t="s">
        <v>543</v>
      </c>
      <c r="Y776" s="387">
        <v>4046964908316</v>
      </c>
      <c r="Z776" s="387" t="s">
        <v>543</v>
      </c>
      <c r="AA776" s="388" t="s">
        <v>543</v>
      </c>
      <c r="AB776" s="388" t="s">
        <v>543</v>
      </c>
      <c r="AC776" s="387" t="s">
        <v>5985</v>
      </c>
      <c r="AD776" s="389">
        <v>5</v>
      </c>
      <c r="AE776" s="390">
        <v>44105</v>
      </c>
      <c r="AF776" s="390">
        <v>45199</v>
      </c>
      <c r="AG776" s="390">
        <v>45199</v>
      </c>
      <c r="AH776" s="391" t="s">
        <v>545</v>
      </c>
      <c r="AI776" s="391" t="s">
        <v>3047</v>
      </c>
      <c r="AJ776" s="391">
        <v>9</v>
      </c>
      <c r="AK776" s="390">
        <v>44791</v>
      </c>
      <c r="AL776" s="389">
        <v>100</v>
      </c>
      <c r="AM776" s="391" t="s">
        <v>548</v>
      </c>
      <c r="AN776" s="391" t="s">
        <v>545</v>
      </c>
      <c r="AO776" s="391" t="s">
        <v>5986</v>
      </c>
    </row>
    <row r="777" spans="1:41" ht="16" thickBot="1">
      <c r="A777" s="387" t="s">
        <v>2166</v>
      </c>
      <c r="B777" s="387" t="s">
        <v>3081</v>
      </c>
      <c r="C777" s="387" t="s">
        <v>5987</v>
      </c>
      <c r="D777" s="387" t="s">
        <v>5988</v>
      </c>
      <c r="E777" s="387">
        <v>175</v>
      </c>
      <c r="F777" s="387" t="s">
        <v>531</v>
      </c>
      <c r="G777" s="387">
        <v>175</v>
      </c>
      <c r="H777" s="387" t="s">
        <v>531</v>
      </c>
      <c r="I777" s="387" t="s">
        <v>744</v>
      </c>
      <c r="J777" s="387" t="s">
        <v>5989</v>
      </c>
      <c r="K777" s="387" t="s">
        <v>5990</v>
      </c>
      <c r="L777" s="387" t="s">
        <v>2531</v>
      </c>
      <c r="M777" s="387" t="s">
        <v>2532</v>
      </c>
      <c r="N777" s="388">
        <v>1624.58</v>
      </c>
      <c r="O777" s="388">
        <v>14</v>
      </c>
      <c r="P777" s="387" t="s">
        <v>538</v>
      </c>
      <c r="Q777" s="387" t="s">
        <v>539</v>
      </c>
      <c r="R777" s="387" t="s">
        <v>5991</v>
      </c>
      <c r="S777" s="387" t="s">
        <v>541</v>
      </c>
      <c r="T777" s="387" t="s">
        <v>1908</v>
      </c>
      <c r="U777" s="388">
        <v>81</v>
      </c>
      <c r="V777" s="387" t="s">
        <v>543</v>
      </c>
      <c r="W777" s="387" t="s">
        <v>543</v>
      </c>
      <c r="X777" s="387" t="s">
        <v>543</v>
      </c>
      <c r="Y777" s="387" t="s">
        <v>543</v>
      </c>
      <c r="Z777" s="387" t="s">
        <v>543</v>
      </c>
      <c r="AA777" s="388" t="s">
        <v>543</v>
      </c>
      <c r="AB777" s="388" t="s">
        <v>543</v>
      </c>
      <c r="AC777" s="387" t="s">
        <v>543</v>
      </c>
      <c r="AD777" s="389">
        <v>1</v>
      </c>
      <c r="AE777" s="390">
        <v>44743</v>
      </c>
      <c r="AF777" s="390">
        <v>45473</v>
      </c>
      <c r="AG777" s="391" t="s">
        <v>545</v>
      </c>
      <c r="AH777" s="391" t="s">
        <v>5992</v>
      </c>
      <c r="AI777" s="391" t="s">
        <v>2536</v>
      </c>
      <c r="AJ777" s="391">
        <v>0</v>
      </c>
      <c r="AK777" s="390">
        <v>44743</v>
      </c>
      <c r="AL777" s="389">
        <v>100</v>
      </c>
      <c r="AM777" s="391" t="s">
        <v>548</v>
      </c>
      <c r="AN777" s="391" t="s">
        <v>549</v>
      </c>
      <c r="AO777" s="391" t="s">
        <v>5993</v>
      </c>
    </row>
    <row r="778" spans="1:41" ht="16" thickBot="1">
      <c r="A778" s="387" t="s">
        <v>2166</v>
      </c>
      <c r="B778" s="387" t="s">
        <v>3942</v>
      </c>
      <c r="C778" s="387" t="s">
        <v>5994</v>
      </c>
      <c r="D778" s="387" t="s">
        <v>5995</v>
      </c>
      <c r="E778" s="387">
        <v>100</v>
      </c>
      <c r="F778" s="387" t="s">
        <v>584</v>
      </c>
      <c r="G778" s="387">
        <v>100</v>
      </c>
      <c r="H778" s="387" t="s">
        <v>584</v>
      </c>
      <c r="I778" s="387" t="s">
        <v>585</v>
      </c>
      <c r="J778" s="387" t="s">
        <v>5989</v>
      </c>
      <c r="K778" s="387" t="s">
        <v>5996</v>
      </c>
      <c r="L778" s="387" t="s">
        <v>5997</v>
      </c>
      <c r="M778" s="387" t="s">
        <v>5998</v>
      </c>
      <c r="N778" s="388">
        <v>169</v>
      </c>
      <c r="O778" s="388">
        <v>14</v>
      </c>
      <c r="P778" s="387" t="s">
        <v>538</v>
      </c>
      <c r="Q778" s="387" t="s">
        <v>539</v>
      </c>
      <c r="R778" s="387" t="s">
        <v>5991</v>
      </c>
      <c r="S778" s="387" t="s">
        <v>541</v>
      </c>
      <c r="T778" s="387" t="s">
        <v>1908</v>
      </c>
      <c r="U778" s="388">
        <v>37999</v>
      </c>
      <c r="V778" s="387">
        <v>8902269252638</v>
      </c>
      <c r="W778" s="387" t="s">
        <v>543</v>
      </c>
      <c r="X778" s="387" t="s">
        <v>543</v>
      </c>
      <c r="Y778" s="387" t="s">
        <v>543</v>
      </c>
      <c r="Z778" s="387" t="s">
        <v>543</v>
      </c>
      <c r="AA778" s="388" t="s">
        <v>543</v>
      </c>
      <c r="AB778" s="388" t="s">
        <v>543</v>
      </c>
      <c r="AC778" s="387">
        <v>720269001</v>
      </c>
      <c r="AD778" s="389">
        <v>1</v>
      </c>
      <c r="AE778" s="390">
        <v>44743</v>
      </c>
      <c r="AF778" s="390">
        <v>45473</v>
      </c>
      <c r="AG778" s="391" t="s">
        <v>545</v>
      </c>
      <c r="AH778" s="391" t="s">
        <v>5999</v>
      </c>
      <c r="AI778" s="391" t="s">
        <v>6000</v>
      </c>
      <c r="AJ778" s="391">
        <v>0</v>
      </c>
      <c r="AK778" s="390">
        <v>44743</v>
      </c>
      <c r="AL778" s="389">
        <v>100</v>
      </c>
      <c r="AM778" s="391" t="s">
        <v>548</v>
      </c>
      <c r="AN778" s="391" t="s">
        <v>549</v>
      </c>
      <c r="AO778" s="391" t="s">
        <v>6001</v>
      </c>
    </row>
    <row r="779" spans="1:41" ht="16" thickBot="1">
      <c r="A779" s="387" t="s">
        <v>2166</v>
      </c>
      <c r="B779" s="387" t="s">
        <v>5186</v>
      </c>
      <c r="C779" s="387" t="s">
        <v>6002</v>
      </c>
      <c r="D779" s="387" t="s">
        <v>6003</v>
      </c>
      <c r="E779" s="387">
        <v>50</v>
      </c>
      <c r="F779" s="387" t="s">
        <v>559</v>
      </c>
      <c r="G779" s="387">
        <v>50</v>
      </c>
      <c r="H779" s="387" t="s">
        <v>559</v>
      </c>
      <c r="I779" s="387" t="s">
        <v>560</v>
      </c>
      <c r="J779" s="387" t="s">
        <v>5989</v>
      </c>
      <c r="K779" s="387" t="s">
        <v>6004</v>
      </c>
      <c r="L779" s="387" t="s">
        <v>5997</v>
      </c>
      <c r="M779" s="387" t="s">
        <v>5998</v>
      </c>
      <c r="N779" s="388">
        <v>169</v>
      </c>
      <c r="O779" s="388">
        <v>14</v>
      </c>
      <c r="P779" s="387" t="s">
        <v>538</v>
      </c>
      <c r="Q779" s="387" t="s">
        <v>539</v>
      </c>
      <c r="R779" s="387" t="s">
        <v>5991</v>
      </c>
      <c r="S779" s="387" t="s">
        <v>541</v>
      </c>
      <c r="T779" s="387" t="s">
        <v>1908</v>
      </c>
      <c r="U779" s="388">
        <v>58988</v>
      </c>
      <c r="V779" s="387">
        <v>8902269250887</v>
      </c>
      <c r="W779" s="387" t="s">
        <v>543</v>
      </c>
      <c r="X779" s="387" t="s">
        <v>543</v>
      </c>
      <c r="Y779" s="387" t="s">
        <v>543</v>
      </c>
      <c r="Z779" s="387" t="s">
        <v>543</v>
      </c>
      <c r="AA779" s="388" t="s">
        <v>543</v>
      </c>
      <c r="AB779" s="388" t="s">
        <v>543</v>
      </c>
      <c r="AC779" s="387">
        <v>720270001</v>
      </c>
      <c r="AD779" s="389">
        <v>1</v>
      </c>
      <c r="AE779" s="390">
        <v>44743</v>
      </c>
      <c r="AF779" s="390">
        <v>45473</v>
      </c>
      <c r="AG779" s="391" t="s">
        <v>545</v>
      </c>
      <c r="AH779" s="391" t="s">
        <v>6005</v>
      </c>
      <c r="AI779" s="391" t="s">
        <v>6000</v>
      </c>
      <c r="AJ779" s="391">
        <v>0</v>
      </c>
      <c r="AK779" s="390">
        <v>44743</v>
      </c>
      <c r="AL779" s="389">
        <v>100</v>
      </c>
      <c r="AM779" s="391" t="s">
        <v>548</v>
      </c>
      <c r="AN779" s="391" t="s">
        <v>549</v>
      </c>
      <c r="AO779" s="391" t="s">
        <v>6006</v>
      </c>
    </row>
    <row r="780" spans="1:41" ht="16" thickBot="1">
      <c r="A780" s="387" t="s">
        <v>2166</v>
      </c>
      <c r="B780" s="387" t="s">
        <v>3089</v>
      </c>
      <c r="C780" s="387" t="s">
        <v>6007</v>
      </c>
      <c r="D780" s="387" t="s">
        <v>6008</v>
      </c>
      <c r="E780" s="387">
        <v>120</v>
      </c>
      <c r="F780" s="387" t="s">
        <v>559</v>
      </c>
      <c r="G780" s="387">
        <v>120</v>
      </c>
      <c r="H780" s="387" t="s">
        <v>559</v>
      </c>
      <c r="I780" s="387" t="s">
        <v>560</v>
      </c>
      <c r="J780" s="387" t="s">
        <v>6009</v>
      </c>
      <c r="K780" s="387" t="s">
        <v>6010</v>
      </c>
      <c r="L780" s="387" t="s">
        <v>1945</v>
      </c>
      <c r="M780" s="387" t="s">
        <v>1946</v>
      </c>
      <c r="N780" s="388">
        <v>847.08</v>
      </c>
      <c r="O780" s="388">
        <v>14</v>
      </c>
      <c r="P780" s="387" t="s">
        <v>538</v>
      </c>
      <c r="Q780" s="387" t="s">
        <v>539</v>
      </c>
      <c r="R780" s="387" t="s">
        <v>5991</v>
      </c>
      <c r="S780" s="387" t="s">
        <v>541</v>
      </c>
      <c r="T780" s="387" t="s">
        <v>1908</v>
      </c>
      <c r="U780" s="388">
        <v>1290</v>
      </c>
      <c r="V780" s="387">
        <v>6005534001930</v>
      </c>
      <c r="W780" s="387">
        <v>6005534001930</v>
      </c>
      <c r="X780" s="387" t="s">
        <v>543</v>
      </c>
      <c r="Y780" s="387" t="s">
        <v>543</v>
      </c>
      <c r="Z780" s="387" t="s">
        <v>543</v>
      </c>
      <c r="AA780" s="388" t="s">
        <v>543</v>
      </c>
      <c r="AB780" s="388" t="s">
        <v>543</v>
      </c>
      <c r="AC780" s="387">
        <v>705493001</v>
      </c>
      <c r="AD780" s="389">
        <v>1</v>
      </c>
      <c r="AE780" s="390">
        <v>44743</v>
      </c>
      <c r="AF780" s="390">
        <v>45473</v>
      </c>
      <c r="AG780" s="391" t="s">
        <v>545</v>
      </c>
      <c r="AH780" s="391" t="s">
        <v>6011</v>
      </c>
      <c r="AI780" s="391" t="s">
        <v>1949</v>
      </c>
      <c r="AJ780" s="391">
        <v>0</v>
      </c>
      <c r="AK780" s="390">
        <v>44743</v>
      </c>
      <c r="AL780" s="389">
        <v>100</v>
      </c>
      <c r="AM780" s="391" t="s">
        <v>548</v>
      </c>
      <c r="AN780" s="391" t="s">
        <v>549</v>
      </c>
      <c r="AO780" s="391" t="s">
        <v>6012</v>
      </c>
    </row>
    <row r="781" spans="1:41" ht="16" thickBot="1">
      <c r="A781" s="387" t="s">
        <v>2166</v>
      </c>
      <c r="B781" s="387" t="s">
        <v>4166</v>
      </c>
      <c r="C781" s="387" t="s">
        <v>6013</v>
      </c>
      <c r="D781" s="387" t="s">
        <v>6014</v>
      </c>
      <c r="E781" s="387">
        <v>120</v>
      </c>
      <c r="F781" s="387" t="s">
        <v>559</v>
      </c>
      <c r="G781" s="387">
        <v>120</v>
      </c>
      <c r="H781" s="387" t="s">
        <v>559</v>
      </c>
      <c r="I781" s="387" t="s">
        <v>560</v>
      </c>
      <c r="J781" s="387" t="s">
        <v>6009</v>
      </c>
      <c r="K781" s="387" t="s">
        <v>6015</v>
      </c>
      <c r="L781" s="387" t="s">
        <v>1945</v>
      </c>
      <c r="M781" s="387" t="s">
        <v>1946</v>
      </c>
      <c r="N781" s="388">
        <v>1140.02</v>
      </c>
      <c r="O781" s="388">
        <v>14</v>
      </c>
      <c r="P781" s="387" t="s">
        <v>538</v>
      </c>
      <c r="Q781" s="387" t="s">
        <v>539</v>
      </c>
      <c r="R781" s="387" t="s">
        <v>5991</v>
      </c>
      <c r="S781" s="387" t="s">
        <v>541</v>
      </c>
      <c r="T781" s="387" t="s">
        <v>1908</v>
      </c>
      <c r="U781" s="388">
        <v>2317</v>
      </c>
      <c r="V781" s="387">
        <v>6005534001947</v>
      </c>
      <c r="W781" s="387">
        <v>6005534001947</v>
      </c>
      <c r="X781" s="387" t="s">
        <v>543</v>
      </c>
      <c r="Y781" s="387" t="s">
        <v>543</v>
      </c>
      <c r="Z781" s="387" t="s">
        <v>543</v>
      </c>
      <c r="AA781" s="388" t="s">
        <v>543</v>
      </c>
      <c r="AB781" s="388" t="s">
        <v>543</v>
      </c>
      <c r="AC781" s="387">
        <v>705492001</v>
      </c>
      <c r="AD781" s="389">
        <v>1</v>
      </c>
      <c r="AE781" s="390">
        <v>44743</v>
      </c>
      <c r="AF781" s="390">
        <v>45473</v>
      </c>
      <c r="AG781" s="391" t="s">
        <v>545</v>
      </c>
      <c r="AH781" s="391" t="s">
        <v>6016</v>
      </c>
      <c r="AI781" s="391" t="s">
        <v>1949</v>
      </c>
      <c r="AJ781" s="391">
        <v>0</v>
      </c>
      <c r="AK781" s="390">
        <v>44743</v>
      </c>
      <c r="AL781" s="389">
        <v>100</v>
      </c>
      <c r="AM781" s="391" t="s">
        <v>548</v>
      </c>
      <c r="AN781" s="391" t="s">
        <v>549</v>
      </c>
      <c r="AO781" s="391" t="s">
        <v>6017</v>
      </c>
    </row>
    <row r="782" spans="1:41" ht="16" thickBot="1">
      <c r="A782" s="387" t="s">
        <v>1748</v>
      </c>
      <c r="B782" s="387" t="s">
        <v>3547</v>
      </c>
      <c r="C782" s="387" t="s">
        <v>6018</v>
      </c>
      <c r="D782" s="387" t="s">
        <v>6019</v>
      </c>
      <c r="E782" s="387">
        <v>1</v>
      </c>
      <c r="F782" s="387" t="s">
        <v>531</v>
      </c>
      <c r="G782" s="387">
        <v>1</v>
      </c>
      <c r="H782" s="387" t="s">
        <v>531</v>
      </c>
      <c r="I782" s="387" t="s">
        <v>1751</v>
      </c>
      <c r="J782" s="387" t="s">
        <v>6020</v>
      </c>
      <c r="K782" s="387" t="s">
        <v>6021</v>
      </c>
      <c r="L782" s="387" t="s">
        <v>1955</v>
      </c>
      <c r="M782" s="387" t="s">
        <v>1956</v>
      </c>
      <c r="N782" s="388">
        <v>7.61</v>
      </c>
      <c r="O782" s="388">
        <v>14</v>
      </c>
      <c r="P782" s="387" t="s">
        <v>538</v>
      </c>
      <c r="Q782" s="387" t="s">
        <v>539</v>
      </c>
      <c r="R782" s="387" t="s">
        <v>6022</v>
      </c>
      <c r="S782" s="387" t="s">
        <v>541</v>
      </c>
      <c r="T782" s="387" t="s">
        <v>542</v>
      </c>
      <c r="U782" s="388">
        <v>504980</v>
      </c>
      <c r="V782" s="387">
        <v>6006267000030</v>
      </c>
      <c r="W782" s="387">
        <v>6006267000030</v>
      </c>
      <c r="X782" s="387" t="s">
        <v>543</v>
      </c>
      <c r="Y782" s="387">
        <v>16006267000037</v>
      </c>
      <c r="Z782" s="387" t="s">
        <v>543</v>
      </c>
      <c r="AA782" s="388" t="s">
        <v>543</v>
      </c>
      <c r="AB782" s="388" t="s">
        <v>543</v>
      </c>
      <c r="AC782" s="387">
        <v>702097003</v>
      </c>
      <c r="AD782" s="389" t="s">
        <v>2308</v>
      </c>
      <c r="AE782" s="390">
        <v>44317</v>
      </c>
      <c r="AF782" s="390">
        <v>45412</v>
      </c>
      <c r="AG782" s="391" t="s">
        <v>545</v>
      </c>
      <c r="AH782" s="391" t="s">
        <v>6023</v>
      </c>
      <c r="AI782" s="391" t="s">
        <v>1959</v>
      </c>
      <c r="AJ782" s="391">
        <v>0</v>
      </c>
      <c r="AK782" s="390">
        <v>44317</v>
      </c>
      <c r="AL782" s="389">
        <v>100</v>
      </c>
      <c r="AM782" s="391" t="s">
        <v>548</v>
      </c>
      <c r="AN782" s="391" t="s">
        <v>549</v>
      </c>
      <c r="AO782" s="391" t="s">
        <v>6024</v>
      </c>
    </row>
    <row r="783" spans="1:41" ht="16" thickBot="1">
      <c r="A783" s="387" t="s">
        <v>1748</v>
      </c>
      <c r="B783" s="387" t="s">
        <v>3541</v>
      </c>
      <c r="C783" s="387" t="s">
        <v>6025</v>
      </c>
      <c r="D783" s="387" t="s">
        <v>6026</v>
      </c>
      <c r="E783" s="387">
        <v>2</v>
      </c>
      <c r="F783" s="387" t="s">
        <v>531</v>
      </c>
      <c r="G783" s="387">
        <v>2</v>
      </c>
      <c r="H783" s="387" t="s">
        <v>531</v>
      </c>
      <c r="I783" s="387" t="s">
        <v>1751</v>
      </c>
      <c r="J783" s="387" t="s">
        <v>6020</v>
      </c>
      <c r="K783" s="387" t="s">
        <v>6027</v>
      </c>
      <c r="L783" s="387" t="s">
        <v>1955</v>
      </c>
      <c r="M783" s="387" t="s">
        <v>1956</v>
      </c>
      <c r="N783" s="388">
        <v>9.0500000000000007</v>
      </c>
      <c r="O783" s="388">
        <v>14</v>
      </c>
      <c r="P783" s="387" t="s">
        <v>538</v>
      </c>
      <c r="Q783" s="387" t="s">
        <v>539</v>
      </c>
      <c r="R783" s="387" t="s">
        <v>6022</v>
      </c>
      <c r="S783" s="387" t="s">
        <v>541</v>
      </c>
      <c r="T783" s="387" t="s">
        <v>542</v>
      </c>
      <c r="U783" s="388">
        <v>96540</v>
      </c>
      <c r="V783" s="387">
        <v>6006267000047</v>
      </c>
      <c r="W783" s="387">
        <v>6006267000047</v>
      </c>
      <c r="X783" s="387" t="s">
        <v>543</v>
      </c>
      <c r="Y783" s="387">
        <v>16006267000044</v>
      </c>
      <c r="Z783" s="387" t="s">
        <v>543</v>
      </c>
      <c r="AA783" s="388" t="s">
        <v>543</v>
      </c>
      <c r="AB783" s="388" t="s">
        <v>543</v>
      </c>
      <c r="AC783" s="387">
        <v>701982003</v>
      </c>
      <c r="AD783" s="389" t="s">
        <v>2308</v>
      </c>
      <c r="AE783" s="390">
        <v>44317</v>
      </c>
      <c r="AF783" s="390">
        <v>45412</v>
      </c>
      <c r="AG783" s="391" t="s">
        <v>545</v>
      </c>
      <c r="AH783" s="391" t="s">
        <v>6028</v>
      </c>
      <c r="AI783" s="391" t="s">
        <v>1959</v>
      </c>
      <c r="AJ783" s="391">
        <v>0</v>
      </c>
      <c r="AK783" s="390">
        <v>44317</v>
      </c>
      <c r="AL783" s="389">
        <v>100</v>
      </c>
      <c r="AM783" s="391" t="s">
        <v>548</v>
      </c>
      <c r="AN783" s="391" t="s">
        <v>549</v>
      </c>
      <c r="AO783" s="391" t="s">
        <v>6029</v>
      </c>
    </row>
    <row r="784" spans="1:41" ht="16" thickBot="1">
      <c r="A784" s="387" t="s">
        <v>1748</v>
      </c>
      <c r="B784" s="387" t="s">
        <v>3680</v>
      </c>
      <c r="C784" s="387" t="s">
        <v>6030</v>
      </c>
      <c r="D784" s="387" t="s">
        <v>6031</v>
      </c>
      <c r="E784" s="387">
        <v>100</v>
      </c>
      <c r="F784" s="387" t="s">
        <v>4583</v>
      </c>
      <c r="G784" s="387">
        <v>100</v>
      </c>
      <c r="H784" s="387" t="s">
        <v>4583</v>
      </c>
      <c r="I784" s="387" t="s">
        <v>6032</v>
      </c>
      <c r="J784" s="387" t="s">
        <v>6033</v>
      </c>
      <c r="K784" s="387" t="s">
        <v>6034</v>
      </c>
      <c r="L784" s="387" t="s">
        <v>2062</v>
      </c>
      <c r="M784" s="387" t="s">
        <v>2063</v>
      </c>
      <c r="N784" s="388">
        <v>60.02</v>
      </c>
      <c r="O784" s="388">
        <v>14</v>
      </c>
      <c r="P784" s="387" t="s">
        <v>611</v>
      </c>
      <c r="Q784" s="387" t="s">
        <v>160</v>
      </c>
      <c r="R784" s="387" t="s">
        <v>1745</v>
      </c>
      <c r="S784" s="387" t="s">
        <v>160</v>
      </c>
      <c r="T784" s="387" t="s">
        <v>160</v>
      </c>
      <c r="U784" s="388">
        <v>82770</v>
      </c>
      <c r="V784" s="387">
        <v>8003670913825</v>
      </c>
      <c r="W784" s="387">
        <v>8003670913825</v>
      </c>
      <c r="X784" s="387" t="s">
        <v>543</v>
      </c>
      <c r="Y784" s="387">
        <v>58003670913820</v>
      </c>
      <c r="Z784" s="387" t="s">
        <v>543</v>
      </c>
      <c r="AA784" s="388" t="s">
        <v>543</v>
      </c>
      <c r="AB784" s="388" t="s">
        <v>543</v>
      </c>
      <c r="AC784" s="387" t="s">
        <v>543</v>
      </c>
      <c r="AD784" s="389">
        <v>36</v>
      </c>
      <c r="AE784" s="390">
        <v>44317</v>
      </c>
      <c r="AF784" s="390">
        <v>45412</v>
      </c>
      <c r="AG784" s="391" t="s">
        <v>545</v>
      </c>
      <c r="AH784" s="391" t="s">
        <v>6035</v>
      </c>
      <c r="AI784" s="391" t="s">
        <v>2064</v>
      </c>
      <c r="AJ784" s="391">
        <v>0</v>
      </c>
      <c r="AK784" s="390">
        <v>44317</v>
      </c>
      <c r="AL784" s="389">
        <v>100</v>
      </c>
      <c r="AM784" s="391" t="s">
        <v>548</v>
      </c>
      <c r="AN784" s="391" t="s">
        <v>549</v>
      </c>
      <c r="AO784" s="391" t="s">
        <v>6036</v>
      </c>
    </row>
    <row r="785" spans="1:43" ht="16" thickBot="1">
      <c r="A785" s="387" t="s">
        <v>1748</v>
      </c>
      <c r="B785" s="387" t="s">
        <v>3685</v>
      </c>
      <c r="C785" s="387" t="s">
        <v>6037</v>
      </c>
      <c r="D785" s="387" t="s">
        <v>6038</v>
      </c>
      <c r="E785" s="387">
        <v>100</v>
      </c>
      <c r="F785" s="387" t="s">
        <v>4583</v>
      </c>
      <c r="G785" s="387">
        <v>100</v>
      </c>
      <c r="H785" s="387" t="s">
        <v>4583</v>
      </c>
      <c r="I785" s="387" t="s">
        <v>6032</v>
      </c>
      <c r="J785" s="387" t="s">
        <v>6039</v>
      </c>
      <c r="K785" s="387" t="s">
        <v>6040</v>
      </c>
      <c r="L785" s="387" t="s">
        <v>2062</v>
      </c>
      <c r="M785" s="387" t="s">
        <v>2063</v>
      </c>
      <c r="N785" s="388">
        <v>56.48</v>
      </c>
      <c r="O785" s="388">
        <v>14</v>
      </c>
      <c r="P785" s="387" t="s">
        <v>611</v>
      </c>
      <c r="Q785" s="387" t="s">
        <v>160</v>
      </c>
      <c r="R785" s="387" t="s">
        <v>1745</v>
      </c>
      <c r="S785" s="387" t="s">
        <v>160</v>
      </c>
      <c r="T785" s="387" t="s">
        <v>160</v>
      </c>
      <c r="U785" s="388">
        <v>377460</v>
      </c>
      <c r="V785" s="387">
        <v>8003670108191</v>
      </c>
      <c r="W785" s="387">
        <v>8003670108191</v>
      </c>
      <c r="X785" s="387" t="s">
        <v>543</v>
      </c>
      <c r="Y785" s="387">
        <v>58003670108196</v>
      </c>
      <c r="Z785" s="387" t="s">
        <v>543</v>
      </c>
      <c r="AA785" s="388" t="s">
        <v>543</v>
      </c>
      <c r="AB785" s="388" t="s">
        <v>543</v>
      </c>
      <c r="AC785" s="387" t="s">
        <v>543</v>
      </c>
      <c r="AD785" s="389">
        <v>36</v>
      </c>
      <c r="AE785" s="390">
        <v>44317</v>
      </c>
      <c r="AF785" s="390">
        <v>45412</v>
      </c>
      <c r="AG785" s="391" t="s">
        <v>545</v>
      </c>
      <c r="AH785" s="391" t="s">
        <v>6041</v>
      </c>
      <c r="AI785" s="391" t="s">
        <v>2064</v>
      </c>
      <c r="AJ785" s="391">
        <v>0</v>
      </c>
      <c r="AK785" s="390">
        <v>44317</v>
      </c>
      <c r="AL785" s="389">
        <v>100</v>
      </c>
      <c r="AM785" s="391" t="s">
        <v>548</v>
      </c>
      <c r="AN785" s="391" t="s">
        <v>549</v>
      </c>
      <c r="AO785" s="391" t="s">
        <v>6042</v>
      </c>
    </row>
    <row r="786" spans="1:43" ht="16" thickBot="1">
      <c r="A786" s="387" t="s">
        <v>2743</v>
      </c>
      <c r="B786" s="387" t="s">
        <v>972</v>
      </c>
      <c r="C786" s="387" t="s">
        <v>6043</v>
      </c>
      <c r="D786" s="387" t="s">
        <v>6044</v>
      </c>
      <c r="E786" s="387">
        <v>200</v>
      </c>
      <c r="F786" s="387" t="s">
        <v>531</v>
      </c>
      <c r="G786" s="387">
        <v>200</v>
      </c>
      <c r="H786" s="387" t="s">
        <v>531</v>
      </c>
      <c r="I786" s="387" t="s">
        <v>1838</v>
      </c>
      <c r="J786" s="387" t="s">
        <v>6045</v>
      </c>
      <c r="K786" s="387" t="s">
        <v>6046</v>
      </c>
      <c r="L786" s="387" t="s">
        <v>1975</v>
      </c>
      <c r="M786" s="387" t="s">
        <v>1976</v>
      </c>
      <c r="N786" s="388">
        <v>40.770000000000003</v>
      </c>
      <c r="O786" s="388">
        <v>14</v>
      </c>
      <c r="P786" s="387" t="s">
        <v>538</v>
      </c>
      <c r="Q786" s="387" t="s">
        <v>539</v>
      </c>
      <c r="R786" s="387" t="s">
        <v>3620</v>
      </c>
      <c r="S786" s="387" t="s">
        <v>541</v>
      </c>
      <c r="T786" s="387" t="s">
        <v>757</v>
      </c>
      <c r="U786" s="388">
        <v>278020</v>
      </c>
      <c r="V786" s="387">
        <v>6003252004646</v>
      </c>
      <c r="W786" s="387">
        <v>6003252004646</v>
      </c>
      <c r="X786" s="387" t="s">
        <v>543</v>
      </c>
      <c r="Y786" s="387">
        <v>16003252004643</v>
      </c>
      <c r="Z786" s="387" t="s">
        <v>543</v>
      </c>
      <c r="AA786" s="388" t="s">
        <v>543</v>
      </c>
      <c r="AB786" s="388" t="s">
        <v>543</v>
      </c>
      <c r="AC786" s="387">
        <v>802387004</v>
      </c>
      <c r="AD786" s="389">
        <v>36</v>
      </c>
      <c r="AE786" s="390">
        <v>44105</v>
      </c>
      <c r="AF786" s="390">
        <v>45199</v>
      </c>
      <c r="AG786" s="390">
        <v>45199</v>
      </c>
      <c r="AH786" s="391" t="s">
        <v>6047</v>
      </c>
      <c r="AI786" s="391" t="s">
        <v>1979</v>
      </c>
      <c r="AJ786" s="391">
        <v>10</v>
      </c>
      <c r="AK786" s="390">
        <v>44866</v>
      </c>
      <c r="AL786" s="389">
        <v>100</v>
      </c>
      <c r="AM786" s="391" t="s">
        <v>548</v>
      </c>
      <c r="AN786" s="391" t="s">
        <v>545</v>
      </c>
      <c r="AO786" s="391" t="s">
        <v>6048</v>
      </c>
    </row>
    <row r="787" spans="1:43" ht="16" thickBot="1">
      <c r="A787" s="387" t="s">
        <v>2743</v>
      </c>
      <c r="B787" s="387" t="s">
        <v>557</v>
      </c>
      <c r="C787" s="387" t="s">
        <v>6049</v>
      </c>
      <c r="D787" s="387" t="s">
        <v>6050</v>
      </c>
      <c r="E787" s="387">
        <v>200</v>
      </c>
      <c r="F787" s="387" t="s">
        <v>531</v>
      </c>
      <c r="G787" s="387">
        <v>200</v>
      </c>
      <c r="H787" s="387" t="s">
        <v>531</v>
      </c>
      <c r="I787" s="387" t="s">
        <v>1838</v>
      </c>
      <c r="J787" s="387" t="s">
        <v>6051</v>
      </c>
      <c r="K787" s="387" t="s">
        <v>6052</v>
      </c>
      <c r="L787" s="387" t="s">
        <v>1975</v>
      </c>
      <c r="M787" s="387" t="s">
        <v>1976</v>
      </c>
      <c r="N787" s="388">
        <v>10.19</v>
      </c>
      <c r="O787" s="388">
        <v>14</v>
      </c>
      <c r="P787" s="387" t="s">
        <v>538</v>
      </c>
      <c r="Q787" s="387" t="s">
        <v>539</v>
      </c>
      <c r="R787" s="387" t="s">
        <v>3620</v>
      </c>
      <c r="S787" s="387" t="s">
        <v>541</v>
      </c>
      <c r="T787" s="387" t="s">
        <v>757</v>
      </c>
      <c r="U787" s="388">
        <v>943150</v>
      </c>
      <c r="V787" s="387">
        <v>6003252000358</v>
      </c>
      <c r="W787" s="387">
        <v>6003252000358</v>
      </c>
      <c r="X787" s="387" t="s">
        <v>543</v>
      </c>
      <c r="Y787" s="387">
        <v>16003252000355</v>
      </c>
      <c r="Z787" s="387" t="s">
        <v>543</v>
      </c>
      <c r="AA787" s="388" t="s">
        <v>543</v>
      </c>
      <c r="AB787" s="388" t="s">
        <v>543</v>
      </c>
      <c r="AC787" s="387">
        <v>801968003</v>
      </c>
      <c r="AD787" s="389">
        <v>36</v>
      </c>
      <c r="AE787" s="390">
        <v>44105</v>
      </c>
      <c r="AF787" s="390">
        <v>45199</v>
      </c>
      <c r="AG787" s="390">
        <v>45199</v>
      </c>
      <c r="AH787" s="391" t="s">
        <v>6053</v>
      </c>
      <c r="AI787" s="391" t="s">
        <v>1979</v>
      </c>
      <c r="AJ787" s="391">
        <v>10</v>
      </c>
      <c r="AK787" s="390">
        <v>44866</v>
      </c>
      <c r="AL787" s="389">
        <v>100</v>
      </c>
      <c r="AM787" s="391" t="s">
        <v>548</v>
      </c>
      <c r="AN787" s="391" t="s">
        <v>545</v>
      </c>
      <c r="AO787" s="391" t="s">
        <v>6054</v>
      </c>
    </row>
    <row r="788" spans="1:43" ht="16" thickBot="1">
      <c r="A788" s="387" t="s">
        <v>1748</v>
      </c>
      <c r="B788" s="387" t="s">
        <v>3702</v>
      </c>
      <c r="C788" s="387" t="s">
        <v>6055</v>
      </c>
      <c r="D788" s="387" t="s">
        <v>6056</v>
      </c>
      <c r="E788" s="387">
        <v>1</v>
      </c>
      <c r="F788" s="387" t="s">
        <v>531</v>
      </c>
      <c r="G788" s="387">
        <v>1</v>
      </c>
      <c r="H788" s="387" t="s">
        <v>531</v>
      </c>
      <c r="I788" s="387" t="s">
        <v>1751</v>
      </c>
      <c r="J788" s="387" t="s">
        <v>6057</v>
      </c>
      <c r="K788" s="387" t="s">
        <v>6058</v>
      </c>
      <c r="L788" s="387" t="s">
        <v>2312</v>
      </c>
      <c r="M788" s="387" t="s">
        <v>2313</v>
      </c>
      <c r="N788" s="388">
        <v>6.16</v>
      </c>
      <c r="O788" s="388">
        <v>14</v>
      </c>
      <c r="P788" s="387" t="s">
        <v>538</v>
      </c>
      <c r="Q788" s="387" t="s">
        <v>539</v>
      </c>
      <c r="R788" s="387" t="s">
        <v>6059</v>
      </c>
      <c r="S788" s="387" t="s">
        <v>541</v>
      </c>
      <c r="T788" s="387" t="s">
        <v>757</v>
      </c>
      <c r="U788" s="388">
        <v>481450</v>
      </c>
      <c r="V788" s="387" t="s">
        <v>543</v>
      </c>
      <c r="W788" s="387" t="s">
        <v>543</v>
      </c>
      <c r="X788" s="387" t="s">
        <v>543</v>
      </c>
      <c r="Y788" s="387" t="s">
        <v>543</v>
      </c>
      <c r="Z788" s="387" t="s">
        <v>543</v>
      </c>
      <c r="AA788" s="388" t="s">
        <v>543</v>
      </c>
      <c r="AB788" s="388" t="s">
        <v>543</v>
      </c>
      <c r="AC788" s="387" t="s">
        <v>543</v>
      </c>
      <c r="AD788" s="389">
        <v>200</v>
      </c>
      <c r="AE788" s="390">
        <v>44317</v>
      </c>
      <c r="AF788" s="390">
        <v>45412</v>
      </c>
      <c r="AG788" s="391" t="s">
        <v>545</v>
      </c>
      <c r="AH788" s="391" t="s">
        <v>6060</v>
      </c>
      <c r="AI788" s="391" t="s">
        <v>2314</v>
      </c>
      <c r="AJ788" s="391">
        <v>0</v>
      </c>
      <c r="AK788" s="390">
        <v>44317</v>
      </c>
      <c r="AL788" s="389">
        <v>100</v>
      </c>
      <c r="AM788" s="391" t="s">
        <v>548</v>
      </c>
      <c r="AN788" s="391" t="s">
        <v>549</v>
      </c>
      <c r="AO788" s="391" t="s">
        <v>6061</v>
      </c>
    </row>
    <row r="789" spans="1:43" ht="16" thickBot="1">
      <c r="A789" s="387" t="s">
        <v>529</v>
      </c>
      <c r="B789" s="387" t="s">
        <v>1006</v>
      </c>
      <c r="C789" s="387" t="s">
        <v>1007</v>
      </c>
      <c r="D789" s="387" t="s">
        <v>736</v>
      </c>
      <c r="E789" s="387">
        <v>56</v>
      </c>
      <c r="F789" s="387" t="s">
        <v>559</v>
      </c>
      <c r="G789" s="387">
        <v>56</v>
      </c>
      <c r="H789" s="387" t="s">
        <v>559</v>
      </c>
      <c r="I789" s="387" t="s">
        <v>560</v>
      </c>
      <c r="J789" s="387" t="s">
        <v>737</v>
      </c>
      <c r="K789" s="387" t="s">
        <v>738</v>
      </c>
      <c r="L789" s="387" t="s">
        <v>654</v>
      </c>
      <c r="M789" s="387" t="s">
        <v>655</v>
      </c>
      <c r="N789" s="388">
        <v>40.4</v>
      </c>
      <c r="O789" s="388">
        <v>14</v>
      </c>
      <c r="P789" s="387" t="s">
        <v>538</v>
      </c>
      <c r="Q789" s="387" t="s">
        <v>539</v>
      </c>
      <c r="R789" s="387" t="s">
        <v>739</v>
      </c>
      <c r="S789" s="387" t="s">
        <v>541</v>
      </c>
      <c r="T789" s="387" t="s">
        <v>542</v>
      </c>
      <c r="U789" s="388">
        <v>1806313</v>
      </c>
      <c r="V789" s="387" t="s">
        <v>543</v>
      </c>
      <c r="W789" s="387" t="s">
        <v>543</v>
      </c>
      <c r="X789" s="387" t="s">
        <v>543</v>
      </c>
      <c r="Y789" s="387" t="s">
        <v>543</v>
      </c>
      <c r="Z789" s="387" t="s">
        <v>543</v>
      </c>
      <c r="AA789" s="388" t="s">
        <v>543</v>
      </c>
      <c r="AB789" s="388" t="s">
        <v>543</v>
      </c>
      <c r="AC789" s="387" t="s">
        <v>543</v>
      </c>
      <c r="AD789" s="389" t="s">
        <v>740</v>
      </c>
      <c r="AE789" s="390">
        <v>44743</v>
      </c>
      <c r="AF789" s="390">
        <v>45838</v>
      </c>
      <c r="AG789" s="390">
        <v>45838</v>
      </c>
      <c r="AH789" s="391" t="s">
        <v>741</v>
      </c>
      <c r="AI789" s="391" t="s">
        <v>658</v>
      </c>
      <c r="AJ789" s="391">
        <v>16</v>
      </c>
      <c r="AK789" s="390">
        <v>45047</v>
      </c>
      <c r="AL789" s="389">
        <v>100</v>
      </c>
      <c r="AM789" s="391" t="s">
        <v>548</v>
      </c>
      <c r="AN789" s="391" t="s">
        <v>549</v>
      </c>
      <c r="AO789" s="391" t="s">
        <v>742</v>
      </c>
      <c r="AP789" s="372">
        <f>N789/E789</f>
        <v>0.72142857142857142</v>
      </c>
      <c r="AQ789" s="372">
        <f>AP789</f>
        <v>0.72142857142857142</v>
      </c>
    </row>
    <row r="790" spans="1:43" ht="16" thickBot="1">
      <c r="A790" s="387" t="s">
        <v>529</v>
      </c>
      <c r="B790" s="387" t="s">
        <v>990</v>
      </c>
      <c r="C790" s="387" t="s">
        <v>991</v>
      </c>
      <c r="D790" s="387" t="s">
        <v>743</v>
      </c>
      <c r="E790" s="387">
        <v>100</v>
      </c>
      <c r="F790" s="387" t="s">
        <v>531</v>
      </c>
      <c r="G790" s="387">
        <v>100</v>
      </c>
      <c r="H790" s="387" t="s">
        <v>531</v>
      </c>
      <c r="I790" s="387" t="s">
        <v>744</v>
      </c>
      <c r="J790" s="387" t="s">
        <v>737</v>
      </c>
      <c r="K790" s="387" t="s">
        <v>745</v>
      </c>
      <c r="L790" s="387" t="s">
        <v>675</v>
      </c>
      <c r="M790" s="387" t="s">
        <v>676</v>
      </c>
      <c r="N790" s="388">
        <v>20.5</v>
      </c>
      <c r="O790" s="388">
        <v>14</v>
      </c>
      <c r="P790" s="387" t="s">
        <v>538</v>
      </c>
      <c r="Q790" s="387" t="s">
        <v>539</v>
      </c>
      <c r="R790" s="387" t="s">
        <v>739</v>
      </c>
      <c r="S790" s="387" t="s">
        <v>541</v>
      </c>
      <c r="T790" s="387" t="s">
        <v>542</v>
      </c>
      <c r="U790" s="388">
        <v>952685</v>
      </c>
      <c r="V790" s="387">
        <v>6006352066251</v>
      </c>
      <c r="W790" s="387">
        <v>6006352066251</v>
      </c>
      <c r="X790" s="387" t="s">
        <v>543</v>
      </c>
      <c r="Y790" s="387">
        <v>6006352066268</v>
      </c>
      <c r="Z790" s="387" t="s">
        <v>543</v>
      </c>
      <c r="AA790" s="388" t="s">
        <v>543</v>
      </c>
      <c r="AB790" s="388" t="s">
        <v>543</v>
      </c>
      <c r="AC790" s="387">
        <v>704040001</v>
      </c>
      <c r="AD790" s="389">
        <v>60</v>
      </c>
      <c r="AE790" s="390">
        <v>44743</v>
      </c>
      <c r="AF790" s="390">
        <v>45838</v>
      </c>
      <c r="AG790" s="390">
        <v>45838</v>
      </c>
      <c r="AH790" s="391" t="s">
        <v>746</v>
      </c>
      <c r="AI790" s="391" t="s">
        <v>679</v>
      </c>
      <c r="AJ790" s="391">
        <v>17</v>
      </c>
      <c r="AK790" s="390">
        <v>45047</v>
      </c>
      <c r="AL790" s="389">
        <v>100</v>
      </c>
      <c r="AM790" s="391" t="s">
        <v>548</v>
      </c>
      <c r="AN790" s="391" t="s">
        <v>549</v>
      </c>
      <c r="AO790" s="391" t="s">
        <v>747</v>
      </c>
    </row>
    <row r="791" spans="1:43" ht="16" thickBot="1">
      <c r="A791" s="387" t="s">
        <v>529</v>
      </c>
      <c r="B791" s="387" t="s">
        <v>982</v>
      </c>
      <c r="C791" s="387" t="s">
        <v>983</v>
      </c>
      <c r="D791" s="387" t="s">
        <v>748</v>
      </c>
      <c r="E791" s="387">
        <v>240</v>
      </c>
      <c r="F791" s="387" t="s">
        <v>531</v>
      </c>
      <c r="G791" s="387">
        <v>240</v>
      </c>
      <c r="H791" s="387" t="s">
        <v>531</v>
      </c>
      <c r="I791" s="387" t="s">
        <v>744</v>
      </c>
      <c r="J791" s="387" t="s">
        <v>737</v>
      </c>
      <c r="K791" s="387" t="s">
        <v>749</v>
      </c>
      <c r="L791" s="387" t="s">
        <v>588</v>
      </c>
      <c r="M791" s="387" t="s">
        <v>589</v>
      </c>
      <c r="N791" s="388">
        <v>33.159999999999997</v>
      </c>
      <c r="O791" s="388">
        <v>14</v>
      </c>
      <c r="P791" s="387" t="s">
        <v>538</v>
      </c>
      <c r="Q791" s="387" t="s">
        <v>539</v>
      </c>
      <c r="R791" s="387" t="s">
        <v>739</v>
      </c>
      <c r="S791" s="387" t="s">
        <v>541</v>
      </c>
      <c r="T791" s="387" t="s">
        <v>542</v>
      </c>
      <c r="U791" s="388">
        <v>533712</v>
      </c>
      <c r="V791" s="387">
        <v>6009695244281</v>
      </c>
      <c r="W791" s="387">
        <v>6009695244281</v>
      </c>
      <c r="X791" s="387" t="s">
        <v>543</v>
      </c>
      <c r="Y791" s="387">
        <v>16009695244288</v>
      </c>
      <c r="Z791" s="387" t="s">
        <v>543</v>
      </c>
      <c r="AA791" s="388" t="s">
        <v>543</v>
      </c>
      <c r="AB791" s="388" t="s">
        <v>543</v>
      </c>
      <c r="AC791" s="387">
        <v>720848001</v>
      </c>
      <c r="AD791" s="389">
        <v>30</v>
      </c>
      <c r="AE791" s="390">
        <v>44743</v>
      </c>
      <c r="AF791" s="390">
        <v>45838</v>
      </c>
      <c r="AG791" s="390">
        <v>45838</v>
      </c>
      <c r="AH791" s="391" t="s">
        <v>750</v>
      </c>
      <c r="AI791" s="391" t="s">
        <v>592</v>
      </c>
      <c r="AJ791" s="391">
        <v>10</v>
      </c>
      <c r="AK791" s="390">
        <v>44958</v>
      </c>
      <c r="AL791" s="389">
        <v>100</v>
      </c>
      <c r="AM791" s="391" t="s">
        <v>548</v>
      </c>
      <c r="AN791" s="391" t="s">
        <v>549</v>
      </c>
      <c r="AO791" s="391" t="s">
        <v>747</v>
      </c>
    </row>
    <row r="792" spans="1:43" ht="16" thickBot="1">
      <c r="A792" s="387" t="s">
        <v>1717</v>
      </c>
      <c r="B792" s="387" t="s">
        <v>6062</v>
      </c>
      <c r="C792" s="387" t="s">
        <v>6063</v>
      </c>
      <c r="D792" s="387" t="s">
        <v>6064</v>
      </c>
      <c r="E792" s="387">
        <v>100</v>
      </c>
      <c r="F792" s="387" t="s">
        <v>584</v>
      </c>
      <c r="G792" s="387" t="s">
        <v>543</v>
      </c>
      <c r="H792" s="387" t="s">
        <v>584</v>
      </c>
      <c r="I792" s="387" t="s">
        <v>585</v>
      </c>
      <c r="J792" s="387" t="s">
        <v>6065</v>
      </c>
      <c r="K792" s="387" t="s">
        <v>6066</v>
      </c>
      <c r="L792" s="387" t="s">
        <v>1905</v>
      </c>
      <c r="M792" s="387" t="s">
        <v>1906</v>
      </c>
      <c r="N792" s="388">
        <v>79.36</v>
      </c>
      <c r="O792" s="388">
        <v>14</v>
      </c>
      <c r="P792" s="387" t="s">
        <v>538</v>
      </c>
      <c r="Q792" s="387" t="s">
        <v>539</v>
      </c>
      <c r="R792" s="387" t="s">
        <v>6067</v>
      </c>
      <c r="S792" s="387" t="s">
        <v>541</v>
      </c>
      <c r="T792" s="387" t="s">
        <v>542</v>
      </c>
      <c r="U792" s="388">
        <v>24280</v>
      </c>
      <c r="V792" s="387">
        <v>6006823000818</v>
      </c>
      <c r="W792" s="387">
        <v>6006823000818</v>
      </c>
      <c r="X792" s="387" t="s">
        <v>543</v>
      </c>
      <c r="Y792" s="387">
        <v>160068223000822</v>
      </c>
      <c r="Z792" s="387" t="s">
        <v>543</v>
      </c>
      <c r="AA792" s="388" t="s">
        <v>543</v>
      </c>
      <c r="AB792" s="388" t="s">
        <v>543</v>
      </c>
      <c r="AC792" s="387" t="s">
        <v>543</v>
      </c>
      <c r="AD792" s="389">
        <v>10</v>
      </c>
      <c r="AE792" s="390">
        <v>45047</v>
      </c>
      <c r="AF792" s="390">
        <v>46142</v>
      </c>
      <c r="AG792" s="391" t="s">
        <v>545</v>
      </c>
      <c r="AH792" s="391" t="s">
        <v>6068</v>
      </c>
      <c r="AI792" s="391" t="s">
        <v>1910</v>
      </c>
      <c r="AJ792" s="391">
        <v>0</v>
      </c>
      <c r="AK792" s="390">
        <v>45047</v>
      </c>
      <c r="AL792" s="389">
        <v>100</v>
      </c>
      <c r="AM792" s="391" t="s">
        <v>548</v>
      </c>
      <c r="AN792" s="391" t="s">
        <v>549</v>
      </c>
      <c r="AO792" s="391" t="s">
        <v>6069</v>
      </c>
    </row>
    <row r="793" spans="1:43" ht="16" thickBot="1">
      <c r="A793" s="387" t="s">
        <v>1717</v>
      </c>
      <c r="B793" s="387" t="s">
        <v>6070</v>
      </c>
      <c r="C793" s="387" t="s">
        <v>6071</v>
      </c>
      <c r="D793" s="387" t="s">
        <v>6072</v>
      </c>
      <c r="E793" s="387">
        <v>100</v>
      </c>
      <c r="F793" s="387" t="s">
        <v>584</v>
      </c>
      <c r="G793" s="387" t="s">
        <v>543</v>
      </c>
      <c r="H793" s="387" t="s">
        <v>584</v>
      </c>
      <c r="I793" s="387" t="s">
        <v>585</v>
      </c>
      <c r="J793" s="387" t="s">
        <v>6065</v>
      </c>
      <c r="K793" s="387" t="s">
        <v>6073</v>
      </c>
      <c r="L793" s="387" t="s">
        <v>1905</v>
      </c>
      <c r="M793" s="387" t="s">
        <v>1906</v>
      </c>
      <c r="N793" s="388">
        <v>56.81</v>
      </c>
      <c r="O793" s="388">
        <v>14</v>
      </c>
      <c r="P793" s="387" t="s">
        <v>538</v>
      </c>
      <c r="Q793" s="387" t="s">
        <v>539</v>
      </c>
      <c r="R793" s="387" t="s">
        <v>6067</v>
      </c>
      <c r="S793" s="387" t="s">
        <v>541</v>
      </c>
      <c r="T793" s="387" t="s">
        <v>757</v>
      </c>
      <c r="U793" s="388">
        <v>24280</v>
      </c>
      <c r="V793" s="387">
        <v>6006823000801</v>
      </c>
      <c r="W793" s="387">
        <v>6006823000801</v>
      </c>
      <c r="X793" s="387" t="s">
        <v>543</v>
      </c>
      <c r="Y793" s="387">
        <v>16006823000815</v>
      </c>
      <c r="Z793" s="387" t="s">
        <v>543</v>
      </c>
      <c r="AA793" s="388" t="s">
        <v>543</v>
      </c>
      <c r="AB793" s="388" t="s">
        <v>543</v>
      </c>
      <c r="AC793" s="387">
        <v>826863019</v>
      </c>
      <c r="AD793" s="389">
        <v>10</v>
      </c>
      <c r="AE793" s="390">
        <v>45047</v>
      </c>
      <c r="AF793" s="390">
        <v>46142</v>
      </c>
      <c r="AG793" s="391" t="s">
        <v>545</v>
      </c>
      <c r="AH793" s="391" t="s">
        <v>6074</v>
      </c>
      <c r="AI793" s="391" t="s">
        <v>1910</v>
      </c>
      <c r="AJ793" s="391">
        <v>0</v>
      </c>
      <c r="AK793" s="390">
        <v>45047</v>
      </c>
      <c r="AL793" s="389">
        <v>36.64</v>
      </c>
      <c r="AM793" s="391" t="s">
        <v>548</v>
      </c>
      <c r="AN793" s="391" t="s">
        <v>549</v>
      </c>
      <c r="AO793" s="391" t="s">
        <v>6075</v>
      </c>
    </row>
    <row r="794" spans="1:43" ht="16" thickBot="1">
      <c r="A794" s="387" t="s">
        <v>2583</v>
      </c>
      <c r="B794" s="387" t="s">
        <v>3713</v>
      </c>
      <c r="C794" s="387" t="s">
        <v>6076</v>
      </c>
      <c r="D794" s="387" t="s">
        <v>6077</v>
      </c>
      <c r="E794" s="387">
        <v>112</v>
      </c>
      <c r="F794" s="387" t="s">
        <v>584</v>
      </c>
      <c r="G794" s="387">
        <v>112</v>
      </c>
      <c r="H794" s="387" t="s">
        <v>584</v>
      </c>
      <c r="I794" s="387" t="s">
        <v>585</v>
      </c>
      <c r="J794" s="387" t="s">
        <v>6078</v>
      </c>
      <c r="K794" s="387" t="s">
        <v>6079</v>
      </c>
      <c r="L794" s="387" t="s">
        <v>1945</v>
      </c>
      <c r="M794" s="387" t="s">
        <v>1946</v>
      </c>
      <c r="N794" s="388">
        <v>2256.2199999999998</v>
      </c>
      <c r="O794" s="388">
        <v>14</v>
      </c>
      <c r="P794" s="387" t="s">
        <v>538</v>
      </c>
      <c r="Q794" s="387" t="s">
        <v>539</v>
      </c>
      <c r="R794" s="387" t="s">
        <v>6080</v>
      </c>
      <c r="S794" s="387" t="s">
        <v>171</v>
      </c>
      <c r="T794" s="387" t="s">
        <v>1908</v>
      </c>
      <c r="U794" s="388">
        <v>2038</v>
      </c>
      <c r="V794" s="387" t="s">
        <v>543</v>
      </c>
      <c r="W794" s="387" t="s">
        <v>543</v>
      </c>
      <c r="X794" s="387" t="s">
        <v>543</v>
      </c>
      <c r="Y794" s="387" t="s">
        <v>543</v>
      </c>
      <c r="Z794" s="387" t="s">
        <v>543</v>
      </c>
      <c r="AA794" s="388" t="s">
        <v>543</v>
      </c>
      <c r="AB794" s="388" t="s">
        <v>543</v>
      </c>
      <c r="AC794" s="387" t="s">
        <v>543</v>
      </c>
      <c r="AD794" s="389">
        <v>1</v>
      </c>
      <c r="AE794" s="390">
        <v>44949</v>
      </c>
      <c r="AF794" s="390">
        <v>45473</v>
      </c>
      <c r="AG794" s="391" t="s">
        <v>545</v>
      </c>
      <c r="AH794" s="391" t="s">
        <v>545</v>
      </c>
      <c r="AI794" s="391" t="s">
        <v>1949</v>
      </c>
      <c r="AJ794" s="391">
        <v>0</v>
      </c>
      <c r="AK794" s="390">
        <v>44949</v>
      </c>
      <c r="AL794" s="389">
        <v>100</v>
      </c>
      <c r="AM794" s="391" t="s">
        <v>548</v>
      </c>
      <c r="AN794" s="391" t="s">
        <v>549</v>
      </c>
      <c r="AO794" s="391" t="s">
        <v>6081</v>
      </c>
    </row>
    <row r="795" spans="1:43" ht="16" thickBot="1">
      <c r="A795" s="387" t="s">
        <v>2166</v>
      </c>
      <c r="B795" s="387" t="s">
        <v>4171</v>
      </c>
      <c r="C795" s="387" t="s">
        <v>6082</v>
      </c>
      <c r="D795" s="387" t="s">
        <v>6083</v>
      </c>
      <c r="E795" s="387">
        <v>112</v>
      </c>
      <c r="F795" s="387" t="s">
        <v>584</v>
      </c>
      <c r="G795" s="387">
        <v>112</v>
      </c>
      <c r="H795" s="387" t="s">
        <v>584</v>
      </c>
      <c r="I795" s="387" t="s">
        <v>585</v>
      </c>
      <c r="J795" s="387" t="s">
        <v>6078</v>
      </c>
      <c r="K795" s="387" t="s">
        <v>6084</v>
      </c>
      <c r="L795" s="387" t="s">
        <v>1945</v>
      </c>
      <c r="M795" s="387" t="s">
        <v>1946</v>
      </c>
      <c r="N795" s="388">
        <v>2368.67</v>
      </c>
      <c r="O795" s="388">
        <v>14</v>
      </c>
      <c r="P795" s="387" t="s">
        <v>538</v>
      </c>
      <c r="Q795" s="387" t="s">
        <v>539</v>
      </c>
      <c r="R795" s="387" t="s">
        <v>6080</v>
      </c>
      <c r="S795" s="387" t="s">
        <v>171</v>
      </c>
      <c r="T795" s="387" t="s">
        <v>1908</v>
      </c>
      <c r="U795" s="388">
        <v>4076</v>
      </c>
      <c r="V795" s="387">
        <v>6005534002401</v>
      </c>
      <c r="W795" s="387">
        <v>6005534002401</v>
      </c>
      <c r="X795" s="387" t="s">
        <v>543</v>
      </c>
      <c r="Y795" s="387" t="s">
        <v>543</v>
      </c>
      <c r="Z795" s="387" t="s">
        <v>543</v>
      </c>
      <c r="AA795" s="388" t="s">
        <v>543</v>
      </c>
      <c r="AB795" s="388" t="s">
        <v>543</v>
      </c>
      <c r="AC795" s="387">
        <v>714086001</v>
      </c>
      <c r="AD795" s="389">
        <v>1</v>
      </c>
      <c r="AE795" s="390">
        <v>44743</v>
      </c>
      <c r="AF795" s="390">
        <v>45473</v>
      </c>
      <c r="AG795" s="391" t="s">
        <v>545</v>
      </c>
      <c r="AH795" s="391" t="s">
        <v>6085</v>
      </c>
      <c r="AI795" s="391" t="s">
        <v>1949</v>
      </c>
      <c r="AJ795" s="391">
        <v>0</v>
      </c>
      <c r="AK795" s="390">
        <v>44743</v>
      </c>
      <c r="AL795" s="389">
        <v>100</v>
      </c>
      <c r="AM795" s="391" t="s">
        <v>548</v>
      </c>
      <c r="AN795" s="391" t="s">
        <v>549</v>
      </c>
      <c r="AO795" s="391" t="s">
        <v>6086</v>
      </c>
    </row>
    <row r="796" spans="1:43" ht="16" thickBot="1">
      <c r="A796" s="387" t="s">
        <v>1717</v>
      </c>
      <c r="B796" s="387" t="s">
        <v>6087</v>
      </c>
      <c r="C796" s="387" t="s">
        <v>6088</v>
      </c>
      <c r="D796" s="387" t="s">
        <v>6089</v>
      </c>
      <c r="E796" s="387">
        <v>100</v>
      </c>
      <c r="F796" s="387" t="s">
        <v>559</v>
      </c>
      <c r="G796" s="387">
        <v>100</v>
      </c>
      <c r="H796" s="387" t="s">
        <v>559</v>
      </c>
      <c r="I796" s="387" t="s">
        <v>560</v>
      </c>
      <c r="J796" s="387" t="s">
        <v>6090</v>
      </c>
      <c r="K796" s="387" t="s">
        <v>6091</v>
      </c>
      <c r="L796" s="387" t="s">
        <v>3128</v>
      </c>
      <c r="M796" s="387" t="s">
        <v>3129</v>
      </c>
      <c r="N796" s="388">
        <v>857.44</v>
      </c>
      <c r="O796" s="388">
        <v>14</v>
      </c>
      <c r="P796" s="387" t="s">
        <v>538</v>
      </c>
      <c r="Q796" s="387" t="s">
        <v>539</v>
      </c>
      <c r="R796" s="387" t="s">
        <v>6092</v>
      </c>
      <c r="S796" s="387" t="s">
        <v>171</v>
      </c>
      <c r="T796" s="387" t="s">
        <v>757</v>
      </c>
      <c r="U796" s="388">
        <v>3112</v>
      </c>
      <c r="V796" s="387">
        <v>6006118000295</v>
      </c>
      <c r="W796" s="387">
        <v>6006118000295</v>
      </c>
      <c r="X796" s="387" t="s">
        <v>543</v>
      </c>
      <c r="Y796" s="387">
        <v>60061180002958</v>
      </c>
      <c r="Z796" s="387" t="s">
        <v>543</v>
      </c>
      <c r="AA796" s="388" t="s">
        <v>543</v>
      </c>
      <c r="AB796" s="388" t="s">
        <v>543</v>
      </c>
      <c r="AC796" s="387">
        <v>793353009</v>
      </c>
      <c r="AD796" s="389" t="s">
        <v>6093</v>
      </c>
      <c r="AE796" s="390">
        <v>45047</v>
      </c>
      <c r="AF796" s="390">
        <v>46142</v>
      </c>
      <c r="AG796" s="391" t="s">
        <v>545</v>
      </c>
      <c r="AH796" s="391" t="s">
        <v>6094</v>
      </c>
      <c r="AI796" s="391" t="s">
        <v>3131</v>
      </c>
      <c r="AJ796" s="391">
        <v>0</v>
      </c>
      <c r="AK796" s="390">
        <v>45047</v>
      </c>
      <c r="AL796" s="389">
        <v>100</v>
      </c>
      <c r="AM796" s="391" t="s">
        <v>548</v>
      </c>
      <c r="AN796" s="391" t="s">
        <v>549</v>
      </c>
      <c r="AO796" s="391" t="s">
        <v>6095</v>
      </c>
    </row>
    <row r="797" spans="1:43" ht="16" thickBot="1">
      <c r="A797" s="387" t="s">
        <v>1766</v>
      </c>
      <c r="B797" s="387" t="s">
        <v>4094</v>
      </c>
      <c r="C797" s="387" t="s">
        <v>6096</v>
      </c>
      <c r="D797" s="387" t="s">
        <v>6097</v>
      </c>
      <c r="E797" s="387">
        <v>50</v>
      </c>
      <c r="F797" s="387" t="s">
        <v>584</v>
      </c>
      <c r="G797" s="387">
        <v>50</v>
      </c>
      <c r="H797" s="387" t="s">
        <v>584</v>
      </c>
      <c r="I797" s="387" t="s">
        <v>585</v>
      </c>
      <c r="J797" s="387" t="s">
        <v>6098</v>
      </c>
      <c r="K797" s="387" t="s">
        <v>6099</v>
      </c>
      <c r="L797" s="387" t="s">
        <v>535</v>
      </c>
      <c r="M797" s="387" t="s">
        <v>536</v>
      </c>
      <c r="N797" s="388">
        <v>263.58</v>
      </c>
      <c r="O797" s="388">
        <v>14</v>
      </c>
      <c r="P797" s="387" t="s">
        <v>538</v>
      </c>
      <c r="Q797" s="387" t="s">
        <v>539</v>
      </c>
      <c r="R797" s="387" t="s">
        <v>6100</v>
      </c>
      <c r="S797" s="387" t="s">
        <v>171</v>
      </c>
      <c r="T797" s="387" t="s">
        <v>542</v>
      </c>
      <c r="U797" s="388">
        <v>88820</v>
      </c>
      <c r="V797" s="387">
        <v>6001390130937</v>
      </c>
      <c r="W797" s="387">
        <v>6001390130937</v>
      </c>
      <c r="X797" s="387" t="s">
        <v>543</v>
      </c>
      <c r="Y797" s="387">
        <v>16001390130937</v>
      </c>
      <c r="Z797" s="387" t="s">
        <v>543</v>
      </c>
      <c r="AA797" s="388" t="s">
        <v>543</v>
      </c>
      <c r="AB797" s="388" t="s">
        <v>543</v>
      </c>
      <c r="AC797" s="387">
        <v>739847007</v>
      </c>
      <c r="AD797" s="389">
        <v>5</v>
      </c>
      <c r="AE797" s="390">
        <v>44470</v>
      </c>
      <c r="AF797" s="390">
        <v>45199</v>
      </c>
      <c r="AG797" s="391" t="s">
        <v>545</v>
      </c>
      <c r="AH797" s="391" t="s">
        <v>6101</v>
      </c>
      <c r="AI797" s="391" t="s">
        <v>547</v>
      </c>
      <c r="AJ797" s="391">
        <v>0</v>
      </c>
      <c r="AK797" s="390">
        <v>44470</v>
      </c>
      <c r="AL797" s="389">
        <v>100</v>
      </c>
      <c r="AM797" s="391" t="s">
        <v>548</v>
      </c>
      <c r="AN797" s="391" t="s">
        <v>549</v>
      </c>
      <c r="AO797" s="391" t="s">
        <v>6102</v>
      </c>
    </row>
    <row r="798" spans="1:43" ht="16" thickBot="1">
      <c r="A798" s="387" t="s">
        <v>3235</v>
      </c>
      <c r="B798" s="387" t="s">
        <v>975</v>
      </c>
      <c r="C798" s="387" t="s">
        <v>6103</v>
      </c>
      <c r="D798" s="387" t="s">
        <v>6104</v>
      </c>
      <c r="E798" s="387">
        <v>30</v>
      </c>
      <c r="F798" s="387" t="s">
        <v>559</v>
      </c>
      <c r="G798" s="387">
        <v>30</v>
      </c>
      <c r="H798" s="387" t="s">
        <v>559</v>
      </c>
      <c r="I798" s="387" t="s">
        <v>560</v>
      </c>
      <c r="J798" s="387" t="s">
        <v>6105</v>
      </c>
      <c r="K798" s="387" t="s">
        <v>6106</v>
      </c>
      <c r="L798" s="387" t="s">
        <v>3128</v>
      </c>
      <c r="M798" s="387" t="s">
        <v>3129</v>
      </c>
      <c r="N798" s="388">
        <v>116</v>
      </c>
      <c r="O798" s="388">
        <v>14</v>
      </c>
      <c r="P798" s="387" t="s">
        <v>538</v>
      </c>
      <c r="Q798" s="387" t="s">
        <v>539</v>
      </c>
      <c r="R798" s="387" t="s">
        <v>6107</v>
      </c>
      <c r="S798" s="387" t="s">
        <v>171</v>
      </c>
      <c r="T798" s="387" t="s">
        <v>757</v>
      </c>
      <c r="U798" s="388">
        <v>24320</v>
      </c>
      <c r="V798" s="387">
        <v>6005943000876</v>
      </c>
      <c r="W798" s="387">
        <v>6005943000876</v>
      </c>
      <c r="X798" s="387" t="s">
        <v>543</v>
      </c>
      <c r="Y798" s="387">
        <v>60059430008768</v>
      </c>
      <c r="Z798" s="387" t="s">
        <v>543</v>
      </c>
      <c r="AA798" s="388" t="s">
        <v>543</v>
      </c>
      <c r="AB798" s="388" t="s">
        <v>543</v>
      </c>
      <c r="AC798" s="387">
        <v>757012019</v>
      </c>
      <c r="AD798" s="389">
        <v>1</v>
      </c>
      <c r="AE798" s="390">
        <v>44105</v>
      </c>
      <c r="AF798" s="390">
        <v>45199</v>
      </c>
      <c r="AG798" s="390">
        <v>45199</v>
      </c>
      <c r="AH798" s="391" t="s">
        <v>6108</v>
      </c>
      <c r="AI798" s="391" t="s">
        <v>3131</v>
      </c>
      <c r="AJ798" s="391">
        <v>0</v>
      </c>
      <c r="AK798" s="390">
        <v>44105</v>
      </c>
      <c r="AL798" s="389">
        <v>100</v>
      </c>
      <c r="AM798" s="391" t="s">
        <v>548</v>
      </c>
      <c r="AN798" s="391" t="s">
        <v>545</v>
      </c>
      <c r="AO798" s="391" t="s">
        <v>6109</v>
      </c>
    </row>
    <row r="799" spans="1:43" ht="16" thickBot="1">
      <c r="A799" s="387" t="s">
        <v>4007</v>
      </c>
      <c r="B799" s="387" t="s">
        <v>982</v>
      </c>
      <c r="C799" s="387" t="s">
        <v>6110</v>
      </c>
      <c r="D799" s="387" t="s">
        <v>6111</v>
      </c>
      <c r="E799" s="387">
        <v>1</v>
      </c>
      <c r="F799" s="387" t="s">
        <v>531</v>
      </c>
      <c r="G799" s="387">
        <v>1</v>
      </c>
      <c r="H799" s="387" t="s">
        <v>531</v>
      </c>
      <c r="I799" s="387" t="s">
        <v>1751</v>
      </c>
      <c r="J799" s="387" t="s">
        <v>6112</v>
      </c>
      <c r="K799" s="387" t="s">
        <v>6113</v>
      </c>
      <c r="L799" s="387" t="s">
        <v>3128</v>
      </c>
      <c r="M799" s="387" t="s">
        <v>3129</v>
      </c>
      <c r="N799" s="388">
        <v>23.92</v>
      </c>
      <c r="O799" s="388">
        <v>14</v>
      </c>
      <c r="P799" s="387" t="s">
        <v>538</v>
      </c>
      <c r="Q799" s="387" t="s">
        <v>539</v>
      </c>
      <c r="R799" s="387" t="s">
        <v>6114</v>
      </c>
      <c r="S799" s="387" t="s">
        <v>171</v>
      </c>
      <c r="T799" s="387" t="s">
        <v>542</v>
      </c>
      <c r="U799" s="388">
        <v>17516872</v>
      </c>
      <c r="V799" s="387">
        <v>6005943000760</v>
      </c>
      <c r="W799" s="387">
        <v>6005943000760</v>
      </c>
      <c r="X799" s="387" t="s">
        <v>543</v>
      </c>
      <c r="Y799" s="387">
        <v>60059430007600</v>
      </c>
      <c r="Z799" s="387" t="s">
        <v>543</v>
      </c>
      <c r="AA799" s="388" t="s">
        <v>543</v>
      </c>
      <c r="AB799" s="388" t="s">
        <v>543</v>
      </c>
      <c r="AC799" s="387">
        <v>748552014</v>
      </c>
      <c r="AD799" s="389" t="s">
        <v>6093</v>
      </c>
      <c r="AE799" s="390">
        <v>44224</v>
      </c>
      <c r="AF799" s="390">
        <v>45199</v>
      </c>
      <c r="AG799" s="390">
        <v>45199</v>
      </c>
      <c r="AH799" s="391" t="s">
        <v>6115</v>
      </c>
      <c r="AI799" s="391" t="s">
        <v>3131</v>
      </c>
      <c r="AJ799" s="391">
        <v>0</v>
      </c>
      <c r="AK799" s="390">
        <v>44224</v>
      </c>
      <c r="AL799" s="389">
        <v>100</v>
      </c>
      <c r="AM799" s="391" t="s">
        <v>548</v>
      </c>
      <c r="AN799" s="391" t="s">
        <v>545</v>
      </c>
      <c r="AO799" s="391" t="s">
        <v>6116</v>
      </c>
    </row>
    <row r="800" spans="1:43" ht="16" thickBot="1">
      <c r="A800" s="387" t="s">
        <v>3235</v>
      </c>
      <c r="B800" s="387" t="s">
        <v>1001</v>
      </c>
      <c r="C800" s="387" t="s">
        <v>6117</v>
      </c>
      <c r="D800" s="387" t="s">
        <v>6118</v>
      </c>
      <c r="E800" s="387">
        <v>28</v>
      </c>
      <c r="F800" s="387" t="s">
        <v>559</v>
      </c>
      <c r="G800" s="387">
        <v>28</v>
      </c>
      <c r="H800" s="387" t="s">
        <v>559</v>
      </c>
      <c r="I800" s="387" t="s">
        <v>560</v>
      </c>
      <c r="J800" s="387" t="s">
        <v>6119</v>
      </c>
      <c r="K800" s="387" t="s">
        <v>6120</v>
      </c>
      <c r="L800" s="387" t="s">
        <v>535</v>
      </c>
      <c r="M800" s="387" t="s">
        <v>536</v>
      </c>
      <c r="N800" s="388">
        <v>7.54</v>
      </c>
      <c r="O800" s="388">
        <v>14</v>
      </c>
      <c r="P800" s="387" t="s">
        <v>538</v>
      </c>
      <c r="Q800" s="387" t="s">
        <v>539</v>
      </c>
      <c r="R800" s="387" t="s">
        <v>6121</v>
      </c>
      <c r="S800" s="387" t="s">
        <v>171</v>
      </c>
      <c r="T800" s="387" t="s">
        <v>757</v>
      </c>
      <c r="U800" s="388">
        <v>3240560</v>
      </c>
      <c r="V800" s="387">
        <v>6001192478107</v>
      </c>
      <c r="W800" s="387" t="s">
        <v>543</v>
      </c>
      <c r="X800" s="387">
        <v>1600192478104</v>
      </c>
      <c r="Y800" s="387" t="s">
        <v>543</v>
      </c>
      <c r="Z800" s="387" t="s">
        <v>543</v>
      </c>
      <c r="AA800" s="388" t="s">
        <v>543</v>
      </c>
      <c r="AB800" s="388" t="s">
        <v>543</v>
      </c>
      <c r="AC800" s="387">
        <v>826138004</v>
      </c>
      <c r="AD800" s="389">
        <v>100</v>
      </c>
      <c r="AE800" s="390">
        <v>44105</v>
      </c>
      <c r="AF800" s="390">
        <v>45199</v>
      </c>
      <c r="AG800" s="390">
        <v>45199</v>
      </c>
      <c r="AH800" s="391" t="s">
        <v>6122</v>
      </c>
      <c r="AI800" s="391" t="s">
        <v>547</v>
      </c>
      <c r="AJ800" s="391">
        <v>15</v>
      </c>
      <c r="AK800" s="390">
        <v>45047</v>
      </c>
      <c r="AL800" s="389">
        <v>100</v>
      </c>
      <c r="AM800" s="391" t="s">
        <v>548</v>
      </c>
      <c r="AN800" s="391" t="s">
        <v>545</v>
      </c>
      <c r="AO800" s="391" t="s">
        <v>6123</v>
      </c>
    </row>
    <row r="801" spans="1:41" ht="16" thickBot="1">
      <c r="A801" s="387" t="s">
        <v>1766</v>
      </c>
      <c r="B801" s="387" t="s">
        <v>6124</v>
      </c>
      <c r="C801" s="387" t="s">
        <v>6125</v>
      </c>
      <c r="D801" s="387" t="s">
        <v>6126</v>
      </c>
      <c r="E801" s="387">
        <v>20</v>
      </c>
      <c r="F801" s="387" t="s">
        <v>531</v>
      </c>
      <c r="G801" s="387">
        <v>20</v>
      </c>
      <c r="H801" s="387" t="s">
        <v>531</v>
      </c>
      <c r="I801" s="387" t="s">
        <v>6127</v>
      </c>
      <c r="J801" s="387" t="s">
        <v>6128</v>
      </c>
      <c r="K801" s="387" t="s">
        <v>6129</v>
      </c>
      <c r="L801" s="387" t="s">
        <v>1771</v>
      </c>
      <c r="M801" s="387" t="s">
        <v>1772</v>
      </c>
      <c r="N801" s="388">
        <v>12.06</v>
      </c>
      <c r="O801" s="388">
        <v>14</v>
      </c>
      <c r="P801" s="387" t="s">
        <v>538</v>
      </c>
      <c r="Q801" s="387" t="s">
        <v>539</v>
      </c>
      <c r="R801" s="387" t="s">
        <v>6130</v>
      </c>
      <c r="S801" s="387" t="s">
        <v>541</v>
      </c>
      <c r="T801" s="387" t="s">
        <v>542</v>
      </c>
      <c r="U801" s="388">
        <v>1983280</v>
      </c>
      <c r="V801" s="387">
        <v>6006882007186</v>
      </c>
      <c r="W801" s="387">
        <v>6006882007186</v>
      </c>
      <c r="X801" s="387" t="s">
        <v>543</v>
      </c>
      <c r="Y801" s="387">
        <v>16006882007183</v>
      </c>
      <c r="Z801" s="387" t="s">
        <v>543</v>
      </c>
      <c r="AA801" s="388" t="s">
        <v>543</v>
      </c>
      <c r="AB801" s="388" t="s">
        <v>543</v>
      </c>
      <c r="AC801" s="387" t="s">
        <v>543</v>
      </c>
      <c r="AD801" s="389">
        <v>36</v>
      </c>
      <c r="AE801" s="390">
        <v>44470</v>
      </c>
      <c r="AF801" s="390">
        <v>45199</v>
      </c>
      <c r="AG801" s="390">
        <v>45199</v>
      </c>
      <c r="AH801" s="391" t="s">
        <v>6131</v>
      </c>
      <c r="AI801" s="391" t="s">
        <v>1776</v>
      </c>
      <c r="AJ801" s="391">
        <v>23</v>
      </c>
      <c r="AK801" s="390">
        <v>45047</v>
      </c>
      <c r="AL801" s="389">
        <v>100</v>
      </c>
      <c r="AM801" s="391" t="s">
        <v>548</v>
      </c>
      <c r="AN801" s="391" t="s">
        <v>549</v>
      </c>
      <c r="AO801" s="391" t="s">
        <v>6132</v>
      </c>
    </row>
    <row r="802" spans="1:41" ht="16" thickBot="1">
      <c r="A802" s="387" t="s">
        <v>1748</v>
      </c>
      <c r="B802" s="387" t="s">
        <v>3726</v>
      </c>
      <c r="C802" s="387" t="s">
        <v>6133</v>
      </c>
      <c r="D802" s="387" t="s">
        <v>6134</v>
      </c>
      <c r="E802" s="387">
        <v>1</v>
      </c>
      <c r="F802" s="387" t="s">
        <v>1780</v>
      </c>
      <c r="G802" s="387">
        <v>1</v>
      </c>
      <c r="H802" s="387" t="s">
        <v>1780</v>
      </c>
      <c r="I802" s="387" t="s">
        <v>1751</v>
      </c>
      <c r="J802" s="387" t="s">
        <v>6135</v>
      </c>
      <c r="K802" s="387" t="s">
        <v>6136</v>
      </c>
      <c r="L802" s="387" t="s">
        <v>1945</v>
      </c>
      <c r="M802" s="387" t="s">
        <v>1946</v>
      </c>
      <c r="N802" s="388">
        <v>104.36</v>
      </c>
      <c r="O802" s="388">
        <v>14</v>
      </c>
      <c r="P802" s="387" t="s">
        <v>538</v>
      </c>
      <c r="Q802" s="387" t="s">
        <v>539</v>
      </c>
      <c r="R802" s="387" t="s">
        <v>6137</v>
      </c>
      <c r="S802" s="387" t="s">
        <v>541</v>
      </c>
      <c r="T802" s="387" t="s">
        <v>757</v>
      </c>
      <c r="U802" s="388">
        <v>14020</v>
      </c>
      <c r="V802" s="387">
        <v>6005866000687</v>
      </c>
      <c r="W802" s="387">
        <v>6005866000687</v>
      </c>
      <c r="X802" s="387" t="s">
        <v>543</v>
      </c>
      <c r="Y802" s="387" t="s">
        <v>543</v>
      </c>
      <c r="Z802" s="387" t="s">
        <v>543</v>
      </c>
      <c r="AA802" s="388" t="s">
        <v>543</v>
      </c>
      <c r="AB802" s="388" t="s">
        <v>543</v>
      </c>
      <c r="AC802" s="387">
        <v>762342005</v>
      </c>
      <c r="AD802" s="389">
        <v>1</v>
      </c>
      <c r="AE802" s="390">
        <v>44317</v>
      </c>
      <c r="AF802" s="390">
        <v>45412</v>
      </c>
      <c r="AG802" s="391" t="s">
        <v>545</v>
      </c>
      <c r="AH802" s="391" t="s">
        <v>6138</v>
      </c>
      <c r="AI802" s="391" t="s">
        <v>1949</v>
      </c>
      <c r="AJ802" s="391">
        <v>0</v>
      </c>
      <c r="AK802" s="390">
        <v>44317</v>
      </c>
      <c r="AL802" s="389">
        <v>100</v>
      </c>
      <c r="AM802" s="391" t="s">
        <v>548</v>
      </c>
      <c r="AN802" s="391" t="s">
        <v>549</v>
      </c>
      <c r="AO802" s="391" t="s">
        <v>6139</v>
      </c>
    </row>
    <row r="803" spans="1:41" ht="16" thickBot="1">
      <c r="A803" s="387" t="s">
        <v>1748</v>
      </c>
      <c r="B803" s="387" t="s">
        <v>5812</v>
      </c>
      <c r="C803" s="387" t="s">
        <v>6140</v>
      </c>
      <c r="D803" s="387" t="s">
        <v>6141</v>
      </c>
      <c r="E803" s="387">
        <v>1</v>
      </c>
      <c r="F803" s="387" t="s">
        <v>1780</v>
      </c>
      <c r="G803" s="387">
        <v>1</v>
      </c>
      <c r="H803" s="387" t="s">
        <v>1780</v>
      </c>
      <c r="I803" s="387" t="s">
        <v>1751</v>
      </c>
      <c r="J803" s="387" t="s">
        <v>6135</v>
      </c>
      <c r="K803" s="387" t="s">
        <v>6142</v>
      </c>
      <c r="L803" s="387" t="s">
        <v>1945</v>
      </c>
      <c r="M803" s="387" t="s">
        <v>1946</v>
      </c>
      <c r="N803" s="388">
        <v>199.1</v>
      </c>
      <c r="O803" s="388">
        <v>14</v>
      </c>
      <c r="P803" s="387" t="s">
        <v>538</v>
      </c>
      <c r="Q803" s="387" t="s">
        <v>539</v>
      </c>
      <c r="R803" s="387" t="s">
        <v>6137</v>
      </c>
      <c r="S803" s="387" t="s">
        <v>541</v>
      </c>
      <c r="T803" s="387" t="s">
        <v>757</v>
      </c>
      <c r="U803" s="388">
        <v>119395</v>
      </c>
      <c r="V803" s="387">
        <v>6005866000694</v>
      </c>
      <c r="W803" s="387">
        <v>6005866000694</v>
      </c>
      <c r="X803" s="387" t="s">
        <v>543</v>
      </c>
      <c r="Y803" s="387" t="s">
        <v>543</v>
      </c>
      <c r="Z803" s="387" t="s">
        <v>543</v>
      </c>
      <c r="AA803" s="388" t="s">
        <v>543</v>
      </c>
      <c r="AB803" s="388" t="s">
        <v>543</v>
      </c>
      <c r="AC803" s="387">
        <v>762350008</v>
      </c>
      <c r="AD803" s="389">
        <v>1</v>
      </c>
      <c r="AE803" s="390">
        <v>44317</v>
      </c>
      <c r="AF803" s="390">
        <v>45412</v>
      </c>
      <c r="AG803" s="391" t="s">
        <v>545</v>
      </c>
      <c r="AH803" s="391" t="s">
        <v>6143</v>
      </c>
      <c r="AI803" s="391" t="s">
        <v>1949</v>
      </c>
      <c r="AJ803" s="391">
        <v>0</v>
      </c>
      <c r="AK803" s="390">
        <v>44317</v>
      </c>
      <c r="AL803" s="389">
        <v>100</v>
      </c>
      <c r="AM803" s="391" t="s">
        <v>548</v>
      </c>
      <c r="AN803" s="391" t="s">
        <v>549</v>
      </c>
      <c r="AO803" s="391" t="s">
        <v>6144</v>
      </c>
    </row>
    <row r="804" spans="1:41" ht="16" thickBot="1">
      <c r="A804" s="387" t="s">
        <v>1717</v>
      </c>
      <c r="B804" s="387" t="s">
        <v>6145</v>
      </c>
      <c r="C804" s="387" t="s">
        <v>6146</v>
      </c>
      <c r="D804" s="387" t="s">
        <v>6147</v>
      </c>
      <c r="E804" s="387">
        <v>28</v>
      </c>
      <c r="F804" s="387" t="s">
        <v>559</v>
      </c>
      <c r="G804" s="387">
        <v>28</v>
      </c>
      <c r="H804" s="387" t="s">
        <v>559</v>
      </c>
      <c r="I804" s="387" t="s">
        <v>560</v>
      </c>
      <c r="J804" s="387" t="s">
        <v>6148</v>
      </c>
      <c r="K804" s="387" t="s">
        <v>6149</v>
      </c>
      <c r="L804" s="387" t="s">
        <v>2200</v>
      </c>
      <c r="M804" s="387" t="s">
        <v>2201</v>
      </c>
      <c r="N804" s="388">
        <v>11.83</v>
      </c>
      <c r="O804" s="388">
        <v>14</v>
      </c>
      <c r="P804" s="387" t="s">
        <v>611</v>
      </c>
      <c r="Q804" s="387" t="s">
        <v>539</v>
      </c>
      <c r="R804" s="387" t="s">
        <v>6150</v>
      </c>
      <c r="S804" s="387" t="s">
        <v>541</v>
      </c>
      <c r="T804" s="387" t="s">
        <v>757</v>
      </c>
      <c r="U804" s="388">
        <v>768685</v>
      </c>
      <c r="V804" s="387" t="s">
        <v>543</v>
      </c>
      <c r="W804" s="387" t="s">
        <v>543</v>
      </c>
      <c r="X804" s="387" t="s">
        <v>543</v>
      </c>
      <c r="Y804" s="387" t="s">
        <v>543</v>
      </c>
      <c r="Z804" s="387" t="s">
        <v>543</v>
      </c>
      <c r="AA804" s="388" t="s">
        <v>543</v>
      </c>
      <c r="AB804" s="388" t="s">
        <v>543</v>
      </c>
      <c r="AC804" s="387" t="s">
        <v>543</v>
      </c>
      <c r="AD804" s="389" t="s">
        <v>6151</v>
      </c>
      <c r="AE804" s="390">
        <v>45047</v>
      </c>
      <c r="AF804" s="390">
        <v>46142</v>
      </c>
      <c r="AG804" s="391" t="s">
        <v>545</v>
      </c>
      <c r="AH804" s="391" t="s">
        <v>6152</v>
      </c>
      <c r="AI804" s="391" t="s">
        <v>2203</v>
      </c>
      <c r="AJ804" s="391">
        <v>0</v>
      </c>
      <c r="AK804" s="390">
        <v>45047</v>
      </c>
      <c r="AL804" s="389">
        <v>100</v>
      </c>
      <c r="AM804" s="391" t="s">
        <v>548</v>
      </c>
      <c r="AN804" s="391" t="s">
        <v>549</v>
      </c>
      <c r="AO804" s="391" t="s">
        <v>6153</v>
      </c>
    </row>
    <row r="805" spans="1:41" ht="16" thickBot="1">
      <c r="A805" s="387" t="s">
        <v>1717</v>
      </c>
      <c r="B805" s="387" t="s">
        <v>6154</v>
      </c>
      <c r="C805" s="387" t="s">
        <v>6155</v>
      </c>
      <c r="D805" s="387" t="s">
        <v>6156</v>
      </c>
      <c r="E805" s="387">
        <v>28</v>
      </c>
      <c r="F805" s="387" t="s">
        <v>559</v>
      </c>
      <c r="G805" s="387">
        <v>28</v>
      </c>
      <c r="H805" s="387" t="s">
        <v>559</v>
      </c>
      <c r="I805" s="387" t="s">
        <v>560</v>
      </c>
      <c r="J805" s="387" t="s">
        <v>6148</v>
      </c>
      <c r="K805" s="387" t="s">
        <v>6157</v>
      </c>
      <c r="L805" s="387" t="s">
        <v>2200</v>
      </c>
      <c r="M805" s="387" t="s">
        <v>2201</v>
      </c>
      <c r="N805" s="388">
        <v>9.1300000000000008</v>
      </c>
      <c r="O805" s="388">
        <v>14</v>
      </c>
      <c r="P805" s="387" t="s">
        <v>538</v>
      </c>
      <c r="Q805" s="387" t="s">
        <v>539</v>
      </c>
      <c r="R805" s="387" t="s">
        <v>6150</v>
      </c>
      <c r="S805" s="387" t="s">
        <v>541</v>
      </c>
      <c r="T805" s="387" t="s">
        <v>757</v>
      </c>
      <c r="U805" s="388">
        <v>193942</v>
      </c>
      <c r="V805" s="387" t="s">
        <v>543</v>
      </c>
      <c r="W805" s="387" t="s">
        <v>543</v>
      </c>
      <c r="X805" s="387" t="s">
        <v>543</v>
      </c>
      <c r="Y805" s="387" t="s">
        <v>543</v>
      </c>
      <c r="Z805" s="387" t="s">
        <v>543</v>
      </c>
      <c r="AA805" s="388" t="s">
        <v>543</v>
      </c>
      <c r="AB805" s="388" t="s">
        <v>543</v>
      </c>
      <c r="AC805" s="387" t="s">
        <v>543</v>
      </c>
      <c r="AD805" s="389" t="s">
        <v>6151</v>
      </c>
      <c r="AE805" s="390">
        <v>45047</v>
      </c>
      <c r="AF805" s="390">
        <v>46142</v>
      </c>
      <c r="AG805" s="390">
        <v>46142</v>
      </c>
      <c r="AH805" s="391" t="s">
        <v>6158</v>
      </c>
      <c r="AI805" s="391" t="s">
        <v>2203</v>
      </c>
      <c r="AJ805" s="391">
        <v>0</v>
      </c>
      <c r="AK805" s="390">
        <v>45047</v>
      </c>
      <c r="AL805" s="389">
        <v>100</v>
      </c>
      <c r="AM805" s="391" t="s">
        <v>548</v>
      </c>
      <c r="AN805" s="391" t="s">
        <v>549</v>
      </c>
      <c r="AO805" s="391" t="s">
        <v>6159</v>
      </c>
    </row>
    <row r="806" spans="1:41" ht="16" thickBot="1">
      <c r="A806" s="387" t="s">
        <v>1717</v>
      </c>
      <c r="B806" s="387" t="s">
        <v>6160</v>
      </c>
      <c r="C806" s="387" t="s">
        <v>6161</v>
      </c>
      <c r="D806" s="387" t="s">
        <v>6162</v>
      </c>
      <c r="E806" s="387">
        <v>28</v>
      </c>
      <c r="F806" s="387" t="s">
        <v>559</v>
      </c>
      <c r="G806" s="387">
        <v>28</v>
      </c>
      <c r="H806" s="387" t="s">
        <v>559</v>
      </c>
      <c r="I806" s="387" t="s">
        <v>560</v>
      </c>
      <c r="J806" s="387" t="s">
        <v>6148</v>
      </c>
      <c r="K806" s="387" t="s">
        <v>6163</v>
      </c>
      <c r="L806" s="387" t="s">
        <v>2200</v>
      </c>
      <c r="M806" s="387" t="s">
        <v>2201</v>
      </c>
      <c r="N806" s="388">
        <v>7.8</v>
      </c>
      <c r="O806" s="388">
        <v>14</v>
      </c>
      <c r="P806" s="387" t="s">
        <v>538</v>
      </c>
      <c r="Q806" s="387" t="s">
        <v>539</v>
      </c>
      <c r="R806" s="387" t="s">
        <v>6150</v>
      </c>
      <c r="S806" s="387" t="s">
        <v>541</v>
      </c>
      <c r="T806" s="387" t="s">
        <v>757</v>
      </c>
      <c r="U806" s="388">
        <v>394810</v>
      </c>
      <c r="V806" s="387" t="s">
        <v>543</v>
      </c>
      <c r="W806" s="387" t="s">
        <v>543</v>
      </c>
      <c r="X806" s="387" t="s">
        <v>543</v>
      </c>
      <c r="Y806" s="387" t="s">
        <v>543</v>
      </c>
      <c r="Z806" s="387" t="s">
        <v>543</v>
      </c>
      <c r="AA806" s="388" t="s">
        <v>543</v>
      </c>
      <c r="AB806" s="388" t="s">
        <v>543</v>
      </c>
      <c r="AC806" s="387" t="s">
        <v>543</v>
      </c>
      <c r="AD806" s="389" t="s">
        <v>6164</v>
      </c>
      <c r="AE806" s="390">
        <v>45047</v>
      </c>
      <c r="AF806" s="390">
        <v>46142</v>
      </c>
      <c r="AG806" s="391" t="s">
        <v>545</v>
      </c>
      <c r="AH806" s="391" t="s">
        <v>6165</v>
      </c>
      <c r="AI806" s="391" t="s">
        <v>2203</v>
      </c>
      <c r="AJ806" s="391">
        <v>0</v>
      </c>
      <c r="AK806" s="390">
        <v>45047</v>
      </c>
      <c r="AL806" s="389">
        <v>100</v>
      </c>
      <c r="AM806" s="391" t="s">
        <v>548</v>
      </c>
      <c r="AN806" s="391" t="s">
        <v>549</v>
      </c>
      <c r="AO806" s="391" t="s">
        <v>6166</v>
      </c>
    </row>
    <row r="807" spans="1:41" ht="16" thickBot="1">
      <c r="A807" s="387" t="s">
        <v>2294</v>
      </c>
      <c r="B807" s="387" t="s">
        <v>4381</v>
      </c>
      <c r="C807" s="387" t="s">
        <v>6167</v>
      </c>
      <c r="D807" s="387" t="s">
        <v>6168</v>
      </c>
      <c r="E807" s="387">
        <v>5</v>
      </c>
      <c r="F807" s="387" t="s">
        <v>531</v>
      </c>
      <c r="G807" s="387">
        <v>100</v>
      </c>
      <c r="H807" s="387" t="s">
        <v>2297</v>
      </c>
      <c r="I807" s="387" t="s">
        <v>2298</v>
      </c>
      <c r="J807" s="387" t="s">
        <v>6169</v>
      </c>
      <c r="K807" s="387" t="s">
        <v>6170</v>
      </c>
      <c r="L807" s="387" t="s">
        <v>1945</v>
      </c>
      <c r="M807" s="387" t="s">
        <v>1946</v>
      </c>
      <c r="N807" s="388">
        <v>35.19</v>
      </c>
      <c r="O807" s="388">
        <v>14</v>
      </c>
      <c r="P807" s="387" t="s">
        <v>538</v>
      </c>
      <c r="Q807" s="387" t="s">
        <v>539</v>
      </c>
      <c r="R807" s="387" t="s">
        <v>6171</v>
      </c>
      <c r="S807" s="387" t="s">
        <v>171</v>
      </c>
      <c r="T807" s="387" t="s">
        <v>542</v>
      </c>
      <c r="U807" s="388">
        <v>775600</v>
      </c>
      <c r="V807" s="387">
        <v>6005667090672</v>
      </c>
      <c r="W807" s="387" t="s">
        <v>543</v>
      </c>
      <c r="X807" s="387" t="s">
        <v>543</v>
      </c>
      <c r="Y807" s="387" t="s">
        <v>543</v>
      </c>
      <c r="Z807" s="387" t="s">
        <v>543</v>
      </c>
      <c r="AA807" s="388" t="s">
        <v>543</v>
      </c>
      <c r="AB807" s="388" t="s">
        <v>543</v>
      </c>
      <c r="AC807" s="387">
        <v>701415001</v>
      </c>
      <c r="AD807" s="389">
        <v>1</v>
      </c>
      <c r="AE807" s="390">
        <v>44013</v>
      </c>
      <c r="AF807" s="390">
        <v>45107</v>
      </c>
      <c r="AG807" s="390">
        <v>45107</v>
      </c>
      <c r="AH807" s="391" t="s">
        <v>6172</v>
      </c>
      <c r="AI807" s="391" t="s">
        <v>1949</v>
      </c>
      <c r="AJ807" s="391">
        <v>0</v>
      </c>
      <c r="AK807" s="390">
        <v>44013</v>
      </c>
      <c r="AL807" s="389">
        <v>100</v>
      </c>
      <c r="AM807" s="391" t="s">
        <v>548</v>
      </c>
      <c r="AN807" s="391" t="s">
        <v>545</v>
      </c>
      <c r="AO807" s="391" t="s">
        <v>6173</v>
      </c>
    </row>
    <row r="808" spans="1:41" ht="16" thickBot="1">
      <c r="A808" s="387" t="s">
        <v>1717</v>
      </c>
      <c r="B808" s="387" t="s">
        <v>6174</v>
      </c>
      <c r="C808" s="387" t="s">
        <v>6175</v>
      </c>
      <c r="D808" s="387" t="s">
        <v>6176</v>
      </c>
      <c r="E808" s="387">
        <v>28</v>
      </c>
      <c r="F808" s="387" t="s">
        <v>559</v>
      </c>
      <c r="G808" s="387">
        <v>28</v>
      </c>
      <c r="H808" s="387" t="s">
        <v>559</v>
      </c>
      <c r="I808" s="387" t="s">
        <v>568</v>
      </c>
      <c r="J808" s="387" t="s">
        <v>6177</v>
      </c>
      <c r="K808" s="387" t="s">
        <v>6178</v>
      </c>
      <c r="L808" s="387" t="s">
        <v>1711</v>
      </c>
      <c r="M808" s="387" t="s">
        <v>1712</v>
      </c>
      <c r="N808" s="388">
        <v>52.01</v>
      </c>
      <c r="O808" s="388">
        <v>14</v>
      </c>
      <c r="P808" s="387" t="s">
        <v>538</v>
      </c>
      <c r="Q808" s="387" t="s">
        <v>539</v>
      </c>
      <c r="R808" s="387" t="s">
        <v>6179</v>
      </c>
      <c r="S808" s="387" t="s">
        <v>171</v>
      </c>
      <c r="T808" s="387" t="s">
        <v>542</v>
      </c>
      <c r="U808" s="388">
        <v>543200</v>
      </c>
      <c r="V808" s="387" t="s">
        <v>543</v>
      </c>
      <c r="W808" s="387" t="s">
        <v>543</v>
      </c>
      <c r="X808" s="387" t="s">
        <v>543</v>
      </c>
      <c r="Y808" s="387" t="s">
        <v>543</v>
      </c>
      <c r="Z808" s="387" t="s">
        <v>543</v>
      </c>
      <c r="AA808" s="388" t="s">
        <v>543</v>
      </c>
      <c r="AB808" s="388" t="s">
        <v>543</v>
      </c>
      <c r="AC808" s="387" t="s">
        <v>543</v>
      </c>
      <c r="AD808" s="389">
        <v>48</v>
      </c>
      <c r="AE808" s="390">
        <v>45047</v>
      </c>
      <c r="AF808" s="390">
        <v>46142</v>
      </c>
      <c r="AG808" s="391" t="s">
        <v>545</v>
      </c>
      <c r="AH808" s="391" t="s">
        <v>6180</v>
      </c>
      <c r="AI808" s="391" t="s">
        <v>1715</v>
      </c>
      <c r="AJ808" s="391">
        <v>0</v>
      </c>
      <c r="AK808" s="390">
        <v>45047</v>
      </c>
      <c r="AL808" s="389">
        <v>100</v>
      </c>
      <c r="AM808" s="391" t="s">
        <v>548</v>
      </c>
      <c r="AN808" s="391" t="s">
        <v>549</v>
      </c>
      <c r="AO808" s="391" t="s">
        <v>6181</v>
      </c>
    </row>
    <row r="809" spans="1:41" ht="16" thickBot="1">
      <c r="A809" s="387" t="s">
        <v>2166</v>
      </c>
      <c r="B809" s="387" t="s">
        <v>3188</v>
      </c>
      <c r="C809" s="387" t="s">
        <v>6182</v>
      </c>
      <c r="D809" s="387" t="s">
        <v>6183</v>
      </c>
      <c r="E809" s="387">
        <v>2</v>
      </c>
      <c r="F809" s="387" t="s">
        <v>531</v>
      </c>
      <c r="G809" s="387">
        <v>2</v>
      </c>
      <c r="H809" s="387" t="s">
        <v>531</v>
      </c>
      <c r="I809" s="387" t="s">
        <v>1751</v>
      </c>
      <c r="J809" s="387" t="s">
        <v>6184</v>
      </c>
      <c r="K809" s="387" t="s">
        <v>6185</v>
      </c>
      <c r="L809" s="387" t="s">
        <v>1905</v>
      </c>
      <c r="M809" s="387" t="s">
        <v>1906</v>
      </c>
      <c r="N809" s="388">
        <v>2.69</v>
      </c>
      <c r="O809" s="388">
        <v>14</v>
      </c>
      <c r="P809" s="387" t="s">
        <v>538</v>
      </c>
      <c r="Q809" s="387" t="s">
        <v>539</v>
      </c>
      <c r="R809" s="387" t="s">
        <v>6186</v>
      </c>
      <c r="S809" s="387" t="s">
        <v>171</v>
      </c>
      <c r="T809" s="387" t="s">
        <v>757</v>
      </c>
      <c r="U809" s="388">
        <v>260796</v>
      </c>
      <c r="V809" s="387">
        <v>6006823004526</v>
      </c>
      <c r="W809" s="387">
        <v>6006823004526</v>
      </c>
      <c r="X809" s="387" t="s">
        <v>543</v>
      </c>
      <c r="Y809" s="387">
        <v>16006823003205</v>
      </c>
      <c r="Z809" s="387" t="s">
        <v>543</v>
      </c>
      <c r="AA809" s="388" t="s">
        <v>543</v>
      </c>
      <c r="AB809" s="388" t="s">
        <v>543</v>
      </c>
      <c r="AC809" s="387" t="s">
        <v>543</v>
      </c>
      <c r="AD809" s="389">
        <v>5</v>
      </c>
      <c r="AE809" s="390">
        <v>44743</v>
      </c>
      <c r="AF809" s="390">
        <v>45473</v>
      </c>
      <c r="AG809" s="390">
        <v>45473</v>
      </c>
      <c r="AH809" s="391" t="s">
        <v>6187</v>
      </c>
      <c r="AI809" s="391" t="s">
        <v>1910</v>
      </c>
      <c r="AJ809" s="391">
        <v>9</v>
      </c>
      <c r="AK809" s="390">
        <v>45047</v>
      </c>
      <c r="AL809" s="389">
        <v>100</v>
      </c>
      <c r="AM809" s="391" t="s">
        <v>548</v>
      </c>
      <c r="AN809" s="391" t="s">
        <v>549</v>
      </c>
      <c r="AO809" s="391" t="s">
        <v>6188</v>
      </c>
    </row>
    <row r="810" spans="1:41" ht="16" thickBot="1">
      <c r="A810" s="387" t="s">
        <v>2166</v>
      </c>
      <c r="B810" s="387" t="s">
        <v>3180</v>
      </c>
      <c r="C810" s="387" t="s">
        <v>6189</v>
      </c>
      <c r="D810" s="387" t="s">
        <v>6190</v>
      </c>
      <c r="E810" s="387">
        <v>10</v>
      </c>
      <c r="F810" s="387" t="s">
        <v>559</v>
      </c>
      <c r="G810" s="387">
        <v>10</v>
      </c>
      <c r="H810" s="387" t="s">
        <v>559</v>
      </c>
      <c r="I810" s="387" t="s">
        <v>568</v>
      </c>
      <c r="J810" s="387" t="s">
        <v>6184</v>
      </c>
      <c r="K810" s="387" t="s">
        <v>6191</v>
      </c>
      <c r="L810" s="387" t="s">
        <v>1771</v>
      </c>
      <c r="M810" s="387" t="s">
        <v>1772</v>
      </c>
      <c r="N810" s="388">
        <v>7.84</v>
      </c>
      <c r="O810" s="388">
        <v>14</v>
      </c>
      <c r="P810" s="387" t="s">
        <v>538</v>
      </c>
      <c r="Q810" s="387" t="s">
        <v>539</v>
      </c>
      <c r="R810" s="387" t="s">
        <v>6186</v>
      </c>
      <c r="S810" s="387" t="s">
        <v>171</v>
      </c>
      <c r="T810" s="387" t="s">
        <v>1908</v>
      </c>
      <c r="U810" s="388">
        <v>32470</v>
      </c>
      <c r="V810" s="387">
        <v>6008288099277</v>
      </c>
      <c r="W810" s="387">
        <v>6008288099277</v>
      </c>
      <c r="X810" s="387" t="s">
        <v>543</v>
      </c>
      <c r="Y810" s="387">
        <v>58901127026225</v>
      </c>
      <c r="Z810" s="387" t="s">
        <v>543</v>
      </c>
      <c r="AA810" s="388" t="s">
        <v>543</v>
      </c>
      <c r="AB810" s="388" t="s">
        <v>543</v>
      </c>
      <c r="AC810" s="387">
        <v>713980001</v>
      </c>
      <c r="AD810" s="389">
        <v>10</v>
      </c>
      <c r="AE810" s="390">
        <v>44743</v>
      </c>
      <c r="AF810" s="390">
        <v>45473</v>
      </c>
      <c r="AG810" s="390">
        <v>45473</v>
      </c>
      <c r="AH810" s="391" t="s">
        <v>6192</v>
      </c>
      <c r="AI810" s="391" t="s">
        <v>1776</v>
      </c>
      <c r="AJ810" s="391">
        <v>13</v>
      </c>
      <c r="AK810" s="390">
        <v>45047</v>
      </c>
      <c r="AL810" s="389">
        <v>100</v>
      </c>
      <c r="AM810" s="391" t="s">
        <v>548</v>
      </c>
      <c r="AN810" s="391" t="s">
        <v>549</v>
      </c>
      <c r="AO810" s="391" t="s">
        <v>6193</v>
      </c>
    </row>
    <row r="811" spans="1:41" ht="16" thickBot="1">
      <c r="A811" s="387" t="s">
        <v>2166</v>
      </c>
      <c r="B811" s="387" t="s">
        <v>3277</v>
      </c>
      <c r="C811" s="387" t="s">
        <v>6194</v>
      </c>
      <c r="D811" s="387" t="s">
        <v>6195</v>
      </c>
      <c r="E811" s="387">
        <v>4</v>
      </c>
      <c r="F811" s="387" t="s">
        <v>531</v>
      </c>
      <c r="G811" s="387">
        <v>4</v>
      </c>
      <c r="H811" s="387" t="s">
        <v>531</v>
      </c>
      <c r="I811" s="387" t="s">
        <v>1751</v>
      </c>
      <c r="J811" s="387" t="s">
        <v>6184</v>
      </c>
      <c r="K811" s="387" t="s">
        <v>6196</v>
      </c>
      <c r="L811" s="387" t="s">
        <v>1905</v>
      </c>
      <c r="M811" s="387" t="s">
        <v>1906</v>
      </c>
      <c r="N811" s="388">
        <v>4.57</v>
      </c>
      <c r="O811" s="388">
        <v>14</v>
      </c>
      <c r="P811" s="387" t="s">
        <v>538</v>
      </c>
      <c r="Q811" s="387" t="s">
        <v>539</v>
      </c>
      <c r="R811" s="387" t="s">
        <v>6186</v>
      </c>
      <c r="S811" s="387" t="s">
        <v>171</v>
      </c>
      <c r="T811" s="387" t="s">
        <v>1908</v>
      </c>
      <c r="U811" s="388">
        <v>313810</v>
      </c>
      <c r="V811" s="387">
        <v>6006823004533</v>
      </c>
      <c r="W811" s="387">
        <v>6006823004533</v>
      </c>
      <c r="X811" s="387" t="s">
        <v>543</v>
      </c>
      <c r="Y811" s="387">
        <v>16006823003212</v>
      </c>
      <c r="Z811" s="387" t="s">
        <v>543</v>
      </c>
      <c r="AA811" s="388" t="s">
        <v>543</v>
      </c>
      <c r="AB811" s="388" t="s">
        <v>543</v>
      </c>
      <c r="AC811" s="387" t="s">
        <v>543</v>
      </c>
      <c r="AD811" s="389">
        <v>5</v>
      </c>
      <c r="AE811" s="390">
        <v>44743</v>
      </c>
      <c r="AF811" s="390">
        <v>45473</v>
      </c>
      <c r="AG811" s="390">
        <v>45473</v>
      </c>
      <c r="AH811" s="391" t="s">
        <v>6197</v>
      </c>
      <c r="AI811" s="391" t="s">
        <v>1910</v>
      </c>
      <c r="AJ811" s="391">
        <v>9</v>
      </c>
      <c r="AK811" s="390">
        <v>45047</v>
      </c>
      <c r="AL811" s="389">
        <v>100</v>
      </c>
      <c r="AM811" s="391" t="s">
        <v>548</v>
      </c>
      <c r="AN811" s="391" t="s">
        <v>549</v>
      </c>
      <c r="AO811" s="391" t="s">
        <v>6198</v>
      </c>
    </row>
    <row r="812" spans="1:41" ht="16" thickBot="1">
      <c r="A812" s="387" t="s">
        <v>2166</v>
      </c>
      <c r="B812" s="387" t="s">
        <v>3285</v>
      </c>
      <c r="C812" s="387" t="s">
        <v>6199</v>
      </c>
      <c r="D812" s="387" t="s">
        <v>6200</v>
      </c>
      <c r="E812" s="387">
        <v>10</v>
      </c>
      <c r="F812" s="387" t="s">
        <v>559</v>
      </c>
      <c r="G812" s="387">
        <v>10</v>
      </c>
      <c r="H812" s="387" t="s">
        <v>559</v>
      </c>
      <c r="I812" s="387" t="s">
        <v>560</v>
      </c>
      <c r="J812" s="387" t="s">
        <v>6184</v>
      </c>
      <c r="K812" s="387" t="s">
        <v>6201</v>
      </c>
      <c r="L812" s="387" t="s">
        <v>1771</v>
      </c>
      <c r="M812" s="387" t="s">
        <v>1772</v>
      </c>
      <c r="N812" s="388">
        <v>8.19</v>
      </c>
      <c r="O812" s="388">
        <v>14</v>
      </c>
      <c r="P812" s="387" t="s">
        <v>538</v>
      </c>
      <c r="Q812" s="387" t="s">
        <v>539</v>
      </c>
      <c r="R812" s="387" t="s">
        <v>6186</v>
      </c>
      <c r="S812" s="387" t="s">
        <v>171</v>
      </c>
      <c r="T812" s="387" t="s">
        <v>757</v>
      </c>
      <c r="U812" s="388">
        <v>73580</v>
      </c>
      <c r="V812" s="387">
        <v>6008288099307</v>
      </c>
      <c r="W812" s="387">
        <v>6008288099307</v>
      </c>
      <c r="X812" s="387" t="s">
        <v>543</v>
      </c>
      <c r="Y812" s="387">
        <v>58901127025167</v>
      </c>
      <c r="Z812" s="387" t="s">
        <v>543</v>
      </c>
      <c r="AA812" s="388" t="s">
        <v>543</v>
      </c>
      <c r="AB812" s="388" t="s">
        <v>543</v>
      </c>
      <c r="AC812" s="387">
        <v>705945001</v>
      </c>
      <c r="AD812" s="389">
        <v>10</v>
      </c>
      <c r="AE812" s="390">
        <v>44743</v>
      </c>
      <c r="AF812" s="390">
        <v>45473</v>
      </c>
      <c r="AG812" s="390">
        <v>45473</v>
      </c>
      <c r="AH812" s="391" t="s">
        <v>6202</v>
      </c>
      <c r="AI812" s="391" t="s">
        <v>1776</v>
      </c>
      <c r="AJ812" s="391">
        <v>13</v>
      </c>
      <c r="AK812" s="390">
        <v>45047</v>
      </c>
      <c r="AL812" s="389">
        <v>100</v>
      </c>
      <c r="AM812" s="391" t="s">
        <v>548</v>
      </c>
      <c r="AN812" s="391" t="s">
        <v>549</v>
      </c>
      <c r="AO812" s="391" t="s">
        <v>6203</v>
      </c>
    </row>
    <row r="813" spans="1:41" ht="16" thickBot="1">
      <c r="A813" s="387" t="s">
        <v>2177</v>
      </c>
      <c r="B813" s="387" t="s">
        <v>3144</v>
      </c>
      <c r="C813" s="387" t="s">
        <v>6204</v>
      </c>
      <c r="D813" s="387" t="s">
        <v>6205</v>
      </c>
      <c r="E813" s="387">
        <v>1</v>
      </c>
      <c r="F813" s="387" t="s">
        <v>770</v>
      </c>
      <c r="G813" s="387">
        <v>1</v>
      </c>
      <c r="H813" s="387" t="s">
        <v>770</v>
      </c>
      <c r="I813" s="387" t="s">
        <v>2390</v>
      </c>
      <c r="J813" s="387" t="s">
        <v>6206</v>
      </c>
      <c r="K813" s="387" t="s">
        <v>6207</v>
      </c>
      <c r="L813" s="387" t="s">
        <v>6208</v>
      </c>
      <c r="M813" s="387" t="s">
        <v>6209</v>
      </c>
      <c r="N813" s="388">
        <v>4.3099999999999996</v>
      </c>
      <c r="O813" s="388">
        <v>14</v>
      </c>
      <c r="P813" s="387" t="s">
        <v>538</v>
      </c>
      <c r="Q813" s="387" t="s">
        <v>539</v>
      </c>
      <c r="R813" s="387" t="s">
        <v>6210</v>
      </c>
      <c r="S813" s="387" t="s">
        <v>171</v>
      </c>
      <c r="T813" s="387" t="s">
        <v>542</v>
      </c>
      <c r="U813" s="388">
        <v>10407466</v>
      </c>
      <c r="V813" s="387">
        <v>6009671181012</v>
      </c>
      <c r="W813" s="387">
        <v>6009671181012</v>
      </c>
      <c r="X813" s="387" t="s">
        <v>543</v>
      </c>
      <c r="Y813" s="387">
        <v>16009671181012</v>
      </c>
      <c r="Z813" s="387" t="s">
        <v>543</v>
      </c>
      <c r="AA813" s="388" t="s">
        <v>543</v>
      </c>
      <c r="AB813" s="388" t="s">
        <v>543</v>
      </c>
      <c r="AC813" s="387">
        <v>779687019</v>
      </c>
      <c r="AD813" s="389">
        <v>1</v>
      </c>
      <c r="AE813" s="390">
        <v>44013</v>
      </c>
      <c r="AF813" s="390">
        <v>45107</v>
      </c>
      <c r="AG813" s="390">
        <v>45107</v>
      </c>
      <c r="AH813" s="391" t="s">
        <v>6211</v>
      </c>
      <c r="AI813" s="391" t="s">
        <v>6212</v>
      </c>
      <c r="AJ813" s="391">
        <v>39</v>
      </c>
      <c r="AK813" s="390">
        <v>44409</v>
      </c>
      <c r="AL813" s="389">
        <v>100</v>
      </c>
      <c r="AM813" s="391" t="s">
        <v>548</v>
      </c>
      <c r="AN813" s="391" t="s">
        <v>545</v>
      </c>
      <c r="AO813" s="391" t="s">
        <v>6213</v>
      </c>
    </row>
    <row r="814" spans="1:41" ht="16" thickBot="1">
      <c r="A814" s="387" t="s">
        <v>3389</v>
      </c>
      <c r="B814" s="387" t="s">
        <v>2799</v>
      </c>
      <c r="C814" s="387" t="s">
        <v>6214</v>
      </c>
      <c r="D814" s="387" t="s">
        <v>6215</v>
      </c>
      <c r="E814" s="387">
        <v>50</v>
      </c>
      <c r="F814" s="387" t="s">
        <v>770</v>
      </c>
      <c r="G814" s="387">
        <v>50</v>
      </c>
      <c r="H814" s="387" t="s">
        <v>770</v>
      </c>
      <c r="I814" s="387" t="s">
        <v>2390</v>
      </c>
      <c r="J814" s="387" t="s">
        <v>6216</v>
      </c>
      <c r="K814" s="387" t="s">
        <v>6217</v>
      </c>
      <c r="L814" s="387" t="s">
        <v>6218</v>
      </c>
      <c r="M814" s="387" t="s">
        <v>6219</v>
      </c>
      <c r="N814" s="388">
        <v>64.680000000000007</v>
      </c>
      <c r="O814" s="388">
        <v>14</v>
      </c>
      <c r="P814" s="387" t="s">
        <v>611</v>
      </c>
      <c r="Q814" s="387" t="s">
        <v>612</v>
      </c>
      <c r="R814" s="387" t="s">
        <v>4474</v>
      </c>
      <c r="S814" s="387" t="s">
        <v>614</v>
      </c>
      <c r="T814" s="387" t="s">
        <v>160</v>
      </c>
      <c r="U814" s="388">
        <v>2454188</v>
      </c>
      <c r="V814" s="387">
        <v>6009830690263</v>
      </c>
      <c r="W814" s="387">
        <v>6009830690263</v>
      </c>
      <c r="X814" s="387" t="s">
        <v>543</v>
      </c>
      <c r="Y814" s="387">
        <v>16009830690263</v>
      </c>
      <c r="Z814" s="387" t="s">
        <v>543</v>
      </c>
      <c r="AA814" s="388" t="s">
        <v>543</v>
      </c>
      <c r="AB814" s="388" t="s">
        <v>543</v>
      </c>
      <c r="AC814" s="387" t="s">
        <v>543</v>
      </c>
      <c r="AD814" s="389">
        <v>100</v>
      </c>
      <c r="AE814" s="390">
        <v>44137</v>
      </c>
      <c r="AF814" s="390">
        <v>45107</v>
      </c>
      <c r="AG814" s="390">
        <v>45107</v>
      </c>
      <c r="AH814" s="391" t="s">
        <v>6220</v>
      </c>
      <c r="AI814" s="391" t="s">
        <v>6221</v>
      </c>
      <c r="AJ814" s="391">
        <v>1</v>
      </c>
      <c r="AK814" s="390">
        <v>44876</v>
      </c>
      <c r="AL814" s="389">
        <v>100</v>
      </c>
      <c r="AM814" s="391" t="s">
        <v>548</v>
      </c>
      <c r="AN814" s="391" t="s">
        <v>545</v>
      </c>
      <c r="AO814" s="391" t="s">
        <v>6222</v>
      </c>
    </row>
    <row r="815" spans="1:41" ht="16" thickBot="1">
      <c r="A815" s="387" t="s">
        <v>3389</v>
      </c>
      <c r="B815" s="387" t="s">
        <v>2814</v>
      </c>
      <c r="C815" s="387" t="s">
        <v>6223</v>
      </c>
      <c r="D815" s="387" t="s">
        <v>6224</v>
      </c>
      <c r="E815" s="387">
        <v>50</v>
      </c>
      <c r="F815" s="387" t="s">
        <v>770</v>
      </c>
      <c r="G815" s="387">
        <v>50</v>
      </c>
      <c r="H815" s="387" t="s">
        <v>770</v>
      </c>
      <c r="I815" s="387" t="s">
        <v>2390</v>
      </c>
      <c r="J815" s="387" t="s">
        <v>6216</v>
      </c>
      <c r="K815" s="387" t="s">
        <v>6225</v>
      </c>
      <c r="L815" s="387" t="s">
        <v>6218</v>
      </c>
      <c r="M815" s="387" t="s">
        <v>6219</v>
      </c>
      <c r="N815" s="388">
        <v>15.45</v>
      </c>
      <c r="O815" s="388">
        <v>14</v>
      </c>
      <c r="P815" s="387" t="s">
        <v>611</v>
      </c>
      <c r="Q815" s="387" t="s">
        <v>612</v>
      </c>
      <c r="R815" s="387" t="s">
        <v>4474</v>
      </c>
      <c r="S815" s="387" t="s">
        <v>614</v>
      </c>
      <c r="T815" s="387" t="s">
        <v>160</v>
      </c>
      <c r="U815" s="388">
        <v>339220</v>
      </c>
      <c r="V815" s="387">
        <v>6009830690287</v>
      </c>
      <c r="W815" s="387">
        <v>6009830690287</v>
      </c>
      <c r="X815" s="387" t="s">
        <v>543</v>
      </c>
      <c r="Y815" s="387">
        <v>16009830690287</v>
      </c>
      <c r="Z815" s="387" t="s">
        <v>543</v>
      </c>
      <c r="AA815" s="388" t="s">
        <v>543</v>
      </c>
      <c r="AB815" s="388" t="s">
        <v>543</v>
      </c>
      <c r="AC815" s="387" t="s">
        <v>543</v>
      </c>
      <c r="AD815" s="389">
        <v>400</v>
      </c>
      <c r="AE815" s="390">
        <v>44137</v>
      </c>
      <c r="AF815" s="390">
        <v>45107</v>
      </c>
      <c r="AG815" s="390">
        <v>45107</v>
      </c>
      <c r="AH815" s="391" t="s">
        <v>6226</v>
      </c>
      <c r="AI815" s="391" t="s">
        <v>6221</v>
      </c>
      <c r="AJ815" s="391">
        <v>1</v>
      </c>
      <c r="AK815" s="390">
        <v>44876</v>
      </c>
      <c r="AL815" s="389">
        <v>100</v>
      </c>
      <c r="AM815" s="391" t="s">
        <v>548</v>
      </c>
      <c r="AN815" s="391" t="s">
        <v>545</v>
      </c>
      <c r="AO815" s="391" t="s">
        <v>6227</v>
      </c>
    </row>
    <row r="816" spans="1:41" ht="16" thickBot="1">
      <c r="A816" s="387" t="s">
        <v>3389</v>
      </c>
      <c r="B816" s="387" t="s">
        <v>2820</v>
      </c>
      <c r="C816" s="387" t="s">
        <v>6228</v>
      </c>
      <c r="D816" s="387" t="s">
        <v>6229</v>
      </c>
      <c r="E816" s="387">
        <v>100</v>
      </c>
      <c r="F816" s="387" t="s">
        <v>770</v>
      </c>
      <c r="G816" s="387">
        <v>100</v>
      </c>
      <c r="H816" s="387" t="s">
        <v>770</v>
      </c>
      <c r="I816" s="387" t="s">
        <v>2390</v>
      </c>
      <c r="J816" s="387" t="s">
        <v>6216</v>
      </c>
      <c r="K816" s="387" t="s">
        <v>6230</v>
      </c>
      <c r="L816" s="387" t="s">
        <v>6218</v>
      </c>
      <c r="M816" s="387" t="s">
        <v>6219</v>
      </c>
      <c r="N816" s="388">
        <v>49.53</v>
      </c>
      <c r="O816" s="388">
        <v>14</v>
      </c>
      <c r="P816" s="387" t="s">
        <v>611</v>
      </c>
      <c r="Q816" s="387" t="s">
        <v>612</v>
      </c>
      <c r="R816" s="387" t="s">
        <v>4474</v>
      </c>
      <c r="S816" s="387" t="s">
        <v>614</v>
      </c>
      <c r="T816" s="387" t="s">
        <v>160</v>
      </c>
      <c r="U816" s="388">
        <v>419420</v>
      </c>
      <c r="V816" s="387">
        <v>6009830690294</v>
      </c>
      <c r="W816" s="387">
        <v>6009830690294</v>
      </c>
      <c r="X816" s="387" t="s">
        <v>543</v>
      </c>
      <c r="Y816" s="387">
        <v>16009830690294</v>
      </c>
      <c r="Z816" s="387" t="s">
        <v>543</v>
      </c>
      <c r="AA816" s="388" t="s">
        <v>543</v>
      </c>
      <c r="AB816" s="388" t="s">
        <v>543</v>
      </c>
      <c r="AC816" s="387" t="s">
        <v>543</v>
      </c>
      <c r="AD816" s="389">
        <v>300</v>
      </c>
      <c r="AE816" s="390">
        <v>44137</v>
      </c>
      <c r="AF816" s="390">
        <v>45107</v>
      </c>
      <c r="AG816" s="390">
        <v>45107</v>
      </c>
      <c r="AH816" s="391" t="s">
        <v>6231</v>
      </c>
      <c r="AI816" s="391" t="s">
        <v>6221</v>
      </c>
      <c r="AJ816" s="391">
        <v>1</v>
      </c>
      <c r="AK816" s="390">
        <v>44876</v>
      </c>
      <c r="AL816" s="389">
        <v>100</v>
      </c>
      <c r="AM816" s="391" t="s">
        <v>548</v>
      </c>
      <c r="AN816" s="391" t="s">
        <v>545</v>
      </c>
      <c r="AO816" s="391" t="s">
        <v>6232</v>
      </c>
    </row>
    <row r="817" spans="1:43" ht="16" thickBot="1">
      <c r="A817" s="387" t="s">
        <v>1717</v>
      </c>
      <c r="B817" s="387" t="s">
        <v>6233</v>
      </c>
      <c r="C817" s="387" t="s">
        <v>6234</v>
      </c>
      <c r="D817" s="387" t="s">
        <v>6235</v>
      </c>
      <c r="E817" s="387">
        <v>28</v>
      </c>
      <c r="F817" s="387" t="s">
        <v>559</v>
      </c>
      <c r="G817" s="387">
        <v>28</v>
      </c>
      <c r="H817" s="387" t="s">
        <v>559</v>
      </c>
      <c r="I817" s="387" t="s">
        <v>560</v>
      </c>
      <c r="J817" s="387" t="s">
        <v>6236</v>
      </c>
      <c r="K817" s="387" t="s">
        <v>6237</v>
      </c>
      <c r="L817" s="387" t="s">
        <v>535</v>
      </c>
      <c r="M817" s="387" t="s">
        <v>536</v>
      </c>
      <c r="N817" s="388">
        <v>20.09</v>
      </c>
      <c r="O817" s="388">
        <v>14</v>
      </c>
      <c r="P817" s="387" t="s">
        <v>538</v>
      </c>
      <c r="Q817" s="387" t="s">
        <v>539</v>
      </c>
      <c r="R817" s="387" t="s">
        <v>6238</v>
      </c>
      <c r="S817" s="387" t="s">
        <v>171</v>
      </c>
      <c r="T817" s="387" t="s">
        <v>542</v>
      </c>
      <c r="U817" s="388">
        <v>3839315</v>
      </c>
      <c r="V817" s="387" t="s">
        <v>543</v>
      </c>
      <c r="W817" s="387" t="s">
        <v>543</v>
      </c>
      <c r="X817" s="387" t="s">
        <v>543</v>
      </c>
      <c r="Y817" s="387" t="s">
        <v>543</v>
      </c>
      <c r="Z817" s="387" t="s">
        <v>543</v>
      </c>
      <c r="AA817" s="388" t="s">
        <v>543</v>
      </c>
      <c r="AB817" s="388" t="s">
        <v>543</v>
      </c>
      <c r="AC817" s="387" t="s">
        <v>543</v>
      </c>
      <c r="AD817" s="389">
        <v>50</v>
      </c>
      <c r="AE817" s="390">
        <v>45047</v>
      </c>
      <c r="AF817" s="390">
        <v>46142</v>
      </c>
      <c r="AG817" s="391" t="s">
        <v>545</v>
      </c>
      <c r="AH817" s="391" t="s">
        <v>6239</v>
      </c>
      <c r="AI817" s="391" t="s">
        <v>547</v>
      </c>
      <c r="AJ817" s="391">
        <v>0</v>
      </c>
      <c r="AK817" s="390">
        <v>45047</v>
      </c>
      <c r="AL817" s="389">
        <v>100</v>
      </c>
      <c r="AM817" s="391" t="s">
        <v>548</v>
      </c>
      <c r="AN817" s="391" t="s">
        <v>549</v>
      </c>
      <c r="AO817" s="391" t="s">
        <v>6240</v>
      </c>
    </row>
    <row r="818" spans="1:43" ht="16" thickBot="1">
      <c r="A818" s="387" t="s">
        <v>1717</v>
      </c>
      <c r="B818" s="387" t="s">
        <v>6241</v>
      </c>
      <c r="C818" s="387" t="s">
        <v>6242</v>
      </c>
      <c r="D818" s="387" t="s">
        <v>6243</v>
      </c>
      <c r="E818" s="387">
        <v>56</v>
      </c>
      <c r="F818" s="387" t="s">
        <v>559</v>
      </c>
      <c r="G818" s="387">
        <v>56</v>
      </c>
      <c r="H818" s="387" t="s">
        <v>559</v>
      </c>
      <c r="I818" s="387" t="s">
        <v>560</v>
      </c>
      <c r="J818" s="387" t="s">
        <v>6236</v>
      </c>
      <c r="K818" s="387" t="s">
        <v>6244</v>
      </c>
      <c r="L818" s="387" t="s">
        <v>535</v>
      </c>
      <c r="M818" s="387" t="s">
        <v>536</v>
      </c>
      <c r="N818" s="388">
        <v>39.24</v>
      </c>
      <c r="O818" s="388">
        <v>14</v>
      </c>
      <c r="P818" s="387" t="s">
        <v>538</v>
      </c>
      <c r="Q818" s="387" t="s">
        <v>539</v>
      </c>
      <c r="R818" s="387" t="s">
        <v>6238</v>
      </c>
      <c r="S818" s="387" t="s">
        <v>171</v>
      </c>
      <c r="T818" s="387" t="s">
        <v>542</v>
      </c>
      <c r="U818" s="388">
        <v>1967580</v>
      </c>
      <c r="V818" s="387" t="s">
        <v>543</v>
      </c>
      <c r="W818" s="387" t="s">
        <v>543</v>
      </c>
      <c r="X818" s="387" t="s">
        <v>543</v>
      </c>
      <c r="Y818" s="387" t="s">
        <v>543</v>
      </c>
      <c r="Z818" s="387" t="s">
        <v>543</v>
      </c>
      <c r="AA818" s="388" t="s">
        <v>543</v>
      </c>
      <c r="AB818" s="388" t="s">
        <v>543</v>
      </c>
      <c r="AC818" s="387" t="s">
        <v>543</v>
      </c>
      <c r="AD818" s="389">
        <v>30</v>
      </c>
      <c r="AE818" s="390">
        <v>45047</v>
      </c>
      <c r="AF818" s="390">
        <v>46142</v>
      </c>
      <c r="AG818" s="391" t="s">
        <v>545</v>
      </c>
      <c r="AH818" s="391" t="s">
        <v>6245</v>
      </c>
      <c r="AI818" s="391" t="s">
        <v>547</v>
      </c>
      <c r="AJ818" s="391">
        <v>0</v>
      </c>
      <c r="AK818" s="390">
        <v>45047</v>
      </c>
      <c r="AL818" s="389">
        <v>100</v>
      </c>
      <c r="AM818" s="391" t="s">
        <v>548</v>
      </c>
      <c r="AN818" s="391" t="s">
        <v>549</v>
      </c>
      <c r="AO818" s="391" t="s">
        <v>6240</v>
      </c>
    </row>
    <row r="819" spans="1:43" ht="16" thickBot="1">
      <c r="A819" s="387" t="s">
        <v>1717</v>
      </c>
      <c r="B819" s="387" t="s">
        <v>6246</v>
      </c>
      <c r="C819" s="387" t="s">
        <v>6247</v>
      </c>
      <c r="D819" s="387" t="s">
        <v>6248</v>
      </c>
      <c r="E819" s="387">
        <v>84</v>
      </c>
      <c r="F819" s="387" t="s">
        <v>559</v>
      </c>
      <c r="G819" s="387">
        <v>84</v>
      </c>
      <c r="H819" s="387" t="s">
        <v>559</v>
      </c>
      <c r="I819" s="387" t="s">
        <v>560</v>
      </c>
      <c r="J819" s="387" t="s">
        <v>6236</v>
      </c>
      <c r="K819" s="387" t="s">
        <v>6249</v>
      </c>
      <c r="L819" s="387" t="s">
        <v>535</v>
      </c>
      <c r="M819" s="387" t="s">
        <v>536</v>
      </c>
      <c r="N819" s="388">
        <v>55.83</v>
      </c>
      <c r="O819" s="388">
        <v>14</v>
      </c>
      <c r="P819" s="387" t="s">
        <v>538</v>
      </c>
      <c r="Q819" s="387" t="s">
        <v>539</v>
      </c>
      <c r="R819" s="387" t="s">
        <v>6238</v>
      </c>
      <c r="S819" s="387" t="s">
        <v>171</v>
      </c>
      <c r="T819" s="387" t="s">
        <v>542</v>
      </c>
      <c r="U819" s="388">
        <v>603516</v>
      </c>
      <c r="V819" s="387" t="s">
        <v>543</v>
      </c>
      <c r="W819" s="387" t="s">
        <v>543</v>
      </c>
      <c r="X819" s="387" t="s">
        <v>543</v>
      </c>
      <c r="Y819" s="387" t="s">
        <v>543</v>
      </c>
      <c r="Z819" s="387" t="s">
        <v>543</v>
      </c>
      <c r="AA819" s="388" t="s">
        <v>543</v>
      </c>
      <c r="AB819" s="388" t="s">
        <v>543</v>
      </c>
      <c r="AC819" s="387" t="s">
        <v>543</v>
      </c>
      <c r="AD819" s="389">
        <v>20</v>
      </c>
      <c r="AE819" s="390">
        <v>45047</v>
      </c>
      <c r="AF819" s="390">
        <v>46142</v>
      </c>
      <c r="AG819" s="391" t="s">
        <v>545</v>
      </c>
      <c r="AH819" s="391" t="s">
        <v>6250</v>
      </c>
      <c r="AI819" s="391" t="s">
        <v>547</v>
      </c>
      <c r="AJ819" s="391">
        <v>0</v>
      </c>
      <c r="AK819" s="390">
        <v>45047</v>
      </c>
      <c r="AL819" s="389">
        <v>100</v>
      </c>
      <c r="AM819" s="391" t="s">
        <v>548</v>
      </c>
      <c r="AN819" s="391" t="s">
        <v>549</v>
      </c>
      <c r="AO819" s="391" t="s">
        <v>6240</v>
      </c>
    </row>
    <row r="820" spans="1:43" ht="16" thickBot="1">
      <c r="A820" s="387" t="s">
        <v>2166</v>
      </c>
      <c r="B820" s="387" t="s">
        <v>3296</v>
      </c>
      <c r="C820" s="387" t="s">
        <v>6251</v>
      </c>
      <c r="D820" s="387" t="s">
        <v>6252</v>
      </c>
      <c r="E820" s="387">
        <v>1</v>
      </c>
      <c r="F820" s="387" t="s">
        <v>1780</v>
      </c>
      <c r="G820" s="387">
        <v>10</v>
      </c>
      <c r="H820" s="387" t="s">
        <v>1780</v>
      </c>
      <c r="I820" s="387" t="s">
        <v>1751</v>
      </c>
      <c r="J820" s="387" t="s">
        <v>6253</v>
      </c>
      <c r="K820" s="387" t="s">
        <v>6254</v>
      </c>
      <c r="L820" s="387" t="s">
        <v>2595</v>
      </c>
      <c r="M820" s="387" t="s">
        <v>2596</v>
      </c>
      <c r="N820" s="388">
        <v>227.7</v>
      </c>
      <c r="O820" s="388">
        <v>14</v>
      </c>
      <c r="P820" s="387" t="s">
        <v>538</v>
      </c>
      <c r="Q820" s="387" t="s">
        <v>539</v>
      </c>
      <c r="R820" s="387" t="s">
        <v>6255</v>
      </c>
      <c r="S820" s="387" t="s">
        <v>541</v>
      </c>
      <c r="T820" s="387" t="s">
        <v>1908</v>
      </c>
      <c r="U820" s="388">
        <v>16670</v>
      </c>
      <c r="V820" s="387" t="s">
        <v>543</v>
      </c>
      <c r="W820" s="387" t="s">
        <v>543</v>
      </c>
      <c r="X820" s="387" t="s">
        <v>543</v>
      </c>
      <c r="Y820" s="387" t="s">
        <v>543</v>
      </c>
      <c r="Z820" s="387" t="s">
        <v>543</v>
      </c>
      <c r="AA820" s="388" t="s">
        <v>543</v>
      </c>
      <c r="AB820" s="388" t="s">
        <v>543</v>
      </c>
      <c r="AC820" s="387" t="s">
        <v>6256</v>
      </c>
      <c r="AD820" s="389">
        <v>20</v>
      </c>
      <c r="AE820" s="390">
        <v>44743</v>
      </c>
      <c r="AF820" s="390">
        <v>45473</v>
      </c>
      <c r="AG820" s="391" t="s">
        <v>545</v>
      </c>
      <c r="AH820" s="391" t="s">
        <v>6257</v>
      </c>
      <c r="AI820" s="391" t="s">
        <v>2599</v>
      </c>
      <c r="AJ820" s="391">
        <v>0</v>
      </c>
      <c r="AK820" s="390">
        <v>44743</v>
      </c>
      <c r="AL820" s="389">
        <v>100</v>
      </c>
      <c r="AM820" s="391" t="s">
        <v>548</v>
      </c>
      <c r="AN820" s="391" t="s">
        <v>549</v>
      </c>
      <c r="AO820" s="391" t="s">
        <v>6258</v>
      </c>
    </row>
    <row r="821" spans="1:43" ht="16" thickBot="1">
      <c r="A821" s="387" t="s">
        <v>2166</v>
      </c>
      <c r="B821" s="387" t="s">
        <v>4381</v>
      </c>
      <c r="C821" s="387" t="s">
        <v>6259</v>
      </c>
      <c r="D821" s="387" t="s">
        <v>6260</v>
      </c>
      <c r="E821" s="387">
        <v>1</v>
      </c>
      <c r="F821" s="387" t="s">
        <v>1780</v>
      </c>
      <c r="G821" s="387">
        <v>1</v>
      </c>
      <c r="H821" s="387" t="s">
        <v>1780</v>
      </c>
      <c r="I821" s="387" t="s">
        <v>1751</v>
      </c>
      <c r="J821" s="387" t="s">
        <v>6253</v>
      </c>
      <c r="K821" s="387" t="s">
        <v>6261</v>
      </c>
      <c r="L821" s="387" t="s">
        <v>2595</v>
      </c>
      <c r="M821" s="387" t="s">
        <v>2596</v>
      </c>
      <c r="N821" s="388">
        <v>155.25</v>
      </c>
      <c r="O821" s="388">
        <v>14</v>
      </c>
      <c r="P821" s="387" t="s">
        <v>538</v>
      </c>
      <c r="Q821" s="387" t="s">
        <v>539</v>
      </c>
      <c r="R821" s="387" t="s">
        <v>6255</v>
      </c>
      <c r="S821" s="387" t="s">
        <v>541</v>
      </c>
      <c r="T821" s="387" t="s">
        <v>1908</v>
      </c>
      <c r="U821" s="388">
        <v>11080</v>
      </c>
      <c r="V821" s="387" t="s">
        <v>543</v>
      </c>
      <c r="W821" s="387" t="s">
        <v>543</v>
      </c>
      <c r="X821" s="387" t="s">
        <v>543</v>
      </c>
      <c r="Y821" s="387" t="s">
        <v>543</v>
      </c>
      <c r="Z821" s="387" t="s">
        <v>543</v>
      </c>
      <c r="AA821" s="388" t="s">
        <v>543</v>
      </c>
      <c r="AB821" s="388" t="s">
        <v>543</v>
      </c>
      <c r="AC821" s="387" t="s">
        <v>6262</v>
      </c>
      <c r="AD821" s="389">
        <v>20</v>
      </c>
      <c r="AE821" s="390">
        <v>44743</v>
      </c>
      <c r="AF821" s="390">
        <v>45473</v>
      </c>
      <c r="AG821" s="391" t="s">
        <v>545</v>
      </c>
      <c r="AH821" s="391" t="s">
        <v>6263</v>
      </c>
      <c r="AI821" s="391" t="s">
        <v>2599</v>
      </c>
      <c r="AJ821" s="391">
        <v>0</v>
      </c>
      <c r="AK821" s="390">
        <v>44743</v>
      </c>
      <c r="AL821" s="389">
        <v>100</v>
      </c>
      <c r="AM821" s="391" t="s">
        <v>548</v>
      </c>
      <c r="AN821" s="391" t="s">
        <v>549</v>
      </c>
      <c r="AO821" s="391" t="s">
        <v>6264</v>
      </c>
    </row>
    <row r="822" spans="1:43" ht="16" thickBot="1">
      <c r="A822" s="387" t="s">
        <v>1717</v>
      </c>
      <c r="B822" s="387" t="s">
        <v>6265</v>
      </c>
      <c r="C822" s="387" t="s">
        <v>6266</v>
      </c>
      <c r="D822" s="387" t="s">
        <v>6267</v>
      </c>
      <c r="E822" s="387">
        <v>100</v>
      </c>
      <c r="F822" s="387" t="s">
        <v>559</v>
      </c>
      <c r="G822" s="387">
        <v>100</v>
      </c>
      <c r="H822" s="387" t="s">
        <v>559</v>
      </c>
      <c r="I822" s="387" t="s">
        <v>560</v>
      </c>
      <c r="J822" s="387" t="s">
        <v>6268</v>
      </c>
      <c r="K822" s="387" t="s">
        <v>6269</v>
      </c>
      <c r="L822" s="387" t="s">
        <v>535</v>
      </c>
      <c r="M822" s="387" t="s">
        <v>536</v>
      </c>
      <c r="N822" s="388">
        <v>42.99</v>
      </c>
      <c r="O822" s="388">
        <v>14</v>
      </c>
      <c r="P822" s="387" t="s">
        <v>538</v>
      </c>
      <c r="Q822" s="387" t="s">
        <v>539</v>
      </c>
      <c r="R822" s="387" t="s">
        <v>6270</v>
      </c>
      <c r="S822" s="387" t="s">
        <v>171</v>
      </c>
      <c r="T822" s="387" t="s">
        <v>757</v>
      </c>
      <c r="U822" s="388">
        <v>51140</v>
      </c>
      <c r="V822" s="387" t="s">
        <v>543</v>
      </c>
      <c r="W822" s="387" t="s">
        <v>543</v>
      </c>
      <c r="X822" s="387" t="s">
        <v>543</v>
      </c>
      <c r="Y822" s="387" t="s">
        <v>543</v>
      </c>
      <c r="Z822" s="387" t="s">
        <v>543</v>
      </c>
      <c r="AA822" s="388" t="s">
        <v>543</v>
      </c>
      <c r="AB822" s="388" t="s">
        <v>543</v>
      </c>
      <c r="AC822" s="387">
        <v>763500003</v>
      </c>
      <c r="AD822" s="389">
        <v>30</v>
      </c>
      <c r="AE822" s="390">
        <v>45047</v>
      </c>
      <c r="AF822" s="390">
        <v>46142</v>
      </c>
      <c r="AG822" s="391" t="s">
        <v>545</v>
      </c>
      <c r="AH822" s="391" t="s">
        <v>6271</v>
      </c>
      <c r="AI822" s="391" t="s">
        <v>547</v>
      </c>
      <c r="AJ822" s="391">
        <v>0</v>
      </c>
      <c r="AK822" s="390">
        <v>45047</v>
      </c>
      <c r="AL822" s="389">
        <v>100</v>
      </c>
      <c r="AM822" s="391" t="s">
        <v>548</v>
      </c>
      <c r="AN822" s="391" t="s">
        <v>549</v>
      </c>
      <c r="AO822" s="391" t="s">
        <v>6272</v>
      </c>
    </row>
    <row r="823" spans="1:43" ht="16" thickBot="1">
      <c r="A823" s="387" t="s">
        <v>1717</v>
      </c>
      <c r="B823" s="387" t="s">
        <v>6273</v>
      </c>
      <c r="C823" s="387" t="s">
        <v>6274</v>
      </c>
      <c r="D823" s="387" t="s">
        <v>6275</v>
      </c>
      <c r="E823" s="387">
        <v>100</v>
      </c>
      <c r="F823" s="387" t="s">
        <v>559</v>
      </c>
      <c r="G823" s="387">
        <v>100</v>
      </c>
      <c r="H823" s="387" t="s">
        <v>559</v>
      </c>
      <c r="I823" s="387" t="s">
        <v>560</v>
      </c>
      <c r="J823" s="387" t="s">
        <v>6268</v>
      </c>
      <c r="K823" s="387" t="s">
        <v>6276</v>
      </c>
      <c r="L823" s="387" t="s">
        <v>2259</v>
      </c>
      <c r="M823" s="387" t="s">
        <v>2260</v>
      </c>
      <c r="N823" s="388">
        <v>28.49</v>
      </c>
      <c r="O823" s="388">
        <v>14</v>
      </c>
      <c r="P823" s="387" t="s">
        <v>538</v>
      </c>
      <c r="Q823" s="387" t="s">
        <v>539</v>
      </c>
      <c r="R823" s="387" t="s">
        <v>6270</v>
      </c>
      <c r="S823" s="387" t="s">
        <v>171</v>
      </c>
      <c r="T823" s="387" t="s">
        <v>542</v>
      </c>
      <c r="U823" s="388">
        <v>40176</v>
      </c>
      <c r="V823" s="387" t="s">
        <v>543</v>
      </c>
      <c r="W823" s="387" t="s">
        <v>543</v>
      </c>
      <c r="X823" s="387" t="s">
        <v>543</v>
      </c>
      <c r="Y823" s="387" t="s">
        <v>543</v>
      </c>
      <c r="Z823" s="387" t="s">
        <v>543</v>
      </c>
      <c r="AA823" s="388" t="s">
        <v>543</v>
      </c>
      <c r="AB823" s="388" t="s">
        <v>543</v>
      </c>
      <c r="AC823" s="387" t="s">
        <v>543</v>
      </c>
      <c r="AD823" s="389">
        <v>100</v>
      </c>
      <c r="AE823" s="390">
        <v>45047</v>
      </c>
      <c r="AF823" s="390">
        <v>46142</v>
      </c>
      <c r="AG823" s="391" t="s">
        <v>545</v>
      </c>
      <c r="AH823" s="391" t="s">
        <v>6277</v>
      </c>
      <c r="AI823" s="391" t="s">
        <v>2261</v>
      </c>
      <c r="AJ823" s="391">
        <v>0</v>
      </c>
      <c r="AK823" s="390">
        <v>45047</v>
      </c>
      <c r="AL823" s="389">
        <v>100</v>
      </c>
      <c r="AM823" s="391" t="s">
        <v>548</v>
      </c>
      <c r="AN823" s="391" t="s">
        <v>549</v>
      </c>
      <c r="AO823" s="391" t="s">
        <v>6278</v>
      </c>
    </row>
    <row r="824" spans="1:43" ht="16" thickBot="1">
      <c r="A824" s="387" t="s">
        <v>1717</v>
      </c>
      <c r="B824" s="387" t="s">
        <v>6279</v>
      </c>
      <c r="C824" s="387" t="s">
        <v>6280</v>
      </c>
      <c r="D824" s="387" t="s">
        <v>6281</v>
      </c>
      <c r="E824" s="387">
        <v>100</v>
      </c>
      <c r="F824" s="387" t="s">
        <v>559</v>
      </c>
      <c r="G824" s="387">
        <v>100</v>
      </c>
      <c r="H824" s="387" t="s">
        <v>559</v>
      </c>
      <c r="I824" s="387" t="s">
        <v>560</v>
      </c>
      <c r="J824" s="387" t="s">
        <v>6268</v>
      </c>
      <c r="K824" s="387" t="s">
        <v>6282</v>
      </c>
      <c r="L824" s="387" t="s">
        <v>2259</v>
      </c>
      <c r="M824" s="387" t="s">
        <v>2260</v>
      </c>
      <c r="N824" s="388">
        <v>36.380000000000003</v>
      </c>
      <c r="O824" s="388">
        <v>14</v>
      </c>
      <c r="P824" s="387" t="s">
        <v>538</v>
      </c>
      <c r="Q824" s="387" t="s">
        <v>539</v>
      </c>
      <c r="R824" s="387" t="s">
        <v>6270</v>
      </c>
      <c r="S824" s="387" t="s">
        <v>171</v>
      </c>
      <c r="T824" s="387" t="s">
        <v>757</v>
      </c>
      <c r="U824" s="388">
        <v>40690</v>
      </c>
      <c r="V824" s="387" t="s">
        <v>543</v>
      </c>
      <c r="W824" s="387" t="s">
        <v>543</v>
      </c>
      <c r="X824" s="387" t="s">
        <v>543</v>
      </c>
      <c r="Y824" s="387" t="s">
        <v>543</v>
      </c>
      <c r="Z824" s="387" t="s">
        <v>543</v>
      </c>
      <c r="AA824" s="388" t="s">
        <v>543</v>
      </c>
      <c r="AB824" s="388" t="s">
        <v>543</v>
      </c>
      <c r="AC824" s="387" t="s">
        <v>543</v>
      </c>
      <c r="AD824" s="389">
        <v>100</v>
      </c>
      <c r="AE824" s="390">
        <v>45047</v>
      </c>
      <c r="AF824" s="390">
        <v>46142</v>
      </c>
      <c r="AG824" s="391" t="s">
        <v>545</v>
      </c>
      <c r="AH824" s="391" t="s">
        <v>6283</v>
      </c>
      <c r="AI824" s="391" t="s">
        <v>2261</v>
      </c>
      <c r="AJ824" s="391">
        <v>0</v>
      </c>
      <c r="AK824" s="390">
        <v>45047</v>
      </c>
      <c r="AL824" s="389">
        <v>100</v>
      </c>
      <c r="AM824" s="391" t="s">
        <v>548</v>
      </c>
      <c r="AN824" s="391" t="s">
        <v>549</v>
      </c>
      <c r="AO824" s="391" t="s">
        <v>6284</v>
      </c>
    </row>
    <row r="825" spans="1:43" ht="16" thickBot="1">
      <c r="A825" s="387" t="s">
        <v>2294</v>
      </c>
      <c r="B825" s="387" t="s">
        <v>985</v>
      </c>
      <c r="C825" s="387" t="s">
        <v>6285</v>
      </c>
      <c r="D825" s="387" t="s">
        <v>6286</v>
      </c>
      <c r="E825" s="387">
        <v>3</v>
      </c>
      <c r="F825" s="387" t="s">
        <v>531</v>
      </c>
      <c r="G825" s="387">
        <v>60</v>
      </c>
      <c r="H825" s="387" t="s">
        <v>2297</v>
      </c>
      <c r="I825" s="387" t="s">
        <v>2298</v>
      </c>
      <c r="J825" s="387" t="s">
        <v>6287</v>
      </c>
      <c r="K825" s="387" t="s">
        <v>6288</v>
      </c>
      <c r="L825" s="387" t="s">
        <v>654</v>
      </c>
      <c r="M825" s="387" t="s">
        <v>655</v>
      </c>
      <c r="N825" s="388">
        <v>22.44</v>
      </c>
      <c r="O825" s="388">
        <v>14</v>
      </c>
      <c r="P825" s="387" t="s">
        <v>538</v>
      </c>
      <c r="Q825" s="387" t="s">
        <v>539</v>
      </c>
      <c r="R825" s="387" t="s">
        <v>6289</v>
      </c>
      <c r="S825" s="387" t="s">
        <v>171</v>
      </c>
      <c r="T825" s="387" t="s">
        <v>757</v>
      </c>
      <c r="U825" s="388">
        <v>59122</v>
      </c>
      <c r="V825" s="387">
        <v>6006409000966</v>
      </c>
      <c r="W825" s="387" t="s">
        <v>543</v>
      </c>
      <c r="X825" s="387" t="s">
        <v>543</v>
      </c>
      <c r="Y825" s="387">
        <v>16006409000963</v>
      </c>
      <c r="Z825" s="387" t="s">
        <v>543</v>
      </c>
      <c r="AA825" s="388">
        <v>26006409000960</v>
      </c>
      <c r="AB825" s="388" t="s">
        <v>543</v>
      </c>
      <c r="AC825" s="387" t="s">
        <v>543</v>
      </c>
      <c r="AD825" s="389">
        <v>200</v>
      </c>
      <c r="AE825" s="390">
        <v>44013</v>
      </c>
      <c r="AF825" s="390">
        <v>45107</v>
      </c>
      <c r="AG825" s="390">
        <v>45107</v>
      </c>
      <c r="AH825" s="391" t="s">
        <v>6290</v>
      </c>
      <c r="AI825" s="391" t="s">
        <v>658</v>
      </c>
      <c r="AJ825" s="391">
        <v>67</v>
      </c>
      <c r="AK825" s="390">
        <v>45047</v>
      </c>
      <c r="AL825" s="389">
        <v>100</v>
      </c>
      <c r="AM825" s="391" t="s">
        <v>548</v>
      </c>
      <c r="AN825" s="391" t="s">
        <v>545</v>
      </c>
      <c r="AO825" s="391" t="s">
        <v>6291</v>
      </c>
    </row>
    <row r="826" spans="1:43" ht="16" thickBot="1">
      <c r="A826" s="387" t="s">
        <v>1717</v>
      </c>
      <c r="B826" s="387" t="s">
        <v>6292</v>
      </c>
      <c r="C826" s="387" t="s">
        <v>6293</v>
      </c>
      <c r="D826" s="387" t="s">
        <v>6294</v>
      </c>
      <c r="E826" s="387">
        <v>84</v>
      </c>
      <c r="F826" s="387" t="s">
        <v>559</v>
      </c>
      <c r="G826" s="387">
        <v>84</v>
      </c>
      <c r="H826" s="387" t="s">
        <v>559</v>
      </c>
      <c r="I826" s="387" t="s">
        <v>560</v>
      </c>
      <c r="J826" s="387" t="s">
        <v>6295</v>
      </c>
      <c r="K826" s="387" t="s">
        <v>6296</v>
      </c>
      <c r="L826" s="387" t="s">
        <v>2141</v>
      </c>
      <c r="M826" s="387" t="s">
        <v>2142</v>
      </c>
      <c r="N826" s="388">
        <v>39.79</v>
      </c>
      <c r="O826" s="388">
        <v>14</v>
      </c>
      <c r="P826" s="387" t="s">
        <v>538</v>
      </c>
      <c r="Q826" s="387" t="s">
        <v>539</v>
      </c>
      <c r="R826" s="387" t="s">
        <v>6297</v>
      </c>
      <c r="S826" s="387" t="s">
        <v>171</v>
      </c>
      <c r="T826" s="387" t="s">
        <v>757</v>
      </c>
      <c r="U826" s="388">
        <v>252413</v>
      </c>
      <c r="V826" s="387" t="s">
        <v>543</v>
      </c>
      <c r="W826" s="387" t="s">
        <v>543</v>
      </c>
      <c r="X826" s="387" t="s">
        <v>543</v>
      </c>
      <c r="Y826" s="387" t="s">
        <v>543</v>
      </c>
      <c r="Z826" s="387" t="s">
        <v>543</v>
      </c>
      <c r="AA826" s="388" t="s">
        <v>543</v>
      </c>
      <c r="AB826" s="388" t="s">
        <v>543</v>
      </c>
      <c r="AC826" s="387" t="s">
        <v>543</v>
      </c>
      <c r="AD826" s="389">
        <v>1</v>
      </c>
      <c r="AE826" s="390">
        <v>45047</v>
      </c>
      <c r="AF826" s="390">
        <v>46142</v>
      </c>
      <c r="AG826" s="391" t="s">
        <v>545</v>
      </c>
      <c r="AH826" s="391" t="s">
        <v>6298</v>
      </c>
      <c r="AI826" s="391" t="s">
        <v>2144</v>
      </c>
      <c r="AJ826" s="391">
        <v>0</v>
      </c>
      <c r="AK826" s="390">
        <v>45047</v>
      </c>
      <c r="AL826" s="389">
        <v>100</v>
      </c>
      <c r="AM826" s="391" t="s">
        <v>548</v>
      </c>
      <c r="AN826" s="391" t="s">
        <v>549</v>
      </c>
      <c r="AO826" s="391" t="s">
        <v>6299</v>
      </c>
    </row>
    <row r="827" spans="1:43" ht="16" thickBot="1">
      <c r="A827" s="387" t="s">
        <v>2294</v>
      </c>
      <c r="B827" s="387" t="s">
        <v>1004</v>
      </c>
      <c r="C827" s="387" t="s">
        <v>6300</v>
      </c>
      <c r="D827" s="387" t="s">
        <v>6301</v>
      </c>
      <c r="E827" s="387">
        <v>15</v>
      </c>
      <c r="F827" s="387" t="s">
        <v>531</v>
      </c>
      <c r="G827" s="387">
        <v>300</v>
      </c>
      <c r="H827" s="387" t="s">
        <v>2297</v>
      </c>
      <c r="I827" s="387" t="s">
        <v>2298</v>
      </c>
      <c r="J827" s="387" t="s">
        <v>6302</v>
      </c>
      <c r="K827" s="387" t="s">
        <v>6303</v>
      </c>
      <c r="L827" s="387" t="s">
        <v>654</v>
      </c>
      <c r="M827" s="387" t="s">
        <v>655</v>
      </c>
      <c r="N827" s="388">
        <v>14.18</v>
      </c>
      <c r="O827" s="388">
        <v>14</v>
      </c>
      <c r="P827" s="387" t="s">
        <v>538</v>
      </c>
      <c r="Q827" s="387" t="s">
        <v>539</v>
      </c>
      <c r="R827" s="387" t="s">
        <v>6304</v>
      </c>
      <c r="S827" s="387" t="s">
        <v>171</v>
      </c>
      <c r="T827" s="387" t="s">
        <v>542</v>
      </c>
      <c r="U827" s="388">
        <v>3131418</v>
      </c>
      <c r="V827" s="387">
        <v>6004405006883</v>
      </c>
      <c r="W827" s="387" t="s">
        <v>543</v>
      </c>
      <c r="X827" s="387" t="s">
        <v>543</v>
      </c>
      <c r="Y827" s="387">
        <v>26004405006887</v>
      </c>
      <c r="Z827" s="387" t="s">
        <v>543</v>
      </c>
      <c r="AA827" s="388" t="s">
        <v>543</v>
      </c>
      <c r="AB827" s="388" t="s">
        <v>543</v>
      </c>
      <c r="AC827" s="387">
        <v>874922003</v>
      </c>
      <c r="AD827" s="389">
        <v>200</v>
      </c>
      <c r="AE827" s="390">
        <v>44013</v>
      </c>
      <c r="AF827" s="390">
        <v>45107</v>
      </c>
      <c r="AG827" s="390">
        <v>45107</v>
      </c>
      <c r="AH827" s="391" t="s">
        <v>6305</v>
      </c>
      <c r="AI827" s="391" t="s">
        <v>658</v>
      </c>
      <c r="AJ827" s="391">
        <v>67</v>
      </c>
      <c r="AK827" s="390">
        <v>45047</v>
      </c>
      <c r="AL827" s="389">
        <v>100</v>
      </c>
      <c r="AM827" s="391" t="s">
        <v>548</v>
      </c>
      <c r="AN827" s="391" t="s">
        <v>545</v>
      </c>
      <c r="AO827" s="391" t="s">
        <v>6306</v>
      </c>
    </row>
    <row r="828" spans="1:43" ht="16" thickBot="1">
      <c r="A828" s="387" t="s">
        <v>2412</v>
      </c>
      <c r="B828" s="387" t="s">
        <v>573</v>
      </c>
      <c r="C828" s="387" t="s">
        <v>6307</v>
      </c>
      <c r="D828" s="387" t="s">
        <v>6308</v>
      </c>
      <c r="E828" s="387">
        <v>10</v>
      </c>
      <c r="F828" s="387" t="s">
        <v>531</v>
      </c>
      <c r="G828" s="387">
        <v>200</v>
      </c>
      <c r="H828" s="387" t="s">
        <v>2297</v>
      </c>
      <c r="I828" s="387" t="s">
        <v>6309</v>
      </c>
      <c r="J828" s="387" t="s">
        <v>6302</v>
      </c>
      <c r="K828" s="387" t="s">
        <v>6310</v>
      </c>
      <c r="L828" s="387" t="s">
        <v>6311</v>
      </c>
      <c r="M828" s="387" t="s">
        <v>6312</v>
      </c>
      <c r="N828" s="388">
        <v>11.92</v>
      </c>
      <c r="O828" s="388">
        <v>14</v>
      </c>
      <c r="P828" s="387" t="s">
        <v>538</v>
      </c>
      <c r="Q828" s="387" t="s">
        <v>539</v>
      </c>
      <c r="R828" s="387" t="s">
        <v>6313</v>
      </c>
      <c r="S828" s="387" t="s">
        <v>171</v>
      </c>
      <c r="T828" s="387" t="s">
        <v>542</v>
      </c>
      <c r="U828" s="388">
        <v>1668962</v>
      </c>
      <c r="V828" s="387">
        <v>6006418001565</v>
      </c>
      <c r="W828" s="387" t="s">
        <v>543</v>
      </c>
      <c r="X828" s="387" t="s">
        <v>543</v>
      </c>
      <c r="Y828" s="387" t="s">
        <v>543</v>
      </c>
      <c r="Z828" s="387" t="s">
        <v>543</v>
      </c>
      <c r="AA828" s="388" t="s">
        <v>543</v>
      </c>
      <c r="AB828" s="388" t="s">
        <v>543</v>
      </c>
      <c r="AC828" s="387" t="s">
        <v>6314</v>
      </c>
      <c r="AD828" s="389">
        <v>12</v>
      </c>
      <c r="AE828" s="390">
        <v>44137</v>
      </c>
      <c r="AF828" s="390">
        <v>45107</v>
      </c>
      <c r="AG828" s="390">
        <v>45107</v>
      </c>
      <c r="AH828" s="391" t="s">
        <v>6315</v>
      </c>
      <c r="AI828" s="391" t="s">
        <v>6316</v>
      </c>
      <c r="AJ828" s="391">
        <v>0</v>
      </c>
      <c r="AK828" s="390">
        <v>44137</v>
      </c>
      <c r="AL828" s="389">
        <v>100</v>
      </c>
      <c r="AM828" s="391" t="s">
        <v>548</v>
      </c>
      <c r="AN828" s="391" t="s">
        <v>545</v>
      </c>
      <c r="AO828" s="391" t="s">
        <v>6317</v>
      </c>
      <c r="AP828" s="372">
        <f>N828</f>
        <v>11.92</v>
      </c>
      <c r="AQ828" s="372">
        <f>AP828</f>
        <v>11.92</v>
      </c>
    </row>
    <row r="829" spans="1:43" ht="16" thickBot="1">
      <c r="A829" s="387" t="s">
        <v>2412</v>
      </c>
      <c r="B829" s="387" t="s">
        <v>2054</v>
      </c>
      <c r="C829" s="387" t="s">
        <v>6318</v>
      </c>
      <c r="D829" s="387" t="s">
        <v>6319</v>
      </c>
      <c r="E829" s="387">
        <v>10</v>
      </c>
      <c r="F829" s="387" t="s">
        <v>531</v>
      </c>
      <c r="G829" s="387">
        <v>200</v>
      </c>
      <c r="H829" s="387" t="s">
        <v>2297</v>
      </c>
      <c r="I829" s="387" t="s">
        <v>6309</v>
      </c>
      <c r="J829" s="387" t="s">
        <v>6302</v>
      </c>
      <c r="K829" s="387" t="s">
        <v>6320</v>
      </c>
      <c r="L829" s="387" t="s">
        <v>6311</v>
      </c>
      <c r="M829" s="387" t="s">
        <v>6312</v>
      </c>
      <c r="N829" s="388">
        <v>13.15</v>
      </c>
      <c r="O829" s="388">
        <v>14</v>
      </c>
      <c r="P829" s="387" t="s">
        <v>538</v>
      </c>
      <c r="Q829" s="387" t="s">
        <v>539</v>
      </c>
      <c r="R829" s="387" t="s">
        <v>6313</v>
      </c>
      <c r="S829" s="387" t="s">
        <v>171</v>
      </c>
      <c r="T829" s="387" t="s">
        <v>542</v>
      </c>
      <c r="U829" s="388">
        <v>1423624</v>
      </c>
      <c r="V829" s="387">
        <v>6006418001572</v>
      </c>
      <c r="W829" s="387" t="s">
        <v>543</v>
      </c>
      <c r="X829" s="387" t="s">
        <v>543</v>
      </c>
      <c r="Y829" s="387" t="s">
        <v>543</v>
      </c>
      <c r="Z829" s="387" t="s">
        <v>543</v>
      </c>
      <c r="AA829" s="388" t="s">
        <v>543</v>
      </c>
      <c r="AB829" s="388" t="s">
        <v>543</v>
      </c>
      <c r="AC829" s="387" t="s">
        <v>6321</v>
      </c>
      <c r="AD829" s="389">
        <v>1200</v>
      </c>
      <c r="AE829" s="390">
        <v>44137</v>
      </c>
      <c r="AF829" s="390">
        <v>45107</v>
      </c>
      <c r="AG829" s="390">
        <v>45107</v>
      </c>
      <c r="AH829" s="391" t="s">
        <v>6322</v>
      </c>
      <c r="AI829" s="391" t="s">
        <v>6316</v>
      </c>
      <c r="AJ829" s="391">
        <v>0</v>
      </c>
      <c r="AK829" s="390">
        <v>44137</v>
      </c>
      <c r="AL829" s="389">
        <v>100</v>
      </c>
      <c r="AM829" s="391" t="s">
        <v>548</v>
      </c>
      <c r="AN829" s="391" t="s">
        <v>545</v>
      </c>
      <c r="AO829" s="391" t="s">
        <v>6323</v>
      </c>
      <c r="AP829" s="372">
        <f>N829</f>
        <v>13.15</v>
      </c>
      <c r="AQ829" s="372">
        <f>AP829</f>
        <v>13.15</v>
      </c>
    </row>
    <row r="830" spans="1:43" ht="16" thickBot="1">
      <c r="A830" s="387" t="s">
        <v>2412</v>
      </c>
      <c r="B830" s="387" t="s">
        <v>557</v>
      </c>
      <c r="C830" s="387" t="s">
        <v>6324</v>
      </c>
      <c r="D830" s="387" t="s">
        <v>6325</v>
      </c>
      <c r="E830" s="387">
        <v>15</v>
      </c>
      <c r="F830" s="387" t="s">
        <v>531</v>
      </c>
      <c r="G830" s="387">
        <v>15</v>
      </c>
      <c r="H830" s="387" t="s">
        <v>531</v>
      </c>
      <c r="I830" s="387" t="s">
        <v>2438</v>
      </c>
      <c r="J830" s="387" t="s">
        <v>6302</v>
      </c>
      <c r="K830" s="387" t="s">
        <v>6326</v>
      </c>
      <c r="L830" s="387" t="s">
        <v>654</v>
      </c>
      <c r="M830" s="387" t="s">
        <v>655</v>
      </c>
      <c r="N830" s="388">
        <v>16.5</v>
      </c>
      <c r="O830" s="388">
        <v>14</v>
      </c>
      <c r="P830" s="387" t="s">
        <v>538</v>
      </c>
      <c r="Q830" s="387" t="s">
        <v>539</v>
      </c>
      <c r="R830" s="387" t="s">
        <v>6313</v>
      </c>
      <c r="S830" s="387" t="s">
        <v>171</v>
      </c>
      <c r="T830" s="387" t="s">
        <v>542</v>
      </c>
      <c r="U830" s="388">
        <v>947495</v>
      </c>
      <c r="V830" s="387">
        <v>6006409000461</v>
      </c>
      <c r="W830" s="387" t="s">
        <v>543</v>
      </c>
      <c r="X830" s="387" t="s">
        <v>543</v>
      </c>
      <c r="Y830" s="387">
        <v>16006409000468</v>
      </c>
      <c r="Z830" s="387" t="s">
        <v>543</v>
      </c>
      <c r="AA830" s="388">
        <v>26006409000465</v>
      </c>
      <c r="AB830" s="388" t="s">
        <v>543</v>
      </c>
      <c r="AC830" s="387" t="s">
        <v>543</v>
      </c>
      <c r="AD830" s="389" t="s">
        <v>6327</v>
      </c>
      <c r="AE830" s="390">
        <v>44137</v>
      </c>
      <c r="AF830" s="390">
        <v>45107</v>
      </c>
      <c r="AG830" s="390">
        <v>45107</v>
      </c>
      <c r="AH830" s="391" t="s">
        <v>6328</v>
      </c>
      <c r="AI830" s="391" t="s">
        <v>658</v>
      </c>
      <c r="AJ830" s="391">
        <v>0</v>
      </c>
      <c r="AK830" s="390">
        <v>44137</v>
      </c>
      <c r="AL830" s="389">
        <v>100</v>
      </c>
      <c r="AM830" s="391" t="s">
        <v>548</v>
      </c>
      <c r="AN830" s="391" t="s">
        <v>545</v>
      </c>
      <c r="AO830" s="391" t="s">
        <v>6329</v>
      </c>
    </row>
    <row r="831" spans="1:43" ht="16" thickBot="1">
      <c r="A831" s="387" t="s">
        <v>3950</v>
      </c>
      <c r="B831" s="387" t="s">
        <v>3713</v>
      </c>
      <c r="C831" s="387" t="s">
        <v>6330</v>
      </c>
      <c r="D831" s="387" t="s">
        <v>6331</v>
      </c>
      <c r="E831" s="387">
        <v>1</v>
      </c>
      <c r="F831" s="387" t="s">
        <v>531</v>
      </c>
      <c r="G831" s="387">
        <v>1</v>
      </c>
      <c r="H831" s="387" t="s">
        <v>531</v>
      </c>
      <c r="I831" s="387" t="s">
        <v>1751</v>
      </c>
      <c r="J831" s="387" t="s">
        <v>6332</v>
      </c>
      <c r="K831" s="387" t="s">
        <v>6333</v>
      </c>
      <c r="L831" s="387" t="s">
        <v>562</v>
      </c>
      <c r="M831" s="387" t="s">
        <v>563</v>
      </c>
      <c r="N831" s="388">
        <v>12.24</v>
      </c>
      <c r="O831" s="388">
        <v>14</v>
      </c>
      <c r="P831" s="387" t="s">
        <v>538</v>
      </c>
      <c r="Q831" s="387" t="s">
        <v>539</v>
      </c>
      <c r="R831" s="387" t="s">
        <v>6334</v>
      </c>
      <c r="S831" s="387" t="s">
        <v>541</v>
      </c>
      <c r="T831" s="387" t="s">
        <v>542</v>
      </c>
      <c r="U831" s="388">
        <v>2882817</v>
      </c>
      <c r="V831" s="387">
        <v>6009628333969</v>
      </c>
      <c r="W831" s="387">
        <v>6009628333969</v>
      </c>
      <c r="X831" s="387" t="s">
        <v>543</v>
      </c>
      <c r="Y831" s="387" t="s">
        <v>543</v>
      </c>
      <c r="Z831" s="387" t="s">
        <v>543</v>
      </c>
      <c r="AA831" s="388" t="s">
        <v>543</v>
      </c>
      <c r="AB831" s="388" t="s">
        <v>543</v>
      </c>
      <c r="AC831" s="387">
        <v>768510007</v>
      </c>
      <c r="AD831" s="389" t="s">
        <v>6335</v>
      </c>
      <c r="AE831" s="390">
        <v>44949</v>
      </c>
      <c r="AF831" s="390">
        <v>45412</v>
      </c>
      <c r="AG831" s="390">
        <v>45412</v>
      </c>
      <c r="AH831" s="391" t="s">
        <v>6336</v>
      </c>
      <c r="AI831" s="391" t="s">
        <v>565</v>
      </c>
      <c r="AJ831" s="391">
        <v>0</v>
      </c>
      <c r="AK831" s="390">
        <v>44949</v>
      </c>
      <c r="AL831" s="389">
        <v>45</v>
      </c>
      <c r="AM831" s="391" t="s">
        <v>548</v>
      </c>
      <c r="AN831" s="391" t="s">
        <v>549</v>
      </c>
      <c r="AO831" s="391" t="s">
        <v>6337</v>
      </c>
    </row>
    <row r="832" spans="1:43" ht="16" thickBot="1">
      <c r="A832" s="387" t="s">
        <v>3950</v>
      </c>
      <c r="B832" s="387" t="s">
        <v>3713</v>
      </c>
      <c r="C832" s="387" t="s">
        <v>6330</v>
      </c>
      <c r="D832" s="387" t="s">
        <v>6331</v>
      </c>
      <c r="E832" s="387">
        <v>1</v>
      </c>
      <c r="F832" s="387" t="s">
        <v>531</v>
      </c>
      <c r="G832" s="387">
        <v>1</v>
      </c>
      <c r="H832" s="387" t="s">
        <v>531</v>
      </c>
      <c r="I832" s="387" t="s">
        <v>1751</v>
      </c>
      <c r="J832" s="387" t="s">
        <v>6332</v>
      </c>
      <c r="K832" s="387" t="s">
        <v>6338</v>
      </c>
      <c r="L832" s="387" t="s">
        <v>6208</v>
      </c>
      <c r="M832" s="387" t="s">
        <v>6209</v>
      </c>
      <c r="N832" s="388">
        <v>15.25</v>
      </c>
      <c r="O832" s="388">
        <v>14</v>
      </c>
      <c r="P832" s="387" t="s">
        <v>538</v>
      </c>
      <c r="Q832" s="387" t="s">
        <v>539</v>
      </c>
      <c r="R832" s="387" t="s">
        <v>6334</v>
      </c>
      <c r="S832" s="387" t="s">
        <v>541</v>
      </c>
      <c r="T832" s="387" t="s">
        <v>542</v>
      </c>
      <c r="U832" s="388">
        <v>3523443</v>
      </c>
      <c r="V832" s="387">
        <v>6009671180367</v>
      </c>
      <c r="W832" s="387" t="s">
        <v>543</v>
      </c>
      <c r="X832" s="387" t="s">
        <v>543</v>
      </c>
      <c r="Y832" s="387">
        <v>16009671180367</v>
      </c>
      <c r="Z832" s="387" t="s">
        <v>543</v>
      </c>
      <c r="AA832" s="388" t="s">
        <v>543</v>
      </c>
      <c r="AB832" s="388" t="s">
        <v>543</v>
      </c>
      <c r="AC832" s="387">
        <v>705315001</v>
      </c>
      <c r="AD832" s="389" t="s">
        <v>3507</v>
      </c>
      <c r="AE832" s="390">
        <v>44949</v>
      </c>
      <c r="AF832" s="390">
        <v>45412</v>
      </c>
      <c r="AG832" s="390">
        <v>45412</v>
      </c>
      <c r="AH832" s="391" t="s">
        <v>6336</v>
      </c>
      <c r="AI832" s="391" t="s">
        <v>6212</v>
      </c>
      <c r="AJ832" s="391">
        <v>0</v>
      </c>
      <c r="AK832" s="390">
        <v>44949</v>
      </c>
      <c r="AL832" s="389">
        <v>55</v>
      </c>
      <c r="AM832" s="391" t="s">
        <v>548</v>
      </c>
      <c r="AN832" s="391" t="s">
        <v>549</v>
      </c>
      <c r="AO832" s="391" t="s">
        <v>6337</v>
      </c>
    </row>
    <row r="833" spans="1:43" ht="16" thickBot="1">
      <c r="A833" s="387" t="s">
        <v>3950</v>
      </c>
      <c r="B833" s="387" t="s">
        <v>6339</v>
      </c>
      <c r="C833" s="387" t="s">
        <v>6340</v>
      </c>
      <c r="D833" s="387" t="s">
        <v>6341</v>
      </c>
      <c r="E833" s="387">
        <v>1</v>
      </c>
      <c r="F833" s="387" t="s">
        <v>531</v>
      </c>
      <c r="G833" s="387">
        <v>1</v>
      </c>
      <c r="H833" s="387" t="s">
        <v>531</v>
      </c>
      <c r="I833" s="387" t="s">
        <v>1751</v>
      </c>
      <c r="J833" s="387" t="s">
        <v>6332</v>
      </c>
      <c r="K833" s="387" t="s">
        <v>6342</v>
      </c>
      <c r="L833" s="387" t="s">
        <v>6208</v>
      </c>
      <c r="M833" s="387" t="s">
        <v>6209</v>
      </c>
      <c r="N833" s="388">
        <v>14.77</v>
      </c>
      <c r="O833" s="388">
        <v>14</v>
      </c>
      <c r="P833" s="387" t="s">
        <v>538</v>
      </c>
      <c r="Q833" s="387" t="s">
        <v>539</v>
      </c>
      <c r="R833" s="387" t="s">
        <v>6334</v>
      </c>
      <c r="S833" s="387" t="s">
        <v>541</v>
      </c>
      <c r="T833" s="387" t="s">
        <v>542</v>
      </c>
      <c r="U833" s="388">
        <v>2063960</v>
      </c>
      <c r="V833" s="387">
        <v>6009671180527</v>
      </c>
      <c r="W833" s="387" t="s">
        <v>543</v>
      </c>
      <c r="X833" s="387" t="s">
        <v>543</v>
      </c>
      <c r="Y833" s="387">
        <v>16009671180527</v>
      </c>
      <c r="Z833" s="387" t="s">
        <v>543</v>
      </c>
      <c r="AA833" s="388" t="s">
        <v>543</v>
      </c>
      <c r="AB833" s="388" t="s">
        <v>543</v>
      </c>
      <c r="AC833" s="387">
        <v>708939001</v>
      </c>
      <c r="AD833" s="389" t="s">
        <v>3507</v>
      </c>
      <c r="AE833" s="390">
        <v>44949</v>
      </c>
      <c r="AF833" s="390">
        <v>45412</v>
      </c>
      <c r="AG833" s="390">
        <v>45412</v>
      </c>
      <c r="AH833" s="391" t="s">
        <v>6343</v>
      </c>
      <c r="AI833" s="391" t="s">
        <v>6212</v>
      </c>
      <c r="AJ833" s="391">
        <v>0</v>
      </c>
      <c r="AK833" s="390">
        <v>44949</v>
      </c>
      <c r="AL833" s="389">
        <v>100</v>
      </c>
      <c r="AM833" s="391" t="s">
        <v>548</v>
      </c>
      <c r="AN833" s="391" t="s">
        <v>549</v>
      </c>
      <c r="AO833" s="391" t="s">
        <v>6344</v>
      </c>
    </row>
    <row r="834" spans="1:43" ht="16" thickBot="1">
      <c r="A834" s="387" t="s">
        <v>2166</v>
      </c>
      <c r="B834" s="387" t="s">
        <v>3673</v>
      </c>
      <c r="C834" s="387" t="s">
        <v>6345</v>
      </c>
      <c r="D834" s="387" t="s">
        <v>6346</v>
      </c>
      <c r="E834" s="387">
        <v>1</v>
      </c>
      <c r="F834" s="387" t="s">
        <v>2396</v>
      </c>
      <c r="G834" s="387">
        <v>1</v>
      </c>
      <c r="H834" s="387" t="s">
        <v>2396</v>
      </c>
      <c r="I834" s="387" t="s">
        <v>6347</v>
      </c>
      <c r="J834" s="387" t="s">
        <v>6348</v>
      </c>
      <c r="K834" s="387" t="s">
        <v>6349</v>
      </c>
      <c r="L834" s="387" t="s">
        <v>2141</v>
      </c>
      <c r="M834" s="387" t="s">
        <v>2142</v>
      </c>
      <c r="N834" s="388">
        <v>24.73</v>
      </c>
      <c r="O834" s="388">
        <v>14</v>
      </c>
      <c r="P834" s="387" t="s">
        <v>3824</v>
      </c>
      <c r="Q834" s="387" t="s">
        <v>160</v>
      </c>
      <c r="R834" s="387" t="s">
        <v>6350</v>
      </c>
      <c r="S834" s="387" t="s">
        <v>160</v>
      </c>
      <c r="T834" s="387" t="s">
        <v>160</v>
      </c>
      <c r="U834" s="388">
        <v>26890</v>
      </c>
      <c r="V834" s="387" t="s">
        <v>543</v>
      </c>
      <c r="W834" s="387" t="s">
        <v>543</v>
      </c>
      <c r="X834" s="387" t="s">
        <v>543</v>
      </c>
      <c r="Y834" s="387" t="s">
        <v>543</v>
      </c>
      <c r="Z834" s="387" t="s">
        <v>543</v>
      </c>
      <c r="AA834" s="388" t="s">
        <v>543</v>
      </c>
      <c r="AB834" s="388" t="s">
        <v>543</v>
      </c>
      <c r="AC834" s="387" t="s">
        <v>543</v>
      </c>
      <c r="AD834" s="389">
        <v>10</v>
      </c>
      <c r="AE834" s="390">
        <v>44743</v>
      </c>
      <c r="AF834" s="390">
        <v>45473</v>
      </c>
      <c r="AG834" s="390">
        <v>45473</v>
      </c>
      <c r="AH834" s="391" t="s">
        <v>6351</v>
      </c>
      <c r="AI834" s="391" t="s">
        <v>2144</v>
      </c>
      <c r="AJ834" s="391">
        <v>12</v>
      </c>
      <c r="AK834" s="390">
        <v>45047</v>
      </c>
      <c r="AL834" s="389">
        <v>100</v>
      </c>
      <c r="AM834" s="391" t="s">
        <v>548</v>
      </c>
      <c r="AN834" s="391" t="s">
        <v>549</v>
      </c>
      <c r="AO834" s="391" t="s">
        <v>6352</v>
      </c>
    </row>
    <row r="835" spans="1:43" ht="16" thickBot="1">
      <c r="A835" s="387" t="s">
        <v>2166</v>
      </c>
      <c r="B835" s="387" t="s">
        <v>3302</v>
      </c>
      <c r="C835" s="387" t="s">
        <v>6353</v>
      </c>
      <c r="D835" s="387" t="s">
        <v>6354</v>
      </c>
      <c r="E835" s="387">
        <v>16.7</v>
      </c>
      <c r="F835" s="387" t="s">
        <v>531</v>
      </c>
      <c r="G835" s="387">
        <v>16.7</v>
      </c>
      <c r="H835" s="387" t="s">
        <v>531</v>
      </c>
      <c r="I835" s="387" t="s">
        <v>1751</v>
      </c>
      <c r="J835" s="387" t="s">
        <v>6355</v>
      </c>
      <c r="K835" s="387" t="s">
        <v>6356</v>
      </c>
      <c r="L835" s="387" t="s">
        <v>2141</v>
      </c>
      <c r="M835" s="387" t="s">
        <v>2142</v>
      </c>
      <c r="N835" s="388">
        <v>350.8</v>
      </c>
      <c r="O835" s="388">
        <v>14</v>
      </c>
      <c r="P835" s="387" t="s">
        <v>538</v>
      </c>
      <c r="Q835" s="387" t="s">
        <v>539</v>
      </c>
      <c r="R835" s="387" t="s">
        <v>6350</v>
      </c>
      <c r="S835" s="387" t="s">
        <v>171</v>
      </c>
      <c r="T835" s="387" t="s">
        <v>1908</v>
      </c>
      <c r="U835" s="388">
        <v>58414</v>
      </c>
      <c r="V835" s="387">
        <v>781718734288</v>
      </c>
      <c r="W835" s="387">
        <v>781718734462</v>
      </c>
      <c r="X835" s="387" t="s">
        <v>543</v>
      </c>
      <c r="Y835" s="387">
        <v>7817187344621</v>
      </c>
      <c r="Z835" s="387" t="s">
        <v>543</v>
      </c>
      <c r="AA835" s="388" t="s">
        <v>543</v>
      </c>
      <c r="AB835" s="388" t="s">
        <v>543</v>
      </c>
      <c r="AC835" s="387" t="s">
        <v>543</v>
      </c>
      <c r="AD835" s="389">
        <v>8</v>
      </c>
      <c r="AE835" s="390">
        <v>44743</v>
      </c>
      <c r="AF835" s="390">
        <v>45473</v>
      </c>
      <c r="AG835" s="390">
        <v>45473</v>
      </c>
      <c r="AH835" s="391" t="s">
        <v>6357</v>
      </c>
      <c r="AI835" s="391" t="s">
        <v>2144</v>
      </c>
      <c r="AJ835" s="391">
        <v>12</v>
      </c>
      <c r="AK835" s="390">
        <v>45047</v>
      </c>
      <c r="AL835" s="389">
        <v>100</v>
      </c>
      <c r="AM835" s="391" t="s">
        <v>548</v>
      </c>
      <c r="AN835" s="391" t="s">
        <v>549</v>
      </c>
      <c r="AO835" s="391" t="s">
        <v>6358</v>
      </c>
    </row>
    <row r="836" spans="1:43" ht="16" thickBot="1">
      <c r="A836" s="387" t="s">
        <v>2166</v>
      </c>
      <c r="B836" s="387" t="s">
        <v>3353</v>
      </c>
      <c r="C836" s="387" t="s">
        <v>6359</v>
      </c>
      <c r="D836" s="387" t="s">
        <v>6360</v>
      </c>
      <c r="E836" s="387">
        <v>5</v>
      </c>
      <c r="F836" s="387" t="s">
        <v>531</v>
      </c>
      <c r="G836" s="387">
        <v>5</v>
      </c>
      <c r="H836" s="387" t="s">
        <v>531</v>
      </c>
      <c r="I836" s="387" t="s">
        <v>1751</v>
      </c>
      <c r="J836" s="387" t="s">
        <v>6355</v>
      </c>
      <c r="K836" s="387" t="s">
        <v>6361</v>
      </c>
      <c r="L836" s="387" t="s">
        <v>2141</v>
      </c>
      <c r="M836" s="387" t="s">
        <v>2142</v>
      </c>
      <c r="N836" s="388">
        <v>131.02000000000001</v>
      </c>
      <c r="O836" s="388">
        <v>14</v>
      </c>
      <c r="P836" s="387" t="s">
        <v>538</v>
      </c>
      <c r="Q836" s="387" t="s">
        <v>539</v>
      </c>
      <c r="R836" s="387" t="s">
        <v>6350</v>
      </c>
      <c r="S836" s="387" t="s">
        <v>171</v>
      </c>
      <c r="T836" s="387" t="s">
        <v>1908</v>
      </c>
      <c r="U836" s="388">
        <v>15790</v>
      </c>
      <c r="V836" s="387">
        <v>781718734271</v>
      </c>
      <c r="W836" s="387">
        <v>781718734455</v>
      </c>
      <c r="X836" s="387" t="s">
        <v>543</v>
      </c>
      <c r="Y836" s="387">
        <v>7817187344551</v>
      </c>
      <c r="Z836" s="387" t="s">
        <v>543</v>
      </c>
      <c r="AA836" s="388" t="s">
        <v>543</v>
      </c>
      <c r="AB836" s="388" t="s">
        <v>543</v>
      </c>
      <c r="AC836" s="387" t="s">
        <v>543</v>
      </c>
      <c r="AD836" s="389">
        <v>10</v>
      </c>
      <c r="AE836" s="390">
        <v>44743</v>
      </c>
      <c r="AF836" s="390">
        <v>45473</v>
      </c>
      <c r="AG836" s="390">
        <v>45473</v>
      </c>
      <c r="AH836" s="391" t="s">
        <v>6362</v>
      </c>
      <c r="AI836" s="391" t="s">
        <v>2144</v>
      </c>
      <c r="AJ836" s="391">
        <v>12</v>
      </c>
      <c r="AK836" s="390">
        <v>45047</v>
      </c>
      <c r="AL836" s="389">
        <v>100</v>
      </c>
      <c r="AM836" s="391" t="s">
        <v>548</v>
      </c>
      <c r="AN836" s="391" t="s">
        <v>549</v>
      </c>
      <c r="AO836" s="391" t="s">
        <v>6363</v>
      </c>
    </row>
    <row r="837" spans="1:43" ht="16" thickBot="1">
      <c r="A837" s="387" t="s">
        <v>1717</v>
      </c>
      <c r="B837" s="387" t="s">
        <v>6364</v>
      </c>
      <c r="C837" s="387" t="s">
        <v>6365</v>
      </c>
      <c r="D837" s="387" t="s">
        <v>6366</v>
      </c>
      <c r="E837" s="387">
        <v>100</v>
      </c>
      <c r="F837" s="387" t="s">
        <v>584</v>
      </c>
      <c r="G837" s="387">
        <v>100</v>
      </c>
      <c r="H837" s="387" t="s">
        <v>584</v>
      </c>
      <c r="I837" s="387" t="s">
        <v>585</v>
      </c>
      <c r="J837" s="387" t="s">
        <v>6367</v>
      </c>
      <c r="K837" s="387" t="s">
        <v>6368</v>
      </c>
      <c r="L837" s="387" t="s">
        <v>4782</v>
      </c>
      <c r="M837" s="387" t="s">
        <v>4783</v>
      </c>
      <c r="N837" s="388">
        <v>562.70000000000005</v>
      </c>
      <c r="O837" s="388">
        <v>14</v>
      </c>
      <c r="P837" s="387" t="s">
        <v>538</v>
      </c>
      <c r="Q837" s="387" t="s">
        <v>539</v>
      </c>
      <c r="R837" s="387" t="s">
        <v>6369</v>
      </c>
      <c r="S837" s="387" t="s">
        <v>171</v>
      </c>
      <c r="T837" s="387" t="s">
        <v>757</v>
      </c>
      <c r="U837" s="388">
        <v>27366</v>
      </c>
      <c r="V837" s="387" t="s">
        <v>543</v>
      </c>
      <c r="W837" s="387" t="s">
        <v>543</v>
      </c>
      <c r="X837" s="387" t="s">
        <v>543</v>
      </c>
      <c r="Y837" s="387" t="s">
        <v>543</v>
      </c>
      <c r="Z837" s="387" t="s">
        <v>543</v>
      </c>
      <c r="AA837" s="388" t="s">
        <v>543</v>
      </c>
      <c r="AB837" s="388" t="s">
        <v>543</v>
      </c>
      <c r="AC837" s="387">
        <v>887162002</v>
      </c>
      <c r="AD837" s="389">
        <v>1</v>
      </c>
      <c r="AE837" s="390">
        <v>45047</v>
      </c>
      <c r="AF837" s="390">
        <v>46142</v>
      </c>
      <c r="AG837" s="391" t="s">
        <v>545</v>
      </c>
      <c r="AH837" s="391" t="s">
        <v>6370</v>
      </c>
      <c r="AI837" s="391" t="s">
        <v>4786</v>
      </c>
      <c r="AJ837" s="391">
        <v>0</v>
      </c>
      <c r="AK837" s="390">
        <v>45047</v>
      </c>
      <c r="AL837" s="389">
        <v>100</v>
      </c>
      <c r="AM837" s="391" t="s">
        <v>548</v>
      </c>
      <c r="AN837" s="391" t="s">
        <v>549</v>
      </c>
      <c r="AO837" s="391" t="s">
        <v>6371</v>
      </c>
    </row>
    <row r="838" spans="1:43" ht="16" thickBot="1">
      <c r="A838" s="387" t="s">
        <v>1717</v>
      </c>
      <c r="B838" s="387" t="s">
        <v>6372</v>
      </c>
      <c r="C838" s="387" t="s">
        <v>6373</v>
      </c>
      <c r="D838" s="387" t="s">
        <v>6374</v>
      </c>
      <c r="E838" s="387">
        <v>100</v>
      </c>
      <c r="F838" s="387" t="s">
        <v>584</v>
      </c>
      <c r="G838" s="387">
        <v>100</v>
      </c>
      <c r="H838" s="387" t="s">
        <v>584</v>
      </c>
      <c r="I838" s="387" t="s">
        <v>585</v>
      </c>
      <c r="J838" s="387" t="s">
        <v>6367</v>
      </c>
      <c r="K838" s="387" t="s">
        <v>6375</v>
      </c>
      <c r="L838" s="387" t="s">
        <v>4782</v>
      </c>
      <c r="M838" s="387" t="s">
        <v>4783</v>
      </c>
      <c r="N838" s="388">
        <v>1143.7</v>
      </c>
      <c r="O838" s="388">
        <v>14</v>
      </c>
      <c r="P838" s="387" t="s">
        <v>538</v>
      </c>
      <c r="Q838" s="387" t="s">
        <v>539</v>
      </c>
      <c r="R838" s="387" t="s">
        <v>6369</v>
      </c>
      <c r="S838" s="387" t="s">
        <v>171</v>
      </c>
      <c r="T838" s="387" t="s">
        <v>757</v>
      </c>
      <c r="U838" s="388">
        <v>26064</v>
      </c>
      <c r="V838" s="387" t="s">
        <v>543</v>
      </c>
      <c r="W838" s="387" t="s">
        <v>543</v>
      </c>
      <c r="X838" s="387" t="s">
        <v>543</v>
      </c>
      <c r="Y838" s="387" t="s">
        <v>543</v>
      </c>
      <c r="Z838" s="387" t="s">
        <v>543</v>
      </c>
      <c r="AA838" s="388" t="s">
        <v>543</v>
      </c>
      <c r="AB838" s="388" t="s">
        <v>543</v>
      </c>
      <c r="AC838" s="387">
        <v>822434008</v>
      </c>
      <c r="AD838" s="389">
        <v>1</v>
      </c>
      <c r="AE838" s="390">
        <v>45047</v>
      </c>
      <c r="AF838" s="390">
        <v>46142</v>
      </c>
      <c r="AG838" s="391" t="s">
        <v>545</v>
      </c>
      <c r="AH838" s="391" t="s">
        <v>6376</v>
      </c>
      <c r="AI838" s="391" t="s">
        <v>4786</v>
      </c>
      <c r="AJ838" s="391">
        <v>0</v>
      </c>
      <c r="AK838" s="390">
        <v>45047</v>
      </c>
      <c r="AL838" s="389">
        <v>100</v>
      </c>
      <c r="AM838" s="391" t="s">
        <v>548</v>
      </c>
      <c r="AN838" s="391" t="s">
        <v>549</v>
      </c>
      <c r="AO838" s="391" t="s">
        <v>6377</v>
      </c>
    </row>
    <row r="839" spans="1:43" ht="16" thickBot="1">
      <c r="A839" s="387" t="s">
        <v>1717</v>
      </c>
      <c r="B839" s="387" t="s">
        <v>6378</v>
      </c>
      <c r="C839" s="387" t="s">
        <v>6379</v>
      </c>
      <c r="D839" s="387" t="s">
        <v>6380</v>
      </c>
      <c r="E839" s="387">
        <v>28</v>
      </c>
      <c r="F839" s="387" t="s">
        <v>559</v>
      </c>
      <c r="G839" s="387">
        <v>28</v>
      </c>
      <c r="H839" s="387" t="s">
        <v>559</v>
      </c>
      <c r="I839" s="387" t="s">
        <v>560</v>
      </c>
      <c r="J839" s="387" t="s">
        <v>6381</v>
      </c>
      <c r="K839" s="387" t="s">
        <v>6382</v>
      </c>
      <c r="L839" s="387" t="s">
        <v>2200</v>
      </c>
      <c r="M839" s="387" t="s">
        <v>2201</v>
      </c>
      <c r="N839" s="388">
        <v>7.9</v>
      </c>
      <c r="O839" s="388">
        <v>14</v>
      </c>
      <c r="P839" s="387" t="s">
        <v>538</v>
      </c>
      <c r="Q839" s="387" t="s">
        <v>539</v>
      </c>
      <c r="R839" s="387" t="s">
        <v>6383</v>
      </c>
      <c r="S839" s="387" t="s">
        <v>171</v>
      </c>
      <c r="T839" s="387" t="s">
        <v>542</v>
      </c>
      <c r="U839" s="388">
        <v>1536092</v>
      </c>
      <c r="V839" s="387" t="s">
        <v>543</v>
      </c>
      <c r="W839" s="387" t="s">
        <v>543</v>
      </c>
      <c r="X839" s="387" t="s">
        <v>543</v>
      </c>
      <c r="Y839" s="387" t="s">
        <v>543</v>
      </c>
      <c r="Z839" s="387" t="s">
        <v>543</v>
      </c>
      <c r="AA839" s="388" t="s">
        <v>543</v>
      </c>
      <c r="AB839" s="388" t="s">
        <v>543</v>
      </c>
      <c r="AC839" s="387" t="s">
        <v>543</v>
      </c>
      <c r="AD839" s="389" t="s">
        <v>6384</v>
      </c>
      <c r="AE839" s="390">
        <v>45047</v>
      </c>
      <c r="AF839" s="390">
        <v>46142</v>
      </c>
      <c r="AG839" s="391" t="s">
        <v>545</v>
      </c>
      <c r="AH839" s="391" t="s">
        <v>6385</v>
      </c>
      <c r="AI839" s="391" t="s">
        <v>2203</v>
      </c>
      <c r="AJ839" s="391">
        <v>0</v>
      </c>
      <c r="AK839" s="390">
        <v>45047</v>
      </c>
      <c r="AL839" s="389">
        <v>100</v>
      </c>
      <c r="AM839" s="391" t="s">
        <v>548</v>
      </c>
      <c r="AN839" s="391" t="s">
        <v>549</v>
      </c>
      <c r="AO839" s="391" t="s">
        <v>6386</v>
      </c>
    </row>
    <row r="840" spans="1:43" ht="16" thickBot="1">
      <c r="A840" s="387" t="s">
        <v>1748</v>
      </c>
      <c r="B840" s="387" t="s">
        <v>3783</v>
      </c>
      <c r="C840" s="387" t="s">
        <v>6387</v>
      </c>
      <c r="D840" s="387" t="s">
        <v>6388</v>
      </c>
      <c r="E840" s="387">
        <v>1</v>
      </c>
      <c r="F840" s="387" t="s">
        <v>1780</v>
      </c>
      <c r="G840" s="387">
        <v>1</v>
      </c>
      <c r="H840" s="387" t="s">
        <v>1780</v>
      </c>
      <c r="I840" s="387" t="s">
        <v>1751</v>
      </c>
      <c r="J840" s="387" t="s">
        <v>6381</v>
      </c>
      <c r="K840" s="387" t="s">
        <v>6389</v>
      </c>
      <c r="L840" s="387" t="s">
        <v>1771</v>
      </c>
      <c r="M840" s="387" t="s">
        <v>1772</v>
      </c>
      <c r="N840" s="388">
        <v>22.94</v>
      </c>
      <c r="O840" s="388">
        <v>14</v>
      </c>
      <c r="P840" s="387" t="s">
        <v>611</v>
      </c>
      <c r="Q840" s="387" t="s">
        <v>668</v>
      </c>
      <c r="R840" s="387" t="s">
        <v>6383</v>
      </c>
      <c r="S840" s="387" t="s">
        <v>614</v>
      </c>
      <c r="T840" s="387" t="s">
        <v>160</v>
      </c>
      <c r="U840" s="388">
        <v>1042800</v>
      </c>
      <c r="V840" s="387" t="s">
        <v>543</v>
      </c>
      <c r="W840" s="387" t="s">
        <v>543</v>
      </c>
      <c r="X840" s="387" t="s">
        <v>543</v>
      </c>
      <c r="Y840" s="387" t="s">
        <v>543</v>
      </c>
      <c r="Z840" s="387" t="s">
        <v>543</v>
      </c>
      <c r="AA840" s="388" t="s">
        <v>543</v>
      </c>
      <c r="AB840" s="388" t="s">
        <v>543</v>
      </c>
      <c r="AC840" s="387" t="s">
        <v>543</v>
      </c>
      <c r="AD840" s="389">
        <v>10</v>
      </c>
      <c r="AE840" s="390">
        <v>44317</v>
      </c>
      <c r="AF840" s="390">
        <v>45412</v>
      </c>
      <c r="AG840" s="391" t="s">
        <v>545</v>
      </c>
      <c r="AH840" s="391" t="s">
        <v>6390</v>
      </c>
      <c r="AI840" s="391" t="s">
        <v>1776</v>
      </c>
      <c r="AJ840" s="391">
        <v>0</v>
      </c>
      <c r="AK840" s="390">
        <v>44317</v>
      </c>
      <c r="AL840" s="389">
        <v>100</v>
      </c>
      <c r="AM840" s="391" t="s">
        <v>548</v>
      </c>
      <c r="AN840" s="391" t="s">
        <v>549</v>
      </c>
      <c r="AO840" s="391" t="s">
        <v>6391</v>
      </c>
    </row>
    <row r="841" spans="1:43" ht="16" thickBot="1">
      <c r="A841" s="387" t="s">
        <v>1717</v>
      </c>
      <c r="B841" s="387" t="s">
        <v>6392</v>
      </c>
      <c r="C841" s="387" t="s">
        <v>6393</v>
      </c>
      <c r="D841" s="387" t="s">
        <v>6394</v>
      </c>
      <c r="E841" s="387">
        <v>14</v>
      </c>
      <c r="F841" s="387" t="s">
        <v>559</v>
      </c>
      <c r="G841" s="387">
        <v>14</v>
      </c>
      <c r="H841" s="387" t="s">
        <v>559</v>
      </c>
      <c r="I841" s="387" t="s">
        <v>560</v>
      </c>
      <c r="J841" s="387" t="s">
        <v>6381</v>
      </c>
      <c r="K841" s="387" t="s">
        <v>6395</v>
      </c>
      <c r="L841" s="387" t="s">
        <v>2200</v>
      </c>
      <c r="M841" s="387" t="s">
        <v>2201</v>
      </c>
      <c r="N841" s="388">
        <v>6.24</v>
      </c>
      <c r="O841" s="388">
        <v>14</v>
      </c>
      <c r="P841" s="387" t="s">
        <v>538</v>
      </c>
      <c r="Q841" s="387" t="s">
        <v>539</v>
      </c>
      <c r="R841" s="387" t="s">
        <v>6383</v>
      </c>
      <c r="S841" s="387" t="s">
        <v>171</v>
      </c>
      <c r="T841" s="387" t="s">
        <v>542</v>
      </c>
      <c r="U841" s="388">
        <v>5846436</v>
      </c>
      <c r="V841" s="387" t="s">
        <v>543</v>
      </c>
      <c r="W841" s="387" t="s">
        <v>543</v>
      </c>
      <c r="X841" s="387" t="s">
        <v>543</v>
      </c>
      <c r="Y841" s="387" t="s">
        <v>543</v>
      </c>
      <c r="Z841" s="387" t="s">
        <v>543</v>
      </c>
      <c r="AA841" s="388" t="s">
        <v>543</v>
      </c>
      <c r="AB841" s="388" t="s">
        <v>543</v>
      </c>
      <c r="AC841" s="387" t="s">
        <v>543</v>
      </c>
      <c r="AD841" s="389" t="s">
        <v>6396</v>
      </c>
      <c r="AE841" s="390">
        <v>45047</v>
      </c>
      <c r="AF841" s="390">
        <v>46142</v>
      </c>
      <c r="AG841" s="391" t="s">
        <v>545</v>
      </c>
      <c r="AH841" s="391" t="s">
        <v>6397</v>
      </c>
      <c r="AI841" s="391" t="s">
        <v>2203</v>
      </c>
      <c r="AJ841" s="391">
        <v>0</v>
      </c>
      <c r="AK841" s="390">
        <v>45047</v>
      </c>
      <c r="AL841" s="389">
        <v>100</v>
      </c>
      <c r="AM841" s="391" t="s">
        <v>548</v>
      </c>
      <c r="AN841" s="391" t="s">
        <v>549</v>
      </c>
      <c r="AO841" s="391" t="s">
        <v>6398</v>
      </c>
    </row>
    <row r="842" spans="1:43" ht="16" thickBot="1">
      <c r="A842" s="387" t="s">
        <v>1717</v>
      </c>
      <c r="B842" s="387" t="s">
        <v>6399</v>
      </c>
      <c r="C842" s="387" t="s">
        <v>6400</v>
      </c>
      <c r="D842" s="387" t="s">
        <v>6401</v>
      </c>
      <c r="E842" s="387">
        <v>28</v>
      </c>
      <c r="F842" s="387" t="s">
        <v>559</v>
      </c>
      <c r="G842" s="387">
        <v>28</v>
      </c>
      <c r="H842" s="387" t="s">
        <v>559</v>
      </c>
      <c r="I842" s="387" t="s">
        <v>560</v>
      </c>
      <c r="J842" s="387" t="s">
        <v>6381</v>
      </c>
      <c r="K842" s="387" t="s">
        <v>6402</v>
      </c>
      <c r="L842" s="387" t="s">
        <v>1761</v>
      </c>
      <c r="M842" s="387" t="s">
        <v>1762</v>
      </c>
      <c r="N842" s="388">
        <v>8.1199999999999992</v>
      </c>
      <c r="O842" s="388">
        <v>14</v>
      </c>
      <c r="P842" s="387" t="s">
        <v>538</v>
      </c>
      <c r="Q842" s="387" t="s">
        <v>539</v>
      </c>
      <c r="R842" s="387" t="s">
        <v>6383</v>
      </c>
      <c r="S842" s="387" t="s">
        <v>171</v>
      </c>
      <c r="T842" s="387" t="s">
        <v>542</v>
      </c>
      <c r="U842" s="388">
        <v>11801966</v>
      </c>
      <c r="V842" s="387" t="s">
        <v>543</v>
      </c>
      <c r="W842" s="387" t="s">
        <v>543</v>
      </c>
      <c r="X842" s="387" t="s">
        <v>543</v>
      </c>
      <c r="Y842" s="387" t="s">
        <v>543</v>
      </c>
      <c r="Z842" s="387" t="s">
        <v>543</v>
      </c>
      <c r="AA842" s="388" t="s">
        <v>543</v>
      </c>
      <c r="AB842" s="388" t="s">
        <v>543</v>
      </c>
      <c r="AC842" s="387" t="s">
        <v>543</v>
      </c>
      <c r="AD842" s="389">
        <v>50</v>
      </c>
      <c r="AE842" s="390">
        <v>45047</v>
      </c>
      <c r="AF842" s="390">
        <v>46142</v>
      </c>
      <c r="AG842" s="391" t="s">
        <v>545</v>
      </c>
      <c r="AH842" s="391" t="s">
        <v>6403</v>
      </c>
      <c r="AI842" s="391" t="s">
        <v>1764</v>
      </c>
      <c r="AJ842" s="391">
        <v>0</v>
      </c>
      <c r="AK842" s="390">
        <v>45047</v>
      </c>
      <c r="AL842" s="389">
        <v>100</v>
      </c>
      <c r="AM842" s="391" t="s">
        <v>548</v>
      </c>
      <c r="AN842" s="391" t="s">
        <v>549</v>
      </c>
      <c r="AO842" s="391" t="s">
        <v>6398</v>
      </c>
    </row>
    <row r="843" spans="1:43" ht="16" thickBot="1">
      <c r="A843" s="387" t="s">
        <v>1729</v>
      </c>
      <c r="B843" s="387" t="s">
        <v>2622</v>
      </c>
      <c r="C843" s="387" t="s">
        <v>6404</v>
      </c>
      <c r="D843" s="387" t="s">
        <v>6405</v>
      </c>
      <c r="E843" s="387">
        <v>100</v>
      </c>
      <c r="F843" s="387" t="s">
        <v>531</v>
      </c>
      <c r="G843" s="387">
        <v>100</v>
      </c>
      <c r="H843" s="387" t="s">
        <v>531</v>
      </c>
      <c r="I843" s="387" t="s">
        <v>848</v>
      </c>
      <c r="J843" s="387" t="s">
        <v>6406</v>
      </c>
      <c r="K843" s="387" t="s">
        <v>6407</v>
      </c>
      <c r="L843" s="387" t="s">
        <v>1855</v>
      </c>
      <c r="M843" s="387" t="s">
        <v>1856</v>
      </c>
      <c r="N843" s="388">
        <v>5.0199999999999996</v>
      </c>
      <c r="O843" s="388">
        <v>14</v>
      </c>
      <c r="P843" s="387" t="s">
        <v>538</v>
      </c>
      <c r="Q843" s="387" t="s">
        <v>539</v>
      </c>
      <c r="R843" s="387" t="s">
        <v>6408</v>
      </c>
      <c r="S843" s="387" t="s">
        <v>171</v>
      </c>
      <c r="T843" s="387" t="s">
        <v>542</v>
      </c>
      <c r="U843" s="388">
        <v>13906662</v>
      </c>
      <c r="V843" s="387">
        <v>6001668007947</v>
      </c>
      <c r="W843" s="387" t="s">
        <v>543</v>
      </c>
      <c r="X843" s="387" t="s">
        <v>543</v>
      </c>
      <c r="Y843" s="387">
        <v>16001668007951</v>
      </c>
      <c r="Z843" s="387" t="s">
        <v>543</v>
      </c>
      <c r="AA843" s="388" t="s">
        <v>543</v>
      </c>
      <c r="AB843" s="388" t="s">
        <v>543</v>
      </c>
      <c r="AC843" s="387" t="s">
        <v>543</v>
      </c>
      <c r="AD843" s="389">
        <v>120</v>
      </c>
      <c r="AE843" s="390">
        <v>44105</v>
      </c>
      <c r="AF843" s="390">
        <v>45199</v>
      </c>
      <c r="AG843" s="390">
        <v>45199</v>
      </c>
      <c r="AH843" s="391" t="s">
        <v>6409</v>
      </c>
      <c r="AI843" s="391" t="s">
        <v>1859</v>
      </c>
      <c r="AJ843" s="391">
        <v>17</v>
      </c>
      <c r="AK843" s="390">
        <v>45040</v>
      </c>
      <c r="AL843" s="389">
        <v>100</v>
      </c>
      <c r="AM843" s="391" t="s">
        <v>548</v>
      </c>
      <c r="AN843" s="391" t="s">
        <v>545</v>
      </c>
      <c r="AO843" s="391" t="s">
        <v>6410</v>
      </c>
      <c r="AP843" s="372">
        <f>N843/E843</f>
        <v>5.0199999999999995E-2</v>
      </c>
      <c r="AQ843" s="372">
        <f>AP843</f>
        <v>5.0199999999999995E-2</v>
      </c>
    </row>
    <row r="844" spans="1:43" ht="16" thickBot="1">
      <c r="A844" s="387" t="s">
        <v>1729</v>
      </c>
      <c r="B844" s="387" t="s">
        <v>2679</v>
      </c>
      <c r="C844" s="387" t="s">
        <v>6411</v>
      </c>
      <c r="D844" s="387" t="s">
        <v>6412</v>
      </c>
      <c r="E844" s="387">
        <v>50</v>
      </c>
      <c r="F844" s="387" t="s">
        <v>531</v>
      </c>
      <c r="G844" s="387">
        <v>50</v>
      </c>
      <c r="H844" s="387" t="s">
        <v>531</v>
      </c>
      <c r="I844" s="387" t="s">
        <v>848</v>
      </c>
      <c r="J844" s="387" t="s">
        <v>6406</v>
      </c>
      <c r="K844" s="387" t="s">
        <v>6407</v>
      </c>
      <c r="L844" s="387" t="s">
        <v>1855</v>
      </c>
      <c r="M844" s="387" t="s">
        <v>1856</v>
      </c>
      <c r="N844" s="388">
        <v>3.06</v>
      </c>
      <c r="O844" s="388">
        <v>14</v>
      </c>
      <c r="P844" s="387" t="s">
        <v>538</v>
      </c>
      <c r="Q844" s="387" t="s">
        <v>539</v>
      </c>
      <c r="R844" s="387" t="s">
        <v>6408</v>
      </c>
      <c r="S844" s="387" t="s">
        <v>171</v>
      </c>
      <c r="T844" s="387" t="s">
        <v>542</v>
      </c>
      <c r="U844" s="388">
        <v>13705374</v>
      </c>
      <c r="V844" s="387">
        <v>6001668007923</v>
      </c>
      <c r="W844" s="387" t="s">
        <v>543</v>
      </c>
      <c r="X844" s="387" t="s">
        <v>543</v>
      </c>
      <c r="Y844" s="387">
        <v>16001668007937</v>
      </c>
      <c r="Z844" s="387" t="s">
        <v>543</v>
      </c>
      <c r="AA844" s="388" t="s">
        <v>543</v>
      </c>
      <c r="AB844" s="388" t="s">
        <v>543</v>
      </c>
      <c r="AC844" s="387" t="s">
        <v>543</v>
      </c>
      <c r="AD844" s="389">
        <v>150</v>
      </c>
      <c r="AE844" s="390">
        <v>44105</v>
      </c>
      <c r="AF844" s="390">
        <v>45199</v>
      </c>
      <c r="AG844" s="390">
        <v>45199</v>
      </c>
      <c r="AH844" s="391" t="s">
        <v>6413</v>
      </c>
      <c r="AI844" s="391" t="s">
        <v>1859</v>
      </c>
      <c r="AJ844" s="391">
        <v>17</v>
      </c>
      <c r="AK844" s="390">
        <v>45040</v>
      </c>
      <c r="AL844" s="389">
        <v>100</v>
      </c>
      <c r="AM844" s="391" t="s">
        <v>548</v>
      </c>
      <c r="AN844" s="391" t="s">
        <v>545</v>
      </c>
      <c r="AO844" s="391" t="s">
        <v>6410</v>
      </c>
    </row>
    <row r="845" spans="1:43" ht="16" thickBot="1">
      <c r="A845" s="387" t="s">
        <v>1729</v>
      </c>
      <c r="B845" s="387" t="s">
        <v>2671</v>
      </c>
      <c r="C845" s="387" t="s">
        <v>6414</v>
      </c>
      <c r="D845" s="387" t="s">
        <v>6415</v>
      </c>
      <c r="E845" s="387">
        <v>500</v>
      </c>
      <c r="F845" s="387" t="s">
        <v>531</v>
      </c>
      <c r="G845" s="387">
        <v>500</v>
      </c>
      <c r="H845" s="387" t="s">
        <v>531</v>
      </c>
      <c r="I845" s="387" t="s">
        <v>848</v>
      </c>
      <c r="J845" s="387" t="s">
        <v>6406</v>
      </c>
      <c r="K845" s="387" t="s">
        <v>6407</v>
      </c>
      <c r="L845" s="387" t="s">
        <v>1855</v>
      </c>
      <c r="M845" s="387" t="s">
        <v>1856</v>
      </c>
      <c r="N845" s="388">
        <v>21.59</v>
      </c>
      <c r="O845" s="388">
        <v>14</v>
      </c>
      <c r="P845" s="387" t="s">
        <v>538</v>
      </c>
      <c r="Q845" s="387" t="s">
        <v>539</v>
      </c>
      <c r="R845" s="387" t="s">
        <v>6408</v>
      </c>
      <c r="S845" s="387" t="s">
        <v>171</v>
      </c>
      <c r="T845" s="387" t="s">
        <v>542</v>
      </c>
      <c r="U845" s="388">
        <v>204560</v>
      </c>
      <c r="V845" s="387">
        <v>6001668007961</v>
      </c>
      <c r="W845" s="387" t="s">
        <v>543</v>
      </c>
      <c r="X845" s="387" t="s">
        <v>543</v>
      </c>
      <c r="Y845" s="387">
        <v>16001668007975</v>
      </c>
      <c r="Z845" s="387" t="s">
        <v>543</v>
      </c>
      <c r="AA845" s="388" t="s">
        <v>543</v>
      </c>
      <c r="AB845" s="388" t="s">
        <v>543</v>
      </c>
      <c r="AC845" s="387" t="s">
        <v>543</v>
      </c>
      <c r="AD845" s="389">
        <v>30</v>
      </c>
      <c r="AE845" s="390">
        <v>44105</v>
      </c>
      <c r="AF845" s="390">
        <v>45199</v>
      </c>
      <c r="AG845" s="390">
        <v>45199</v>
      </c>
      <c r="AH845" s="391" t="s">
        <v>6416</v>
      </c>
      <c r="AI845" s="391" t="s">
        <v>1859</v>
      </c>
      <c r="AJ845" s="391">
        <v>17</v>
      </c>
      <c r="AK845" s="390">
        <v>45040</v>
      </c>
      <c r="AL845" s="389">
        <v>100</v>
      </c>
      <c r="AM845" s="391" t="s">
        <v>548</v>
      </c>
      <c r="AN845" s="391" t="s">
        <v>545</v>
      </c>
      <c r="AO845" s="391" t="s">
        <v>6410</v>
      </c>
    </row>
    <row r="846" spans="1:43" ht="16" thickBot="1">
      <c r="A846" s="387" t="s">
        <v>1748</v>
      </c>
      <c r="B846" s="387" t="s">
        <v>5932</v>
      </c>
      <c r="C846" s="387" t="s">
        <v>6417</v>
      </c>
      <c r="D846" s="387" t="s">
        <v>6418</v>
      </c>
      <c r="E846" s="387">
        <v>100</v>
      </c>
      <c r="F846" s="387" t="s">
        <v>531</v>
      </c>
      <c r="G846" s="387">
        <v>100</v>
      </c>
      <c r="H846" s="387" t="s">
        <v>531</v>
      </c>
      <c r="I846" s="387" t="s">
        <v>1838</v>
      </c>
      <c r="J846" s="387" t="s">
        <v>6406</v>
      </c>
      <c r="K846" s="387" t="s">
        <v>6419</v>
      </c>
      <c r="L846" s="387" t="s">
        <v>1905</v>
      </c>
      <c r="M846" s="387" t="s">
        <v>1906</v>
      </c>
      <c r="N846" s="388">
        <v>11.86</v>
      </c>
      <c r="O846" s="388">
        <v>14</v>
      </c>
      <c r="P846" s="387" t="s">
        <v>611</v>
      </c>
      <c r="Q846" s="387" t="s">
        <v>4933</v>
      </c>
      <c r="R846" s="387" t="s">
        <v>6408</v>
      </c>
      <c r="S846" s="387" t="s">
        <v>614</v>
      </c>
      <c r="T846" s="387" t="s">
        <v>160</v>
      </c>
      <c r="U846" s="388">
        <v>1585240</v>
      </c>
      <c r="V846" s="387" t="s">
        <v>543</v>
      </c>
      <c r="W846" s="387" t="s">
        <v>543</v>
      </c>
      <c r="X846" s="387" t="s">
        <v>543</v>
      </c>
      <c r="Y846" s="387" t="s">
        <v>543</v>
      </c>
      <c r="Z846" s="387" t="s">
        <v>543</v>
      </c>
      <c r="AA846" s="388" t="s">
        <v>543</v>
      </c>
      <c r="AB846" s="388" t="s">
        <v>543</v>
      </c>
      <c r="AC846" s="387" t="s">
        <v>543</v>
      </c>
      <c r="AD846" s="389">
        <v>10</v>
      </c>
      <c r="AE846" s="390">
        <v>44317</v>
      </c>
      <c r="AF846" s="390">
        <v>45412</v>
      </c>
      <c r="AG846" s="390">
        <v>45412</v>
      </c>
      <c r="AH846" s="391" t="s">
        <v>6420</v>
      </c>
      <c r="AI846" s="391" t="s">
        <v>1910</v>
      </c>
      <c r="AJ846" s="391">
        <v>10</v>
      </c>
      <c r="AK846" s="390">
        <v>44896</v>
      </c>
      <c r="AL846" s="389">
        <v>100</v>
      </c>
      <c r="AM846" s="391" t="s">
        <v>548</v>
      </c>
      <c r="AN846" s="391" t="s">
        <v>549</v>
      </c>
      <c r="AO846" s="391" t="s">
        <v>6421</v>
      </c>
    </row>
    <row r="847" spans="1:43" ht="16" thickBot="1">
      <c r="A847" s="387" t="s">
        <v>1717</v>
      </c>
      <c r="B847" s="387" t="s">
        <v>6422</v>
      </c>
      <c r="C847" s="387" t="s">
        <v>6423</v>
      </c>
      <c r="D847" s="387" t="s">
        <v>6424</v>
      </c>
      <c r="E847" s="387">
        <v>100</v>
      </c>
      <c r="F847" s="387" t="s">
        <v>559</v>
      </c>
      <c r="G847" s="387">
        <v>100</v>
      </c>
      <c r="H847" s="387" t="s">
        <v>559</v>
      </c>
      <c r="I847" s="387" t="s">
        <v>560</v>
      </c>
      <c r="J847" s="387" t="s">
        <v>6406</v>
      </c>
      <c r="K847" s="387" t="s">
        <v>6425</v>
      </c>
      <c r="L847" s="387" t="s">
        <v>1809</v>
      </c>
      <c r="M847" s="387" t="s">
        <v>1810</v>
      </c>
      <c r="N847" s="388">
        <v>17.46</v>
      </c>
      <c r="O847" s="388">
        <v>14</v>
      </c>
      <c r="P847" s="387" t="s">
        <v>538</v>
      </c>
      <c r="Q847" s="387" t="s">
        <v>539</v>
      </c>
      <c r="R847" s="387" t="s">
        <v>6408</v>
      </c>
      <c r="S847" s="387" t="s">
        <v>171</v>
      </c>
      <c r="T847" s="387" t="s">
        <v>542</v>
      </c>
      <c r="U847" s="388">
        <v>2343891</v>
      </c>
      <c r="V847" s="387" t="s">
        <v>543</v>
      </c>
      <c r="W847" s="387" t="s">
        <v>543</v>
      </c>
      <c r="X847" s="387" t="s">
        <v>543</v>
      </c>
      <c r="Y847" s="387" t="s">
        <v>543</v>
      </c>
      <c r="Z847" s="387" t="s">
        <v>543</v>
      </c>
      <c r="AA847" s="388" t="s">
        <v>543</v>
      </c>
      <c r="AB847" s="388" t="s">
        <v>543</v>
      </c>
      <c r="AC847" s="387" t="s">
        <v>543</v>
      </c>
      <c r="AD847" s="389">
        <v>150</v>
      </c>
      <c r="AE847" s="390">
        <v>45047</v>
      </c>
      <c r="AF847" s="390">
        <v>46142</v>
      </c>
      <c r="AG847" s="391" t="s">
        <v>545</v>
      </c>
      <c r="AH847" s="391" t="s">
        <v>6426</v>
      </c>
      <c r="AI847" s="391" t="s">
        <v>1813</v>
      </c>
      <c r="AJ847" s="391">
        <v>0</v>
      </c>
      <c r="AK847" s="390">
        <v>45047</v>
      </c>
      <c r="AL847" s="389">
        <v>30.09</v>
      </c>
      <c r="AM847" s="391" t="s">
        <v>548</v>
      </c>
      <c r="AN847" s="391" t="s">
        <v>549</v>
      </c>
      <c r="AO847" s="391" t="s">
        <v>6427</v>
      </c>
    </row>
    <row r="848" spans="1:43" ht="16" thickBot="1">
      <c r="A848" s="387" t="s">
        <v>1717</v>
      </c>
      <c r="B848" s="387" t="s">
        <v>6422</v>
      </c>
      <c r="C848" s="387" t="s">
        <v>6423</v>
      </c>
      <c r="D848" s="387" t="s">
        <v>6424</v>
      </c>
      <c r="E848" s="387">
        <v>100</v>
      </c>
      <c r="F848" s="387" t="s">
        <v>559</v>
      </c>
      <c r="G848" s="387">
        <v>100</v>
      </c>
      <c r="H848" s="387" t="s">
        <v>559</v>
      </c>
      <c r="I848" s="387" t="s">
        <v>560</v>
      </c>
      <c r="J848" s="387" t="s">
        <v>6406</v>
      </c>
      <c r="K848" s="387" t="s">
        <v>6428</v>
      </c>
      <c r="L848" s="387" t="s">
        <v>654</v>
      </c>
      <c r="M848" s="387" t="s">
        <v>655</v>
      </c>
      <c r="N848" s="388">
        <v>13.97</v>
      </c>
      <c r="O848" s="388">
        <v>14</v>
      </c>
      <c r="P848" s="387" t="s">
        <v>538</v>
      </c>
      <c r="Q848" s="387" t="s">
        <v>539</v>
      </c>
      <c r="R848" s="387" t="s">
        <v>6408</v>
      </c>
      <c r="S848" s="387" t="s">
        <v>171</v>
      </c>
      <c r="T848" s="387" t="s">
        <v>542</v>
      </c>
      <c r="U848" s="388">
        <v>2993510</v>
      </c>
      <c r="V848" s="387">
        <v>6004405009020</v>
      </c>
      <c r="W848" s="387">
        <v>6004405009020</v>
      </c>
      <c r="X848" s="387" t="s">
        <v>543</v>
      </c>
      <c r="Y848" s="387">
        <v>16004405009027</v>
      </c>
      <c r="Z848" s="387" t="s">
        <v>543</v>
      </c>
      <c r="AA848" s="388" t="s">
        <v>543</v>
      </c>
      <c r="AB848" s="388" t="s">
        <v>543</v>
      </c>
      <c r="AC848" s="387" t="s">
        <v>543</v>
      </c>
      <c r="AD848" s="389">
        <v>100</v>
      </c>
      <c r="AE848" s="390">
        <v>45047</v>
      </c>
      <c r="AF848" s="390">
        <v>46142</v>
      </c>
      <c r="AG848" s="391" t="s">
        <v>545</v>
      </c>
      <c r="AH848" s="391" t="s">
        <v>6426</v>
      </c>
      <c r="AI848" s="391" t="s">
        <v>658</v>
      </c>
      <c r="AJ848" s="391">
        <v>0</v>
      </c>
      <c r="AK848" s="390">
        <v>45047</v>
      </c>
      <c r="AL848" s="389">
        <v>38.43</v>
      </c>
      <c r="AM848" s="391" t="s">
        <v>548</v>
      </c>
      <c r="AN848" s="391" t="s">
        <v>549</v>
      </c>
      <c r="AO848" s="391" t="s">
        <v>6427</v>
      </c>
    </row>
    <row r="849" spans="1:43" ht="16" thickBot="1">
      <c r="A849" s="387" t="s">
        <v>1717</v>
      </c>
      <c r="B849" s="387" t="s">
        <v>6422</v>
      </c>
      <c r="C849" s="387" t="s">
        <v>6423</v>
      </c>
      <c r="D849" s="387" t="s">
        <v>6424</v>
      </c>
      <c r="E849" s="387">
        <v>100</v>
      </c>
      <c r="F849" s="387" t="s">
        <v>559</v>
      </c>
      <c r="G849" s="387">
        <v>100</v>
      </c>
      <c r="H849" s="387" t="s">
        <v>559</v>
      </c>
      <c r="I849" s="387" t="s">
        <v>560</v>
      </c>
      <c r="J849" s="387" t="s">
        <v>6406</v>
      </c>
      <c r="K849" s="387" t="s">
        <v>6429</v>
      </c>
      <c r="L849" s="387" t="s">
        <v>576</v>
      </c>
      <c r="M849" s="387" t="s">
        <v>577</v>
      </c>
      <c r="N849" s="388">
        <v>16.899999999999999</v>
      </c>
      <c r="O849" s="388">
        <v>14</v>
      </c>
      <c r="P849" s="387" t="s">
        <v>538</v>
      </c>
      <c r="Q849" s="387" t="s">
        <v>539</v>
      </c>
      <c r="R849" s="387" t="s">
        <v>6408</v>
      </c>
      <c r="S849" s="387" t="s">
        <v>171</v>
      </c>
      <c r="T849" s="387" t="s">
        <v>542</v>
      </c>
      <c r="U849" s="388">
        <v>2452980</v>
      </c>
      <c r="V849" s="387">
        <v>6009688290042</v>
      </c>
      <c r="W849" s="387" t="s">
        <v>543</v>
      </c>
      <c r="X849" s="387" t="s">
        <v>543</v>
      </c>
      <c r="Y849" s="387">
        <v>16009688290049</v>
      </c>
      <c r="Z849" s="387" t="s">
        <v>543</v>
      </c>
      <c r="AA849" s="388" t="s">
        <v>543</v>
      </c>
      <c r="AB849" s="388" t="s">
        <v>543</v>
      </c>
      <c r="AC849" s="387">
        <v>704465001</v>
      </c>
      <c r="AD849" s="389" t="s">
        <v>6430</v>
      </c>
      <c r="AE849" s="390">
        <v>45047</v>
      </c>
      <c r="AF849" s="390">
        <v>46142</v>
      </c>
      <c r="AG849" s="391" t="s">
        <v>545</v>
      </c>
      <c r="AH849" s="391" t="s">
        <v>6426</v>
      </c>
      <c r="AI849" s="391" t="s">
        <v>580</v>
      </c>
      <c r="AJ849" s="391">
        <v>0</v>
      </c>
      <c r="AK849" s="390">
        <v>45047</v>
      </c>
      <c r="AL849" s="389">
        <v>31.49</v>
      </c>
      <c r="AM849" s="391" t="s">
        <v>548</v>
      </c>
      <c r="AN849" s="391" t="s">
        <v>549</v>
      </c>
      <c r="AO849" s="391" t="s">
        <v>6427</v>
      </c>
    </row>
    <row r="850" spans="1:43" ht="16" thickBot="1">
      <c r="A850" s="387" t="s">
        <v>1717</v>
      </c>
      <c r="B850" s="387" t="s">
        <v>6431</v>
      </c>
      <c r="C850" s="387" t="s">
        <v>6432</v>
      </c>
      <c r="D850" s="387" t="s">
        <v>6433</v>
      </c>
      <c r="E850" s="387">
        <v>20</v>
      </c>
      <c r="F850" s="387" t="s">
        <v>559</v>
      </c>
      <c r="G850" s="387">
        <v>20</v>
      </c>
      <c r="H850" s="387" t="s">
        <v>559</v>
      </c>
      <c r="I850" s="387" t="s">
        <v>560</v>
      </c>
      <c r="J850" s="387" t="s">
        <v>6406</v>
      </c>
      <c r="K850" s="387" t="s">
        <v>6434</v>
      </c>
      <c r="L850" s="387" t="s">
        <v>2259</v>
      </c>
      <c r="M850" s="387" t="s">
        <v>2260</v>
      </c>
      <c r="N850" s="388">
        <v>3.74</v>
      </c>
      <c r="O850" s="388">
        <v>14</v>
      </c>
      <c r="P850" s="387" t="s">
        <v>538</v>
      </c>
      <c r="Q850" s="387" t="s">
        <v>539</v>
      </c>
      <c r="R850" s="387" t="s">
        <v>6408</v>
      </c>
      <c r="S850" s="387" t="s">
        <v>171</v>
      </c>
      <c r="T850" s="387" t="s">
        <v>542</v>
      </c>
      <c r="U850" s="388">
        <v>25020517</v>
      </c>
      <c r="V850" s="387" t="s">
        <v>543</v>
      </c>
      <c r="W850" s="387" t="s">
        <v>543</v>
      </c>
      <c r="X850" s="387" t="s">
        <v>543</v>
      </c>
      <c r="Y850" s="387" t="s">
        <v>543</v>
      </c>
      <c r="Z850" s="387" t="s">
        <v>543</v>
      </c>
      <c r="AA850" s="388" t="s">
        <v>543</v>
      </c>
      <c r="AB850" s="388" t="s">
        <v>543</v>
      </c>
      <c r="AC850" s="387" t="s">
        <v>543</v>
      </c>
      <c r="AD850" s="389">
        <v>500</v>
      </c>
      <c r="AE850" s="390">
        <v>45047</v>
      </c>
      <c r="AF850" s="390">
        <v>46142</v>
      </c>
      <c r="AG850" s="390">
        <v>46142</v>
      </c>
      <c r="AH850" s="391" t="s">
        <v>6435</v>
      </c>
      <c r="AI850" s="391" t="s">
        <v>2261</v>
      </c>
      <c r="AJ850" s="391">
        <v>0</v>
      </c>
      <c r="AK850" s="390">
        <v>45047</v>
      </c>
      <c r="AL850" s="389">
        <v>21.35</v>
      </c>
      <c r="AM850" s="391" t="s">
        <v>548</v>
      </c>
      <c r="AN850" s="391" t="s">
        <v>549</v>
      </c>
      <c r="AO850" s="391" t="s">
        <v>6427</v>
      </c>
      <c r="AP850" s="372">
        <f t="shared" ref="AP850:AP854" si="24">N850/E850</f>
        <v>0.187</v>
      </c>
      <c r="AQ850" s="372">
        <f>SUMPRODUCT(AP850:AP854,U850:U854)/SUM(U850:U854)</f>
        <v>0.19286066077210379</v>
      </c>
    </row>
    <row r="851" spans="1:43" ht="16" thickBot="1">
      <c r="A851" s="387" t="s">
        <v>1717</v>
      </c>
      <c r="B851" s="387" t="s">
        <v>6431</v>
      </c>
      <c r="C851" s="387" t="s">
        <v>6432</v>
      </c>
      <c r="D851" s="387" t="s">
        <v>6433</v>
      </c>
      <c r="E851" s="387">
        <v>20</v>
      </c>
      <c r="F851" s="387" t="s">
        <v>559</v>
      </c>
      <c r="G851" s="387">
        <v>20</v>
      </c>
      <c r="H851" s="387" t="s">
        <v>559</v>
      </c>
      <c r="I851" s="387" t="s">
        <v>560</v>
      </c>
      <c r="J851" s="387" t="s">
        <v>6406</v>
      </c>
      <c r="K851" s="387" t="s">
        <v>6425</v>
      </c>
      <c r="L851" s="387" t="s">
        <v>1809</v>
      </c>
      <c r="M851" s="387" t="s">
        <v>1810</v>
      </c>
      <c r="N851" s="388">
        <v>3.94</v>
      </c>
      <c r="O851" s="388">
        <v>14</v>
      </c>
      <c r="P851" s="387" t="s">
        <v>538</v>
      </c>
      <c r="Q851" s="387" t="s">
        <v>539</v>
      </c>
      <c r="R851" s="387" t="s">
        <v>6408</v>
      </c>
      <c r="S851" s="387" t="s">
        <v>171</v>
      </c>
      <c r="T851" s="387" t="s">
        <v>542</v>
      </c>
      <c r="U851" s="388">
        <v>23361087</v>
      </c>
      <c r="V851" s="387">
        <v>6006845000940</v>
      </c>
      <c r="W851" s="387">
        <v>6006845000940</v>
      </c>
      <c r="X851" s="387" t="s">
        <v>543</v>
      </c>
      <c r="Y851" s="387">
        <v>26006845000944</v>
      </c>
      <c r="Z851" s="387" t="s">
        <v>543</v>
      </c>
      <c r="AA851" s="388" t="s">
        <v>543</v>
      </c>
      <c r="AB851" s="388" t="s">
        <v>543</v>
      </c>
      <c r="AC851" s="387" t="s">
        <v>543</v>
      </c>
      <c r="AD851" s="389">
        <v>500</v>
      </c>
      <c r="AE851" s="390">
        <v>45047</v>
      </c>
      <c r="AF851" s="390">
        <v>46142</v>
      </c>
      <c r="AG851" s="391" t="s">
        <v>545</v>
      </c>
      <c r="AH851" s="391" t="s">
        <v>6435</v>
      </c>
      <c r="AI851" s="391" t="s">
        <v>1813</v>
      </c>
      <c r="AJ851" s="391">
        <v>0</v>
      </c>
      <c r="AK851" s="390">
        <v>45047</v>
      </c>
      <c r="AL851" s="389">
        <v>19.940000000000001</v>
      </c>
      <c r="AM851" s="391" t="s">
        <v>548</v>
      </c>
      <c r="AN851" s="391" t="s">
        <v>549</v>
      </c>
      <c r="AO851" s="391" t="s">
        <v>6427</v>
      </c>
      <c r="AP851" s="372">
        <f t="shared" si="24"/>
        <v>0.19700000000000001</v>
      </c>
    </row>
    <row r="852" spans="1:43" ht="16" thickBot="1">
      <c r="A852" s="387" t="s">
        <v>1717</v>
      </c>
      <c r="B852" s="387" t="s">
        <v>6431</v>
      </c>
      <c r="C852" s="387" t="s">
        <v>6432</v>
      </c>
      <c r="D852" s="387" t="s">
        <v>6433</v>
      </c>
      <c r="E852" s="387">
        <v>20</v>
      </c>
      <c r="F852" s="387" t="s">
        <v>559</v>
      </c>
      <c r="G852" s="387">
        <v>20</v>
      </c>
      <c r="H852" s="387" t="s">
        <v>559</v>
      </c>
      <c r="I852" s="387" t="s">
        <v>560</v>
      </c>
      <c r="J852" s="387" t="s">
        <v>6406</v>
      </c>
      <c r="K852" s="387" t="s">
        <v>6429</v>
      </c>
      <c r="L852" s="387" t="s">
        <v>576</v>
      </c>
      <c r="M852" s="387" t="s">
        <v>577</v>
      </c>
      <c r="N852" s="388">
        <v>4.45</v>
      </c>
      <c r="O852" s="388">
        <v>14</v>
      </c>
      <c r="P852" s="387" t="s">
        <v>538</v>
      </c>
      <c r="Q852" s="387" t="s">
        <v>539</v>
      </c>
      <c r="R852" s="387" t="s">
        <v>6408</v>
      </c>
      <c r="S852" s="387" t="s">
        <v>171</v>
      </c>
      <c r="T852" s="387" t="s">
        <v>542</v>
      </c>
      <c r="U852" s="388">
        <v>19129540</v>
      </c>
      <c r="V852" s="387">
        <v>6009688290196</v>
      </c>
      <c r="W852" s="387" t="s">
        <v>543</v>
      </c>
      <c r="X852" s="387" t="s">
        <v>543</v>
      </c>
      <c r="Y852" s="387">
        <v>16009688290193</v>
      </c>
      <c r="Z852" s="387" t="s">
        <v>543</v>
      </c>
      <c r="AA852" s="388" t="s">
        <v>543</v>
      </c>
      <c r="AB852" s="388" t="s">
        <v>543</v>
      </c>
      <c r="AC852" s="387" t="s">
        <v>543</v>
      </c>
      <c r="AD852" s="389" t="s">
        <v>6436</v>
      </c>
      <c r="AE852" s="390">
        <v>45047</v>
      </c>
      <c r="AF852" s="390">
        <v>46142</v>
      </c>
      <c r="AG852" s="391" t="s">
        <v>545</v>
      </c>
      <c r="AH852" s="391" t="s">
        <v>6435</v>
      </c>
      <c r="AI852" s="391" t="s">
        <v>580</v>
      </c>
      <c r="AJ852" s="391">
        <v>0</v>
      </c>
      <c r="AK852" s="390">
        <v>45047</v>
      </c>
      <c r="AL852" s="389">
        <v>16.329999999999998</v>
      </c>
      <c r="AM852" s="391" t="s">
        <v>548</v>
      </c>
      <c r="AN852" s="391" t="s">
        <v>549</v>
      </c>
      <c r="AO852" s="391" t="s">
        <v>6427</v>
      </c>
      <c r="AP852" s="372">
        <f t="shared" si="24"/>
        <v>0.2225</v>
      </c>
    </row>
    <row r="853" spans="1:43" ht="16" thickBot="1">
      <c r="A853" s="387" t="s">
        <v>1717</v>
      </c>
      <c r="B853" s="387" t="s">
        <v>6431</v>
      </c>
      <c r="C853" s="387" t="s">
        <v>6432</v>
      </c>
      <c r="D853" s="387" t="s">
        <v>6433</v>
      </c>
      <c r="E853" s="387">
        <v>20</v>
      </c>
      <c r="F853" s="387" t="s">
        <v>559</v>
      </c>
      <c r="G853" s="387">
        <v>20</v>
      </c>
      <c r="H853" s="387" t="s">
        <v>559</v>
      </c>
      <c r="I853" s="387" t="s">
        <v>560</v>
      </c>
      <c r="J853" s="387" t="s">
        <v>6406</v>
      </c>
      <c r="K853" s="387" t="s">
        <v>6437</v>
      </c>
      <c r="L853" s="387" t="s">
        <v>654</v>
      </c>
      <c r="M853" s="387" t="s">
        <v>655</v>
      </c>
      <c r="N853" s="388">
        <v>3.2</v>
      </c>
      <c r="O853" s="388">
        <v>14</v>
      </c>
      <c r="P853" s="387" t="s">
        <v>538</v>
      </c>
      <c r="Q853" s="387" t="s">
        <v>539</v>
      </c>
      <c r="R853" s="387" t="s">
        <v>6408</v>
      </c>
      <c r="S853" s="387" t="s">
        <v>171</v>
      </c>
      <c r="T853" s="387" t="s">
        <v>542</v>
      </c>
      <c r="U853" s="388">
        <v>29205968</v>
      </c>
      <c r="V853" s="387">
        <v>6004405007538</v>
      </c>
      <c r="W853" s="387">
        <v>6004405007538</v>
      </c>
      <c r="X853" s="387" t="s">
        <v>543</v>
      </c>
      <c r="Y853" s="387">
        <v>16004405007535</v>
      </c>
      <c r="Z853" s="387" t="s">
        <v>543</v>
      </c>
      <c r="AA853" s="388" t="s">
        <v>543</v>
      </c>
      <c r="AB853" s="388" t="s">
        <v>543</v>
      </c>
      <c r="AC853" s="387">
        <v>716045001</v>
      </c>
      <c r="AD853" s="389">
        <v>240</v>
      </c>
      <c r="AE853" s="390">
        <v>45047</v>
      </c>
      <c r="AF853" s="390">
        <v>46142</v>
      </c>
      <c r="AG853" s="391" t="s">
        <v>545</v>
      </c>
      <c r="AH853" s="391" t="s">
        <v>6435</v>
      </c>
      <c r="AI853" s="391" t="s">
        <v>658</v>
      </c>
      <c r="AJ853" s="391">
        <v>0</v>
      </c>
      <c r="AK853" s="390">
        <v>45047</v>
      </c>
      <c r="AL853" s="389">
        <v>24.93</v>
      </c>
      <c r="AM853" s="391" t="s">
        <v>548</v>
      </c>
      <c r="AN853" s="391" t="s">
        <v>549</v>
      </c>
      <c r="AO853" s="391" t="s">
        <v>6427</v>
      </c>
      <c r="AP853" s="372">
        <f t="shared" si="24"/>
        <v>0.16</v>
      </c>
    </row>
    <row r="854" spans="1:43" ht="16" thickBot="1">
      <c r="A854" s="387" t="s">
        <v>1717</v>
      </c>
      <c r="B854" s="387" t="s">
        <v>6431</v>
      </c>
      <c r="C854" s="387" t="s">
        <v>6432</v>
      </c>
      <c r="D854" s="387" t="s">
        <v>6433</v>
      </c>
      <c r="E854" s="387">
        <v>20</v>
      </c>
      <c r="F854" s="387" t="s">
        <v>559</v>
      </c>
      <c r="G854" s="387">
        <v>20</v>
      </c>
      <c r="H854" s="387" t="s">
        <v>559</v>
      </c>
      <c r="I854" s="387" t="s">
        <v>560</v>
      </c>
      <c r="J854" s="387" t="s">
        <v>6406</v>
      </c>
      <c r="K854" s="387" t="s">
        <v>6438</v>
      </c>
      <c r="L854" s="387" t="s">
        <v>2141</v>
      </c>
      <c r="M854" s="387" t="s">
        <v>2142</v>
      </c>
      <c r="N854" s="388">
        <v>4.29</v>
      </c>
      <c r="O854" s="388">
        <v>14</v>
      </c>
      <c r="P854" s="387" t="s">
        <v>538</v>
      </c>
      <c r="Q854" s="387" t="s">
        <v>539</v>
      </c>
      <c r="R854" s="387" t="s">
        <v>6408</v>
      </c>
      <c r="S854" s="387" t="s">
        <v>171</v>
      </c>
      <c r="T854" s="387" t="s">
        <v>542</v>
      </c>
      <c r="U854" s="388">
        <v>20457084</v>
      </c>
      <c r="V854" s="387" t="s">
        <v>543</v>
      </c>
      <c r="W854" s="387" t="s">
        <v>543</v>
      </c>
      <c r="X854" s="387" t="s">
        <v>543</v>
      </c>
      <c r="Y854" s="387" t="s">
        <v>543</v>
      </c>
      <c r="Z854" s="387" t="s">
        <v>543</v>
      </c>
      <c r="AA854" s="388" t="s">
        <v>543</v>
      </c>
      <c r="AB854" s="388" t="s">
        <v>543</v>
      </c>
      <c r="AC854" s="387" t="s">
        <v>543</v>
      </c>
      <c r="AD854" s="389">
        <v>100</v>
      </c>
      <c r="AE854" s="390">
        <v>45047</v>
      </c>
      <c r="AF854" s="390">
        <v>46142</v>
      </c>
      <c r="AG854" s="391" t="s">
        <v>545</v>
      </c>
      <c r="AH854" s="391" t="s">
        <v>6435</v>
      </c>
      <c r="AI854" s="391" t="s">
        <v>2144</v>
      </c>
      <c r="AJ854" s="391">
        <v>0</v>
      </c>
      <c r="AK854" s="390">
        <v>45047</v>
      </c>
      <c r="AL854" s="389">
        <v>17.46</v>
      </c>
      <c r="AM854" s="391" t="s">
        <v>548</v>
      </c>
      <c r="AN854" s="391" t="s">
        <v>549</v>
      </c>
      <c r="AO854" s="391" t="s">
        <v>6427</v>
      </c>
      <c r="AP854" s="372">
        <f t="shared" si="24"/>
        <v>0.2145</v>
      </c>
    </row>
    <row r="855" spans="1:43" ht="16" thickBot="1">
      <c r="A855" s="387" t="s">
        <v>1748</v>
      </c>
      <c r="B855" s="387" t="s">
        <v>3559</v>
      </c>
      <c r="C855" s="387" t="s">
        <v>6439</v>
      </c>
      <c r="D855" s="387" t="s">
        <v>6440</v>
      </c>
      <c r="E855" s="387">
        <v>2</v>
      </c>
      <c r="F855" s="387" t="s">
        <v>531</v>
      </c>
      <c r="G855" s="387">
        <v>2</v>
      </c>
      <c r="H855" s="387" t="s">
        <v>531</v>
      </c>
      <c r="I855" s="387" t="s">
        <v>1751</v>
      </c>
      <c r="J855" s="387" t="s">
        <v>6441</v>
      </c>
      <c r="K855" s="387" t="s">
        <v>6442</v>
      </c>
      <c r="L855" s="387" t="s">
        <v>1955</v>
      </c>
      <c r="M855" s="387" t="s">
        <v>1956</v>
      </c>
      <c r="N855" s="388">
        <v>6.21</v>
      </c>
      <c r="O855" s="388">
        <v>14</v>
      </c>
      <c r="P855" s="387" t="s">
        <v>538</v>
      </c>
      <c r="Q855" s="387" t="s">
        <v>539</v>
      </c>
      <c r="R855" s="387" t="s">
        <v>6443</v>
      </c>
      <c r="S855" s="387" t="s">
        <v>541</v>
      </c>
      <c r="T855" s="387" t="s">
        <v>757</v>
      </c>
      <c r="U855" s="388">
        <v>276971</v>
      </c>
      <c r="V855" s="387">
        <v>6006267001334</v>
      </c>
      <c r="W855" s="387">
        <v>6006267001334</v>
      </c>
      <c r="X855" s="387" t="s">
        <v>543</v>
      </c>
      <c r="Y855" s="387">
        <v>16006267001331</v>
      </c>
      <c r="Z855" s="387" t="s">
        <v>543</v>
      </c>
      <c r="AA855" s="388" t="s">
        <v>543</v>
      </c>
      <c r="AB855" s="388" t="s">
        <v>543</v>
      </c>
      <c r="AC855" s="387">
        <v>754471004</v>
      </c>
      <c r="AD855" s="389" t="s">
        <v>2308</v>
      </c>
      <c r="AE855" s="390">
        <v>44317</v>
      </c>
      <c r="AF855" s="390">
        <v>45412</v>
      </c>
      <c r="AG855" s="391" t="s">
        <v>545</v>
      </c>
      <c r="AH855" s="391" t="s">
        <v>6444</v>
      </c>
      <c r="AI855" s="391" t="s">
        <v>1959</v>
      </c>
      <c r="AJ855" s="391">
        <v>0</v>
      </c>
      <c r="AK855" s="390">
        <v>44317</v>
      </c>
      <c r="AL855" s="389">
        <v>10</v>
      </c>
      <c r="AM855" s="391" t="s">
        <v>548</v>
      </c>
      <c r="AN855" s="391" t="s">
        <v>549</v>
      </c>
      <c r="AO855" s="391" t="s">
        <v>6445</v>
      </c>
    </row>
    <row r="856" spans="1:43" ht="16" thickBot="1">
      <c r="A856" s="387" t="s">
        <v>1748</v>
      </c>
      <c r="B856" s="387" t="s">
        <v>3559</v>
      </c>
      <c r="C856" s="387" t="s">
        <v>6439</v>
      </c>
      <c r="D856" s="387" t="s">
        <v>6440</v>
      </c>
      <c r="E856" s="387">
        <v>2</v>
      </c>
      <c r="F856" s="387" t="s">
        <v>531</v>
      </c>
      <c r="G856" s="387">
        <v>2</v>
      </c>
      <c r="H856" s="387" t="s">
        <v>531</v>
      </c>
      <c r="I856" s="387" t="s">
        <v>1751</v>
      </c>
      <c r="J856" s="387" t="s">
        <v>6441</v>
      </c>
      <c r="K856" s="387" t="s">
        <v>6446</v>
      </c>
      <c r="L856" s="387" t="s">
        <v>2312</v>
      </c>
      <c r="M856" s="387" t="s">
        <v>2313</v>
      </c>
      <c r="N856" s="388">
        <v>4.9000000000000004</v>
      </c>
      <c r="O856" s="388">
        <v>14</v>
      </c>
      <c r="P856" s="387" t="s">
        <v>538</v>
      </c>
      <c r="Q856" s="387" t="s">
        <v>539</v>
      </c>
      <c r="R856" s="387" t="s">
        <v>6443</v>
      </c>
      <c r="S856" s="387" t="s">
        <v>541</v>
      </c>
      <c r="T856" s="387" t="s">
        <v>757</v>
      </c>
      <c r="U856" s="388">
        <v>2492739</v>
      </c>
      <c r="V856" s="387">
        <v>6009802416501</v>
      </c>
      <c r="W856" s="387">
        <v>6009802416501</v>
      </c>
      <c r="X856" s="387" t="s">
        <v>543</v>
      </c>
      <c r="Y856" s="387">
        <v>16009802416508</v>
      </c>
      <c r="Z856" s="387" t="s">
        <v>543</v>
      </c>
      <c r="AA856" s="388" t="s">
        <v>543</v>
      </c>
      <c r="AB856" s="388" t="s">
        <v>543</v>
      </c>
      <c r="AC856" s="387">
        <v>894966006</v>
      </c>
      <c r="AD856" s="389">
        <v>400</v>
      </c>
      <c r="AE856" s="390">
        <v>44317</v>
      </c>
      <c r="AF856" s="390">
        <v>45412</v>
      </c>
      <c r="AG856" s="391" t="s">
        <v>545</v>
      </c>
      <c r="AH856" s="391" t="s">
        <v>6444</v>
      </c>
      <c r="AI856" s="391" t="s">
        <v>2314</v>
      </c>
      <c r="AJ856" s="391">
        <v>0</v>
      </c>
      <c r="AK856" s="390">
        <v>44317</v>
      </c>
      <c r="AL856" s="389">
        <v>90</v>
      </c>
      <c r="AM856" s="391" t="s">
        <v>548</v>
      </c>
      <c r="AN856" s="391" t="s">
        <v>549</v>
      </c>
      <c r="AO856" s="391" t="s">
        <v>6445</v>
      </c>
    </row>
    <row r="857" spans="1:43" ht="16" thickBot="1">
      <c r="A857" s="387" t="s">
        <v>1748</v>
      </c>
      <c r="B857" s="387" t="s">
        <v>3860</v>
      </c>
      <c r="C857" s="387" t="s">
        <v>6447</v>
      </c>
      <c r="D857" s="387" t="s">
        <v>6448</v>
      </c>
      <c r="E857" s="387">
        <v>1</v>
      </c>
      <c r="F857" s="387" t="s">
        <v>531</v>
      </c>
      <c r="G857" s="387">
        <v>1</v>
      </c>
      <c r="H857" s="387" t="s">
        <v>531</v>
      </c>
      <c r="I857" s="387" t="s">
        <v>1751</v>
      </c>
      <c r="J857" s="387" t="s">
        <v>6441</v>
      </c>
      <c r="K857" s="387" t="s">
        <v>6449</v>
      </c>
      <c r="L857" s="387" t="s">
        <v>2312</v>
      </c>
      <c r="M857" s="387" t="s">
        <v>2313</v>
      </c>
      <c r="N857" s="388">
        <v>4.5999999999999996</v>
      </c>
      <c r="O857" s="388">
        <v>14</v>
      </c>
      <c r="P857" s="387" t="s">
        <v>538</v>
      </c>
      <c r="Q857" s="387" t="s">
        <v>539</v>
      </c>
      <c r="R857" s="387" t="s">
        <v>6443</v>
      </c>
      <c r="S857" s="387" t="s">
        <v>541</v>
      </c>
      <c r="T857" s="387" t="s">
        <v>757</v>
      </c>
      <c r="U857" s="388">
        <v>354260</v>
      </c>
      <c r="V857" s="387">
        <v>6009802416518</v>
      </c>
      <c r="W857" s="387">
        <v>6009802416518</v>
      </c>
      <c r="X857" s="387" t="s">
        <v>543</v>
      </c>
      <c r="Y857" s="387">
        <v>16009802416515</v>
      </c>
      <c r="Z857" s="387" t="s">
        <v>543</v>
      </c>
      <c r="AA857" s="388" t="s">
        <v>543</v>
      </c>
      <c r="AB857" s="388" t="s">
        <v>543</v>
      </c>
      <c r="AC857" s="387">
        <v>895156008</v>
      </c>
      <c r="AD857" s="389">
        <v>400</v>
      </c>
      <c r="AE857" s="390">
        <v>44317</v>
      </c>
      <c r="AF857" s="390">
        <v>45412</v>
      </c>
      <c r="AG857" s="391" t="s">
        <v>545</v>
      </c>
      <c r="AH857" s="391" t="s">
        <v>6450</v>
      </c>
      <c r="AI857" s="391" t="s">
        <v>2314</v>
      </c>
      <c r="AJ857" s="391">
        <v>0</v>
      </c>
      <c r="AK857" s="390">
        <v>44317</v>
      </c>
      <c r="AL857" s="389">
        <v>100</v>
      </c>
      <c r="AM857" s="391" t="s">
        <v>548</v>
      </c>
      <c r="AN857" s="391" t="s">
        <v>549</v>
      </c>
      <c r="AO857" s="391" t="s">
        <v>6451</v>
      </c>
    </row>
    <row r="858" spans="1:43" ht="16" thickBot="1">
      <c r="A858" s="387" t="s">
        <v>1748</v>
      </c>
      <c r="B858" s="387" t="s">
        <v>3867</v>
      </c>
      <c r="C858" s="387" t="s">
        <v>6452</v>
      </c>
      <c r="D858" s="387" t="s">
        <v>6453</v>
      </c>
      <c r="E858" s="387">
        <v>1</v>
      </c>
      <c r="F858" s="387" t="s">
        <v>531</v>
      </c>
      <c r="G858" s="387">
        <v>1</v>
      </c>
      <c r="H858" s="387" t="s">
        <v>531</v>
      </c>
      <c r="I858" s="387" t="s">
        <v>1751</v>
      </c>
      <c r="J858" s="387" t="s">
        <v>6441</v>
      </c>
      <c r="K858" s="387" t="s">
        <v>6454</v>
      </c>
      <c r="L858" s="387" t="s">
        <v>2312</v>
      </c>
      <c r="M858" s="387" t="s">
        <v>2313</v>
      </c>
      <c r="N858" s="388">
        <v>4.2</v>
      </c>
      <c r="O858" s="388">
        <v>14</v>
      </c>
      <c r="P858" s="387" t="s">
        <v>538</v>
      </c>
      <c r="Q858" s="387" t="s">
        <v>539</v>
      </c>
      <c r="R858" s="387" t="s">
        <v>6443</v>
      </c>
      <c r="S858" s="387" t="s">
        <v>541</v>
      </c>
      <c r="T858" s="387" t="s">
        <v>757</v>
      </c>
      <c r="U858" s="388">
        <v>1452256</v>
      </c>
      <c r="V858" s="387">
        <v>6009802416525</v>
      </c>
      <c r="W858" s="387">
        <v>6009802416525</v>
      </c>
      <c r="X858" s="387" t="s">
        <v>543</v>
      </c>
      <c r="Y858" s="387">
        <v>16009802416522</v>
      </c>
      <c r="Z858" s="387" t="s">
        <v>543</v>
      </c>
      <c r="AA858" s="388" t="s">
        <v>543</v>
      </c>
      <c r="AB858" s="388" t="s">
        <v>543</v>
      </c>
      <c r="AC858" s="387">
        <v>894958003</v>
      </c>
      <c r="AD858" s="389">
        <v>400</v>
      </c>
      <c r="AE858" s="390">
        <v>44317</v>
      </c>
      <c r="AF858" s="390">
        <v>45412</v>
      </c>
      <c r="AG858" s="391" t="s">
        <v>545</v>
      </c>
      <c r="AH858" s="391" t="s">
        <v>6455</v>
      </c>
      <c r="AI858" s="391" t="s">
        <v>2314</v>
      </c>
      <c r="AJ858" s="391">
        <v>0</v>
      </c>
      <c r="AK858" s="390">
        <v>44317</v>
      </c>
      <c r="AL858" s="389">
        <v>80</v>
      </c>
      <c r="AM858" s="391" t="s">
        <v>548</v>
      </c>
      <c r="AN858" s="391" t="s">
        <v>549</v>
      </c>
      <c r="AO858" s="391" t="s">
        <v>6456</v>
      </c>
    </row>
    <row r="859" spans="1:43" ht="16" thickBot="1">
      <c r="A859" s="387" t="s">
        <v>1748</v>
      </c>
      <c r="B859" s="387" t="s">
        <v>3867</v>
      </c>
      <c r="C859" s="387" t="s">
        <v>6452</v>
      </c>
      <c r="D859" s="387" t="s">
        <v>6453</v>
      </c>
      <c r="E859" s="387">
        <v>1</v>
      </c>
      <c r="F859" s="387" t="s">
        <v>531</v>
      </c>
      <c r="G859" s="387">
        <v>1</v>
      </c>
      <c r="H859" s="387" t="s">
        <v>531</v>
      </c>
      <c r="I859" s="387" t="s">
        <v>1751</v>
      </c>
      <c r="J859" s="387" t="s">
        <v>6441</v>
      </c>
      <c r="K859" s="387" t="s">
        <v>6457</v>
      </c>
      <c r="L859" s="387" t="s">
        <v>1955</v>
      </c>
      <c r="M859" s="387" t="s">
        <v>1956</v>
      </c>
      <c r="N859" s="388">
        <v>4.67</v>
      </c>
      <c r="O859" s="388">
        <v>14</v>
      </c>
      <c r="P859" s="387" t="s">
        <v>538</v>
      </c>
      <c r="Q859" s="387" t="s">
        <v>539</v>
      </c>
      <c r="R859" s="387" t="s">
        <v>6443</v>
      </c>
      <c r="S859" s="387" t="s">
        <v>541</v>
      </c>
      <c r="T859" s="387" t="s">
        <v>757</v>
      </c>
      <c r="U859" s="388">
        <v>363064</v>
      </c>
      <c r="V859" s="387">
        <v>6006267001327</v>
      </c>
      <c r="W859" s="387">
        <v>6006267001327</v>
      </c>
      <c r="X859" s="387" t="s">
        <v>543</v>
      </c>
      <c r="Y859" s="387">
        <v>16006267001324</v>
      </c>
      <c r="Z859" s="387" t="s">
        <v>543</v>
      </c>
      <c r="AA859" s="388" t="s">
        <v>543</v>
      </c>
      <c r="AB859" s="388" t="s">
        <v>543</v>
      </c>
      <c r="AC859" s="387">
        <v>754463001</v>
      </c>
      <c r="AD859" s="389" t="s">
        <v>2308</v>
      </c>
      <c r="AE859" s="390">
        <v>44317</v>
      </c>
      <c r="AF859" s="390">
        <v>45412</v>
      </c>
      <c r="AG859" s="391" t="s">
        <v>545</v>
      </c>
      <c r="AH859" s="391" t="s">
        <v>6455</v>
      </c>
      <c r="AI859" s="391" t="s">
        <v>1959</v>
      </c>
      <c r="AJ859" s="391">
        <v>0</v>
      </c>
      <c r="AK859" s="390">
        <v>44317</v>
      </c>
      <c r="AL859" s="389">
        <v>20</v>
      </c>
      <c r="AM859" s="391" t="s">
        <v>548</v>
      </c>
      <c r="AN859" s="391" t="s">
        <v>549</v>
      </c>
      <c r="AO859" s="391" t="s">
        <v>6456</v>
      </c>
    </row>
    <row r="860" spans="1:43" ht="16" thickBot="1">
      <c r="A860" s="387" t="s">
        <v>1729</v>
      </c>
      <c r="B860" s="387" t="s">
        <v>2692</v>
      </c>
      <c r="C860" s="387" t="s">
        <v>6458</v>
      </c>
      <c r="D860" s="387" t="s">
        <v>6459</v>
      </c>
      <c r="E860" s="387">
        <v>100</v>
      </c>
      <c r="F860" s="387" t="s">
        <v>531</v>
      </c>
      <c r="G860" s="387">
        <v>100</v>
      </c>
      <c r="H860" s="387" t="s">
        <v>531</v>
      </c>
      <c r="I860" s="387" t="s">
        <v>848</v>
      </c>
      <c r="J860" s="387" t="s">
        <v>6460</v>
      </c>
      <c r="K860" s="387" t="s">
        <v>6461</v>
      </c>
      <c r="L860" s="387" t="s">
        <v>654</v>
      </c>
      <c r="M860" s="387" t="s">
        <v>655</v>
      </c>
      <c r="N860" s="388">
        <v>36.229999999999997</v>
      </c>
      <c r="O860" s="388">
        <v>14</v>
      </c>
      <c r="P860" s="387" t="s">
        <v>538</v>
      </c>
      <c r="Q860" s="387" t="s">
        <v>539</v>
      </c>
      <c r="R860" s="387" t="s">
        <v>6462</v>
      </c>
      <c r="S860" s="387" t="s">
        <v>541</v>
      </c>
      <c r="T860" s="387" t="s">
        <v>757</v>
      </c>
      <c r="U860" s="388">
        <v>33887</v>
      </c>
      <c r="V860" s="387">
        <v>6004406001450</v>
      </c>
      <c r="W860" s="387" t="s">
        <v>543</v>
      </c>
      <c r="X860" s="387" t="s">
        <v>543</v>
      </c>
      <c r="Y860" s="387">
        <v>16004406001457</v>
      </c>
      <c r="Z860" s="387" t="s">
        <v>543</v>
      </c>
      <c r="AA860" s="388" t="s">
        <v>543</v>
      </c>
      <c r="AB860" s="388" t="s">
        <v>543</v>
      </c>
      <c r="AC860" s="387">
        <v>754803007</v>
      </c>
      <c r="AD860" s="389" t="s">
        <v>6463</v>
      </c>
      <c r="AE860" s="390">
        <v>44105</v>
      </c>
      <c r="AF860" s="390">
        <v>45199</v>
      </c>
      <c r="AG860" s="390">
        <v>45199</v>
      </c>
      <c r="AH860" s="391" t="s">
        <v>6464</v>
      </c>
      <c r="AI860" s="391" t="s">
        <v>658</v>
      </c>
      <c r="AJ860" s="391">
        <v>0</v>
      </c>
      <c r="AK860" s="390">
        <v>44105</v>
      </c>
      <c r="AL860" s="389">
        <v>100</v>
      </c>
      <c r="AM860" s="391" t="s">
        <v>548</v>
      </c>
      <c r="AN860" s="391" t="s">
        <v>545</v>
      </c>
      <c r="AO860" s="391" t="s">
        <v>6465</v>
      </c>
    </row>
    <row r="861" spans="1:43" ht="16" thickBot="1">
      <c r="A861" s="387" t="s">
        <v>1717</v>
      </c>
      <c r="B861" s="387" t="s">
        <v>6466</v>
      </c>
      <c r="C861" s="387" t="s">
        <v>6467</v>
      </c>
      <c r="D861" s="387" t="s">
        <v>6468</v>
      </c>
      <c r="E861" s="387">
        <v>28</v>
      </c>
      <c r="F861" s="387" t="s">
        <v>559</v>
      </c>
      <c r="G861" s="387">
        <v>28</v>
      </c>
      <c r="H861" s="387" t="s">
        <v>559</v>
      </c>
      <c r="I861" s="387" t="s">
        <v>560</v>
      </c>
      <c r="J861" s="387" t="s">
        <v>6469</v>
      </c>
      <c r="K861" s="387" t="s">
        <v>6470</v>
      </c>
      <c r="L861" s="387" t="s">
        <v>1771</v>
      </c>
      <c r="M861" s="387" t="s">
        <v>1772</v>
      </c>
      <c r="N861" s="388">
        <v>4.95</v>
      </c>
      <c r="O861" s="388">
        <v>14</v>
      </c>
      <c r="P861" s="387" t="s">
        <v>538</v>
      </c>
      <c r="Q861" s="387" t="s">
        <v>539</v>
      </c>
      <c r="R861" s="387" t="s">
        <v>6462</v>
      </c>
      <c r="S861" s="387" t="s">
        <v>541</v>
      </c>
      <c r="T861" s="387" t="s">
        <v>542</v>
      </c>
      <c r="U861" s="388">
        <v>417303</v>
      </c>
      <c r="V861" s="387">
        <v>6006882000194</v>
      </c>
      <c r="W861" s="387">
        <v>6006882000194</v>
      </c>
      <c r="X861" s="387" t="s">
        <v>543</v>
      </c>
      <c r="Y861" s="387">
        <v>16006882000191</v>
      </c>
      <c r="Z861" s="387" t="s">
        <v>543</v>
      </c>
      <c r="AA861" s="388" t="s">
        <v>543</v>
      </c>
      <c r="AB861" s="388" t="s">
        <v>543</v>
      </c>
      <c r="AC861" s="387" t="s">
        <v>543</v>
      </c>
      <c r="AD861" s="389">
        <v>250</v>
      </c>
      <c r="AE861" s="390">
        <v>45047</v>
      </c>
      <c r="AF861" s="390">
        <v>46142</v>
      </c>
      <c r="AG861" s="391" t="s">
        <v>545</v>
      </c>
      <c r="AH861" s="391" t="s">
        <v>6471</v>
      </c>
      <c r="AI861" s="391" t="s">
        <v>1776</v>
      </c>
      <c r="AJ861" s="391">
        <v>0</v>
      </c>
      <c r="AK861" s="390">
        <v>45047</v>
      </c>
      <c r="AL861" s="389">
        <v>100</v>
      </c>
      <c r="AM861" s="391" t="s">
        <v>548</v>
      </c>
      <c r="AN861" s="391" t="s">
        <v>549</v>
      </c>
      <c r="AO861" s="391" t="s">
        <v>6472</v>
      </c>
    </row>
    <row r="862" spans="1:43" ht="16" thickBot="1">
      <c r="A862" s="387" t="s">
        <v>1717</v>
      </c>
      <c r="B862" s="387" t="s">
        <v>6473</v>
      </c>
      <c r="C862" s="387" t="s">
        <v>6474</v>
      </c>
      <c r="D862" s="387" t="s">
        <v>6475</v>
      </c>
      <c r="E862" s="387">
        <v>56</v>
      </c>
      <c r="F862" s="387" t="s">
        <v>559</v>
      </c>
      <c r="G862" s="387">
        <v>56</v>
      </c>
      <c r="H862" s="387" t="s">
        <v>559</v>
      </c>
      <c r="I862" s="387" t="s">
        <v>560</v>
      </c>
      <c r="J862" s="387" t="s">
        <v>6469</v>
      </c>
      <c r="K862" s="387" t="s">
        <v>6470</v>
      </c>
      <c r="L862" s="387" t="s">
        <v>1771</v>
      </c>
      <c r="M862" s="387" t="s">
        <v>1772</v>
      </c>
      <c r="N862" s="388">
        <v>9.4600000000000009</v>
      </c>
      <c r="O862" s="388">
        <v>14</v>
      </c>
      <c r="P862" s="387" t="s">
        <v>538</v>
      </c>
      <c r="Q862" s="387" t="s">
        <v>539</v>
      </c>
      <c r="R862" s="387" t="s">
        <v>6462</v>
      </c>
      <c r="S862" s="387" t="s">
        <v>541</v>
      </c>
      <c r="T862" s="387" t="s">
        <v>542</v>
      </c>
      <c r="U862" s="388">
        <v>201173</v>
      </c>
      <c r="V862" s="387">
        <v>6006882000200</v>
      </c>
      <c r="W862" s="387">
        <v>6006882000200</v>
      </c>
      <c r="X862" s="387" t="s">
        <v>543</v>
      </c>
      <c r="Y862" s="387">
        <v>16006882000207</v>
      </c>
      <c r="Z862" s="387" t="s">
        <v>543</v>
      </c>
      <c r="AA862" s="388" t="s">
        <v>543</v>
      </c>
      <c r="AB862" s="388" t="s">
        <v>543</v>
      </c>
      <c r="AC862" s="387" t="s">
        <v>543</v>
      </c>
      <c r="AD862" s="389">
        <v>250</v>
      </c>
      <c r="AE862" s="390">
        <v>45047</v>
      </c>
      <c r="AF862" s="390">
        <v>46142</v>
      </c>
      <c r="AG862" s="391" t="s">
        <v>545</v>
      </c>
      <c r="AH862" s="391" t="s">
        <v>6476</v>
      </c>
      <c r="AI862" s="391" t="s">
        <v>1776</v>
      </c>
      <c r="AJ862" s="391">
        <v>0</v>
      </c>
      <c r="AK862" s="390">
        <v>45047</v>
      </c>
      <c r="AL862" s="389">
        <v>100</v>
      </c>
      <c r="AM862" s="391" t="s">
        <v>548</v>
      </c>
      <c r="AN862" s="391" t="s">
        <v>549</v>
      </c>
      <c r="AO862" s="391" t="s">
        <v>6472</v>
      </c>
    </row>
    <row r="863" spans="1:43" ht="16" thickBot="1">
      <c r="A863" s="387" t="s">
        <v>1717</v>
      </c>
      <c r="B863" s="387" t="s">
        <v>6477</v>
      </c>
      <c r="C863" s="387" t="s">
        <v>6478</v>
      </c>
      <c r="D863" s="387" t="s">
        <v>6479</v>
      </c>
      <c r="E863" s="387">
        <v>84</v>
      </c>
      <c r="F863" s="387" t="s">
        <v>559</v>
      </c>
      <c r="G863" s="387">
        <v>84</v>
      </c>
      <c r="H863" s="387" t="s">
        <v>559</v>
      </c>
      <c r="I863" s="387" t="s">
        <v>560</v>
      </c>
      <c r="J863" s="387" t="s">
        <v>6469</v>
      </c>
      <c r="K863" s="387" t="s">
        <v>6470</v>
      </c>
      <c r="L863" s="387" t="s">
        <v>1771</v>
      </c>
      <c r="M863" s="387" t="s">
        <v>1772</v>
      </c>
      <c r="N863" s="388">
        <v>14.73</v>
      </c>
      <c r="O863" s="388">
        <v>14</v>
      </c>
      <c r="P863" s="387" t="s">
        <v>538</v>
      </c>
      <c r="Q863" s="387" t="s">
        <v>539</v>
      </c>
      <c r="R863" s="387" t="s">
        <v>6462</v>
      </c>
      <c r="S863" s="387" t="s">
        <v>541</v>
      </c>
      <c r="T863" s="387" t="s">
        <v>542</v>
      </c>
      <c r="U863" s="388">
        <v>232381</v>
      </c>
      <c r="V863" s="387">
        <v>6006882000217</v>
      </c>
      <c r="W863" s="387">
        <v>6006882000217</v>
      </c>
      <c r="X863" s="387" t="s">
        <v>543</v>
      </c>
      <c r="Y863" s="387">
        <v>16006882000214</v>
      </c>
      <c r="Z863" s="387" t="s">
        <v>543</v>
      </c>
      <c r="AA863" s="388" t="s">
        <v>543</v>
      </c>
      <c r="AB863" s="388" t="s">
        <v>543</v>
      </c>
      <c r="AC863" s="387" t="s">
        <v>543</v>
      </c>
      <c r="AD863" s="389">
        <v>250</v>
      </c>
      <c r="AE863" s="390">
        <v>45047</v>
      </c>
      <c r="AF863" s="390">
        <v>46142</v>
      </c>
      <c r="AG863" s="391" t="s">
        <v>545</v>
      </c>
      <c r="AH863" s="391" t="s">
        <v>6480</v>
      </c>
      <c r="AI863" s="391" t="s">
        <v>1776</v>
      </c>
      <c r="AJ863" s="391">
        <v>0</v>
      </c>
      <c r="AK863" s="390">
        <v>45047</v>
      </c>
      <c r="AL863" s="389">
        <v>100</v>
      </c>
      <c r="AM863" s="391" t="s">
        <v>548</v>
      </c>
      <c r="AN863" s="391" t="s">
        <v>549</v>
      </c>
      <c r="AO863" s="391" t="s">
        <v>6472</v>
      </c>
    </row>
    <row r="864" spans="1:43" ht="16" thickBot="1">
      <c r="A864" s="387" t="s">
        <v>1766</v>
      </c>
      <c r="B864" s="387" t="s">
        <v>4131</v>
      </c>
      <c r="C864" s="387" t="s">
        <v>6481</v>
      </c>
      <c r="D864" s="387" t="s">
        <v>6482</v>
      </c>
      <c r="E864" s="387">
        <v>100</v>
      </c>
      <c r="F864" s="387" t="s">
        <v>531</v>
      </c>
      <c r="G864" s="387">
        <v>100</v>
      </c>
      <c r="H864" s="387" t="s">
        <v>531</v>
      </c>
      <c r="I864" s="387" t="s">
        <v>744</v>
      </c>
      <c r="J864" s="387" t="s">
        <v>6483</v>
      </c>
      <c r="K864" s="387" t="s">
        <v>6484</v>
      </c>
      <c r="L864" s="387" t="s">
        <v>1829</v>
      </c>
      <c r="M864" s="387" t="s">
        <v>1830</v>
      </c>
      <c r="N864" s="388">
        <v>11.25</v>
      </c>
      <c r="O864" s="388">
        <v>14</v>
      </c>
      <c r="P864" s="387" t="s">
        <v>538</v>
      </c>
      <c r="Q864" s="387" t="s">
        <v>539</v>
      </c>
      <c r="R864" s="387" t="s">
        <v>6485</v>
      </c>
      <c r="S864" s="387" t="s">
        <v>541</v>
      </c>
      <c r="T864" s="387" t="s">
        <v>542</v>
      </c>
      <c r="U864" s="388">
        <v>827720</v>
      </c>
      <c r="V864" s="387">
        <v>6009694781534</v>
      </c>
      <c r="W864" s="387" t="s">
        <v>543</v>
      </c>
      <c r="X864" s="387" t="s">
        <v>543</v>
      </c>
      <c r="Y864" s="387">
        <v>16009694781531</v>
      </c>
      <c r="Z864" s="387" t="s">
        <v>543</v>
      </c>
      <c r="AA864" s="388" t="s">
        <v>543</v>
      </c>
      <c r="AB864" s="388" t="s">
        <v>543</v>
      </c>
      <c r="AC864" s="387">
        <v>716611001</v>
      </c>
      <c r="AD864" s="389">
        <v>100</v>
      </c>
      <c r="AE864" s="390">
        <v>44470</v>
      </c>
      <c r="AF864" s="390">
        <v>45199</v>
      </c>
      <c r="AG864" s="391" t="s">
        <v>545</v>
      </c>
      <c r="AH864" s="391" t="s">
        <v>6486</v>
      </c>
      <c r="AI864" s="391" t="s">
        <v>1833</v>
      </c>
      <c r="AJ864" s="391">
        <v>0</v>
      </c>
      <c r="AK864" s="390">
        <v>44470</v>
      </c>
      <c r="AL864" s="389">
        <v>100</v>
      </c>
      <c r="AM864" s="391" t="s">
        <v>548</v>
      </c>
      <c r="AN864" s="391" t="s">
        <v>549</v>
      </c>
      <c r="AO864" s="391" t="s">
        <v>6487</v>
      </c>
    </row>
    <row r="865" spans="1:41" ht="16" thickBot="1">
      <c r="A865" s="387" t="s">
        <v>1766</v>
      </c>
      <c r="B865" s="387" t="s">
        <v>6488</v>
      </c>
      <c r="C865" s="387" t="s">
        <v>6489</v>
      </c>
      <c r="D865" s="387" t="s">
        <v>6490</v>
      </c>
      <c r="E865" s="387">
        <v>100</v>
      </c>
      <c r="F865" s="387" t="s">
        <v>531</v>
      </c>
      <c r="G865" s="387">
        <v>100</v>
      </c>
      <c r="H865" s="387" t="s">
        <v>531</v>
      </c>
      <c r="I865" s="387" t="s">
        <v>744</v>
      </c>
      <c r="J865" s="387" t="s">
        <v>6483</v>
      </c>
      <c r="K865" s="387" t="s">
        <v>6491</v>
      </c>
      <c r="L865" s="387" t="s">
        <v>1771</v>
      </c>
      <c r="M865" s="387" t="s">
        <v>1772</v>
      </c>
      <c r="N865" s="388">
        <v>14.27</v>
      </c>
      <c r="O865" s="388">
        <v>14</v>
      </c>
      <c r="P865" s="387" t="s">
        <v>538</v>
      </c>
      <c r="Q865" s="387" t="s">
        <v>539</v>
      </c>
      <c r="R865" s="387" t="s">
        <v>6485</v>
      </c>
      <c r="S865" s="387" t="s">
        <v>541</v>
      </c>
      <c r="T865" s="387" t="s">
        <v>542</v>
      </c>
      <c r="U865" s="388">
        <v>1544640</v>
      </c>
      <c r="V865" s="387">
        <v>6006882004192</v>
      </c>
      <c r="W865" s="387">
        <v>6006882004192</v>
      </c>
      <c r="X865" s="387" t="s">
        <v>543</v>
      </c>
      <c r="Y865" s="387">
        <v>16006882004199</v>
      </c>
      <c r="Z865" s="387" t="s">
        <v>543</v>
      </c>
      <c r="AA865" s="388" t="s">
        <v>543</v>
      </c>
      <c r="AB865" s="388" t="s">
        <v>543</v>
      </c>
      <c r="AC865" s="387" t="s">
        <v>543</v>
      </c>
      <c r="AD865" s="389">
        <v>100</v>
      </c>
      <c r="AE865" s="390">
        <v>44470</v>
      </c>
      <c r="AF865" s="390">
        <v>45199</v>
      </c>
      <c r="AG865" s="390">
        <v>45199</v>
      </c>
      <c r="AH865" s="391" t="s">
        <v>6492</v>
      </c>
      <c r="AI865" s="391" t="s">
        <v>1776</v>
      </c>
      <c r="AJ865" s="391">
        <v>23</v>
      </c>
      <c r="AK865" s="390">
        <v>45047</v>
      </c>
      <c r="AL865" s="389">
        <v>100</v>
      </c>
      <c r="AM865" s="391" t="s">
        <v>548</v>
      </c>
      <c r="AN865" s="391" t="s">
        <v>549</v>
      </c>
      <c r="AO865" s="391" t="s">
        <v>6493</v>
      </c>
    </row>
    <row r="866" spans="1:41" ht="16" thickBot="1">
      <c r="A866" s="387" t="s">
        <v>1766</v>
      </c>
      <c r="B866" s="387" t="s">
        <v>4139</v>
      </c>
      <c r="C866" s="387" t="s">
        <v>6494</v>
      </c>
      <c r="D866" s="387" t="s">
        <v>6495</v>
      </c>
      <c r="E866" s="387">
        <v>100</v>
      </c>
      <c r="F866" s="387" t="s">
        <v>559</v>
      </c>
      <c r="G866" s="387">
        <v>100</v>
      </c>
      <c r="H866" s="387" t="s">
        <v>559</v>
      </c>
      <c r="I866" s="387" t="s">
        <v>560</v>
      </c>
      <c r="J866" s="387" t="s">
        <v>6483</v>
      </c>
      <c r="K866" s="387" t="s">
        <v>6496</v>
      </c>
      <c r="L866" s="387" t="s">
        <v>1886</v>
      </c>
      <c r="M866" s="387" t="s">
        <v>1887</v>
      </c>
      <c r="N866" s="388">
        <v>47.01</v>
      </c>
      <c r="O866" s="388">
        <v>14</v>
      </c>
      <c r="P866" s="387" t="s">
        <v>538</v>
      </c>
      <c r="Q866" s="387" t="s">
        <v>539</v>
      </c>
      <c r="R866" s="387" t="s">
        <v>6485</v>
      </c>
      <c r="S866" s="387" t="s">
        <v>541</v>
      </c>
      <c r="T866" s="387" t="s">
        <v>542</v>
      </c>
      <c r="U866" s="388">
        <v>13500</v>
      </c>
      <c r="V866" s="387">
        <v>6009691115110</v>
      </c>
      <c r="W866" s="387" t="s">
        <v>543</v>
      </c>
      <c r="X866" s="387" t="s">
        <v>543</v>
      </c>
      <c r="Y866" s="387">
        <v>16009691115117</v>
      </c>
      <c r="Z866" s="387" t="s">
        <v>543</v>
      </c>
      <c r="AA866" s="388" t="s">
        <v>543</v>
      </c>
      <c r="AB866" s="388" t="s">
        <v>543</v>
      </c>
      <c r="AC866" s="387" t="s">
        <v>543</v>
      </c>
      <c r="AD866" s="389">
        <v>200</v>
      </c>
      <c r="AE866" s="390">
        <v>44470</v>
      </c>
      <c r="AF866" s="390">
        <v>45199</v>
      </c>
      <c r="AG866" s="390">
        <v>45199</v>
      </c>
      <c r="AH866" s="391" t="s">
        <v>6497</v>
      </c>
      <c r="AI866" s="391" t="s">
        <v>1889</v>
      </c>
      <c r="AJ866" s="391">
        <v>14</v>
      </c>
      <c r="AK866" s="390">
        <v>45047</v>
      </c>
      <c r="AL866" s="389">
        <v>100</v>
      </c>
      <c r="AM866" s="391" t="s">
        <v>548</v>
      </c>
      <c r="AN866" s="391" t="s">
        <v>549</v>
      </c>
      <c r="AO866" s="391" t="s">
        <v>6498</v>
      </c>
    </row>
    <row r="867" spans="1:41" ht="16" thickBot="1">
      <c r="A867" s="387" t="s">
        <v>1766</v>
      </c>
      <c r="B867" s="387" t="s">
        <v>4143</v>
      </c>
      <c r="C867" s="387" t="s">
        <v>6499</v>
      </c>
      <c r="D867" s="387" t="s">
        <v>6500</v>
      </c>
      <c r="E867" s="387">
        <v>40</v>
      </c>
      <c r="F867" s="387" t="s">
        <v>559</v>
      </c>
      <c r="G867" s="387">
        <v>40</v>
      </c>
      <c r="H867" s="387" t="s">
        <v>559</v>
      </c>
      <c r="I867" s="387" t="s">
        <v>560</v>
      </c>
      <c r="J867" s="387" t="s">
        <v>6483</v>
      </c>
      <c r="K867" s="387" t="s">
        <v>6501</v>
      </c>
      <c r="L867" s="387" t="s">
        <v>1886</v>
      </c>
      <c r="M867" s="387" t="s">
        <v>1887</v>
      </c>
      <c r="N867" s="388">
        <v>22.15</v>
      </c>
      <c r="O867" s="388">
        <v>14</v>
      </c>
      <c r="P867" s="387" t="s">
        <v>538</v>
      </c>
      <c r="Q867" s="387" t="s">
        <v>539</v>
      </c>
      <c r="R867" s="387" t="s">
        <v>6485</v>
      </c>
      <c r="S867" s="387" t="s">
        <v>541</v>
      </c>
      <c r="T867" s="387" t="s">
        <v>542</v>
      </c>
      <c r="U867" s="388">
        <v>2057220</v>
      </c>
      <c r="V867" s="387">
        <v>6009691115103</v>
      </c>
      <c r="W867" s="387" t="s">
        <v>543</v>
      </c>
      <c r="X867" s="387" t="s">
        <v>543</v>
      </c>
      <c r="Y867" s="387">
        <v>16009691115100</v>
      </c>
      <c r="Z867" s="387" t="s">
        <v>543</v>
      </c>
      <c r="AA867" s="388" t="s">
        <v>543</v>
      </c>
      <c r="AB867" s="388" t="s">
        <v>543</v>
      </c>
      <c r="AC867" s="387" t="s">
        <v>543</v>
      </c>
      <c r="AD867" s="389">
        <v>200</v>
      </c>
      <c r="AE867" s="390">
        <v>44470</v>
      </c>
      <c r="AF867" s="390">
        <v>45199</v>
      </c>
      <c r="AG867" s="390">
        <v>45199</v>
      </c>
      <c r="AH867" s="391" t="s">
        <v>6502</v>
      </c>
      <c r="AI867" s="391" t="s">
        <v>1889</v>
      </c>
      <c r="AJ867" s="391">
        <v>14</v>
      </c>
      <c r="AK867" s="390">
        <v>45047</v>
      </c>
      <c r="AL867" s="389">
        <v>100</v>
      </c>
      <c r="AM867" s="391" t="s">
        <v>548</v>
      </c>
      <c r="AN867" s="391" t="s">
        <v>549</v>
      </c>
      <c r="AO867" s="391" t="s">
        <v>6498</v>
      </c>
    </row>
    <row r="868" spans="1:41" ht="16" thickBot="1">
      <c r="A868" s="387" t="s">
        <v>1748</v>
      </c>
      <c r="B868" s="387" t="s">
        <v>3567</v>
      </c>
      <c r="C868" s="387" t="s">
        <v>6503</v>
      </c>
      <c r="D868" s="387" t="s">
        <v>6504</v>
      </c>
      <c r="E868" s="387">
        <v>1</v>
      </c>
      <c r="F868" s="387" t="s">
        <v>531</v>
      </c>
      <c r="G868" s="387" t="s">
        <v>543</v>
      </c>
      <c r="H868" s="387" t="s">
        <v>531</v>
      </c>
      <c r="I868" s="387" t="s">
        <v>1751</v>
      </c>
      <c r="J868" s="387" t="s">
        <v>6505</v>
      </c>
      <c r="K868" s="387" t="s">
        <v>6506</v>
      </c>
      <c r="L868" s="387" t="s">
        <v>4782</v>
      </c>
      <c r="M868" s="387" t="s">
        <v>4783</v>
      </c>
      <c r="N868" s="388">
        <v>67.02</v>
      </c>
      <c r="O868" s="388">
        <v>14</v>
      </c>
      <c r="P868" s="387" t="s">
        <v>538</v>
      </c>
      <c r="Q868" s="387" t="s">
        <v>539</v>
      </c>
      <c r="R868" s="387" t="s">
        <v>6507</v>
      </c>
      <c r="S868" s="387" t="s">
        <v>614</v>
      </c>
      <c r="T868" s="387" t="s">
        <v>757</v>
      </c>
      <c r="U868" s="388">
        <v>637460</v>
      </c>
      <c r="V868" s="387">
        <v>6001127044667</v>
      </c>
      <c r="W868" s="387">
        <v>6001127044667</v>
      </c>
      <c r="X868" s="387" t="s">
        <v>543</v>
      </c>
      <c r="Y868" s="387" t="s">
        <v>543</v>
      </c>
      <c r="Z868" s="387" t="s">
        <v>543</v>
      </c>
      <c r="AA868" s="388" t="s">
        <v>543</v>
      </c>
      <c r="AB868" s="388" t="s">
        <v>543</v>
      </c>
      <c r="AC868" s="387">
        <v>802638008</v>
      </c>
      <c r="AD868" s="389" t="s">
        <v>5096</v>
      </c>
      <c r="AE868" s="390">
        <v>44317</v>
      </c>
      <c r="AF868" s="390">
        <v>45412</v>
      </c>
      <c r="AG868" s="391" t="s">
        <v>545</v>
      </c>
      <c r="AH868" s="391" t="s">
        <v>6508</v>
      </c>
      <c r="AI868" s="391" t="s">
        <v>4786</v>
      </c>
      <c r="AJ868" s="391">
        <v>0</v>
      </c>
      <c r="AK868" s="390">
        <v>44317</v>
      </c>
      <c r="AL868" s="389">
        <v>100</v>
      </c>
      <c r="AM868" s="391" t="s">
        <v>548</v>
      </c>
      <c r="AN868" s="391" t="s">
        <v>549</v>
      </c>
      <c r="AO868" s="391" t="s">
        <v>6509</v>
      </c>
    </row>
    <row r="869" spans="1:41" ht="16" thickBot="1">
      <c r="A869" s="387" t="s">
        <v>1717</v>
      </c>
      <c r="B869" s="387" t="s">
        <v>6510</v>
      </c>
      <c r="C869" s="387" t="s">
        <v>6511</v>
      </c>
      <c r="D869" s="387" t="s">
        <v>6512</v>
      </c>
      <c r="E869" s="387">
        <v>100</v>
      </c>
      <c r="F869" s="387" t="s">
        <v>584</v>
      </c>
      <c r="G869" s="387">
        <v>100</v>
      </c>
      <c r="H869" s="387" t="s">
        <v>584</v>
      </c>
      <c r="I869" s="387" t="s">
        <v>585</v>
      </c>
      <c r="J869" s="387" t="s">
        <v>6513</v>
      </c>
      <c r="K869" s="387" t="s">
        <v>6514</v>
      </c>
      <c r="L869" s="387" t="s">
        <v>535</v>
      </c>
      <c r="M869" s="387" t="s">
        <v>536</v>
      </c>
      <c r="N869" s="388">
        <v>51.64</v>
      </c>
      <c r="O869" s="388">
        <v>14</v>
      </c>
      <c r="P869" s="387" t="s">
        <v>538</v>
      </c>
      <c r="Q869" s="387" t="s">
        <v>539</v>
      </c>
      <c r="R869" s="387" t="s">
        <v>6515</v>
      </c>
      <c r="S869" s="387" t="s">
        <v>541</v>
      </c>
      <c r="T869" s="387" t="s">
        <v>542</v>
      </c>
      <c r="U869" s="388">
        <v>2226825</v>
      </c>
      <c r="V869" s="387">
        <v>6001390958081</v>
      </c>
      <c r="W869" s="387">
        <v>6001390964082</v>
      </c>
      <c r="X869" s="387" t="s">
        <v>543</v>
      </c>
      <c r="Y869" s="387">
        <v>36001390964083</v>
      </c>
      <c r="Z869" s="387" t="s">
        <v>543</v>
      </c>
      <c r="AA869" s="388" t="s">
        <v>543</v>
      </c>
      <c r="AB869" s="388" t="s">
        <v>543</v>
      </c>
      <c r="AC869" s="387" t="s">
        <v>543</v>
      </c>
      <c r="AD869" s="389">
        <v>20</v>
      </c>
      <c r="AE869" s="390">
        <v>45047</v>
      </c>
      <c r="AF869" s="390">
        <v>46142</v>
      </c>
      <c r="AG869" s="391" t="s">
        <v>545</v>
      </c>
      <c r="AH869" s="391" t="s">
        <v>6516</v>
      </c>
      <c r="AI869" s="391" t="s">
        <v>547</v>
      </c>
      <c r="AJ869" s="391">
        <v>0</v>
      </c>
      <c r="AK869" s="390">
        <v>45047</v>
      </c>
      <c r="AL869" s="389">
        <v>100</v>
      </c>
      <c r="AM869" s="391" t="s">
        <v>548</v>
      </c>
      <c r="AN869" s="391" t="s">
        <v>549</v>
      </c>
      <c r="AO869" s="391" t="s">
        <v>6517</v>
      </c>
    </row>
    <row r="870" spans="1:41" ht="16" thickBot="1">
      <c r="A870" s="387" t="s">
        <v>1717</v>
      </c>
      <c r="B870" s="387" t="s">
        <v>6518</v>
      </c>
      <c r="C870" s="387" t="s">
        <v>6511</v>
      </c>
      <c r="D870" s="387" t="s">
        <v>6512</v>
      </c>
      <c r="E870" s="387">
        <v>100</v>
      </c>
      <c r="F870" s="387" t="s">
        <v>584</v>
      </c>
      <c r="G870" s="387">
        <v>100</v>
      </c>
      <c r="H870" s="387" t="s">
        <v>584</v>
      </c>
      <c r="I870" s="387" t="s">
        <v>585</v>
      </c>
      <c r="J870" s="387" t="s">
        <v>6513</v>
      </c>
      <c r="K870" s="387" t="s">
        <v>6514</v>
      </c>
      <c r="L870" s="387" t="s">
        <v>535</v>
      </c>
      <c r="M870" s="387" t="s">
        <v>536</v>
      </c>
      <c r="N870" s="388">
        <v>63.96</v>
      </c>
      <c r="O870" s="388">
        <v>14</v>
      </c>
      <c r="P870" s="387" t="s">
        <v>538</v>
      </c>
      <c r="Q870" s="387" t="s">
        <v>539</v>
      </c>
      <c r="R870" s="387" t="s">
        <v>6515</v>
      </c>
      <c r="S870" s="387" t="s">
        <v>541</v>
      </c>
      <c r="T870" s="387" t="s">
        <v>542</v>
      </c>
      <c r="U870" s="388">
        <v>106345</v>
      </c>
      <c r="V870" s="387">
        <v>6001390958081</v>
      </c>
      <c r="W870" s="387">
        <v>6001390964082</v>
      </c>
      <c r="X870" s="387" t="s">
        <v>543</v>
      </c>
      <c r="Y870" s="387">
        <v>36001390964083</v>
      </c>
      <c r="Z870" s="387" t="s">
        <v>543</v>
      </c>
      <c r="AA870" s="388" t="s">
        <v>543</v>
      </c>
      <c r="AB870" s="388" t="s">
        <v>543</v>
      </c>
      <c r="AC870" s="387" t="s">
        <v>543</v>
      </c>
      <c r="AD870" s="389">
        <v>20</v>
      </c>
      <c r="AE870" s="390">
        <v>45047</v>
      </c>
      <c r="AF870" s="390">
        <v>46142</v>
      </c>
      <c r="AG870" s="391" t="s">
        <v>545</v>
      </c>
      <c r="AH870" s="391" t="s">
        <v>6516</v>
      </c>
      <c r="AI870" s="391" t="s">
        <v>547</v>
      </c>
      <c r="AJ870" s="391">
        <v>0</v>
      </c>
      <c r="AK870" s="390">
        <v>45047</v>
      </c>
      <c r="AL870" s="389">
        <v>100</v>
      </c>
      <c r="AM870" s="391" t="s">
        <v>548</v>
      </c>
      <c r="AN870" s="391" t="s">
        <v>549</v>
      </c>
      <c r="AO870" s="391" t="s">
        <v>6517</v>
      </c>
    </row>
    <row r="871" spans="1:41" ht="16" thickBot="1">
      <c r="A871" s="387" t="s">
        <v>1717</v>
      </c>
      <c r="B871" s="387" t="s">
        <v>6510</v>
      </c>
      <c r="C871" s="387" t="s">
        <v>6519</v>
      </c>
      <c r="D871" s="387" t="s">
        <v>6520</v>
      </c>
      <c r="E871" s="387">
        <v>84</v>
      </c>
      <c r="F871" s="387" t="s">
        <v>559</v>
      </c>
      <c r="G871" s="387">
        <v>84</v>
      </c>
      <c r="H871" s="387" t="s">
        <v>584</v>
      </c>
      <c r="I871" s="387" t="s">
        <v>560</v>
      </c>
      <c r="J871" s="387" t="s">
        <v>6513</v>
      </c>
      <c r="K871" s="387" t="s">
        <v>6521</v>
      </c>
      <c r="L871" s="387" t="s">
        <v>535</v>
      </c>
      <c r="M871" s="387" t="s">
        <v>536</v>
      </c>
      <c r="N871" s="388">
        <v>51.64</v>
      </c>
      <c r="O871" s="388">
        <v>14</v>
      </c>
      <c r="P871" s="387" t="s">
        <v>538</v>
      </c>
      <c r="Q871" s="387" t="s">
        <v>160</v>
      </c>
      <c r="R871" s="387" t="s">
        <v>6515</v>
      </c>
      <c r="S871" s="387" t="s">
        <v>160</v>
      </c>
      <c r="T871" s="387" t="s">
        <v>160</v>
      </c>
      <c r="U871" s="388">
        <v>2226825</v>
      </c>
      <c r="V871" s="387" t="s">
        <v>543</v>
      </c>
      <c r="W871" s="387" t="s">
        <v>543</v>
      </c>
      <c r="X871" s="387" t="s">
        <v>543</v>
      </c>
      <c r="Y871" s="387" t="s">
        <v>543</v>
      </c>
      <c r="Z871" s="387" t="s">
        <v>543</v>
      </c>
      <c r="AA871" s="388" t="s">
        <v>543</v>
      </c>
      <c r="AB871" s="388" t="s">
        <v>543</v>
      </c>
      <c r="AC871" s="387" t="s">
        <v>543</v>
      </c>
      <c r="AD871" s="389">
        <v>20</v>
      </c>
      <c r="AE871" s="390">
        <v>45047</v>
      </c>
      <c r="AF871" s="390">
        <v>46142</v>
      </c>
      <c r="AG871" s="391" t="s">
        <v>545</v>
      </c>
      <c r="AH871" s="391" t="s">
        <v>545</v>
      </c>
      <c r="AI871" s="391" t="s">
        <v>547</v>
      </c>
      <c r="AJ871" s="391">
        <v>0</v>
      </c>
      <c r="AK871" s="390">
        <v>45047</v>
      </c>
      <c r="AL871" s="389">
        <v>100</v>
      </c>
      <c r="AM871" s="391" t="s">
        <v>548</v>
      </c>
      <c r="AN871" s="391" t="s">
        <v>549</v>
      </c>
      <c r="AO871" s="391" t="s">
        <v>6522</v>
      </c>
    </row>
    <row r="872" spans="1:41" ht="16" thickBot="1">
      <c r="A872" s="387" t="s">
        <v>1748</v>
      </c>
      <c r="B872" s="387" t="s">
        <v>4094</v>
      </c>
      <c r="C872" s="387" t="s">
        <v>6523</v>
      </c>
      <c r="D872" s="387" t="s">
        <v>6524</v>
      </c>
      <c r="E872" s="387">
        <v>5</v>
      </c>
      <c r="F872" s="387" t="s">
        <v>531</v>
      </c>
      <c r="G872" s="387">
        <v>5</v>
      </c>
      <c r="H872" s="387" t="s">
        <v>531</v>
      </c>
      <c r="I872" s="387" t="s">
        <v>1751</v>
      </c>
      <c r="J872" s="387" t="s">
        <v>6513</v>
      </c>
      <c r="K872" s="387" t="s">
        <v>6525</v>
      </c>
      <c r="L872" s="387" t="s">
        <v>3290</v>
      </c>
      <c r="M872" s="387" t="s">
        <v>3291</v>
      </c>
      <c r="N872" s="388">
        <v>42.48</v>
      </c>
      <c r="O872" s="388">
        <v>14</v>
      </c>
      <c r="P872" s="387" t="s">
        <v>538</v>
      </c>
      <c r="Q872" s="387" t="s">
        <v>539</v>
      </c>
      <c r="R872" s="387" t="s">
        <v>6515</v>
      </c>
      <c r="S872" s="387" t="s">
        <v>541</v>
      </c>
      <c r="T872" s="387" t="s">
        <v>757</v>
      </c>
      <c r="U872" s="388">
        <v>1278200</v>
      </c>
      <c r="V872" s="387" t="s">
        <v>543</v>
      </c>
      <c r="W872" s="387" t="s">
        <v>543</v>
      </c>
      <c r="X872" s="387" t="s">
        <v>543</v>
      </c>
      <c r="Y872" s="387" t="s">
        <v>543</v>
      </c>
      <c r="Z872" s="387" t="s">
        <v>543</v>
      </c>
      <c r="AA872" s="388" t="s">
        <v>543</v>
      </c>
      <c r="AB872" s="388" t="s">
        <v>543</v>
      </c>
      <c r="AC872" s="387" t="s">
        <v>543</v>
      </c>
      <c r="AD872" s="389" t="s">
        <v>5011</v>
      </c>
      <c r="AE872" s="390">
        <v>44317</v>
      </c>
      <c r="AF872" s="390">
        <v>45412</v>
      </c>
      <c r="AG872" s="391" t="s">
        <v>545</v>
      </c>
      <c r="AH872" s="391" t="s">
        <v>6526</v>
      </c>
      <c r="AI872" s="391" t="s">
        <v>3294</v>
      </c>
      <c r="AJ872" s="391">
        <v>0</v>
      </c>
      <c r="AK872" s="390">
        <v>44317</v>
      </c>
      <c r="AL872" s="389">
        <v>100</v>
      </c>
      <c r="AM872" s="391" t="s">
        <v>548</v>
      </c>
      <c r="AN872" s="391" t="s">
        <v>549</v>
      </c>
      <c r="AO872" s="391" t="s">
        <v>6527</v>
      </c>
    </row>
    <row r="873" spans="1:41" ht="16" thickBot="1">
      <c r="A873" s="387" t="s">
        <v>1729</v>
      </c>
      <c r="B873" s="387" t="s">
        <v>2776</v>
      </c>
      <c r="C873" s="387" t="s">
        <v>6528</v>
      </c>
      <c r="D873" s="387" t="s">
        <v>6529</v>
      </c>
      <c r="E873" s="387">
        <v>100</v>
      </c>
      <c r="F873" s="387" t="s">
        <v>531</v>
      </c>
      <c r="G873" s="387">
        <v>100</v>
      </c>
      <c r="H873" s="387" t="s">
        <v>531</v>
      </c>
      <c r="I873" s="387" t="s">
        <v>848</v>
      </c>
      <c r="J873" s="387" t="s">
        <v>6530</v>
      </c>
      <c r="K873" s="387" t="s">
        <v>6531</v>
      </c>
      <c r="L873" s="387" t="s">
        <v>1809</v>
      </c>
      <c r="M873" s="387" t="s">
        <v>1810</v>
      </c>
      <c r="N873" s="388">
        <v>29</v>
      </c>
      <c r="O873" s="388">
        <v>14</v>
      </c>
      <c r="P873" s="387" t="s">
        <v>611</v>
      </c>
      <c r="Q873" s="387" t="s">
        <v>3396</v>
      </c>
      <c r="R873" s="387" t="s">
        <v>6532</v>
      </c>
      <c r="S873" s="387" t="s">
        <v>614</v>
      </c>
      <c r="T873" s="387" t="s">
        <v>160</v>
      </c>
      <c r="U873" s="388">
        <v>88900</v>
      </c>
      <c r="V873" s="387">
        <v>6006845003002</v>
      </c>
      <c r="W873" s="387">
        <v>6006845003002</v>
      </c>
      <c r="X873" s="387" t="s">
        <v>543</v>
      </c>
      <c r="Y873" s="387">
        <v>16006845003009</v>
      </c>
      <c r="Z873" s="387" t="s">
        <v>543</v>
      </c>
      <c r="AA873" s="388" t="s">
        <v>543</v>
      </c>
      <c r="AB873" s="388" t="s">
        <v>543</v>
      </c>
      <c r="AC873" s="387" t="s">
        <v>543</v>
      </c>
      <c r="AD873" s="389">
        <v>100</v>
      </c>
      <c r="AE873" s="390">
        <v>44105</v>
      </c>
      <c r="AF873" s="390">
        <v>45199</v>
      </c>
      <c r="AG873" s="390">
        <v>45199</v>
      </c>
      <c r="AH873" s="391" t="s">
        <v>6533</v>
      </c>
      <c r="AI873" s="391" t="s">
        <v>1813</v>
      </c>
      <c r="AJ873" s="391">
        <v>0</v>
      </c>
      <c r="AK873" s="390">
        <v>44105</v>
      </c>
      <c r="AL873" s="389">
        <v>100</v>
      </c>
      <c r="AM873" s="391" t="s">
        <v>548</v>
      </c>
      <c r="AN873" s="391" t="s">
        <v>545</v>
      </c>
      <c r="AO873" s="391" t="s">
        <v>6534</v>
      </c>
    </row>
    <row r="874" spans="1:41" ht="16" thickBot="1">
      <c r="A874" s="387" t="s">
        <v>1748</v>
      </c>
      <c r="B874" s="387" t="s">
        <v>6124</v>
      </c>
      <c r="C874" s="387" t="s">
        <v>6535</v>
      </c>
      <c r="D874" s="387" t="s">
        <v>6536</v>
      </c>
      <c r="E874" s="387">
        <v>4</v>
      </c>
      <c r="F874" s="387" t="s">
        <v>531</v>
      </c>
      <c r="G874" s="387">
        <v>4</v>
      </c>
      <c r="H874" s="387" t="s">
        <v>531</v>
      </c>
      <c r="I874" s="387" t="s">
        <v>1751</v>
      </c>
      <c r="J874" s="387" t="s">
        <v>6537</v>
      </c>
      <c r="K874" s="387" t="s">
        <v>6538</v>
      </c>
      <c r="L874" s="387" t="s">
        <v>724</v>
      </c>
      <c r="M874" s="387" t="s">
        <v>725</v>
      </c>
      <c r="N874" s="388">
        <v>1631.44</v>
      </c>
      <c r="O874" s="388">
        <v>14</v>
      </c>
      <c r="P874" s="387" t="s">
        <v>538</v>
      </c>
      <c r="Q874" s="387" t="s">
        <v>539</v>
      </c>
      <c r="R874" s="387" t="s">
        <v>6539</v>
      </c>
      <c r="S874" s="387" t="s">
        <v>541</v>
      </c>
      <c r="T874" s="387" t="s">
        <v>757</v>
      </c>
      <c r="U874" s="388">
        <v>35215</v>
      </c>
      <c r="V874" s="387">
        <v>6001127043516</v>
      </c>
      <c r="W874" s="387" t="s">
        <v>543</v>
      </c>
      <c r="X874" s="387" t="s">
        <v>543</v>
      </c>
      <c r="Y874" s="387">
        <v>6001127043516</v>
      </c>
      <c r="Z874" s="387" t="s">
        <v>543</v>
      </c>
      <c r="AA874" s="388" t="s">
        <v>543</v>
      </c>
      <c r="AB874" s="388" t="s">
        <v>543</v>
      </c>
      <c r="AC874" s="387">
        <v>894184008</v>
      </c>
      <c r="AD874" s="389">
        <v>10</v>
      </c>
      <c r="AE874" s="390">
        <v>44317</v>
      </c>
      <c r="AF874" s="390">
        <v>45412</v>
      </c>
      <c r="AG874" s="391" t="s">
        <v>545</v>
      </c>
      <c r="AH874" s="391" t="s">
        <v>6540</v>
      </c>
      <c r="AI874" s="391" t="s">
        <v>726</v>
      </c>
      <c r="AJ874" s="391">
        <v>0</v>
      </c>
      <c r="AK874" s="390">
        <v>44317</v>
      </c>
      <c r="AL874" s="389">
        <v>100</v>
      </c>
      <c r="AM874" s="391" t="s">
        <v>548</v>
      </c>
      <c r="AN874" s="391" t="s">
        <v>549</v>
      </c>
      <c r="AO874" s="391" t="s">
        <v>6541</v>
      </c>
    </row>
    <row r="875" spans="1:41" ht="16" thickBot="1">
      <c r="A875" s="387" t="s">
        <v>1748</v>
      </c>
      <c r="B875" s="387" t="s">
        <v>6542</v>
      </c>
      <c r="C875" s="387" t="s">
        <v>6543</v>
      </c>
      <c r="D875" s="387" t="s">
        <v>6544</v>
      </c>
      <c r="E875" s="387">
        <v>8</v>
      </c>
      <c r="F875" s="387" t="s">
        <v>531</v>
      </c>
      <c r="G875" s="387">
        <v>8</v>
      </c>
      <c r="H875" s="387" t="s">
        <v>531</v>
      </c>
      <c r="I875" s="387" t="s">
        <v>1751</v>
      </c>
      <c r="J875" s="387" t="s">
        <v>6537</v>
      </c>
      <c r="K875" s="387" t="s">
        <v>6538</v>
      </c>
      <c r="L875" s="387" t="s">
        <v>724</v>
      </c>
      <c r="M875" s="387" t="s">
        <v>725</v>
      </c>
      <c r="N875" s="388">
        <v>3262.39</v>
      </c>
      <c r="O875" s="388">
        <v>14</v>
      </c>
      <c r="P875" s="387" t="s">
        <v>538</v>
      </c>
      <c r="Q875" s="387" t="s">
        <v>539</v>
      </c>
      <c r="R875" s="387" t="s">
        <v>6539</v>
      </c>
      <c r="S875" s="387" t="s">
        <v>541</v>
      </c>
      <c r="T875" s="387" t="s">
        <v>757</v>
      </c>
      <c r="U875" s="388">
        <v>17274</v>
      </c>
      <c r="V875" s="387">
        <v>6001127041710</v>
      </c>
      <c r="W875" s="387">
        <v>6001127041710</v>
      </c>
      <c r="X875" s="387" t="s">
        <v>543</v>
      </c>
      <c r="Y875" s="387" t="s">
        <v>543</v>
      </c>
      <c r="Z875" s="387" t="s">
        <v>543</v>
      </c>
      <c r="AA875" s="388" t="s">
        <v>543</v>
      </c>
      <c r="AB875" s="388" t="s">
        <v>543</v>
      </c>
      <c r="AC875" s="387">
        <v>797928006</v>
      </c>
      <c r="AD875" s="389">
        <v>10</v>
      </c>
      <c r="AE875" s="390">
        <v>44317</v>
      </c>
      <c r="AF875" s="390">
        <v>45412</v>
      </c>
      <c r="AG875" s="391" t="s">
        <v>545</v>
      </c>
      <c r="AH875" s="391" t="s">
        <v>6545</v>
      </c>
      <c r="AI875" s="391" t="s">
        <v>726</v>
      </c>
      <c r="AJ875" s="391">
        <v>0</v>
      </c>
      <c r="AK875" s="390">
        <v>44317</v>
      </c>
      <c r="AL875" s="389">
        <v>100</v>
      </c>
      <c r="AM875" s="391" t="s">
        <v>548</v>
      </c>
      <c r="AN875" s="391" t="s">
        <v>549</v>
      </c>
      <c r="AO875" s="391" t="s">
        <v>6546</v>
      </c>
    </row>
    <row r="876" spans="1:41" ht="16" thickBot="1">
      <c r="A876" s="387" t="s">
        <v>2294</v>
      </c>
      <c r="B876" s="387" t="s">
        <v>972</v>
      </c>
      <c r="C876" s="387" t="s">
        <v>6547</v>
      </c>
      <c r="D876" s="387" t="s">
        <v>6548</v>
      </c>
      <c r="E876" s="387">
        <v>15</v>
      </c>
      <c r="F876" s="387" t="s">
        <v>531</v>
      </c>
      <c r="G876" s="387">
        <v>300</v>
      </c>
      <c r="H876" s="387" t="s">
        <v>2297</v>
      </c>
      <c r="I876" s="387" t="s">
        <v>2298</v>
      </c>
      <c r="J876" s="387" t="s">
        <v>6549</v>
      </c>
      <c r="K876" s="387" t="s">
        <v>6550</v>
      </c>
      <c r="L876" s="387" t="s">
        <v>1945</v>
      </c>
      <c r="M876" s="387" t="s">
        <v>1946</v>
      </c>
      <c r="N876" s="388">
        <v>42.96</v>
      </c>
      <c r="O876" s="388">
        <v>14</v>
      </c>
      <c r="P876" s="387" t="s">
        <v>538</v>
      </c>
      <c r="Q876" s="387" t="s">
        <v>539</v>
      </c>
      <c r="R876" s="387" t="s">
        <v>6551</v>
      </c>
      <c r="S876" s="387" t="s">
        <v>171</v>
      </c>
      <c r="T876" s="387" t="s">
        <v>757</v>
      </c>
      <c r="U876" s="388">
        <v>37542</v>
      </c>
      <c r="V876" s="387">
        <v>6005667002033</v>
      </c>
      <c r="W876" s="387" t="s">
        <v>543</v>
      </c>
      <c r="X876" s="387" t="s">
        <v>543</v>
      </c>
      <c r="Y876" s="387" t="s">
        <v>543</v>
      </c>
      <c r="Z876" s="387" t="s">
        <v>543</v>
      </c>
      <c r="AA876" s="388" t="s">
        <v>543</v>
      </c>
      <c r="AB876" s="388" t="s">
        <v>543</v>
      </c>
      <c r="AC876" s="387">
        <v>734284004</v>
      </c>
      <c r="AD876" s="389">
        <v>1</v>
      </c>
      <c r="AE876" s="390">
        <v>44013</v>
      </c>
      <c r="AF876" s="390">
        <v>45107</v>
      </c>
      <c r="AG876" s="390">
        <v>45107</v>
      </c>
      <c r="AH876" s="391" t="s">
        <v>6552</v>
      </c>
      <c r="AI876" s="391" t="s">
        <v>1949</v>
      </c>
      <c r="AJ876" s="391">
        <v>0</v>
      </c>
      <c r="AK876" s="390">
        <v>44013</v>
      </c>
      <c r="AL876" s="389">
        <v>100</v>
      </c>
      <c r="AM876" s="391" t="s">
        <v>548</v>
      </c>
      <c r="AN876" s="391" t="s">
        <v>545</v>
      </c>
      <c r="AO876" s="391" t="s">
        <v>6553</v>
      </c>
    </row>
    <row r="877" spans="1:41" ht="16" thickBot="1">
      <c r="A877" s="387" t="s">
        <v>1766</v>
      </c>
      <c r="B877" s="387" t="s">
        <v>6554</v>
      </c>
      <c r="C877" s="387" t="s">
        <v>6555</v>
      </c>
      <c r="D877" s="387" t="s">
        <v>6556</v>
      </c>
      <c r="E877" s="387">
        <v>30</v>
      </c>
      <c r="F877" s="387" t="s">
        <v>531</v>
      </c>
      <c r="G877" s="387">
        <v>30</v>
      </c>
      <c r="H877" s="387" t="s">
        <v>531</v>
      </c>
      <c r="I877" s="387" t="s">
        <v>1751</v>
      </c>
      <c r="J877" s="387" t="s">
        <v>6557</v>
      </c>
      <c r="K877" s="387" t="s">
        <v>6558</v>
      </c>
      <c r="L877" s="387" t="s">
        <v>1905</v>
      </c>
      <c r="M877" s="387" t="s">
        <v>1906</v>
      </c>
      <c r="N877" s="388">
        <v>43.35</v>
      </c>
      <c r="O877" s="388">
        <v>14</v>
      </c>
      <c r="P877" s="387" t="s">
        <v>538</v>
      </c>
      <c r="Q877" s="387" t="s">
        <v>539</v>
      </c>
      <c r="R877" s="387" t="s">
        <v>6559</v>
      </c>
      <c r="S877" s="387" t="s">
        <v>171</v>
      </c>
      <c r="T877" s="387" t="s">
        <v>757</v>
      </c>
      <c r="U877" s="388">
        <v>1289630</v>
      </c>
      <c r="V877" s="387" t="s">
        <v>543</v>
      </c>
      <c r="W877" s="387">
        <v>6006823004427</v>
      </c>
      <c r="X877" s="387" t="s">
        <v>543</v>
      </c>
      <c r="Y877" s="387" t="s">
        <v>543</v>
      </c>
      <c r="Z877" s="387" t="s">
        <v>543</v>
      </c>
      <c r="AA877" s="388" t="s">
        <v>543</v>
      </c>
      <c r="AB877" s="388" t="s">
        <v>543</v>
      </c>
      <c r="AC877" s="387" t="s">
        <v>543</v>
      </c>
      <c r="AD877" s="389">
        <v>10</v>
      </c>
      <c r="AE877" s="390">
        <v>44470</v>
      </c>
      <c r="AF877" s="390">
        <v>45199</v>
      </c>
      <c r="AG877" s="390">
        <v>45199</v>
      </c>
      <c r="AH877" s="391" t="s">
        <v>6560</v>
      </c>
      <c r="AI877" s="391" t="s">
        <v>1910</v>
      </c>
      <c r="AJ877" s="391">
        <v>15</v>
      </c>
      <c r="AK877" s="390">
        <v>45047</v>
      </c>
      <c r="AL877" s="389">
        <v>100</v>
      </c>
      <c r="AM877" s="391" t="s">
        <v>548</v>
      </c>
      <c r="AN877" s="391" t="s">
        <v>549</v>
      </c>
      <c r="AO877" s="391" t="s">
        <v>6561</v>
      </c>
    </row>
    <row r="878" spans="1:41" ht="16" thickBot="1">
      <c r="A878" s="387" t="s">
        <v>2743</v>
      </c>
      <c r="B878" s="387" t="s">
        <v>967</v>
      </c>
      <c r="C878" s="387" t="s">
        <v>6562</v>
      </c>
      <c r="D878" s="387" t="s">
        <v>6563</v>
      </c>
      <c r="E878" s="387">
        <v>1</v>
      </c>
      <c r="F878" s="387" t="s">
        <v>2746</v>
      </c>
      <c r="G878" s="387">
        <v>1</v>
      </c>
      <c r="H878" s="387" t="s">
        <v>2746</v>
      </c>
      <c r="I878" s="387" t="s">
        <v>1838</v>
      </c>
      <c r="J878" s="387" t="s">
        <v>6564</v>
      </c>
      <c r="K878" s="387" t="s">
        <v>6565</v>
      </c>
      <c r="L878" s="387" t="s">
        <v>1975</v>
      </c>
      <c r="M878" s="387" t="s">
        <v>1976</v>
      </c>
      <c r="N878" s="388">
        <v>21.58</v>
      </c>
      <c r="O878" s="388">
        <v>14</v>
      </c>
      <c r="P878" s="387" t="s">
        <v>611</v>
      </c>
      <c r="Q878" s="387" t="s">
        <v>3265</v>
      </c>
      <c r="R878" s="387" t="s">
        <v>6566</v>
      </c>
      <c r="S878" s="387" t="s">
        <v>614</v>
      </c>
      <c r="T878" s="387" t="s">
        <v>160</v>
      </c>
      <c r="U878" s="388">
        <v>623970</v>
      </c>
      <c r="V878" s="387">
        <v>6003252075646</v>
      </c>
      <c r="W878" s="387">
        <v>6003252075646</v>
      </c>
      <c r="X878" s="387" t="s">
        <v>543</v>
      </c>
      <c r="Y878" s="387">
        <v>26003252075640</v>
      </c>
      <c r="Z878" s="387" t="s">
        <v>543</v>
      </c>
      <c r="AA878" s="388" t="s">
        <v>543</v>
      </c>
      <c r="AB878" s="388" t="s">
        <v>543</v>
      </c>
      <c r="AC878" s="387">
        <v>701386003</v>
      </c>
      <c r="AD878" s="389">
        <v>10</v>
      </c>
      <c r="AE878" s="390">
        <v>44105</v>
      </c>
      <c r="AF878" s="390">
        <v>45199</v>
      </c>
      <c r="AG878" s="390">
        <v>45199</v>
      </c>
      <c r="AH878" s="391" t="s">
        <v>6567</v>
      </c>
      <c r="AI878" s="391" t="s">
        <v>1979</v>
      </c>
      <c r="AJ878" s="391">
        <v>10</v>
      </c>
      <c r="AK878" s="390">
        <v>44866</v>
      </c>
      <c r="AL878" s="389">
        <v>100</v>
      </c>
      <c r="AM878" s="391" t="s">
        <v>548</v>
      </c>
      <c r="AN878" s="391" t="s">
        <v>545</v>
      </c>
      <c r="AO878" s="391" t="s">
        <v>6568</v>
      </c>
    </row>
    <row r="879" spans="1:41" ht="16" thickBot="1">
      <c r="A879" s="387" t="s">
        <v>2177</v>
      </c>
      <c r="B879" s="387" t="s">
        <v>3296</v>
      </c>
      <c r="C879" s="387" t="s">
        <v>6569</v>
      </c>
      <c r="D879" s="387" t="s">
        <v>6570</v>
      </c>
      <c r="E879" s="387">
        <v>454</v>
      </c>
      <c r="F879" s="387" t="s">
        <v>2180</v>
      </c>
      <c r="G879" s="387">
        <v>454</v>
      </c>
      <c r="H879" s="387" t="s">
        <v>2180</v>
      </c>
      <c r="I879" s="387" t="s">
        <v>2390</v>
      </c>
      <c r="J879" s="387" t="s">
        <v>6571</v>
      </c>
      <c r="K879" s="387" t="s">
        <v>6572</v>
      </c>
      <c r="L879" s="387" t="s">
        <v>1975</v>
      </c>
      <c r="M879" s="387" t="s">
        <v>1976</v>
      </c>
      <c r="N879" s="388">
        <v>558.69000000000005</v>
      </c>
      <c r="O879" s="388">
        <v>14</v>
      </c>
      <c r="P879" s="387" t="s">
        <v>538</v>
      </c>
      <c r="Q879" s="387" t="s">
        <v>539</v>
      </c>
      <c r="R879" s="387" t="s">
        <v>6573</v>
      </c>
      <c r="S879" s="387" t="s">
        <v>171</v>
      </c>
      <c r="T879" s="387" t="s">
        <v>757</v>
      </c>
      <c r="U879" s="388">
        <v>31610</v>
      </c>
      <c r="V879" s="387">
        <v>6004405001567</v>
      </c>
      <c r="W879" s="387">
        <v>6004405001567</v>
      </c>
      <c r="X879" s="387" t="s">
        <v>543</v>
      </c>
      <c r="Y879" s="387">
        <v>36003252060889</v>
      </c>
      <c r="Z879" s="387" t="s">
        <v>543</v>
      </c>
      <c r="AA879" s="388" t="s">
        <v>543</v>
      </c>
      <c r="AB879" s="388" t="s">
        <v>543</v>
      </c>
      <c r="AC879" s="387" t="s">
        <v>543</v>
      </c>
      <c r="AD879" s="389">
        <v>1</v>
      </c>
      <c r="AE879" s="390">
        <v>44013</v>
      </c>
      <c r="AF879" s="390">
        <v>45107</v>
      </c>
      <c r="AG879" s="390">
        <v>45107</v>
      </c>
      <c r="AH879" s="391" t="s">
        <v>6574</v>
      </c>
      <c r="AI879" s="391" t="s">
        <v>1979</v>
      </c>
      <c r="AJ879" s="391">
        <v>32</v>
      </c>
      <c r="AK879" s="390">
        <v>44409</v>
      </c>
      <c r="AL879" s="389">
        <v>100</v>
      </c>
      <c r="AM879" s="391" t="s">
        <v>548</v>
      </c>
      <c r="AN879" s="391" t="s">
        <v>545</v>
      </c>
      <c r="AO879" s="391" t="s">
        <v>6575</v>
      </c>
    </row>
    <row r="880" spans="1:41" ht="16" thickBot="1">
      <c r="A880" s="387" t="s">
        <v>2177</v>
      </c>
      <c r="B880" s="387" t="s">
        <v>2879</v>
      </c>
      <c r="C880" s="387" t="s">
        <v>6576</v>
      </c>
      <c r="D880" s="387" t="s">
        <v>6577</v>
      </c>
      <c r="E880" s="387">
        <v>500</v>
      </c>
      <c r="F880" s="387" t="s">
        <v>2180</v>
      </c>
      <c r="G880" s="387">
        <v>500</v>
      </c>
      <c r="H880" s="387" t="s">
        <v>2180</v>
      </c>
      <c r="I880" s="387" t="s">
        <v>2390</v>
      </c>
      <c r="J880" s="387" t="s">
        <v>6578</v>
      </c>
      <c r="K880" s="387" t="s">
        <v>6579</v>
      </c>
      <c r="L880" s="387" t="s">
        <v>1809</v>
      </c>
      <c r="M880" s="387" t="s">
        <v>1810</v>
      </c>
      <c r="N880" s="388">
        <v>86.38</v>
      </c>
      <c r="O880" s="388">
        <v>14</v>
      </c>
      <c r="P880" s="387" t="s">
        <v>538</v>
      </c>
      <c r="Q880" s="387" t="s">
        <v>539</v>
      </c>
      <c r="R880" s="387" t="s">
        <v>6580</v>
      </c>
      <c r="S880" s="387" t="s">
        <v>171</v>
      </c>
      <c r="T880" s="387" t="s">
        <v>757</v>
      </c>
      <c r="U880" s="388">
        <v>5370</v>
      </c>
      <c r="V880" s="387">
        <v>6006845001589</v>
      </c>
      <c r="W880" s="387">
        <v>6006845001589</v>
      </c>
      <c r="X880" s="387" t="s">
        <v>543</v>
      </c>
      <c r="Y880" s="387" t="s">
        <v>543</v>
      </c>
      <c r="Z880" s="387" t="s">
        <v>543</v>
      </c>
      <c r="AA880" s="388" t="s">
        <v>543</v>
      </c>
      <c r="AB880" s="388" t="s">
        <v>543</v>
      </c>
      <c r="AC880" s="387">
        <v>16006845001586</v>
      </c>
      <c r="AD880" s="389">
        <v>18</v>
      </c>
      <c r="AE880" s="390">
        <v>44013</v>
      </c>
      <c r="AF880" s="390">
        <v>45107</v>
      </c>
      <c r="AG880" s="390">
        <v>45107</v>
      </c>
      <c r="AH880" s="391" t="s">
        <v>6581</v>
      </c>
      <c r="AI880" s="391" t="s">
        <v>1813</v>
      </c>
      <c r="AJ880" s="391">
        <v>37</v>
      </c>
      <c r="AK880" s="390">
        <v>44409</v>
      </c>
      <c r="AL880" s="389">
        <v>100</v>
      </c>
      <c r="AM880" s="391" t="s">
        <v>548</v>
      </c>
      <c r="AN880" s="391" t="s">
        <v>545</v>
      </c>
      <c r="AO880" s="391" t="s">
        <v>6582</v>
      </c>
    </row>
    <row r="881" spans="1:43" ht="16" thickBot="1">
      <c r="A881" s="387" t="s">
        <v>1748</v>
      </c>
      <c r="B881" s="387" t="s">
        <v>4131</v>
      </c>
      <c r="C881" s="387" t="s">
        <v>6583</v>
      </c>
      <c r="D881" s="387" t="s">
        <v>6584</v>
      </c>
      <c r="E881" s="387">
        <v>10</v>
      </c>
      <c r="F881" s="387" t="s">
        <v>531</v>
      </c>
      <c r="G881" s="387">
        <v>10</v>
      </c>
      <c r="H881" s="387" t="s">
        <v>531</v>
      </c>
      <c r="I881" s="387" t="s">
        <v>1751</v>
      </c>
      <c r="J881" s="387" t="s">
        <v>6578</v>
      </c>
      <c r="K881" s="387" t="s">
        <v>6585</v>
      </c>
      <c r="L881" s="387" t="s">
        <v>1955</v>
      </c>
      <c r="M881" s="387" t="s">
        <v>1956</v>
      </c>
      <c r="N881" s="388">
        <v>2.13</v>
      </c>
      <c r="O881" s="388">
        <v>14</v>
      </c>
      <c r="P881" s="387" t="s">
        <v>538</v>
      </c>
      <c r="Q881" s="387" t="s">
        <v>539</v>
      </c>
      <c r="R881" s="387" t="s">
        <v>6586</v>
      </c>
      <c r="S881" s="387" t="s">
        <v>541</v>
      </c>
      <c r="T881" s="387" t="s">
        <v>757</v>
      </c>
      <c r="U881" s="388">
        <v>2470180</v>
      </c>
      <c r="V881" s="387">
        <v>6432661002758</v>
      </c>
      <c r="W881" s="387">
        <v>6432661002758</v>
      </c>
      <c r="X881" s="387" t="s">
        <v>543</v>
      </c>
      <c r="Y881" s="387">
        <v>16432661002758</v>
      </c>
      <c r="Z881" s="387" t="s">
        <v>543</v>
      </c>
      <c r="AA881" s="388" t="s">
        <v>543</v>
      </c>
      <c r="AB881" s="388" t="s">
        <v>543</v>
      </c>
      <c r="AC881" s="387">
        <v>716842001</v>
      </c>
      <c r="AD881" s="389" t="s">
        <v>6587</v>
      </c>
      <c r="AE881" s="390">
        <v>44317</v>
      </c>
      <c r="AF881" s="390">
        <v>45412</v>
      </c>
      <c r="AG881" s="391" t="s">
        <v>545</v>
      </c>
      <c r="AH881" s="391" t="s">
        <v>6588</v>
      </c>
      <c r="AI881" s="391" t="s">
        <v>1959</v>
      </c>
      <c r="AJ881" s="391">
        <v>0</v>
      </c>
      <c r="AK881" s="390">
        <v>44317</v>
      </c>
      <c r="AL881" s="389">
        <v>100</v>
      </c>
      <c r="AM881" s="391" t="s">
        <v>548</v>
      </c>
      <c r="AN881" s="391" t="s">
        <v>549</v>
      </c>
      <c r="AO881" s="391" t="s">
        <v>6589</v>
      </c>
    </row>
    <row r="882" spans="1:43" ht="16" thickBot="1">
      <c r="A882" s="387" t="s">
        <v>1717</v>
      </c>
      <c r="B882" s="387" t="s">
        <v>6590</v>
      </c>
      <c r="C882" s="387" t="s">
        <v>6591</v>
      </c>
      <c r="D882" s="387" t="s">
        <v>6592</v>
      </c>
      <c r="E882" s="387">
        <v>100</v>
      </c>
      <c r="F882" s="387" t="s">
        <v>559</v>
      </c>
      <c r="G882" s="387">
        <v>100</v>
      </c>
      <c r="H882" s="387" t="s">
        <v>559</v>
      </c>
      <c r="I882" s="387" t="s">
        <v>560</v>
      </c>
      <c r="J882" s="387" t="s">
        <v>6578</v>
      </c>
      <c r="K882" s="387" t="s">
        <v>6593</v>
      </c>
      <c r="L882" s="387" t="s">
        <v>535</v>
      </c>
      <c r="M882" s="387" t="s">
        <v>536</v>
      </c>
      <c r="N882" s="388">
        <v>66.47</v>
      </c>
      <c r="O882" s="388">
        <v>14</v>
      </c>
      <c r="P882" s="387" t="s">
        <v>538</v>
      </c>
      <c r="Q882" s="387" t="s">
        <v>539</v>
      </c>
      <c r="R882" s="387" t="s">
        <v>6580</v>
      </c>
      <c r="S882" s="387" t="s">
        <v>171</v>
      </c>
      <c r="T882" s="387" t="s">
        <v>757</v>
      </c>
      <c r="U882" s="388">
        <v>600761</v>
      </c>
      <c r="V882" s="387" t="s">
        <v>543</v>
      </c>
      <c r="W882" s="387" t="s">
        <v>543</v>
      </c>
      <c r="X882" s="387" t="s">
        <v>543</v>
      </c>
      <c r="Y882" s="387" t="s">
        <v>543</v>
      </c>
      <c r="Z882" s="387" t="s">
        <v>543</v>
      </c>
      <c r="AA882" s="388" t="s">
        <v>543</v>
      </c>
      <c r="AB882" s="388" t="s">
        <v>543</v>
      </c>
      <c r="AC882" s="387">
        <v>755753003</v>
      </c>
      <c r="AD882" s="389">
        <v>20</v>
      </c>
      <c r="AE882" s="390">
        <v>45047</v>
      </c>
      <c r="AF882" s="390">
        <v>46142</v>
      </c>
      <c r="AG882" s="391" t="s">
        <v>545</v>
      </c>
      <c r="AH882" s="391" t="s">
        <v>6594</v>
      </c>
      <c r="AI882" s="391" t="s">
        <v>547</v>
      </c>
      <c r="AJ882" s="391">
        <v>0</v>
      </c>
      <c r="AK882" s="390">
        <v>45047</v>
      </c>
      <c r="AL882" s="389">
        <v>100</v>
      </c>
      <c r="AM882" s="391" t="s">
        <v>548</v>
      </c>
      <c r="AN882" s="391" t="s">
        <v>549</v>
      </c>
      <c r="AO882" s="391" t="s">
        <v>6595</v>
      </c>
    </row>
    <row r="883" spans="1:43" ht="16" thickBot="1">
      <c r="A883" s="387" t="s">
        <v>1729</v>
      </c>
      <c r="B883" s="387" t="s">
        <v>2726</v>
      </c>
      <c r="C883" s="387" t="s">
        <v>6596</v>
      </c>
      <c r="D883" s="387" t="s">
        <v>6597</v>
      </c>
      <c r="E883" s="387">
        <v>200</v>
      </c>
      <c r="F883" s="387" t="s">
        <v>531</v>
      </c>
      <c r="G883" s="387">
        <v>200</v>
      </c>
      <c r="H883" s="387" t="s">
        <v>531</v>
      </c>
      <c r="I883" s="387" t="s">
        <v>744</v>
      </c>
      <c r="J883" s="387" t="s">
        <v>6598</v>
      </c>
      <c r="K883" s="387" t="s">
        <v>6599</v>
      </c>
      <c r="L883" s="387" t="s">
        <v>1809</v>
      </c>
      <c r="M883" s="387" t="s">
        <v>1810</v>
      </c>
      <c r="N883" s="388">
        <v>10.86</v>
      </c>
      <c r="O883" s="388">
        <v>14</v>
      </c>
      <c r="P883" s="387" t="s">
        <v>538</v>
      </c>
      <c r="Q883" s="387" t="s">
        <v>539</v>
      </c>
      <c r="R883" s="387" t="s">
        <v>6600</v>
      </c>
      <c r="S883" s="387" t="s">
        <v>171</v>
      </c>
      <c r="T883" s="387" t="s">
        <v>757</v>
      </c>
      <c r="U883" s="388">
        <v>147150</v>
      </c>
      <c r="V883" s="387">
        <v>6006845000384</v>
      </c>
      <c r="W883" s="387">
        <v>6006845000384</v>
      </c>
      <c r="X883" s="387" t="s">
        <v>543</v>
      </c>
      <c r="Y883" s="387">
        <v>46006845000382</v>
      </c>
      <c r="Z883" s="387" t="s">
        <v>543</v>
      </c>
      <c r="AA883" s="388" t="s">
        <v>543</v>
      </c>
      <c r="AB883" s="388" t="s">
        <v>543</v>
      </c>
      <c r="AC883" s="387" t="s">
        <v>543</v>
      </c>
      <c r="AD883" s="389">
        <v>50</v>
      </c>
      <c r="AE883" s="390">
        <v>44105</v>
      </c>
      <c r="AF883" s="390">
        <v>45199</v>
      </c>
      <c r="AG883" s="390">
        <v>45199</v>
      </c>
      <c r="AH883" s="391" t="s">
        <v>6601</v>
      </c>
      <c r="AI883" s="391" t="s">
        <v>1813</v>
      </c>
      <c r="AJ883" s="391">
        <v>0</v>
      </c>
      <c r="AK883" s="390">
        <v>44105</v>
      </c>
      <c r="AL883" s="389">
        <v>100</v>
      </c>
      <c r="AM883" s="391" t="s">
        <v>548</v>
      </c>
      <c r="AN883" s="391" t="s">
        <v>545</v>
      </c>
      <c r="AO883" s="391" t="s">
        <v>6602</v>
      </c>
    </row>
    <row r="884" spans="1:43" ht="16" thickBot="1">
      <c r="A884" s="387" t="s">
        <v>1748</v>
      </c>
      <c r="B884" s="387" t="s">
        <v>4139</v>
      </c>
      <c r="C884" s="387" t="s">
        <v>6603</v>
      </c>
      <c r="D884" s="387" t="s">
        <v>6604</v>
      </c>
      <c r="E884" s="387">
        <v>10</v>
      </c>
      <c r="F884" s="387" t="s">
        <v>531</v>
      </c>
      <c r="G884" s="387">
        <v>10</v>
      </c>
      <c r="H884" s="387" t="s">
        <v>531</v>
      </c>
      <c r="I884" s="387" t="s">
        <v>1751</v>
      </c>
      <c r="J884" s="387" t="s">
        <v>6605</v>
      </c>
      <c r="K884" s="387" t="s">
        <v>6606</v>
      </c>
      <c r="L884" s="387" t="s">
        <v>1975</v>
      </c>
      <c r="M884" s="387" t="s">
        <v>1976</v>
      </c>
      <c r="N884" s="388">
        <v>60.38</v>
      </c>
      <c r="O884" s="388">
        <v>14</v>
      </c>
      <c r="P884" s="387" t="s">
        <v>611</v>
      </c>
      <c r="Q884" s="387" t="s">
        <v>612</v>
      </c>
      <c r="R884" s="387" t="s">
        <v>6607</v>
      </c>
      <c r="S884" s="387" t="s">
        <v>614</v>
      </c>
      <c r="T884" s="387" t="s">
        <v>160</v>
      </c>
      <c r="U884" s="388">
        <v>131090</v>
      </c>
      <c r="V884" s="387">
        <v>6003252129264</v>
      </c>
      <c r="W884" s="387">
        <v>6003252129264</v>
      </c>
      <c r="X884" s="387" t="s">
        <v>543</v>
      </c>
      <c r="Y884" s="387">
        <v>16003252129261</v>
      </c>
      <c r="Z884" s="387" t="s">
        <v>543</v>
      </c>
      <c r="AA884" s="388" t="s">
        <v>543</v>
      </c>
      <c r="AB884" s="388" t="s">
        <v>543</v>
      </c>
      <c r="AC884" s="387">
        <v>803243006</v>
      </c>
      <c r="AD884" s="389">
        <v>10</v>
      </c>
      <c r="AE884" s="390">
        <v>44317</v>
      </c>
      <c r="AF884" s="390">
        <v>45412</v>
      </c>
      <c r="AG884" s="391" t="s">
        <v>545</v>
      </c>
      <c r="AH884" s="391" t="s">
        <v>6608</v>
      </c>
      <c r="AI884" s="391" t="s">
        <v>1979</v>
      </c>
      <c r="AJ884" s="391">
        <v>0</v>
      </c>
      <c r="AK884" s="390">
        <v>44317</v>
      </c>
      <c r="AL884" s="389">
        <v>100</v>
      </c>
      <c r="AM884" s="391" t="s">
        <v>548</v>
      </c>
      <c r="AN884" s="391" t="s">
        <v>549</v>
      </c>
      <c r="AO884" s="391" t="s">
        <v>6609</v>
      </c>
    </row>
    <row r="885" spans="1:43" ht="16" thickBot="1">
      <c r="A885" s="387" t="s">
        <v>1729</v>
      </c>
      <c r="B885" s="387" t="s">
        <v>2738</v>
      </c>
      <c r="C885" s="387" t="s">
        <v>6610</v>
      </c>
      <c r="D885" s="387" t="s">
        <v>6611</v>
      </c>
      <c r="E885" s="387">
        <v>100</v>
      </c>
      <c r="F885" s="387" t="s">
        <v>531</v>
      </c>
      <c r="G885" s="387">
        <v>100</v>
      </c>
      <c r="H885" s="387" t="s">
        <v>531</v>
      </c>
      <c r="I885" s="387" t="s">
        <v>1732</v>
      </c>
      <c r="J885" s="387" t="s">
        <v>6612</v>
      </c>
      <c r="K885" s="387" t="s">
        <v>6613</v>
      </c>
      <c r="L885" s="387" t="s">
        <v>1855</v>
      </c>
      <c r="M885" s="387" t="s">
        <v>1856</v>
      </c>
      <c r="N885" s="388">
        <v>10.11</v>
      </c>
      <c r="O885" s="388">
        <v>14</v>
      </c>
      <c r="P885" s="387" t="s">
        <v>538</v>
      </c>
      <c r="Q885" s="387" t="s">
        <v>539</v>
      </c>
      <c r="R885" s="387" t="s">
        <v>6614</v>
      </c>
      <c r="S885" s="387" t="s">
        <v>171</v>
      </c>
      <c r="T885" s="387" t="s">
        <v>542</v>
      </c>
      <c r="U885" s="388">
        <v>91704</v>
      </c>
      <c r="V885" s="387">
        <v>6001668009798</v>
      </c>
      <c r="W885" s="387" t="s">
        <v>543</v>
      </c>
      <c r="X885" s="387" t="s">
        <v>543</v>
      </c>
      <c r="Y885" s="387">
        <v>16001668009801</v>
      </c>
      <c r="Z885" s="387" t="s">
        <v>543</v>
      </c>
      <c r="AA885" s="388" t="s">
        <v>543</v>
      </c>
      <c r="AB885" s="388" t="s">
        <v>543</v>
      </c>
      <c r="AC885" s="387" t="s">
        <v>543</v>
      </c>
      <c r="AD885" s="389">
        <v>120</v>
      </c>
      <c r="AE885" s="390">
        <v>44105</v>
      </c>
      <c r="AF885" s="390">
        <v>45199</v>
      </c>
      <c r="AG885" s="390">
        <v>45199</v>
      </c>
      <c r="AH885" s="391" t="s">
        <v>6615</v>
      </c>
      <c r="AI885" s="391" t="s">
        <v>1859</v>
      </c>
      <c r="AJ885" s="391">
        <v>17</v>
      </c>
      <c r="AK885" s="390">
        <v>45040</v>
      </c>
      <c r="AL885" s="389">
        <v>100</v>
      </c>
      <c r="AM885" s="391" t="s">
        <v>548</v>
      </c>
      <c r="AN885" s="391" t="s">
        <v>545</v>
      </c>
      <c r="AO885" s="391" t="s">
        <v>6616</v>
      </c>
    </row>
    <row r="886" spans="1:43" ht="16" thickBot="1">
      <c r="A886" s="387" t="s">
        <v>1729</v>
      </c>
      <c r="B886" s="387" t="s">
        <v>3117</v>
      </c>
      <c r="C886" s="387" t="s">
        <v>6617</v>
      </c>
      <c r="D886" s="387" t="s">
        <v>6618</v>
      </c>
      <c r="E886" s="387">
        <v>1</v>
      </c>
      <c r="F886" s="387" t="s">
        <v>2746</v>
      </c>
      <c r="G886" s="387">
        <v>1</v>
      </c>
      <c r="H886" s="387" t="s">
        <v>2746</v>
      </c>
      <c r="I886" s="387" t="s">
        <v>1732</v>
      </c>
      <c r="J886" s="387" t="s">
        <v>6612</v>
      </c>
      <c r="K886" s="387" t="s">
        <v>6613</v>
      </c>
      <c r="L886" s="387" t="s">
        <v>1855</v>
      </c>
      <c r="M886" s="387" t="s">
        <v>1856</v>
      </c>
      <c r="N886" s="388">
        <v>83.89</v>
      </c>
      <c r="O886" s="388">
        <v>14</v>
      </c>
      <c r="P886" s="387" t="s">
        <v>538</v>
      </c>
      <c r="Q886" s="387" t="s">
        <v>539</v>
      </c>
      <c r="R886" s="387" t="s">
        <v>6614</v>
      </c>
      <c r="S886" s="387" t="s">
        <v>171</v>
      </c>
      <c r="T886" s="387" t="s">
        <v>542</v>
      </c>
      <c r="U886" s="388">
        <v>604007</v>
      </c>
      <c r="V886" s="387">
        <v>6001668007312</v>
      </c>
      <c r="W886" s="387" t="s">
        <v>543</v>
      </c>
      <c r="X886" s="387" t="s">
        <v>543</v>
      </c>
      <c r="Y886" s="387">
        <v>16001668007326</v>
      </c>
      <c r="Z886" s="387" t="s">
        <v>543</v>
      </c>
      <c r="AA886" s="388" t="s">
        <v>543</v>
      </c>
      <c r="AB886" s="388" t="s">
        <v>543</v>
      </c>
      <c r="AC886" s="387" t="s">
        <v>543</v>
      </c>
      <c r="AD886" s="389">
        <v>12</v>
      </c>
      <c r="AE886" s="390">
        <v>44105</v>
      </c>
      <c r="AF886" s="390">
        <v>45199</v>
      </c>
      <c r="AG886" s="390">
        <v>45199</v>
      </c>
      <c r="AH886" s="391" t="s">
        <v>6619</v>
      </c>
      <c r="AI886" s="391" t="s">
        <v>1859</v>
      </c>
      <c r="AJ886" s="391">
        <v>17</v>
      </c>
      <c r="AK886" s="390">
        <v>45040</v>
      </c>
      <c r="AL886" s="389">
        <v>100</v>
      </c>
      <c r="AM886" s="391" t="s">
        <v>548</v>
      </c>
      <c r="AN886" s="391" t="s">
        <v>545</v>
      </c>
      <c r="AO886" s="391" t="s">
        <v>6620</v>
      </c>
    </row>
    <row r="887" spans="1:43" ht="16" thickBot="1">
      <c r="A887" s="387" t="s">
        <v>2177</v>
      </c>
      <c r="B887" s="387" t="s">
        <v>2424</v>
      </c>
      <c r="C887" s="387" t="s">
        <v>6621</v>
      </c>
      <c r="D887" s="387" t="s">
        <v>6622</v>
      </c>
      <c r="E887" s="387">
        <v>25</v>
      </c>
      <c r="F887" s="387" t="s">
        <v>2180</v>
      </c>
      <c r="G887" s="387">
        <v>25</v>
      </c>
      <c r="H887" s="387" t="s">
        <v>2180</v>
      </c>
      <c r="I887" s="387" t="s">
        <v>2720</v>
      </c>
      <c r="J887" s="387" t="s">
        <v>6612</v>
      </c>
      <c r="K887" s="387" t="s">
        <v>6623</v>
      </c>
      <c r="L887" s="387" t="s">
        <v>1855</v>
      </c>
      <c r="M887" s="387" t="s">
        <v>1856</v>
      </c>
      <c r="N887" s="388">
        <v>8.1999999999999993</v>
      </c>
      <c r="O887" s="388">
        <v>14</v>
      </c>
      <c r="P887" s="387" t="s">
        <v>538</v>
      </c>
      <c r="Q887" s="387" t="s">
        <v>539</v>
      </c>
      <c r="R887" s="387" t="s">
        <v>6614</v>
      </c>
      <c r="S887" s="387" t="s">
        <v>171</v>
      </c>
      <c r="T887" s="387" t="s">
        <v>542</v>
      </c>
      <c r="U887" s="388">
        <v>1642625</v>
      </c>
      <c r="V887" s="387">
        <v>6001668007350</v>
      </c>
      <c r="W887" s="387" t="s">
        <v>543</v>
      </c>
      <c r="X887" s="387" t="s">
        <v>543</v>
      </c>
      <c r="Y887" s="387">
        <v>16001668007364</v>
      </c>
      <c r="Z887" s="387" t="s">
        <v>543</v>
      </c>
      <c r="AA887" s="388" t="s">
        <v>543</v>
      </c>
      <c r="AB887" s="388" t="s">
        <v>543</v>
      </c>
      <c r="AC887" s="387" t="s">
        <v>543</v>
      </c>
      <c r="AD887" s="389">
        <v>200</v>
      </c>
      <c r="AE887" s="390">
        <v>44013</v>
      </c>
      <c r="AF887" s="390">
        <v>45107</v>
      </c>
      <c r="AG887" s="390">
        <v>45107</v>
      </c>
      <c r="AH887" s="391" t="s">
        <v>6624</v>
      </c>
      <c r="AI887" s="391" t="s">
        <v>1859</v>
      </c>
      <c r="AJ887" s="391">
        <v>54</v>
      </c>
      <c r="AK887" s="390">
        <v>45040</v>
      </c>
      <c r="AL887" s="389">
        <v>100</v>
      </c>
      <c r="AM887" s="391" t="s">
        <v>548</v>
      </c>
      <c r="AN887" s="391" t="s">
        <v>545</v>
      </c>
      <c r="AO887" s="391" t="s">
        <v>6625</v>
      </c>
      <c r="AP887" s="372">
        <f>N887/E887</f>
        <v>0.32799999999999996</v>
      </c>
      <c r="AQ887" s="372">
        <f>AP887</f>
        <v>0.32799999999999996</v>
      </c>
    </row>
    <row r="888" spans="1:43" ht="16" thickBot="1">
      <c r="A888" s="387" t="s">
        <v>2177</v>
      </c>
      <c r="B888" s="387" t="s">
        <v>2434</v>
      </c>
      <c r="C888" s="387" t="s">
        <v>6626</v>
      </c>
      <c r="D888" s="387" t="s">
        <v>6627</v>
      </c>
      <c r="E888" s="387">
        <v>500</v>
      </c>
      <c r="F888" s="387" t="s">
        <v>2180</v>
      </c>
      <c r="G888" s="387">
        <v>500</v>
      </c>
      <c r="H888" s="387" t="s">
        <v>2180</v>
      </c>
      <c r="I888" s="387" t="s">
        <v>2720</v>
      </c>
      <c r="J888" s="387" t="s">
        <v>6612</v>
      </c>
      <c r="K888" s="387" t="s">
        <v>6623</v>
      </c>
      <c r="L888" s="387" t="s">
        <v>1855</v>
      </c>
      <c r="M888" s="387" t="s">
        <v>1856</v>
      </c>
      <c r="N888" s="388">
        <v>104.97</v>
      </c>
      <c r="O888" s="388">
        <v>14</v>
      </c>
      <c r="P888" s="387" t="s">
        <v>538</v>
      </c>
      <c r="Q888" s="387" t="s">
        <v>539</v>
      </c>
      <c r="R888" s="387" t="s">
        <v>6614</v>
      </c>
      <c r="S888" s="387" t="s">
        <v>171</v>
      </c>
      <c r="T888" s="387" t="s">
        <v>542</v>
      </c>
      <c r="U888" s="388">
        <v>81664</v>
      </c>
      <c r="V888" s="387">
        <v>6001668007398</v>
      </c>
      <c r="W888" s="387" t="s">
        <v>543</v>
      </c>
      <c r="X888" s="387" t="s">
        <v>543</v>
      </c>
      <c r="Y888" s="387">
        <v>16001668007401</v>
      </c>
      <c r="Z888" s="387" t="s">
        <v>543</v>
      </c>
      <c r="AA888" s="388" t="s">
        <v>543</v>
      </c>
      <c r="AB888" s="388" t="s">
        <v>543</v>
      </c>
      <c r="AC888" s="387" t="s">
        <v>543</v>
      </c>
      <c r="AD888" s="389">
        <v>22</v>
      </c>
      <c r="AE888" s="390">
        <v>44013</v>
      </c>
      <c r="AF888" s="390">
        <v>45107</v>
      </c>
      <c r="AG888" s="390">
        <v>45107</v>
      </c>
      <c r="AH888" s="391" t="s">
        <v>6628</v>
      </c>
      <c r="AI888" s="391" t="s">
        <v>1859</v>
      </c>
      <c r="AJ888" s="391">
        <v>54</v>
      </c>
      <c r="AK888" s="390">
        <v>45040</v>
      </c>
      <c r="AL888" s="389">
        <v>100</v>
      </c>
      <c r="AM888" s="391" t="s">
        <v>548</v>
      </c>
      <c r="AN888" s="391" t="s">
        <v>545</v>
      </c>
      <c r="AO888" s="391" t="s">
        <v>6625</v>
      </c>
    </row>
    <row r="889" spans="1:43" ht="16" thickBot="1">
      <c r="A889" s="387" t="s">
        <v>3389</v>
      </c>
      <c r="B889" s="387" t="s">
        <v>2630</v>
      </c>
      <c r="C889" s="387" t="s">
        <v>6629</v>
      </c>
      <c r="D889" s="387" t="s">
        <v>6630</v>
      </c>
      <c r="E889" s="387">
        <v>25</v>
      </c>
      <c r="F889" s="387" t="s">
        <v>2180</v>
      </c>
      <c r="G889" s="387">
        <v>25</v>
      </c>
      <c r="H889" s="387" t="s">
        <v>2180</v>
      </c>
      <c r="I889" s="387" t="s">
        <v>2181</v>
      </c>
      <c r="J889" s="387" t="s">
        <v>6612</v>
      </c>
      <c r="K889" s="387" t="s">
        <v>6631</v>
      </c>
      <c r="L889" s="387" t="s">
        <v>3043</v>
      </c>
      <c r="M889" s="387" t="s">
        <v>3044</v>
      </c>
      <c r="N889" s="388">
        <v>8.56</v>
      </c>
      <c r="O889" s="388">
        <v>14</v>
      </c>
      <c r="P889" s="387" t="s">
        <v>538</v>
      </c>
      <c r="Q889" s="387" t="s">
        <v>539</v>
      </c>
      <c r="R889" s="387" t="s">
        <v>6614</v>
      </c>
      <c r="S889" s="387" t="s">
        <v>171</v>
      </c>
      <c r="T889" s="387" t="s">
        <v>542</v>
      </c>
      <c r="U889" s="388">
        <v>905950</v>
      </c>
      <c r="V889" s="387">
        <v>4046964961243</v>
      </c>
      <c r="W889" s="387" t="s">
        <v>543</v>
      </c>
      <c r="X889" s="387" t="s">
        <v>543</v>
      </c>
      <c r="Y889" s="387">
        <v>4046964961267</v>
      </c>
      <c r="Z889" s="387" t="s">
        <v>543</v>
      </c>
      <c r="AA889" s="388">
        <v>4046964961519</v>
      </c>
      <c r="AB889" s="388" t="s">
        <v>543</v>
      </c>
      <c r="AC889" s="387" t="s">
        <v>543</v>
      </c>
      <c r="AD889" s="389">
        <v>480</v>
      </c>
      <c r="AE889" s="390">
        <v>44137</v>
      </c>
      <c r="AF889" s="390">
        <v>45107</v>
      </c>
      <c r="AG889" s="390">
        <v>45107</v>
      </c>
      <c r="AH889" s="391" t="s">
        <v>6632</v>
      </c>
      <c r="AI889" s="391" t="s">
        <v>3047</v>
      </c>
      <c r="AJ889" s="391">
        <v>0</v>
      </c>
      <c r="AK889" s="390">
        <v>44137</v>
      </c>
      <c r="AL889" s="389">
        <v>100</v>
      </c>
      <c r="AM889" s="391" t="s">
        <v>548</v>
      </c>
      <c r="AN889" s="391" t="s">
        <v>545</v>
      </c>
      <c r="AO889" s="391" t="s">
        <v>6633</v>
      </c>
    </row>
    <row r="890" spans="1:43" ht="16" thickBot="1">
      <c r="A890" s="387" t="s">
        <v>3389</v>
      </c>
      <c r="B890" s="387" t="s">
        <v>2857</v>
      </c>
      <c r="C890" s="387" t="s">
        <v>6634</v>
      </c>
      <c r="D890" s="387" t="s">
        <v>6635</v>
      </c>
      <c r="E890" s="387">
        <v>500</v>
      </c>
      <c r="F890" s="387" t="s">
        <v>2180</v>
      </c>
      <c r="G890" s="387">
        <v>500</v>
      </c>
      <c r="H890" s="387" t="s">
        <v>2180</v>
      </c>
      <c r="I890" s="387" t="s">
        <v>2181</v>
      </c>
      <c r="J890" s="387" t="s">
        <v>6612</v>
      </c>
      <c r="K890" s="387" t="s">
        <v>6636</v>
      </c>
      <c r="L890" s="387" t="s">
        <v>3043</v>
      </c>
      <c r="M890" s="387" t="s">
        <v>3044</v>
      </c>
      <c r="N890" s="388">
        <v>44.97</v>
      </c>
      <c r="O890" s="388">
        <v>14</v>
      </c>
      <c r="P890" s="387" t="s">
        <v>538</v>
      </c>
      <c r="Q890" s="387" t="s">
        <v>539</v>
      </c>
      <c r="R890" s="387" t="s">
        <v>6614</v>
      </c>
      <c r="S890" s="387" t="s">
        <v>171</v>
      </c>
      <c r="T890" s="387" t="s">
        <v>542</v>
      </c>
      <c r="U890" s="388">
        <v>56700</v>
      </c>
      <c r="V890" s="387">
        <v>4046964959547</v>
      </c>
      <c r="W890" s="387" t="s">
        <v>543</v>
      </c>
      <c r="X890" s="387" t="s">
        <v>543</v>
      </c>
      <c r="Y890" s="387">
        <v>4046964959530</v>
      </c>
      <c r="Z890" s="387" t="s">
        <v>543</v>
      </c>
      <c r="AA890" s="388" t="s">
        <v>543</v>
      </c>
      <c r="AB890" s="388" t="s">
        <v>543</v>
      </c>
      <c r="AC890" s="387" t="s">
        <v>543</v>
      </c>
      <c r="AD890" s="389">
        <v>12</v>
      </c>
      <c r="AE890" s="390">
        <v>44137</v>
      </c>
      <c r="AF890" s="390">
        <v>45107</v>
      </c>
      <c r="AG890" s="390">
        <v>45107</v>
      </c>
      <c r="AH890" s="391" t="s">
        <v>6637</v>
      </c>
      <c r="AI890" s="391" t="s">
        <v>3047</v>
      </c>
      <c r="AJ890" s="391">
        <v>0</v>
      </c>
      <c r="AK890" s="390">
        <v>44137</v>
      </c>
      <c r="AL890" s="389">
        <v>100</v>
      </c>
      <c r="AM890" s="391" t="s">
        <v>548</v>
      </c>
      <c r="AN890" s="391" t="s">
        <v>545</v>
      </c>
      <c r="AO890" s="391" t="s">
        <v>6633</v>
      </c>
    </row>
    <row r="891" spans="1:43" ht="16" thickBot="1">
      <c r="A891" s="387" t="s">
        <v>1717</v>
      </c>
      <c r="B891" s="387" t="s">
        <v>6638</v>
      </c>
      <c r="C891" s="387" t="s">
        <v>6639</v>
      </c>
      <c r="D891" s="387" t="s">
        <v>6640</v>
      </c>
      <c r="E891" s="387">
        <v>100</v>
      </c>
      <c r="F891" s="387" t="s">
        <v>559</v>
      </c>
      <c r="G891" s="387">
        <v>100</v>
      </c>
      <c r="H891" s="387" t="s">
        <v>559</v>
      </c>
      <c r="I891" s="387" t="s">
        <v>560</v>
      </c>
      <c r="J891" s="387" t="s">
        <v>6641</v>
      </c>
      <c r="K891" s="387" t="s">
        <v>6642</v>
      </c>
      <c r="L891" s="387" t="s">
        <v>535</v>
      </c>
      <c r="M891" s="387" t="s">
        <v>536</v>
      </c>
      <c r="N891" s="388">
        <v>136.65</v>
      </c>
      <c r="O891" s="388">
        <v>14</v>
      </c>
      <c r="P891" s="387" t="s">
        <v>538</v>
      </c>
      <c r="Q891" s="387" t="s">
        <v>539</v>
      </c>
      <c r="R891" s="387" t="s">
        <v>6643</v>
      </c>
      <c r="S891" s="387" t="s">
        <v>614</v>
      </c>
      <c r="T891" s="387" t="s">
        <v>1908</v>
      </c>
      <c r="U891" s="388">
        <v>18185</v>
      </c>
      <c r="V891" s="387">
        <v>6001390124998</v>
      </c>
      <c r="W891" s="387" t="s">
        <v>543</v>
      </c>
      <c r="X891" s="387" t="s">
        <v>543</v>
      </c>
      <c r="Y891" s="387" t="s">
        <v>543</v>
      </c>
      <c r="Z891" s="387" t="s">
        <v>543</v>
      </c>
      <c r="AA891" s="388" t="s">
        <v>543</v>
      </c>
      <c r="AB891" s="388" t="s">
        <v>543</v>
      </c>
      <c r="AC891" s="387">
        <v>723740001</v>
      </c>
      <c r="AD891" s="389">
        <v>10</v>
      </c>
      <c r="AE891" s="390">
        <v>45047</v>
      </c>
      <c r="AF891" s="390">
        <v>46142</v>
      </c>
      <c r="AG891" s="391" t="s">
        <v>545</v>
      </c>
      <c r="AH891" s="391" t="s">
        <v>6644</v>
      </c>
      <c r="AI891" s="391" t="s">
        <v>547</v>
      </c>
      <c r="AJ891" s="391">
        <v>0</v>
      </c>
      <c r="AK891" s="390">
        <v>45047</v>
      </c>
      <c r="AL891" s="389">
        <v>100</v>
      </c>
      <c r="AM891" s="391" t="s">
        <v>548</v>
      </c>
      <c r="AN891" s="391" t="s">
        <v>549</v>
      </c>
      <c r="AO891" s="391" t="s">
        <v>6645</v>
      </c>
    </row>
    <row r="892" spans="1:43" ht="16" thickBot="1">
      <c r="A892" s="387" t="s">
        <v>1717</v>
      </c>
      <c r="B892" s="387" t="s">
        <v>6646</v>
      </c>
      <c r="C892" s="387" t="s">
        <v>6647</v>
      </c>
      <c r="D892" s="387" t="s">
        <v>6648</v>
      </c>
      <c r="E892" s="387">
        <v>30</v>
      </c>
      <c r="F892" s="387" t="s">
        <v>559</v>
      </c>
      <c r="G892" s="387">
        <v>30</v>
      </c>
      <c r="H892" s="387" t="s">
        <v>559</v>
      </c>
      <c r="I892" s="387" t="s">
        <v>560</v>
      </c>
      <c r="J892" s="387" t="s">
        <v>6649</v>
      </c>
      <c r="K892" s="387" t="s">
        <v>6650</v>
      </c>
      <c r="L892" s="387" t="s">
        <v>2595</v>
      </c>
      <c r="M892" s="387" t="s">
        <v>2596</v>
      </c>
      <c r="N892" s="388">
        <v>20.7</v>
      </c>
      <c r="O892" s="388">
        <v>14</v>
      </c>
      <c r="P892" s="387" t="s">
        <v>538</v>
      </c>
      <c r="Q892" s="387" t="s">
        <v>539</v>
      </c>
      <c r="R892" s="387" t="s">
        <v>6651</v>
      </c>
      <c r="S892" s="387" t="s">
        <v>171</v>
      </c>
      <c r="T892" s="387" t="s">
        <v>542</v>
      </c>
      <c r="U892" s="388">
        <v>2092263</v>
      </c>
      <c r="V892" s="387">
        <v>6009801985138</v>
      </c>
      <c r="W892" s="387">
        <v>6009801985138</v>
      </c>
      <c r="X892" s="387" t="s">
        <v>543</v>
      </c>
      <c r="Y892" s="387">
        <v>16009801985395</v>
      </c>
      <c r="Z892" s="387" t="s">
        <v>543</v>
      </c>
      <c r="AA892" s="388" t="s">
        <v>543</v>
      </c>
      <c r="AB892" s="388" t="s">
        <v>543</v>
      </c>
      <c r="AC892" s="387">
        <v>715710001</v>
      </c>
      <c r="AD892" s="389">
        <v>20</v>
      </c>
      <c r="AE892" s="390">
        <v>45047</v>
      </c>
      <c r="AF892" s="390">
        <v>46142</v>
      </c>
      <c r="AG892" s="391" t="s">
        <v>545</v>
      </c>
      <c r="AH892" s="391" t="s">
        <v>6652</v>
      </c>
      <c r="AI892" s="391" t="s">
        <v>2599</v>
      </c>
      <c r="AJ892" s="391">
        <v>0</v>
      </c>
      <c r="AK892" s="390">
        <v>45047</v>
      </c>
      <c r="AL892" s="389">
        <v>100</v>
      </c>
      <c r="AM892" s="391" t="s">
        <v>548</v>
      </c>
      <c r="AN892" s="391" t="s">
        <v>549</v>
      </c>
      <c r="AO892" s="391" t="s">
        <v>6653</v>
      </c>
    </row>
    <row r="893" spans="1:43" ht="16" thickBot="1">
      <c r="A893" s="387" t="s">
        <v>1717</v>
      </c>
      <c r="B893" s="387" t="s">
        <v>6654</v>
      </c>
      <c r="C893" s="387" t="s">
        <v>6655</v>
      </c>
      <c r="D893" s="387" t="s">
        <v>6656</v>
      </c>
      <c r="E893" s="387">
        <v>30</v>
      </c>
      <c r="F893" s="387" t="s">
        <v>559</v>
      </c>
      <c r="G893" s="387">
        <v>30</v>
      </c>
      <c r="H893" s="387" t="s">
        <v>559</v>
      </c>
      <c r="I893" s="387" t="s">
        <v>560</v>
      </c>
      <c r="J893" s="387" t="s">
        <v>6649</v>
      </c>
      <c r="K893" s="387" t="s">
        <v>6657</v>
      </c>
      <c r="L893" s="387" t="s">
        <v>2595</v>
      </c>
      <c r="M893" s="387" t="s">
        <v>2596</v>
      </c>
      <c r="N893" s="388">
        <v>34.5</v>
      </c>
      <c r="O893" s="388">
        <v>14</v>
      </c>
      <c r="P893" s="387" t="s">
        <v>538</v>
      </c>
      <c r="Q893" s="387" t="s">
        <v>539</v>
      </c>
      <c r="R893" s="387" t="s">
        <v>6651</v>
      </c>
      <c r="S893" s="387" t="s">
        <v>171</v>
      </c>
      <c r="T893" s="387" t="s">
        <v>542</v>
      </c>
      <c r="U893" s="388">
        <v>2512234</v>
      </c>
      <c r="V893" s="387" t="s">
        <v>543</v>
      </c>
      <c r="W893" s="387" t="s">
        <v>543</v>
      </c>
      <c r="X893" s="387" t="s">
        <v>543</v>
      </c>
      <c r="Y893" s="387" t="s">
        <v>543</v>
      </c>
      <c r="Z893" s="387" t="s">
        <v>543</v>
      </c>
      <c r="AA893" s="388" t="s">
        <v>543</v>
      </c>
      <c r="AB893" s="388" t="s">
        <v>543</v>
      </c>
      <c r="AC893" s="387" t="s">
        <v>543</v>
      </c>
      <c r="AD893" s="389">
        <v>20</v>
      </c>
      <c r="AE893" s="390">
        <v>45047</v>
      </c>
      <c r="AF893" s="390">
        <v>46142</v>
      </c>
      <c r="AG893" s="391" t="s">
        <v>545</v>
      </c>
      <c r="AH893" s="391" t="s">
        <v>6658</v>
      </c>
      <c r="AI893" s="391" t="s">
        <v>2599</v>
      </c>
      <c r="AJ893" s="391">
        <v>0</v>
      </c>
      <c r="AK893" s="390">
        <v>45047</v>
      </c>
      <c r="AL893" s="389">
        <v>100</v>
      </c>
      <c r="AM893" s="391" t="s">
        <v>548</v>
      </c>
      <c r="AN893" s="391" t="s">
        <v>549</v>
      </c>
      <c r="AO893" s="391" t="s">
        <v>6659</v>
      </c>
    </row>
    <row r="894" spans="1:43" ht="16" thickBot="1">
      <c r="A894" s="387" t="s">
        <v>1766</v>
      </c>
      <c r="B894" s="387" t="s">
        <v>4238</v>
      </c>
      <c r="C894" s="387" t="s">
        <v>6660</v>
      </c>
      <c r="D894" s="387" t="s">
        <v>6661</v>
      </c>
      <c r="E894" s="387">
        <v>100</v>
      </c>
      <c r="F894" s="387" t="s">
        <v>559</v>
      </c>
      <c r="G894" s="387">
        <v>100</v>
      </c>
      <c r="H894" s="387" t="s">
        <v>559</v>
      </c>
      <c r="I894" s="387" t="s">
        <v>560</v>
      </c>
      <c r="J894" s="387" t="s">
        <v>6662</v>
      </c>
      <c r="K894" s="387" t="s">
        <v>6663</v>
      </c>
      <c r="L894" s="387" t="s">
        <v>4991</v>
      </c>
      <c r="M894" s="387" t="s">
        <v>4992</v>
      </c>
      <c r="N894" s="388">
        <v>1810.03</v>
      </c>
      <c r="O894" s="388">
        <v>10</v>
      </c>
      <c r="P894" s="387" t="s">
        <v>538</v>
      </c>
      <c r="Q894" s="387" t="s">
        <v>539</v>
      </c>
      <c r="R894" s="387" t="s">
        <v>6664</v>
      </c>
      <c r="S894" s="387" t="s">
        <v>171</v>
      </c>
      <c r="T894" s="387" t="s">
        <v>542</v>
      </c>
      <c r="U894" s="388">
        <v>5331</v>
      </c>
      <c r="V894" s="387">
        <v>6006418000032</v>
      </c>
      <c r="W894" s="387">
        <v>6006418000032</v>
      </c>
      <c r="X894" s="387" t="s">
        <v>543</v>
      </c>
      <c r="Y894" s="387">
        <v>16006418000039</v>
      </c>
      <c r="Z894" s="387" t="s">
        <v>543</v>
      </c>
      <c r="AA894" s="388" t="s">
        <v>543</v>
      </c>
      <c r="AB894" s="388" t="s">
        <v>543</v>
      </c>
      <c r="AC894" s="387">
        <v>717169006</v>
      </c>
      <c r="AD894" s="389">
        <v>432</v>
      </c>
      <c r="AE894" s="390">
        <v>44470</v>
      </c>
      <c r="AF894" s="390">
        <v>45199</v>
      </c>
      <c r="AG894" s="391" t="s">
        <v>545</v>
      </c>
      <c r="AH894" s="391" t="s">
        <v>6665</v>
      </c>
      <c r="AI894" s="391" t="s">
        <v>4995</v>
      </c>
      <c r="AJ894" s="391">
        <v>0</v>
      </c>
      <c r="AK894" s="390">
        <v>44470</v>
      </c>
      <c r="AL894" s="389">
        <v>100</v>
      </c>
      <c r="AM894" s="391" t="s">
        <v>548</v>
      </c>
      <c r="AN894" s="391" t="s">
        <v>549</v>
      </c>
      <c r="AO894" s="391" t="s">
        <v>6666</v>
      </c>
    </row>
    <row r="895" spans="1:43" ht="16" thickBot="1">
      <c r="A895" s="387" t="s">
        <v>2177</v>
      </c>
      <c r="B895" s="387" t="s">
        <v>3813</v>
      </c>
      <c r="C895" s="387" t="s">
        <v>6667</v>
      </c>
      <c r="D895" s="387" t="s">
        <v>6668</v>
      </c>
      <c r="E895" s="387">
        <v>12</v>
      </c>
      <c r="F895" s="387" t="s">
        <v>2567</v>
      </c>
      <c r="G895" s="387">
        <v>1</v>
      </c>
      <c r="H895" s="387" t="s">
        <v>2567</v>
      </c>
      <c r="I895" s="387" t="s">
        <v>2568</v>
      </c>
      <c r="J895" s="387" t="s">
        <v>6669</v>
      </c>
      <c r="K895" s="387" t="s">
        <v>6670</v>
      </c>
      <c r="L895" s="387" t="s">
        <v>3128</v>
      </c>
      <c r="M895" s="387" t="s">
        <v>3129</v>
      </c>
      <c r="N895" s="388">
        <v>140.46</v>
      </c>
      <c r="O895" s="388">
        <v>14</v>
      </c>
      <c r="P895" s="387" t="s">
        <v>611</v>
      </c>
      <c r="Q895" s="387" t="s">
        <v>612</v>
      </c>
      <c r="R895" s="387" t="s">
        <v>6671</v>
      </c>
      <c r="S895" s="387" t="s">
        <v>614</v>
      </c>
      <c r="T895" s="387" t="s">
        <v>160</v>
      </c>
      <c r="U895" s="388">
        <v>93610</v>
      </c>
      <c r="V895" s="387">
        <v>6005943001644</v>
      </c>
      <c r="W895" s="387">
        <v>6005943001644</v>
      </c>
      <c r="X895" s="387" t="s">
        <v>543</v>
      </c>
      <c r="Y895" s="387">
        <v>60059430016442</v>
      </c>
      <c r="Z895" s="387" t="s">
        <v>543</v>
      </c>
      <c r="AA895" s="388" t="s">
        <v>543</v>
      </c>
      <c r="AB895" s="388" t="s">
        <v>543</v>
      </c>
      <c r="AC895" s="387">
        <v>875384005</v>
      </c>
      <c r="AD895" s="389">
        <v>1</v>
      </c>
      <c r="AE895" s="390">
        <v>44013</v>
      </c>
      <c r="AF895" s="390">
        <v>45107</v>
      </c>
      <c r="AG895" s="390">
        <v>45107</v>
      </c>
      <c r="AH895" s="391" t="s">
        <v>6672</v>
      </c>
      <c r="AI895" s="391" t="s">
        <v>3131</v>
      </c>
      <c r="AJ895" s="391">
        <v>0</v>
      </c>
      <c r="AK895" s="390">
        <v>44013</v>
      </c>
      <c r="AL895" s="389">
        <v>100</v>
      </c>
      <c r="AM895" s="391" t="s">
        <v>548</v>
      </c>
      <c r="AN895" s="391" t="s">
        <v>545</v>
      </c>
      <c r="AO895" s="391" t="s">
        <v>6673</v>
      </c>
    </row>
    <row r="896" spans="1:43" ht="16" thickBot="1">
      <c r="A896" s="387" t="s">
        <v>2177</v>
      </c>
      <c r="B896" s="387" t="s">
        <v>3081</v>
      </c>
      <c r="C896" s="387" t="s">
        <v>6674</v>
      </c>
      <c r="D896" s="387" t="s">
        <v>6675</v>
      </c>
      <c r="E896" s="387">
        <v>15</v>
      </c>
      <c r="F896" s="387" t="s">
        <v>2180</v>
      </c>
      <c r="G896" s="387">
        <v>12</v>
      </c>
      <c r="H896" s="387" t="s">
        <v>2180</v>
      </c>
      <c r="I896" s="387" t="s">
        <v>2720</v>
      </c>
      <c r="J896" s="387" t="s">
        <v>6669</v>
      </c>
      <c r="K896" s="387" t="s">
        <v>6676</v>
      </c>
      <c r="L896" s="387" t="s">
        <v>3128</v>
      </c>
      <c r="M896" s="387" t="s">
        <v>3129</v>
      </c>
      <c r="N896" s="388">
        <v>262.14</v>
      </c>
      <c r="O896" s="388">
        <v>14</v>
      </c>
      <c r="P896" s="387" t="s">
        <v>611</v>
      </c>
      <c r="Q896" s="387" t="s">
        <v>612</v>
      </c>
      <c r="R896" s="387" t="s">
        <v>6671</v>
      </c>
      <c r="S896" s="387" t="s">
        <v>614</v>
      </c>
      <c r="T896" s="387" t="s">
        <v>160</v>
      </c>
      <c r="U896" s="388">
        <v>10740</v>
      </c>
      <c r="V896" s="387">
        <v>6005943001637</v>
      </c>
      <c r="W896" s="387">
        <v>6005943001637</v>
      </c>
      <c r="X896" s="387" t="s">
        <v>543</v>
      </c>
      <c r="Y896" s="387">
        <v>60059430016374</v>
      </c>
      <c r="Z896" s="387" t="s">
        <v>543</v>
      </c>
      <c r="AA896" s="388" t="s">
        <v>543</v>
      </c>
      <c r="AB896" s="388" t="s">
        <v>543</v>
      </c>
      <c r="AC896" s="387">
        <v>875376010</v>
      </c>
      <c r="AD896" s="389">
        <v>1</v>
      </c>
      <c r="AE896" s="390">
        <v>44013</v>
      </c>
      <c r="AF896" s="390">
        <v>45107</v>
      </c>
      <c r="AG896" s="390">
        <v>45107</v>
      </c>
      <c r="AH896" s="391" t="s">
        <v>6677</v>
      </c>
      <c r="AI896" s="391" t="s">
        <v>3131</v>
      </c>
      <c r="AJ896" s="391">
        <v>0</v>
      </c>
      <c r="AK896" s="390">
        <v>44013</v>
      </c>
      <c r="AL896" s="389">
        <v>100</v>
      </c>
      <c r="AM896" s="391" t="s">
        <v>548</v>
      </c>
      <c r="AN896" s="391" t="s">
        <v>545</v>
      </c>
      <c r="AO896" s="391" t="s">
        <v>6678</v>
      </c>
    </row>
    <row r="897" spans="1:41" ht="16" thickBot="1">
      <c r="A897" s="387" t="s">
        <v>2412</v>
      </c>
      <c r="B897" s="387" t="s">
        <v>1006</v>
      </c>
      <c r="C897" s="387" t="s">
        <v>6679</v>
      </c>
      <c r="D897" s="387" t="s">
        <v>6680</v>
      </c>
      <c r="E897" s="387">
        <v>5</v>
      </c>
      <c r="F897" s="387" t="s">
        <v>531</v>
      </c>
      <c r="G897" s="387">
        <v>100</v>
      </c>
      <c r="H897" s="387" t="s">
        <v>2297</v>
      </c>
      <c r="I897" s="387" t="s">
        <v>2298</v>
      </c>
      <c r="J897" s="387" t="s">
        <v>6681</v>
      </c>
      <c r="K897" s="387" t="s">
        <v>6682</v>
      </c>
      <c r="L897" s="387" t="s">
        <v>2549</v>
      </c>
      <c r="M897" s="387" t="s">
        <v>2550</v>
      </c>
      <c r="N897" s="388">
        <v>49.79</v>
      </c>
      <c r="O897" s="388">
        <v>14</v>
      </c>
      <c r="P897" s="387" t="s">
        <v>611</v>
      </c>
      <c r="Q897" s="387" t="s">
        <v>612</v>
      </c>
      <c r="R897" s="387" t="s">
        <v>6683</v>
      </c>
      <c r="S897" s="387" t="s">
        <v>171</v>
      </c>
      <c r="T897" s="387" t="s">
        <v>160</v>
      </c>
      <c r="U897" s="388">
        <v>222406</v>
      </c>
      <c r="V897" s="387">
        <v>6009701960303</v>
      </c>
      <c r="W897" s="387" t="s">
        <v>543</v>
      </c>
      <c r="X897" s="387" t="s">
        <v>543</v>
      </c>
      <c r="Y897" s="387" t="s">
        <v>543</v>
      </c>
      <c r="Z897" s="387" t="s">
        <v>543</v>
      </c>
      <c r="AA897" s="388" t="s">
        <v>543</v>
      </c>
      <c r="AB897" s="388" t="s">
        <v>543</v>
      </c>
      <c r="AC897" s="387" t="s">
        <v>543</v>
      </c>
      <c r="AD897" s="389">
        <v>12</v>
      </c>
      <c r="AE897" s="390">
        <v>44137</v>
      </c>
      <c r="AF897" s="390">
        <v>45107</v>
      </c>
      <c r="AG897" s="390">
        <v>45107</v>
      </c>
      <c r="AH897" s="391" t="s">
        <v>6684</v>
      </c>
      <c r="AI897" s="391" t="s">
        <v>2553</v>
      </c>
      <c r="AJ897" s="391">
        <v>0</v>
      </c>
      <c r="AK897" s="390">
        <v>44137</v>
      </c>
      <c r="AL897" s="389">
        <v>100</v>
      </c>
      <c r="AM897" s="391" t="s">
        <v>548</v>
      </c>
      <c r="AN897" s="391" t="s">
        <v>545</v>
      </c>
      <c r="AO897" s="391" t="s">
        <v>6685</v>
      </c>
    </row>
    <row r="898" spans="1:41" ht="16" thickBot="1">
      <c r="A898" s="387" t="s">
        <v>1717</v>
      </c>
      <c r="B898" s="387" t="s">
        <v>6686</v>
      </c>
      <c r="C898" s="387" t="s">
        <v>6687</v>
      </c>
      <c r="D898" s="387" t="s">
        <v>6688</v>
      </c>
      <c r="E898" s="387">
        <v>100</v>
      </c>
      <c r="F898" s="387" t="s">
        <v>559</v>
      </c>
      <c r="G898" s="387">
        <v>100</v>
      </c>
      <c r="H898" s="387" t="s">
        <v>559</v>
      </c>
      <c r="I898" s="387" t="s">
        <v>560</v>
      </c>
      <c r="J898" s="387" t="s">
        <v>6689</v>
      </c>
      <c r="K898" s="387" t="s">
        <v>6690</v>
      </c>
      <c r="L898" s="387" t="s">
        <v>1771</v>
      </c>
      <c r="M898" s="387" t="s">
        <v>1772</v>
      </c>
      <c r="N898" s="388">
        <v>15</v>
      </c>
      <c r="O898" s="388">
        <v>14</v>
      </c>
      <c r="P898" s="387" t="s">
        <v>538</v>
      </c>
      <c r="Q898" s="387" t="s">
        <v>539</v>
      </c>
      <c r="R898" s="387" t="s">
        <v>6691</v>
      </c>
      <c r="S898" s="387" t="s">
        <v>541</v>
      </c>
      <c r="T898" s="387" t="s">
        <v>542</v>
      </c>
      <c r="U898" s="388">
        <v>1630450</v>
      </c>
      <c r="V898" s="387">
        <v>6006882000798</v>
      </c>
      <c r="W898" s="387">
        <v>6006882000798</v>
      </c>
      <c r="X898" s="387" t="s">
        <v>543</v>
      </c>
      <c r="Y898" s="387">
        <v>16006882000795</v>
      </c>
      <c r="Z898" s="387" t="s">
        <v>543</v>
      </c>
      <c r="AA898" s="388" t="s">
        <v>543</v>
      </c>
      <c r="AB898" s="388" t="s">
        <v>543</v>
      </c>
      <c r="AC898" s="387" t="s">
        <v>543</v>
      </c>
      <c r="AD898" s="389">
        <v>250</v>
      </c>
      <c r="AE898" s="390">
        <v>45047</v>
      </c>
      <c r="AF898" s="390">
        <v>46142</v>
      </c>
      <c r="AG898" s="391" t="s">
        <v>545</v>
      </c>
      <c r="AH898" s="391" t="s">
        <v>6692</v>
      </c>
      <c r="AI898" s="391" t="s">
        <v>1776</v>
      </c>
      <c r="AJ898" s="391">
        <v>0</v>
      </c>
      <c r="AK898" s="390">
        <v>45047</v>
      </c>
      <c r="AL898" s="389">
        <v>100</v>
      </c>
      <c r="AM898" s="391" t="s">
        <v>548</v>
      </c>
      <c r="AN898" s="391" t="s">
        <v>549</v>
      </c>
      <c r="AO898" s="391" t="s">
        <v>6693</v>
      </c>
    </row>
    <row r="899" spans="1:41" ht="16" thickBot="1">
      <c r="A899" s="387" t="s">
        <v>1717</v>
      </c>
      <c r="B899" s="387" t="s">
        <v>6694</v>
      </c>
      <c r="C899" s="387" t="s">
        <v>6695</v>
      </c>
      <c r="D899" s="387" t="s">
        <v>6696</v>
      </c>
      <c r="E899" s="387">
        <v>28</v>
      </c>
      <c r="F899" s="387" t="s">
        <v>559</v>
      </c>
      <c r="G899" s="387">
        <v>28</v>
      </c>
      <c r="H899" s="387" t="s">
        <v>559</v>
      </c>
      <c r="I899" s="387" t="s">
        <v>560</v>
      </c>
      <c r="J899" s="387" t="s">
        <v>6689</v>
      </c>
      <c r="K899" s="387" t="s">
        <v>6690</v>
      </c>
      <c r="L899" s="387" t="s">
        <v>1771</v>
      </c>
      <c r="M899" s="387" t="s">
        <v>1772</v>
      </c>
      <c r="N899" s="388">
        <v>4.6399999999999997</v>
      </c>
      <c r="O899" s="388">
        <v>14</v>
      </c>
      <c r="P899" s="387" t="s">
        <v>538</v>
      </c>
      <c r="Q899" s="387" t="s">
        <v>539</v>
      </c>
      <c r="R899" s="387" t="s">
        <v>6691</v>
      </c>
      <c r="S899" s="387" t="s">
        <v>541</v>
      </c>
      <c r="T899" s="387" t="s">
        <v>542</v>
      </c>
      <c r="U899" s="388">
        <v>7452000</v>
      </c>
      <c r="V899" s="387">
        <v>6006882010605</v>
      </c>
      <c r="W899" s="387">
        <v>6006882010605</v>
      </c>
      <c r="X899" s="387" t="s">
        <v>543</v>
      </c>
      <c r="Y899" s="387">
        <v>16006882010602</v>
      </c>
      <c r="Z899" s="387" t="s">
        <v>543</v>
      </c>
      <c r="AA899" s="388" t="s">
        <v>543</v>
      </c>
      <c r="AB899" s="388" t="s">
        <v>543</v>
      </c>
      <c r="AC899" s="387" t="s">
        <v>543</v>
      </c>
      <c r="AD899" s="389">
        <v>250</v>
      </c>
      <c r="AE899" s="390">
        <v>45047</v>
      </c>
      <c r="AF899" s="390">
        <v>46142</v>
      </c>
      <c r="AG899" s="391" t="s">
        <v>545</v>
      </c>
      <c r="AH899" s="391" t="s">
        <v>6697</v>
      </c>
      <c r="AI899" s="391" t="s">
        <v>1776</v>
      </c>
      <c r="AJ899" s="391">
        <v>0</v>
      </c>
      <c r="AK899" s="390">
        <v>45047</v>
      </c>
      <c r="AL899" s="389">
        <v>71.44</v>
      </c>
      <c r="AM899" s="391" t="s">
        <v>548</v>
      </c>
      <c r="AN899" s="391" t="s">
        <v>549</v>
      </c>
      <c r="AO899" s="391" t="s">
        <v>6693</v>
      </c>
    </row>
    <row r="900" spans="1:41" ht="16" thickBot="1">
      <c r="A900" s="387" t="s">
        <v>1717</v>
      </c>
      <c r="B900" s="387" t="s">
        <v>6694</v>
      </c>
      <c r="C900" s="387" t="s">
        <v>6695</v>
      </c>
      <c r="D900" s="387" t="s">
        <v>6696</v>
      </c>
      <c r="E900" s="387">
        <v>28</v>
      </c>
      <c r="F900" s="387" t="s">
        <v>559</v>
      </c>
      <c r="G900" s="387">
        <v>28</v>
      </c>
      <c r="H900" s="387" t="s">
        <v>559</v>
      </c>
      <c r="I900" s="387" t="s">
        <v>560</v>
      </c>
      <c r="J900" s="387" t="s">
        <v>6689</v>
      </c>
      <c r="K900" s="387" t="s">
        <v>6698</v>
      </c>
      <c r="L900" s="387" t="s">
        <v>2031</v>
      </c>
      <c r="M900" s="387" t="s">
        <v>2032</v>
      </c>
      <c r="N900" s="388">
        <v>5.73</v>
      </c>
      <c r="O900" s="388">
        <v>14</v>
      </c>
      <c r="P900" s="387" t="s">
        <v>538</v>
      </c>
      <c r="Q900" s="387" t="s">
        <v>539</v>
      </c>
      <c r="R900" s="387" t="s">
        <v>6691</v>
      </c>
      <c r="S900" s="387" t="s">
        <v>541</v>
      </c>
      <c r="T900" s="387" t="s">
        <v>542</v>
      </c>
      <c r="U900" s="388">
        <v>2979550</v>
      </c>
      <c r="V900" s="387" t="s">
        <v>543</v>
      </c>
      <c r="W900" s="387" t="s">
        <v>543</v>
      </c>
      <c r="X900" s="387" t="s">
        <v>543</v>
      </c>
      <c r="Y900" s="387" t="s">
        <v>543</v>
      </c>
      <c r="Z900" s="387" t="s">
        <v>543</v>
      </c>
      <c r="AA900" s="388" t="s">
        <v>543</v>
      </c>
      <c r="AB900" s="388" t="s">
        <v>543</v>
      </c>
      <c r="AC900" s="387" t="s">
        <v>543</v>
      </c>
      <c r="AD900" s="389">
        <v>50</v>
      </c>
      <c r="AE900" s="390">
        <v>45047</v>
      </c>
      <c r="AF900" s="390">
        <v>46142</v>
      </c>
      <c r="AG900" s="391" t="s">
        <v>545</v>
      </c>
      <c r="AH900" s="391" t="s">
        <v>6697</v>
      </c>
      <c r="AI900" s="391" t="s">
        <v>2033</v>
      </c>
      <c r="AJ900" s="391">
        <v>0</v>
      </c>
      <c r="AK900" s="390">
        <v>45047</v>
      </c>
      <c r="AL900" s="389">
        <v>28.56</v>
      </c>
      <c r="AM900" s="391" t="s">
        <v>548</v>
      </c>
      <c r="AN900" s="391" t="s">
        <v>549</v>
      </c>
      <c r="AO900" s="391" t="s">
        <v>6693</v>
      </c>
    </row>
    <row r="901" spans="1:41" ht="16" thickBot="1">
      <c r="A901" s="387" t="s">
        <v>1717</v>
      </c>
      <c r="B901" s="387" t="s">
        <v>6699</v>
      </c>
      <c r="C901" s="387" t="s">
        <v>6700</v>
      </c>
      <c r="D901" s="387" t="s">
        <v>6701</v>
      </c>
      <c r="E901" s="387">
        <v>40</v>
      </c>
      <c r="F901" s="387" t="s">
        <v>559</v>
      </c>
      <c r="G901" s="387">
        <v>40</v>
      </c>
      <c r="H901" s="387" t="s">
        <v>559</v>
      </c>
      <c r="I901" s="387" t="s">
        <v>560</v>
      </c>
      <c r="J901" s="387" t="s">
        <v>6689</v>
      </c>
      <c r="K901" s="387" t="s">
        <v>6698</v>
      </c>
      <c r="L901" s="387" t="s">
        <v>2031</v>
      </c>
      <c r="M901" s="387" t="s">
        <v>2032</v>
      </c>
      <c r="N901" s="388">
        <v>8.0500000000000007</v>
      </c>
      <c r="O901" s="388">
        <v>14</v>
      </c>
      <c r="P901" s="387" t="s">
        <v>538</v>
      </c>
      <c r="Q901" s="387" t="s">
        <v>539</v>
      </c>
      <c r="R901" s="387" t="s">
        <v>6691</v>
      </c>
      <c r="S901" s="387" t="s">
        <v>541</v>
      </c>
      <c r="T901" s="387" t="s">
        <v>542</v>
      </c>
      <c r="U901" s="388">
        <v>1136310</v>
      </c>
      <c r="V901" s="387" t="s">
        <v>543</v>
      </c>
      <c r="W901" s="387" t="s">
        <v>543</v>
      </c>
      <c r="X901" s="387" t="s">
        <v>543</v>
      </c>
      <c r="Y901" s="387" t="s">
        <v>543</v>
      </c>
      <c r="Z901" s="387" t="s">
        <v>543</v>
      </c>
      <c r="AA901" s="388" t="s">
        <v>543</v>
      </c>
      <c r="AB901" s="388" t="s">
        <v>543</v>
      </c>
      <c r="AC901" s="387" t="s">
        <v>543</v>
      </c>
      <c r="AD901" s="389">
        <v>300</v>
      </c>
      <c r="AE901" s="390">
        <v>45047</v>
      </c>
      <c r="AF901" s="390">
        <v>46142</v>
      </c>
      <c r="AG901" s="391" t="s">
        <v>545</v>
      </c>
      <c r="AH901" s="391" t="s">
        <v>6702</v>
      </c>
      <c r="AI901" s="391" t="s">
        <v>2033</v>
      </c>
      <c r="AJ901" s="391">
        <v>0</v>
      </c>
      <c r="AK901" s="390">
        <v>45047</v>
      </c>
      <c r="AL901" s="389">
        <v>100</v>
      </c>
      <c r="AM901" s="391" t="s">
        <v>548</v>
      </c>
      <c r="AN901" s="391" t="s">
        <v>549</v>
      </c>
      <c r="AO901" s="391" t="s">
        <v>6693</v>
      </c>
    </row>
    <row r="902" spans="1:41" ht="16" thickBot="1">
      <c r="A902" s="387" t="s">
        <v>1717</v>
      </c>
      <c r="B902" s="387" t="s">
        <v>6703</v>
      </c>
      <c r="C902" s="387" t="s">
        <v>6704</v>
      </c>
      <c r="D902" s="387" t="s">
        <v>6705</v>
      </c>
      <c r="E902" s="387">
        <v>56</v>
      </c>
      <c r="F902" s="387" t="s">
        <v>559</v>
      </c>
      <c r="G902" s="387">
        <v>56</v>
      </c>
      <c r="H902" s="387" t="s">
        <v>559</v>
      </c>
      <c r="I902" s="387" t="s">
        <v>560</v>
      </c>
      <c r="J902" s="387" t="s">
        <v>6689</v>
      </c>
      <c r="K902" s="387" t="s">
        <v>6698</v>
      </c>
      <c r="L902" s="387" t="s">
        <v>2031</v>
      </c>
      <c r="M902" s="387" t="s">
        <v>2032</v>
      </c>
      <c r="N902" s="388">
        <v>10.35</v>
      </c>
      <c r="O902" s="388">
        <v>14</v>
      </c>
      <c r="P902" s="387" t="s">
        <v>538</v>
      </c>
      <c r="Q902" s="387" t="s">
        <v>539</v>
      </c>
      <c r="R902" s="387" t="s">
        <v>6691</v>
      </c>
      <c r="S902" s="387" t="s">
        <v>541</v>
      </c>
      <c r="T902" s="387" t="s">
        <v>542</v>
      </c>
      <c r="U902" s="388">
        <v>3319870</v>
      </c>
      <c r="V902" s="387" t="s">
        <v>543</v>
      </c>
      <c r="W902" s="387" t="s">
        <v>543</v>
      </c>
      <c r="X902" s="387" t="s">
        <v>543</v>
      </c>
      <c r="Y902" s="387" t="s">
        <v>543</v>
      </c>
      <c r="Z902" s="387" t="s">
        <v>543</v>
      </c>
      <c r="AA902" s="388" t="s">
        <v>543</v>
      </c>
      <c r="AB902" s="388" t="s">
        <v>543</v>
      </c>
      <c r="AC902" s="387" t="s">
        <v>543</v>
      </c>
      <c r="AD902" s="389">
        <v>300</v>
      </c>
      <c r="AE902" s="390">
        <v>45047</v>
      </c>
      <c r="AF902" s="390">
        <v>46142</v>
      </c>
      <c r="AG902" s="391" t="s">
        <v>545</v>
      </c>
      <c r="AH902" s="391" t="s">
        <v>6706</v>
      </c>
      <c r="AI902" s="391" t="s">
        <v>2033</v>
      </c>
      <c r="AJ902" s="391">
        <v>0</v>
      </c>
      <c r="AK902" s="390">
        <v>45047</v>
      </c>
      <c r="AL902" s="389">
        <v>100</v>
      </c>
      <c r="AM902" s="391" t="s">
        <v>548</v>
      </c>
      <c r="AN902" s="391" t="s">
        <v>549</v>
      </c>
      <c r="AO902" s="391" t="s">
        <v>6693</v>
      </c>
    </row>
    <row r="903" spans="1:41" ht="16" thickBot="1">
      <c r="A903" s="387" t="s">
        <v>1717</v>
      </c>
      <c r="B903" s="387" t="s">
        <v>6707</v>
      </c>
      <c r="C903" s="387" t="s">
        <v>6708</v>
      </c>
      <c r="D903" s="387" t="s">
        <v>6709</v>
      </c>
      <c r="E903" s="387">
        <v>56</v>
      </c>
      <c r="F903" s="387" t="s">
        <v>584</v>
      </c>
      <c r="G903" s="387">
        <v>56</v>
      </c>
      <c r="H903" s="387" t="s">
        <v>559</v>
      </c>
      <c r="I903" s="387" t="s">
        <v>560</v>
      </c>
      <c r="J903" s="387" t="s">
        <v>6710</v>
      </c>
      <c r="K903" s="387" t="s">
        <v>6711</v>
      </c>
      <c r="L903" s="387" t="s">
        <v>5278</v>
      </c>
      <c r="M903" s="387" t="s">
        <v>5279</v>
      </c>
      <c r="N903" s="388">
        <v>43.07</v>
      </c>
      <c r="O903" s="388">
        <v>14</v>
      </c>
      <c r="P903" s="387" t="s">
        <v>538</v>
      </c>
      <c r="Q903" s="387" t="s">
        <v>539</v>
      </c>
      <c r="R903" s="387" t="s">
        <v>6712</v>
      </c>
      <c r="S903" s="387" t="s">
        <v>614</v>
      </c>
      <c r="T903" s="387" t="s">
        <v>160</v>
      </c>
      <c r="U903" s="388">
        <v>38718</v>
      </c>
      <c r="V903" s="387" t="s">
        <v>543</v>
      </c>
      <c r="W903" s="387" t="s">
        <v>543</v>
      </c>
      <c r="X903" s="387" t="s">
        <v>543</v>
      </c>
      <c r="Y903" s="387" t="s">
        <v>543</v>
      </c>
      <c r="Z903" s="387" t="s">
        <v>543</v>
      </c>
      <c r="AA903" s="388" t="s">
        <v>543</v>
      </c>
      <c r="AB903" s="388" t="s">
        <v>543</v>
      </c>
      <c r="AC903" s="387" t="s">
        <v>543</v>
      </c>
      <c r="AD903" s="389">
        <v>1</v>
      </c>
      <c r="AE903" s="390">
        <v>45047</v>
      </c>
      <c r="AF903" s="390">
        <v>46142</v>
      </c>
      <c r="AG903" s="391" t="s">
        <v>545</v>
      </c>
      <c r="AH903" s="391" t="s">
        <v>545</v>
      </c>
      <c r="AI903" s="391" t="s">
        <v>5282</v>
      </c>
      <c r="AJ903" s="391">
        <v>0</v>
      </c>
      <c r="AK903" s="390">
        <v>45047</v>
      </c>
      <c r="AL903" s="389">
        <v>100</v>
      </c>
      <c r="AM903" s="391" t="s">
        <v>548</v>
      </c>
      <c r="AN903" s="391" t="s">
        <v>549</v>
      </c>
      <c r="AO903" s="391" t="s">
        <v>6713</v>
      </c>
    </row>
    <row r="904" spans="1:41" ht="16" thickBot="1">
      <c r="A904" s="387" t="s">
        <v>1717</v>
      </c>
      <c r="B904" s="387" t="s">
        <v>6714</v>
      </c>
      <c r="C904" s="387" t="s">
        <v>6715</v>
      </c>
      <c r="D904" s="387" t="s">
        <v>6716</v>
      </c>
      <c r="E904" s="387">
        <v>60</v>
      </c>
      <c r="F904" s="387" t="s">
        <v>584</v>
      </c>
      <c r="G904" s="387">
        <v>60</v>
      </c>
      <c r="H904" s="387" t="s">
        <v>584</v>
      </c>
      <c r="I904" s="387" t="s">
        <v>585</v>
      </c>
      <c r="J904" s="387" t="s">
        <v>6710</v>
      </c>
      <c r="K904" s="387" t="s">
        <v>6717</v>
      </c>
      <c r="L904" s="387" t="s">
        <v>2200</v>
      </c>
      <c r="M904" s="387" t="s">
        <v>2201</v>
      </c>
      <c r="N904" s="388">
        <v>22.14</v>
      </c>
      <c r="O904" s="388">
        <v>14</v>
      </c>
      <c r="P904" s="387" t="s">
        <v>611</v>
      </c>
      <c r="Q904" s="387" t="s">
        <v>3396</v>
      </c>
      <c r="R904" s="387" t="s">
        <v>6712</v>
      </c>
      <c r="S904" s="387" t="s">
        <v>614</v>
      </c>
      <c r="T904" s="387" t="s">
        <v>160</v>
      </c>
      <c r="U904" s="388">
        <v>70045</v>
      </c>
      <c r="V904" s="387" t="s">
        <v>543</v>
      </c>
      <c r="W904" s="387" t="s">
        <v>543</v>
      </c>
      <c r="X904" s="387" t="s">
        <v>543</v>
      </c>
      <c r="Y904" s="387" t="s">
        <v>543</v>
      </c>
      <c r="Z904" s="387" t="s">
        <v>543</v>
      </c>
      <c r="AA904" s="388" t="s">
        <v>543</v>
      </c>
      <c r="AB904" s="388" t="s">
        <v>543</v>
      </c>
      <c r="AC904" s="387" t="s">
        <v>543</v>
      </c>
      <c r="AD904" s="389" t="s">
        <v>6718</v>
      </c>
      <c r="AE904" s="390">
        <v>45047</v>
      </c>
      <c r="AF904" s="390">
        <v>46142</v>
      </c>
      <c r="AG904" s="391" t="s">
        <v>545</v>
      </c>
      <c r="AH904" s="391" t="s">
        <v>6719</v>
      </c>
      <c r="AI904" s="391" t="s">
        <v>2203</v>
      </c>
      <c r="AJ904" s="391">
        <v>0</v>
      </c>
      <c r="AK904" s="390">
        <v>45047</v>
      </c>
      <c r="AL904" s="389">
        <v>100</v>
      </c>
      <c r="AM904" s="391" t="s">
        <v>548</v>
      </c>
      <c r="AN904" s="391" t="s">
        <v>549</v>
      </c>
      <c r="AO904" s="391" t="s">
        <v>6720</v>
      </c>
    </row>
    <row r="905" spans="1:41" ht="16" thickBot="1">
      <c r="A905" s="387" t="s">
        <v>1717</v>
      </c>
      <c r="B905" s="387" t="s">
        <v>6721</v>
      </c>
      <c r="C905" s="387" t="s">
        <v>6722</v>
      </c>
      <c r="D905" s="387" t="s">
        <v>6723</v>
      </c>
      <c r="E905" s="387">
        <v>56</v>
      </c>
      <c r="F905" s="387" t="s">
        <v>584</v>
      </c>
      <c r="G905" s="387">
        <v>56</v>
      </c>
      <c r="H905" s="387" t="s">
        <v>584</v>
      </c>
      <c r="I905" s="387" t="s">
        <v>585</v>
      </c>
      <c r="J905" s="387" t="s">
        <v>6710</v>
      </c>
      <c r="K905" s="387" t="s">
        <v>6724</v>
      </c>
      <c r="L905" s="387" t="s">
        <v>5222</v>
      </c>
      <c r="M905" s="387" t="s">
        <v>5223</v>
      </c>
      <c r="N905" s="388">
        <v>33.82</v>
      </c>
      <c r="O905" s="388">
        <v>14</v>
      </c>
      <c r="P905" s="387" t="s">
        <v>611</v>
      </c>
      <c r="Q905" s="387" t="s">
        <v>3396</v>
      </c>
      <c r="R905" s="387" t="s">
        <v>6712</v>
      </c>
      <c r="S905" s="387" t="s">
        <v>614</v>
      </c>
      <c r="T905" s="387" t="s">
        <v>160</v>
      </c>
      <c r="U905" s="388">
        <v>159002</v>
      </c>
      <c r="V905" s="387" t="s">
        <v>543</v>
      </c>
      <c r="W905" s="387" t="s">
        <v>543</v>
      </c>
      <c r="X905" s="387" t="s">
        <v>543</v>
      </c>
      <c r="Y905" s="387" t="s">
        <v>543</v>
      </c>
      <c r="Z905" s="387" t="s">
        <v>543</v>
      </c>
      <c r="AA905" s="388" t="s">
        <v>543</v>
      </c>
      <c r="AB905" s="388" t="s">
        <v>543</v>
      </c>
      <c r="AC905" s="387" t="s">
        <v>543</v>
      </c>
      <c r="AD905" s="389">
        <v>50</v>
      </c>
      <c r="AE905" s="390">
        <v>45047</v>
      </c>
      <c r="AF905" s="390">
        <v>46142</v>
      </c>
      <c r="AG905" s="391" t="s">
        <v>545</v>
      </c>
      <c r="AH905" s="391" t="s">
        <v>6725</v>
      </c>
      <c r="AI905" s="391" t="s">
        <v>5226</v>
      </c>
      <c r="AJ905" s="391">
        <v>0</v>
      </c>
      <c r="AK905" s="390">
        <v>45047</v>
      </c>
      <c r="AL905" s="389">
        <v>100</v>
      </c>
      <c r="AM905" s="391" t="s">
        <v>548</v>
      </c>
      <c r="AN905" s="391" t="s">
        <v>549</v>
      </c>
      <c r="AO905" s="391" t="s">
        <v>6726</v>
      </c>
    </row>
    <row r="906" spans="1:41" ht="16" thickBot="1">
      <c r="A906" s="387" t="s">
        <v>1748</v>
      </c>
      <c r="B906" s="387" t="s">
        <v>4143</v>
      </c>
      <c r="C906" s="387" t="s">
        <v>6727</v>
      </c>
      <c r="D906" s="387" t="s">
        <v>6728</v>
      </c>
      <c r="E906" s="387">
        <v>1</v>
      </c>
      <c r="F906" s="387" t="s">
        <v>531</v>
      </c>
      <c r="G906" s="387">
        <v>1</v>
      </c>
      <c r="H906" s="387" t="s">
        <v>531</v>
      </c>
      <c r="I906" s="387" t="s">
        <v>1751</v>
      </c>
      <c r="J906" s="387" t="s">
        <v>6729</v>
      </c>
      <c r="K906" s="387" t="s">
        <v>6730</v>
      </c>
      <c r="L906" s="387" t="s">
        <v>1955</v>
      </c>
      <c r="M906" s="387" t="s">
        <v>1956</v>
      </c>
      <c r="N906" s="388">
        <v>7.7</v>
      </c>
      <c r="O906" s="388">
        <v>14</v>
      </c>
      <c r="P906" s="387" t="s">
        <v>538</v>
      </c>
      <c r="Q906" s="387" t="s">
        <v>539</v>
      </c>
      <c r="R906" s="387" t="s">
        <v>6731</v>
      </c>
      <c r="S906" s="387" t="s">
        <v>171</v>
      </c>
      <c r="T906" s="387" t="s">
        <v>542</v>
      </c>
      <c r="U906" s="388">
        <v>691430</v>
      </c>
      <c r="V906" s="387">
        <v>6006267001372</v>
      </c>
      <c r="W906" s="387">
        <v>6006267001372</v>
      </c>
      <c r="X906" s="387" t="s">
        <v>543</v>
      </c>
      <c r="Y906" s="387">
        <v>16006267001379</v>
      </c>
      <c r="Z906" s="387" t="s">
        <v>543</v>
      </c>
      <c r="AA906" s="388" t="s">
        <v>543</v>
      </c>
      <c r="AB906" s="388" t="s">
        <v>543</v>
      </c>
      <c r="AC906" s="387">
        <v>757527019</v>
      </c>
      <c r="AD906" s="389" t="s">
        <v>2308</v>
      </c>
      <c r="AE906" s="390">
        <v>44317</v>
      </c>
      <c r="AF906" s="390">
        <v>45412</v>
      </c>
      <c r="AG906" s="391" t="s">
        <v>545</v>
      </c>
      <c r="AH906" s="391" t="s">
        <v>6732</v>
      </c>
      <c r="AI906" s="391" t="s">
        <v>1959</v>
      </c>
      <c r="AJ906" s="391">
        <v>0</v>
      </c>
      <c r="AK906" s="390">
        <v>44317</v>
      </c>
      <c r="AL906" s="389">
        <v>100</v>
      </c>
      <c r="AM906" s="391" t="s">
        <v>548</v>
      </c>
      <c r="AN906" s="391" t="s">
        <v>549</v>
      </c>
      <c r="AO906" s="391" t="s">
        <v>6733</v>
      </c>
    </row>
    <row r="907" spans="1:41" ht="16" thickBot="1">
      <c r="A907" s="387" t="s">
        <v>1748</v>
      </c>
      <c r="B907" s="387" t="s">
        <v>6488</v>
      </c>
      <c r="C907" s="387" t="s">
        <v>6734</v>
      </c>
      <c r="D907" s="387" t="s">
        <v>6735</v>
      </c>
      <c r="E907" s="387">
        <v>2</v>
      </c>
      <c r="F907" s="387" t="s">
        <v>531</v>
      </c>
      <c r="G907" s="387">
        <v>2</v>
      </c>
      <c r="H907" s="387" t="s">
        <v>531</v>
      </c>
      <c r="I907" s="387" t="s">
        <v>1751</v>
      </c>
      <c r="J907" s="387" t="s">
        <v>6729</v>
      </c>
      <c r="K907" s="387" t="s">
        <v>6736</v>
      </c>
      <c r="L907" s="387" t="s">
        <v>1955</v>
      </c>
      <c r="M907" s="387" t="s">
        <v>1956</v>
      </c>
      <c r="N907" s="388">
        <v>8.2200000000000006</v>
      </c>
      <c r="O907" s="388">
        <v>14</v>
      </c>
      <c r="P907" s="387" t="s">
        <v>538</v>
      </c>
      <c r="Q907" s="387" t="s">
        <v>539</v>
      </c>
      <c r="R907" s="387" t="s">
        <v>6731</v>
      </c>
      <c r="S907" s="387" t="s">
        <v>171</v>
      </c>
      <c r="T907" s="387" t="s">
        <v>542</v>
      </c>
      <c r="U907" s="388">
        <v>319811</v>
      </c>
      <c r="V907" s="387">
        <v>6006267001389</v>
      </c>
      <c r="W907" s="387">
        <v>6006267001389</v>
      </c>
      <c r="X907" s="387" t="s">
        <v>543</v>
      </c>
      <c r="Y907" s="387">
        <v>16006267001386</v>
      </c>
      <c r="Z907" s="387" t="s">
        <v>543</v>
      </c>
      <c r="AA907" s="388" t="s">
        <v>543</v>
      </c>
      <c r="AB907" s="388" t="s">
        <v>543</v>
      </c>
      <c r="AC907" s="387">
        <v>757535003</v>
      </c>
      <c r="AD907" s="389" t="s">
        <v>2308</v>
      </c>
      <c r="AE907" s="390">
        <v>44317</v>
      </c>
      <c r="AF907" s="390">
        <v>45412</v>
      </c>
      <c r="AG907" s="391" t="s">
        <v>545</v>
      </c>
      <c r="AH907" s="391" t="s">
        <v>6737</v>
      </c>
      <c r="AI907" s="391" t="s">
        <v>1959</v>
      </c>
      <c r="AJ907" s="391">
        <v>0</v>
      </c>
      <c r="AK907" s="390">
        <v>44317</v>
      </c>
      <c r="AL907" s="389">
        <v>100</v>
      </c>
      <c r="AM907" s="391" t="s">
        <v>548</v>
      </c>
      <c r="AN907" s="391" t="s">
        <v>549</v>
      </c>
      <c r="AO907" s="391" t="s">
        <v>6738</v>
      </c>
    </row>
    <row r="908" spans="1:41" ht="16" thickBot="1">
      <c r="A908" s="387" t="s">
        <v>1729</v>
      </c>
      <c r="B908" s="387" t="s">
        <v>2814</v>
      </c>
      <c r="C908" s="387" t="s">
        <v>6739</v>
      </c>
      <c r="D908" s="387" t="s">
        <v>6740</v>
      </c>
      <c r="E908" s="387">
        <v>100</v>
      </c>
      <c r="F908" s="387" t="s">
        <v>531</v>
      </c>
      <c r="G908" s="387">
        <v>100</v>
      </c>
      <c r="H908" s="387" t="s">
        <v>531</v>
      </c>
      <c r="I908" s="387" t="s">
        <v>6741</v>
      </c>
      <c r="J908" s="387" t="s">
        <v>6729</v>
      </c>
      <c r="K908" s="387" t="s">
        <v>6742</v>
      </c>
      <c r="L908" s="387" t="s">
        <v>1809</v>
      </c>
      <c r="M908" s="387" t="s">
        <v>1810</v>
      </c>
      <c r="N908" s="388">
        <v>7.52</v>
      </c>
      <c r="O908" s="388">
        <v>14</v>
      </c>
      <c r="P908" s="387" t="s">
        <v>538</v>
      </c>
      <c r="Q908" s="387" t="s">
        <v>539</v>
      </c>
      <c r="R908" s="387" t="s">
        <v>6731</v>
      </c>
      <c r="S908" s="387" t="s">
        <v>171</v>
      </c>
      <c r="T908" s="387" t="s">
        <v>542</v>
      </c>
      <c r="U908" s="388">
        <v>67290</v>
      </c>
      <c r="V908" s="387">
        <v>6006845000865</v>
      </c>
      <c r="W908" s="387">
        <v>6006845000865</v>
      </c>
      <c r="X908" s="387" t="s">
        <v>543</v>
      </c>
      <c r="Y908" s="387">
        <v>16006845000862</v>
      </c>
      <c r="Z908" s="387" t="s">
        <v>543</v>
      </c>
      <c r="AA908" s="388" t="s">
        <v>543</v>
      </c>
      <c r="AB908" s="388" t="s">
        <v>543</v>
      </c>
      <c r="AC908" s="387" t="s">
        <v>543</v>
      </c>
      <c r="AD908" s="389">
        <v>100</v>
      </c>
      <c r="AE908" s="390">
        <v>44105</v>
      </c>
      <c r="AF908" s="390">
        <v>45199</v>
      </c>
      <c r="AG908" s="390">
        <v>45199</v>
      </c>
      <c r="AH908" s="391" t="s">
        <v>6743</v>
      </c>
      <c r="AI908" s="391" t="s">
        <v>1813</v>
      </c>
      <c r="AJ908" s="391">
        <v>0</v>
      </c>
      <c r="AK908" s="390">
        <v>44105</v>
      </c>
      <c r="AL908" s="389">
        <v>100</v>
      </c>
      <c r="AM908" s="391" t="s">
        <v>548</v>
      </c>
      <c r="AN908" s="391" t="s">
        <v>545</v>
      </c>
      <c r="AO908" s="391" t="s">
        <v>6744</v>
      </c>
    </row>
    <row r="909" spans="1:41" ht="16" thickBot="1">
      <c r="A909" s="387" t="s">
        <v>1748</v>
      </c>
      <c r="B909" s="387" t="s">
        <v>6554</v>
      </c>
      <c r="C909" s="387" t="s">
        <v>6745</v>
      </c>
      <c r="D909" s="387" t="s">
        <v>6746</v>
      </c>
      <c r="E909" s="387">
        <v>20</v>
      </c>
      <c r="F909" s="387" t="s">
        <v>531</v>
      </c>
      <c r="G909" s="387">
        <v>20</v>
      </c>
      <c r="H909" s="387" t="s">
        <v>531</v>
      </c>
      <c r="I909" s="387" t="s">
        <v>1751</v>
      </c>
      <c r="J909" s="387" t="s">
        <v>6747</v>
      </c>
      <c r="K909" s="387" t="s">
        <v>6748</v>
      </c>
      <c r="L909" s="387" t="s">
        <v>1905</v>
      </c>
      <c r="M909" s="387" t="s">
        <v>1906</v>
      </c>
      <c r="N909" s="388">
        <v>12.82</v>
      </c>
      <c r="O909" s="388">
        <v>14</v>
      </c>
      <c r="P909" s="387" t="s">
        <v>538</v>
      </c>
      <c r="Q909" s="387" t="s">
        <v>539</v>
      </c>
      <c r="R909" s="387" t="s">
        <v>6749</v>
      </c>
      <c r="S909" s="387" t="s">
        <v>541</v>
      </c>
      <c r="T909" s="387" t="s">
        <v>757</v>
      </c>
      <c r="U909" s="388">
        <v>1446630</v>
      </c>
      <c r="V909" s="387" t="s">
        <v>543</v>
      </c>
      <c r="W909" s="387" t="s">
        <v>543</v>
      </c>
      <c r="X909" s="387" t="s">
        <v>543</v>
      </c>
      <c r="Y909" s="387" t="s">
        <v>543</v>
      </c>
      <c r="Z909" s="387" t="s">
        <v>543</v>
      </c>
      <c r="AA909" s="388" t="s">
        <v>543</v>
      </c>
      <c r="AB909" s="388" t="s">
        <v>543</v>
      </c>
      <c r="AC909" s="387" t="s">
        <v>543</v>
      </c>
      <c r="AD909" s="389">
        <v>10</v>
      </c>
      <c r="AE909" s="390">
        <v>44317</v>
      </c>
      <c r="AF909" s="390">
        <v>45412</v>
      </c>
      <c r="AG909" s="390">
        <v>45412</v>
      </c>
      <c r="AH909" s="391" t="s">
        <v>6750</v>
      </c>
      <c r="AI909" s="391" t="s">
        <v>1910</v>
      </c>
      <c r="AJ909" s="391">
        <v>10</v>
      </c>
      <c r="AK909" s="390">
        <v>44896</v>
      </c>
      <c r="AL909" s="389">
        <v>100</v>
      </c>
      <c r="AM909" s="391" t="s">
        <v>548</v>
      </c>
      <c r="AN909" s="391" t="s">
        <v>549</v>
      </c>
      <c r="AO909" s="391" t="s">
        <v>6751</v>
      </c>
    </row>
    <row r="910" spans="1:41" ht="16" thickBot="1">
      <c r="A910" s="387" t="s">
        <v>1748</v>
      </c>
      <c r="B910" s="387" t="s">
        <v>4238</v>
      </c>
      <c r="C910" s="387" t="s">
        <v>6752</v>
      </c>
      <c r="D910" s="387" t="s">
        <v>6753</v>
      </c>
      <c r="E910" s="387">
        <v>50</v>
      </c>
      <c r="F910" s="387" t="s">
        <v>531</v>
      </c>
      <c r="G910" s="387">
        <v>50</v>
      </c>
      <c r="H910" s="387" t="s">
        <v>531</v>
      </c>
      <c r="I910" s="387" t="s">
        <v>1751</v>
      </c>
      <c r="J910" s="387" t="s">
        <v>6747</v>
      </c>
      <c r="K910" s="387" t="s">
        <v>6754</v>
      </c>
      <c r="L910" s="387" t="s">
        <v>1905</v>
      </c>
      <c r="M910" s="387" t="s">
        <v>1906</v>
      </c>
      <c r="N910" s="388">
        <v>37.909999999999997</v>
      </c>
      <c r="O910" s="388">
        <v>14</v>
      </c>
      <c r="P910" s="387" t="s">
        <v>538</v>
      </c>
      <c r="Q910" s="387" t="s">
        <v>539</v>
      </c>
      <c r="R910" s="387" t="s">
        <v>6749</v>
      </c>
      <c r="S910" s="387" t="s">
        <v>541</v>
      </c>
      <c r="T910" s="387" t="s">
        <v>757</v>
      </c>
      <c r="U910" s="388">
        <v>195590</v>
      </c>
      <c r="V910" s="387" t="s">
        <v>543</v>
      </c>
      <c r="W910" s="387" t="s">
        <v>543</v>
      </c>
      <c r="X910" s="387" t="s">
        <v>543</v>
      </c>
      <c r="Y910" s="387" t="s">
        <v>543</v>
      </c>
      <c r="Z910" s="387" t="s">
        <v>543</v>
      </c>
      <c r="AA910" s="388" t="s">
        <v>543</v>
      </c>
      <c r="AB910" s="388" t="s">
        <v>543</v>
      </c>
      <c r="AC910" s="387" t="s">
        <v>543</v>
      </c>
      <c r="AD910" s="389">
        <v>10</v>
      </c>
      <c r="AE910" s="390">
        <v>44317</v>
      </c>
      <c r="AF910" s="390">
        <v>45412</v>
      </c>
      <c r="AG910" s="390">
        <v>45412</v>
      </c>
      <c r="AH910" s="391" t="s">
        <v>6755</v>
      </c>
      <c r="AI910" s="391" t="s">
        <v>1910</v>
      </c>
      <c r="AJ910" s="391">
        <v>10</v>
      </c>
      <c r="AK910" s="390">
        <v>44896</v>
      </c>
      <c r="AL910" s="389">
        <v>100</v>
      </c>
      <c r="AM910" s="391" t="s">
        <v>548</v>
      </c>
      <c r="AN910" s="391" t="s">
        <v>549</v>
      </c>
      <c r="AO910" s="391" t="s">
        <v>6751</v>
      </c>
    </row>
    <row r="911" spans="1:41" ht="16" thickBot="1">
      <c r="A911" s="387" t="s">
        <v>1717</v>
      </c>
      <c r="B911" s="387" t="s">
        <v>6756</v>
      </c>
      <c r="C911" s="387" t="s">
        <v>6757</v>
      </c>
      <c r="D911" s="387" t="s">
        <v>6758</v>
      </c>
      <c r="E911" s="387">
        <v>28</v>
      </c>
      <c r="F911" s="387" t="s">
        <v>559</v>
      </c>
      <c r="G911" s="387" t="s">
        <v>543</v>
      </c>
      <c r="H911" s="387" t="s">
        <v>559</v>
      </c>
      <c r="I911" s="387" t="s">
        <v>560</v>
      </c>
      <c r="J911" s="387" t="s">
        <v>6759</v>
      </c>
      <c r="K911" s="387" t="s">
        <v>6760</v>
      </c>
      <c r="L911" s="387" t="s">
        <v>2062</v>
      </c>
      <c r="M911" s="387" t="s">
        <v>2063</v>
      </c>
      <c r="N911" s="388">
        <v>4.58</v>
      </c>
      <c r="O911" s="388">
        <v>14</v>
      </c>
      <c r="P911" s="387" t="s">
        <v>538</v>
      </c>
      <c r="Q911" s="387" t="s">
        <v>539</v>
      </c>
      <c r="R911" s="387" t="s">
        <v>6761</v>
      </c>
      <c r="S911" s="387" t="s">
        <v>171</v>
      </c>
      <c r="T911" s="387" t="s">
        <v>757</v>
      </c>
      <c r="U911" s="388">
        <v>301770</v>
      </c>
      <c r="V911" s="387">
        <v>6009881036430</v>
      </c>
      <c r="W911" s="387" t="s">
        <v>543</v>
      </c>
      <c r="X911" s="387" t="s">
        <v>543</v>
      </c>
      <c r="Y911" s="387">
        <v>16009881036437</v>
      </c>
      <c r="Z911" s="387" t="s">
        <v>543</v>
      </c>
      <c r="AA911" s="388" t="s">
        <v>543</v>
      </c>
      <c r="AB911" s="388" t="s">
        <v>543</v>
      </c>
      <c r="AC911" s="387" t="s">
        <v>543</v>
      </c>
      <c r="AD911" s="389">
        <v>500</v>
      </c>
      <c r="AE911" s="390">
        <v>45047</v>
      </c>
      <c r="AF911" s="390">
        <v>46142</v>
      </c>
      <c r="AG911" s="391" t="s">
        <v>545</v>
      </c>
      <c r="AH911" s="391" t="s">
        <v>6762</v>
      </c>
      <c r="AI911" s="391" t="s">
        <v>2064</v>
      </c>
      <c r="AJ911" s="391">
        <v>0</v>
      </c>
      <c r="AK911" s="390">
        <v>45047</v>
      </c>
      <c r="AL911" s="389">
        <v>100</v>
      </c>
      <c r="AM911" s="391" t="s">
        <v>548</v>
      </c>
      <c r="AN911" s="391" t="s">
        <v>549</v>
      </c>
      <c r="AO911" s="391" t="s">
        <v>6763</v>
      </c>
    </row>
    <row r="912" spans="1:41" ht="16" thickBot="1">
      <c r="A912" s="387" t="s">
        <v>1717</v>
      </c>
      <c r="B912" s="387" t="s">
        <v>6764</v>
      </c>
      <c r="C912" s="387" t="s">
        <v>6765</v>
      </c>
      <c r="D912" s="387" t="s">
        <v>6766</v>
      </c>
      <c r="E912" s="387">
        <v>50</v>
      </c>
      <c r="F912" s="387" t="s">
        <v>559</v>
      </c>
      <c r="G912" s="387">
        <v>50</v>
      </c>
      <c r="H912" s="387" t="s">
        <v>559</v>
      </c>
      <c r="I912" s="387" t="s">
        <v>560</v>
      </c>
      <c r="J912" s="387" t="s">
        <v>6759</v>
      </c>
      <c r="K912" s="387" t="s">
        <v>6760</v>
      </c>
      <c r="L912" s="387" t="s">
        <v>2062</v>
      </c>
      <c r="M912" s="387" t="s">
        <v>2063</v>
      </c>
      <c r="N912" s="388">
        <v>6.5</v>
      </c>
      <c r="O912" s="388">
        <v>14</v>
      </c>
      <c r="P912" s="387" t="s">
        <v>538</v>
      </c>
      <c r="Q912" s="387" t="s">
        <v>539</v>
      </c>
      <c r="R912" s="387" t="s">
        <v>6761</v>
      </c>
      <c r="S912" s="387" t="s">
        <v>171</v>
      </c>
      <c r="T912" s="387" t="s">
        <v>757</v>
      </c>
      <c r="U912" s="388">
        <v>244101</v>
      </c>
      <c r="V912" s="387">
        <v>6009881036447</v>
      </c>
      <c r="W912" s="387" t="s">
        <v>543</v>
      </c>
      <c r="X912" s="387" t="s">
        <v>543</v>
      </c>
      <c r="Y912" s="387">
        <v>16009881036444</v>
      </c>
      <c r="Z912" s="387" t="s">
        <v>543</v>
      </c>
      <c r="AA912" s="388" t="s">
        <v>543</v>
      </c>
      <c r="AB912" s="388" t="s">
        <v>543</v>
      </c>
      <c r="AC912" s="387" t="s">
        <v>543</v>
      </c>
      <c r="AD912" s="389">
        <v>300</v>
      </c>
      <c r="AE912" s="390">
        <v>45047</v>
      </c>
      <c r="AF912" s="390">
        <v>46142</v>
      </c>
      <c r="AG912" s="391" t="s">
        <v>545</v>
      </c>
      <c r="AH912" s="391" t="s">
        <v>6767</v>
      </c>
      <c r="AI912" s="391" t="s">
        <v>2064</v>
      </c>
      <c r="AJ912" s="391">
        <v>0</v>
      </c>
      <c r="AK912" s="390">
        <v>45047</v>
      </c>
      <c r="AL912" s="389">
        <v>100</v>
      </c>
      <c r="AM912" s="391" t="s">
        <v>548</v>
      </c>
      <c r="AN912" s="391" t="s">
        <v>549</v>
      </c>
      <c r="AO912" s="391" t="s">
        <v>6763</v>
      </c>
    </row>
    <row r="913" spans="1:43" ht="16" thickBot="1">
      <c r="A913" s="387" t="s">
        <v>1717</v>
      </c>
      <c r="B913" s="387" t="s">
        <v>6768</v>
      </c>
      <c r="C913" s="387" t="s">
        <v>6769</v>
      </c>
      <c r="D913" s="387" t="s">
        <v>6770</v>
      </c>
      <c r="E913" s="387">
        <v>84</v>
      </c>
      <c r="F913" s="387" t="s">
        <v>559</v>
      </c>
      <c r="G913" s="387" t="s">
        <v>543</v>
      </c>
      <c r="H913" s="387" t="s">
        <v>559</v>
      </c>
      <c r="I913" s="387" t="s">
        <v>560</v>
      </c>
      <c r="J913" s="387" t="s">
        <v>6759</v>
      </c>
      <c r="K913" s="387" t="s">
        <v>6760</v>
      </c>
      <c r="L913" s="387" t="s">
        <v>2062</v>
      </c>
      <c r="M913" s="387" t="s">
        <v>2063</v>
      </c>
      <c r="N913" s="388">
        <v>8.41</v>
      </c>
      <c r="O913" s="388">
        <v>14</v>
      </c>
      <c r="P913" s="387" t="s">
        <v>538</v>
      </c>
      <c r="Q913" s="387" t="s">
        <v>539</v>
      </c>
      <c r="R913" s="387" t="s">
        <v>6761</v>
      </c>
      <c r="S913" s="387" t="s">
        <v>171</v>
      </c>
      <c r="T913" s="387" t="s">
        <v>757</v>
      </c>
      <c r="U913" s="388">
        <v>83360</v>
      </c>
      <c r="V913" s="387">
        <v>6009881036454</v>
      </c>
      <c r="W913" s="387" t="s">
        <v>543</v>
      </c>
      <c r="X913" s="387" t="s">
        <v>543</v>
      </c>
      <c r="Y913" s="387">
        <v>16009881036451</v>
      </c>
      <c r="Z913" s="387" t="s">
        <v>543</v>
      </c>
      <c r="AA913" s="388" t="s">
        <v>543</v>
      </c>
      <c r="AB913" s="388" t="s">
        <v>543</v>
      </c>
      <c r="AC913" s="387" t="s">
        <v>543</v>
      </c>
      <c r="AD913" s="389">
        <v>200</v>
      </c>
      <c r="AE913" s="390">
        <v>45047</v>
      </c>
      <c r="AF913" s="390">
        <v>46142</v>
      </c>
      <c r="AG913" s="391" t="s">
        <v>545</v>
      </c>
      <c r="AH913" s="391" t="s">
        <v>6771</v>
      </c>
      <c r="AI913" s="391" t="s">
        <v>2064</v>
      </c>
      <c r="AJ913" s="391">
        <v>0</v>
      </c>
      <c r="AK913" s="390">
        <v>45047</v>
      </c>
      <c r="AL913" s="389">
        <v>100</v>
      </c>
      <c r="AM913" s="391" t="s">
        <v>548</v>
      </c>
      <c r="AN913" s="391" t="s">
        <v>549</v>
      </c>
      <c r="AO913" s="391" t="s">
        <v>6763</v>
      </c>
    </row>
    <row r="914" spans="1:43" ht="16" thickBot="1">
      <c r="A914" s="387" t="s">
        <v>1717</v>
      </c>
      <c r="B914" s="387" t="s">
        <v>6772</v>
      </c>
      <c r="C914" s="387" t="s">
        <v>6773</v>
      </c>
      <c r="D914" s="387" t="s">
        <v>6774</v>
      </c>
      <c r="E914" s="387">
        <v>56</v>
      </c>
      <c r="F914" s="387" t="s">
        <v>559</v>
      </c>
      <c r="G914" s="387" t="s">
        <v>543</v>
      </c>
      <c r="H914" s="387" t="s">
        <v>559</v>
      </c>
      <c r="I914" s="387" t="s">
        <v>560</v>
      </c>
      <c r="J914" s="387" t="s">
        <v>6759</v>
      </c>
      <c r="K914" s="387" t="s">
        <v>6775</v>
      </c>
      <c r="L914" s="387" t="s">
        <v>2062</v>
      </c>
      <c r="M914" s="387" t="s">
        <v>2063</v>
      </c>
      <c r="N914" s="388">
        <v>12.25</v>
      </c>
      <c r="O914" s="388">
        <v>14</v>
      </c>
      <c r="P914" s="387" t="s">
        <v>538</v>
      </c>
      <c r="Q914" s="387" t="s">
        <v>539</v>
      </c>
      <c r="R914" s="387" t="s">
        <v>6761</v>
      </c>
      <c r="S914" s="387" t="s">
        <v>171</v>
      </c>
      <c r="T914" s="387" t="s">
        <v>757</v>
      </c>
      <c r="U914" s="388">
        <v>89445</v>
      </c>
      <c r="V914" s="387">
        <v>6009881036478</v>
      </c>
      <c r="W914" s="387" t="s">
        <v>543</v>
      </c>
      <c r="X914" s="387" t="s">
        <v>543</v>
      </c>
      <c r="Y914" s="387">
        <v>16009881036475</v>
      </c>
      <c r="Z914" s="387" t="s">
        <v>543</v>
      </c>
      <c r="AA914" s="388" t="s">
        <v>543</v>
      </c>
      <c r="AB914" s="388" t="s">
        <v>543</v>
      </c>
      <c r="AC914" s="387" t="s">
        <v>543</v>
      </c>
      <c r="AD914" s="389">
        <v>200</v>
      </c>
      <c r="AE914" s="390">
        <v>45047</v>
      </c>
      <c r="AF914" s="390">
        <v>46142</v>
      </c>
      <c r="AG914" s="391" t="s">
        <v>545</v>
      </c>
      <c r="AH914" s="391" t="s">
        <v>6776</v>
      </c>
      <c r="AI914" s="391" t="s">
        <v>2064</v>
      </c>
      <c r="AJ914" s="391">
        <v>0</v>
      </c>
      <c r="AK914" s="390">
        <v>45047</v>
      </c>
      <c r="AL914" s="389">
        <v>100</v>
      </c>
      <c r="AM914" s="391" t="s">
        <v>548</v>
      </c>
      <c r="AN914" s="391" t="s">
        <v>549</v>
      </c>
      <c r="AO914" s="391" t="s">
        <v>6777</v>
      </c>
    </row>
    <row r="915" spans="1:43" ht="16" thickBot="1">
      <c r="A915" s="387" t="s">
        <v>1717</v>
      </c>
      <c r="B915" s="387" t="s">
        <v>6778</v>
      </c>
      <c r="C915" s="387" t="s">
        <v>6779</v>
      </c>
      <c r="D915" s="387" t="s">
        <v>6780</v>
      </c>
      <c r="E915" s="387">
        <v>84</v>
      </c>
      <c r="F915" s="387" t="s">
        <v>559</v>
      </c>
      <c r="G915" s="387">
        <v>84</v>
      </c>
      <c r="H915" s="387" t="s">
        <v>559</v>
      </c>
      <c r="I915" s="387" t="s">
        <v>560</v>
      </c>
      <c r="J915" s="387" t="s">
        <v>6759</v>
      </c>
      <c r="K915" s="387" t="s">
        <v>6775</v>
      </c>
      <c r="L915" s="387" t="s">
        <v>2062</v>
      </c>
      <c r="M915" s="387" t="s">
        <v>2063</v>
      </c>
      <c r="N915" s="388">
        <v>16.850000000000001</v>
      </c>
      <c r="O915" s="388">
        <v>14</v>
      </c>
      <c r="P915" s="387" t="s">
        <v>538</v>
      </c>
      <c r="Q915" s="387" t="s">
        <v>539</v>
      </c>
      <c r="R915" s="387" t="s">
        <v>6761</v>
      </c>
      <c r="S915" s="387" t="s">
        <v>171</v>
      </c>
      <c r="T915" s="387" t="s">
        <v>757</v>
      </c>
      <c r="U915" s="388">
        <v>27851</v>
      </c>
      <c r="V915" s="387">
        <v>6009881036485</v>
      </c>
      <c r="W915" s="387" t="s">
        <v>543</v>
      </c>
      <c r="X915" s="387" t="s">
        <v>543</v>
      </c>
      <c r="Y915" s="387">
        <v>16009881036482</v>
      </c>
      <c r="Z915" s="387" t="s">
        <v>543</v>
      </c>
      <c r="AA915" s="388" t="s">
        <v>543</v>
      </c>
      <c r="AB915" s="388" t="s">
        <v>543</v>
      </c>
      <c r="AC915" s="387" t="s">
        <v>543</v>
      </c>
      <c r="AD915" s="389">
        <v>100</v>
      </c>
      <c r="AE915" s="390">
        <v>45047</v>
      </c>
      <c r="AF915" s="390">
        <v>46142</v>
      </c>
      <c r="AG915" s="390">
        <v>46142</v>
      </c>
      <c r="AH915" s="391" t="s">
        <v>6781</v>
      </c>
      <c r="AI915" s="391" t="s">
        <v>2064</v>
      </c>
      <c r="AJ915" s="391">
        <v>0</v>
      </c>
      <c r="AK915" s="390">
        <v>45047</v>
      </c>
      <c r="AL915" s="389">
        <v>100</v>
      </c>
      <c r="AM915" s="391" t="s">
        <v>548</v>
      </c>
      <c r="AN915" s="391" t="s">
        <v>549</v>
      </c>
      <c r="AO915" s="391" t="s">
        <v>6777</v>
      </c>
    </row>
    <row r="916" spans="1:43" ht="16" thickBot="1">
      <c r="A916" s="387" t="s">
        <v>1729</v>
      </c>
      <c r="B916" s="387" t="s">
        <v>2820</v>
      </c>
      <c r="C916" s="387" t="s">
        <v>6782</v>
      </c>
      <c r="D916" s="387" t="s">
        <v>6783</v>
      </c>
      <c r="E916" s="387">
        <v>2.5</v>
      </c>
      <c r="F916" s="387" t="s">
        <v>2746</v>
      </c>
      <c r="G916" s="387">
        <v>2.5</v>
      </c>
      <c r="H916" s="387" t="s">
        <v>2746</v>
      </c>
      <c r="I916" s="387" t="s">
        <v>1732</v>
      </c>
      <c r="J916" s="387" t="s">
        <v>6784</v>
      </c>
      <c r="K916" s="387" t="s">
        <v>6785</v>
      </c>
      <c r="L916" s="387" t="s">
        <v>1809</v>
      </c>
      <c r="M916" s="387" t="s">
        <v>1810</v>
      </c>
      <c r="N916" s="388">
        <v>199.27</v>
      </c>
      <c r="O916" s="388">
        <v>14</v>
      </c>
      <c r="P916" s="387" t="s">
        <v>611</v>
      </c>
      <c r="Q916" s="387" t="s">
        <v>3265</v>
      </c>
      <c r="R916" s="387" t="s">
        <v>4278</v>
      </c>
      <c r="S916" s="387" t="s">
        <v>614</v>
      </c>
      <c r="T916" s="387" t="s">
        <v>160</v>
      </c>
      <c r="U916" s="388">
        <v>875</v>
      </c>
      <c r="V916" s="387">
        <v>6006845002760</v>
      </c>
      <c r="W916" s="387">
        <v>6006845002760</v>
      </c>
      <c r="X916" s="387" t="s">
        <v>543</v>
      </c>
      <c r="Y916" s="387">
        <v>16006845002767</v>
      </c>
      <c r="Z916" s="387" t="s">
        <v>543</v>
      </c>
      <c r="AA916" s="388" t="s">
        <v>543</v>
      </c>
      <c r="AB916" s="388" t="s">
        <v>543</v>
      </c>
      <c r="AC916" s="387" t="s">
        <v>543</v>
      </c>
      <c r="AD916" s="389">
        <v>5</v>
      </c>
      <c r="AE916" s="390">
        <v>44105</v>
      </c>
      <c r="AF916" s="390">
        <v>45199</v>
      </c>
      <c r="AG916" s="390">
        <v>45199</v>
      </c>
      <c r="AH916" s="391" t="s">
        <v>6786</v>
      </c>
      <c r="AI916" s="391" t="s">
        <v>1813</v>
      </c>
      <c r="AJ916" s="391">
        <v>0</v>
      </c>
      <c r="AK916" s="390">
        <v>44105</v>
      </c>
      <c r="AL916" s="389">
        <v>100</v>
      </c>
      <c r="AM916" s="391" t="s">
        <v>548</v>
      </c>
      <c r="AN916" s="391" t="s">
        <v>545</v>
      </c>
      <c r="AO916" s="391" t="s">
        <v>6787</v>
      </c>
    </row>
    <row r="917" spans="1:43" ht="16" thickBot="1">
      <c r="A917" s="387" t="s">
        <v>1922</v>
      </c>
      <c r="B917" s="387" t="s">
        <v>4233</v>
      </c>
      <c r="C917" s="387" t="s">
        <v>6788</v>
      </c>
      <c r="D917" s="387" t="s">
        <v>6789</v>
      </c>
      <c r="E917" s="387">
        <v>5</v>
      </c>
      <c r="F917" s="387" t="s">
        <v>531</v>
      </c>
      <c r="G917" s="387">
        <v>5</v>
      </c>
      <c r="H917" s="387" t="s">
        <v>531</v>
      </c>
      <c r="I917" s="387" t="s">
        <v>1751</v>
      </c>
      <c r="J917" s="387" t="s">
        <v>6790</v>
      </c>
      <c r="K917" s="387" t="s">
        <v>6791</v>
      </c>
      <c r="L917" s="387" t="s">
        <v>535</v>
      </c>
      <c r="M917" s="387" t="s">
        <v>536</v>
      </c>
      <c r="N917" s="388">
        <v>69</v>
      </c>
      <c r="O917" s="388">
        <v>14</v>
      </c>
      <c r="P917" s="387" t="s">
        <v>611</v>
      </c>
      <c r="Q917" s="387" t="s">
        <v>3265</v>
      </c>
      <c r="R917" s="387" t="s">
        <v>6792</v>
      </c>
      <c r="S917" s="387" t="s">
        <v>614</v>
      </c>
      <c r="T917" s="387" t="s">
        <v>160</v>
      </c>
      <c r="U917" s="388">
        <v>52140</v>
      </c>
      <c r="V917" s="387">
        <v>6001390121195</v>
      </c>
      <c r="W917" s="387">
        <v>6001390121195</v>
      </c>
      <c r="X917" s="387" t="s">
        <v>543</v>
      </c>
      <c r="Y917" s="387" t="s">
        <v>543</v>
      </c>
      <c r="Z917" s="387" t="s">
        <v>543</v>
      </c>
      <c r="AA917" s="388" t="s">
        <v>543</v>
      </c>
      <c r="AB917" s="388" t="s">
        <v>543</v>
      </c>
      <c r="AC917" s="387">
        <v>757918018</v>
      </c>
      <c r="AD917" s="389" t="s">
        <v>6793</v>
      </c>
      <c r="AE917" s="390">
        <v>44620</v>
      </c>
      <c r="AF917" s="390">
        <v>45412</v>
      </c>
      <c r="AG917" s="390">
        <v>45412</v>
      </c>
      <c r="AH917" s="391" t="s">
        <v>6794</v>
      </c>
      <c r="AI917" s="391" t="s">
        <v>547</v>
      </c>
      <c r="AJ917" s="391">
        <v>3</v>
      </c>
      <c r="AK917" s="390">
        <v>44896</v>
      </c>
      <c r="AL917" s="389">
        <v>100</v>
      </c>
      <c r="AM917" s="391" t="s">
        <v>548</v>
      </c>
      <c r="AN917" s="391" t="s">
        <v>549</v>
      </c>
      <c r="AO917" s="391" t="s">
        <v>6795</v>
      </c>
    </row>
    <row r="918" spans="1:43" ht="16" thickBot="1">
      <c r="A918" s="387" t="s">
        <v>1703</v>
      </c>
      <c r="B918" s="387" t="s">
        <v>992</v>
      </c>
      <c r="C918" s="387" t="s">
        <v>6796</v>
      </c>
      <c r="D918" s="387" t="s">
        <v>6797</v>
      </c>
      <c r="E918" s="387">
        <v>28</v>
      </c>
      <c r="F918" s="387" t="s">
        <v>559</v>
      </c>
      <c r="G918" s="387">
        <v>28</v>
      </c>
      <c r="H918" s="387" t="s">
        <v>559</v>
      </c>
      <c r="I918" s="387" t="s">
        <v>560</v>
      </c>
      <c r="J918" s="387" t="s">
        <v>6798</v>
      </c>
      <c r="K918" s="387" t="s">
        <v>6799</v>
      </c>
      <c r="L918" s="387" t="s">
        <v>2200</v>
      </c>
      <c r="M918" s="387" t="s">
        <v>2201</v>
      </c>
      <c r="N918" s="388">
        <v>16.82</v>
      </c>
      <c r="O918" s="388">
        <v>14</v>
      </c>
      <c r="P918" s="387" t="s">
        <v>538</v>
      </c>
      <c r="Q918" s="387" t="s">
        <v>539</v>
      </c>
      <c r="R918" s="387" t="s">
        <v>6800</v>
      </c>
      <c r="S918" s="387" t="s">
        <v>541</v>
      </c>
      <c r="T918" s="387" t="s">
        <v>542</v>
      </c>
      <c r="U918" s="388">
        <v>60925</v>
      </c>
      <c r="V918" s="387">
        <v>8901463122839</v>
      </c>
      <c r="W918" s="387">
        <v>8901463122839</v>
      </c>
      <c r="X918" s="387" t="s">
        <v>543</v>
      </c>
      <c r="Y918" s="387">
        <v>58901463122834</v>
      </c>
      <c r="Z918" s="387" t="s">
        <v>543</v>
      </c>
      <c r="AA918" s="388" t="s">
        <v>543</v>
      </c>
      <c r="AB918" s="388" t="s">
        <v>543</v>
      </c>
      <c r="AC918" s="387">
        <v>723042001</v>
      </c>
      <c r="AD918" s="389">
        <v>160</v>
      </c>
      <c r="AE918" s="390">
        <v>44470</v>
      </c>
      <c r="AF918" s="390">
        <v>45199</v>
      </c>
      <c r="AG918" s="390">
        <v>45199</v>
      </c>
      <c r="AH918" s="391" t="s">
        <v>6801</v>
      </c>
      <c r="AI918" s="391" t="s">
        <v>2203</v>
      </c>
      <c r="AJ918" s="391">
        <v>4</v>
      </c>
      <c r="AK918" s="390">
        <v>45047</v>
      </c>
      <c r="AL918" s="389">
        <v>100</v>
      </c>
      <c r="AM918" s="391" t="s">
        <v>548</v>
      </c>
      <c r="AN918" s="391" t="s">
        <v>549</v>
      </c>
      <c r="AO918" s="391" t="s">
        <v>6802</v>
      </c>
      <c r="AP918" s="372">
        <f>N918/E918</f>
        <v>0.60071428571428576</v>
      </c>
      <c r="AQ918" s="372">
        <f>SUMPRODUCT(AP918:AP920,U918:U920)/SUM(U918:U920)</f>
        <v>0.61873312838750838</v>
      </c>
    </row>
    <row r="919" spans="1:43" ht="16" thickBot="1">
      <c r="A919" s="387" t="s">
        <v>1703</v>
      </c>
      <c r="B919" s="387" t="s">
        <v>544</v>
      </c>
      <c r="C919" s="387" t="s">
        <v>6803</v>
      </c>
      <c r="D919" s="387" t="s">
        <v>6804</v>
      </c>
      <c r="E919" s="387">
        <v>56</v>
      </c>
      <c r="F919" s="387" t="s">
        <v>559</v>
      </c>
      <c r="G919" s="387">
        <v>56</v>
      </c>
      <c r="H919" s="387" t="s">
        <v>559</v>
      </c>
      <c r="I919" s="387" t="s">
        <v>560</v>
      </c>
      <c r="J919" s="387" t="s">
        <v>6798</v>
      </c>
      <c r="K919" s="387" t="s">
        <v>6799</v>
      </c>
      <c r="L919" s="387" t="s">
        <v>2200</v>
      </c>
      <c r="M919" s="387" t="s">
        <v>2201</v>
      </c>
      <c r="N919" s="388">
        <v>31.81</v>
      </c>
      <c r="O919" s="388">
        <v>14</v>
      </c>
      <c r="P919" s="387" t="s">
        <v>538</v>
      </c>
      <c r="Q919" s="387" t="s">
        <v>539</v>
      </c>
      <c r="R919" s="387" t="s">
        <v>6800</v>
      </c>
      <c r="S919" s="387" t="s">
        <v>541</v>
      </c>
      <c r="T919" s="387" t="s">
        <v>542</v>
      </c>
      <c r="U919" s="388">
        <v>112480</v>
      </c>
      <c r="V919" s="387">
        <v>8901463122846</v>
      </c>
      <c r="W919" s="387">
        <v>8901463122846</v>
      </c>
      <c r="X919" s="387" t="s">
        <v>543</v>
      </c>
      <c r="Y919" s="387">
        <v>58901463122841</v>
      </c>
      <c r="Z919" s="387" t="s">
        <v>543</v>
      </c>
      <c r="AA919" s="388" t="s">
        <v>543</v>
      </c>
      <c r="AB919" s="388" t="s">
        <v>543</v>
      </c>
      <c r="AC919" s="387">
        <v>723042002</v>
      </c>
      <c r="AD919" s="389">
        <v>112</v>
      </c>
      <c r="AE919" s="390">
        <v>44470</v>
      </c>
      <c r="AF919" s="390">
        <v>45199</v>
      </c>
      <c r="AG919" s="390">
        <v>45199</v>
      </c>
      <c r="AH919" s="391" t="s">
        <v>6805</v>
      </c>
      <c r="AI919" s="391" t="s">
        <v>2203</v>
      </c>
      <c r="AJ919" s="391">
        <v>4</v>
      </c>
      <c r="AK919" s="390">
        <v>45047</v>
      </c>
      <c r="AL919" s="389">
        <v>100</v>
      </c>
      <c r="AM919" s="391" t="s">
        <v>548</v>
      </c>
      <c r="AN919" s="391" t="s">
        <v>549</v>
      </c>
      <c r="AO919" s="391" t="s">
        <v>6802</v>
      </c>
      <c r="AP919" s="372">
        <f t="shared" ref="AP919:AP920" si="25">N919/E919</f>
        <v>0.56803571428571431</v>
      </c>
    </row>
    <row r="920" spans="1:43" ht="16" thickBot="1">
      <c r="A920" s="387" t="s">
        <v>6806</v>
      </c>
      <c r="B920" s="387" t="s">
        <v>1003</v>
      </c>
      <c r="C920" s="387" t="s">
        <v>6807</v>
      </c>
      <c r="D920" s="387" t="s">
        <v>6808</v>
      </c>
      <c r="E920" s="387">
        <v>84</v>
      </c>
      <c r="F920" s="387" t="s">
        <v>559</v>
      </c>
      <c r="G920" s="387">
        <v>84</v>
      </c>
      <c r="H920" s="387" t="s">
        <v>559</v>
      </c>
      <c r="I920" s="387" t="s">
        <v>560</v>
      </c>
      <c r="J920" s="387" t="s">
        <v>6798</v>
      </c>
      <c r="K920" s="387" t="s">
        <v>6809</v>
      </c>
      <c r="L920" s="387" t="s">
        <v>2200</v>
      </c>
      <c r="M920" s="387" t="s">
        <v>2201</v>
      </c>
      <c r="N920" s="388">
        <v>55.58</v>
      </c>
      <c r="O920" s="388">
        <v>14</v>
      </c>
      <c r="P920" s="387" t="s">
        <v>538</v>
      </c>
      <c r="Q920" s="387" t="s">
        <v>539</v>
      </c>
      <c r="R920" s="387" t="s">
        <v>6800</v>
      </c>
      <c r="S920" s="387" t="s">
        <v>541</v>
      </c>
      <c r="T920" s="387" t="s">
        <v>542</v>
      </c>
      <c r="U920" s="388">
        <v>158390</v>
      </c>
      <c r="V920" s="387" t="s">
        <v>543</v>
      </c>
      <c r="W920" s="387" t="s">
        <v>543</v>
      </c>
      <c r="X920" s="387" t="s">
        <v>543</v>
      </c>
      <c r="Y920" s="387">
        <v>58901463122858</v>
      </c>
      <c r="Z920" s="387" t="s">
        <v>543</v>
      </c>
      <c r="AA920" s="388" t="s">
        <v>543</v>
      </c>
      <c r="AB920" s="388" t="s">
        <v>543</v>
      </c>
      <c r="AC920" s="387" t="s">
        <v>543</v>
      </c>
      <c r="AD920" s="389" t="s">
        <v>6810</v>
      </c>
      <c r="AE920" s="390">
        <v>44620</v>
      </c>
      <c r="AF920" s="390">
        <v>45199</v>
      </c>
      <c r="AG920" s="390">
        <v>45199</v>
      </c>
      <c r="AH920" s="391" t="s">
        <v>6811</v>
      </c>
      <c r="AI920" s="391" t="s">
        <v>2203</v>
      </c>
      <c r="AJ920" s="391">
        <v>4</v>
      </c>
      <c r="AK920" s="390">
        <v>45047</v>
      </c>
      <c r="AL920" s="389">
        <v>100</v>
      </c>
      <c r="AM920" s="391" t="s">
        <v>548</v>
      </c>
      <c r="AN920" s="391" t="s">
        <v>549</v>
      </c>
      <c r="AO920" s="391" t="s">
        <v>6802</v>
      </c>
      <c r="AP920" s="372">
        <f t="shared" si="25"/>
        <v>0.66166666666666663</v>
      </c>
    </row>
    <row r="921" spans="1:43" ht="16" thickBot="1">
      <c r="A921" s="387" t="s">
        <v>1717</v>
      </c>
      <c r="B921" s="387" t="s">
        <v>6812</v>
      </c>
      <c r="C921" s="387" t="s">
        <v>6813</v>
      </c>
      <c r="D921" s="387" t="s">
        <v>6814</v>
      </c>
      <c r="E921" s="387">
        <v>50</v>
      </c>
      <c r="F921" s="387" t="s">
        <v>559</v>
      </c>
      <c r="G921" s="387">
        <v>50</v>
      </c>
      <c r="H921" s="387" t="s">
        <v>559</v>
      </c>
      <c r="I921" s="387" t="s">
        <v>560</v>
      </c>
      <c r="J921" s="387" t="s">
        <v>6815</v>
      </c>
      <c r="K921" s="387" t="s">
        <v>6816</v>
      </c>
      <c r="L921" s="387" t="s">
        <v>562</v>
      </c>
      <c r="M921" s="387" t="s">
        <v>563</v>
      </c>
      <c r="N921" s="388">
        <v>281.75</v>
      </c>
      <c r="O921" s="388">
        <v>14</v>
      </c>
      <c r="P921" s="387" t="s">
        <v>538</v>
      </c>
      <c r="Q921" s="387" t="s">
        <v>539</v>
      </c>
      <c r="R921" s="387" t="s">
        <v>6817</v>
      </c>
      <c r="S921" s="387" t="s">
        <v>541</v>
      </c>
      <c r="T921" s="387" t="s">
        <v>757</v>
      </c>
      <c r="U921" s="388">
        <v>45163</v>
      </c>
      <c r="V921" s="387">
        <v>6003787068007</v>
      </c>
      <c r="W921" s="387">
        <v>6003787068007</v>
      </c>
      <c r="X921" s="387" t="s">
        <v>543</v>
      </c>
      <c r="Y921" s="387" t="s">
        <v>543</v>
      </c>
      <c r="Z921" s="387" t="s">
        <v>543</v>
      </c>
      <c r="AA921" s="388" t="s">
        <v>543</v>
      </c>
      <c r="AB921" s="388" t="s">
        <v>543</v>
      </c>
      <c r="AC921" s="387">
        <v>742287009</v>
      </c>
      <c r="AD921" s="389">
        <v>20</v>
      </c>
      <c r="AE921" s="390">
        <v>45047</v>
      </c>
      <c r="AF921" s="390">
        <v>46142</v>
      </c>
      <c r="AG921" s="391" t="s">
        <v>545</v>
      </c>
      <c r="AH921" s="391" t="s">
        <v>6818</v>
      </c>
      <c r="AI921" s="391" t="s">
        <v>565</v>
      </c>
      <c r="AJ921" s="391">
        <v>0</v>
      </c>
      <c r="AK921" s="390">
        <v>45047</v>
      </c>
      <c r="AL921" s="389">
        <v>100</v>
      </c>
      <c r="AM921" s="391" t="s">
        <v>548</v>
      </c>
      <c r="AN921" s="391" t="s">
        <v>549</v>
      </c>
      <c r="AO921" s="391" t="s">
        <v>6819</v>
      </c>
    </row>
    <row r="922" spans="1:43" ht="16" thickBot="1">
      <c r="A922" s="387" t="s">
        <v>1717</v>
      </c>
      <c r="B922" s="387" t="s">
        <v>6820</v>
      </c>
      <c r="C922" s="387" t="s">
        <v>6821</v>
      </c>
      <c r="D922" s="387" t="s">
        <v>6822</v>
      </c>
      <c r="E922" s="387">
        <v>150</v>
      </c>
      <c r="F922" s="387" t="s">
        <v>559</v>
      </c>
      <c r="G922" s="387">
        <v>150</v>
      </c>
      <c r="H922" s="387" t="s">
        <v>559</v>
      </c>
      <c r="I922" s="387" t="s">
        <v>560</v>
      </c>
      <c r="J922" s="387" t="s">
        <v>6815</v>
      </c>
      <c r="K922" s="387" t="s">
        <v>6823</v>
      </c>
      <c r="L922" s="387" t="s">
        <v>562</v>
      </c>
      <c r="M922" s="387" t="s">
        <v>563</v>
      </c>
      <c r="N922" s="388">
        <v>1265</v>
      </c>
      <c r="O922" s="388">
        <v>14</v>
      </c>
      <c r="P922" s="387" t="s">
        <v>538</v>
      </c>
      <c r="Q922" s="387" t="s">
        <v>539</v>
      </c>
      <c r="R922" s="387" t="s">
        <v>6817</v>
      </c>
      <c r="S922" s="387" t="s">
        <v>541</v>
      </c>
      <c r="T922" s="387" t="s">
        <v>757</v>
      </c>
      <c r="U922" s="388">
        <v>32250</v>
      </c>
      <c r="V922" s="387">
        <v>6003787068021</v>
      </c>
      <c r="W922" s="387">
        <v>6003787068021</v>
      </c>
      <c r="X922" s="387" t="s">
        <v>543</v>
      </c>
      <c r="Y922" s="387" t="s">
        <v>543</v>
      </c>
      <c r="Z922" s="387" t="s">
        <v>543</v>
      </c>
      <c r="AA922" s="388" t="s">
        <v>543</v>
      </c>
      <c r="AB922" s="388" t="s">
        <v>543</v>
      </c>
      <c r="AC922" s="387">
        <v>742279006</v>
      </c>
      <c r="AD922" s="389">
        <v>20</v>
      </c>
      <c r="AE922" s="390">
        <v>45047</v>
      </c>
      <c r="AF922" s="390">
        <v>46142</v>
      </c>
      <c r="AG922" s="391" t="s">
        <v>545</v>
      </c>
      <c r="AH922" s="391" t="s">
        <v>6824</v>
      </c>
      <c r="AI922" s="391" t="s">
        <v>565</v>
      </c>
      <c r="AJ922" s="391">
        <v>0</v>
      </c>
      <c r="AK922" s="390">
        <v>45047</v>
      </c>
      <c r="AL922" s="389">
        <v>100</v>
      </c>
      <c r="AM922" s="391" t="s">
        <v>548</v>
      </c>
      <c r="AN922" s="391" t="s">
        <v>549</v>
      </c>
      <c r="AO922" s="391" t="s">
        <v>6825</v>
      </c>
    </row>
    <row r="923" spans="1:43" ht="16" thickBot="1">
      <c r="A923" s="387" t="s">
        <v>1717</v>
      </c>
      <c r="B923" s="387" t="s">
        <v>6826</v>
      </c>
      <c r="C923" s="387" t="s">
        <v>6827</v>
      </c>
      <c r="D923" s="387" t="s">
        <v>6828</v>
      </c>
      <c r="E923" s="387">
        <v>90</v>
      </c>
      <c r="F923" s="387" t="s">
        <v>559</v>
      </c>
      <c r="G923" s="387">
        <v>90</v>
      </c>
      <c r="H923" s="387" t="s">
        <v>559</v>
      </c>
      <c r="I923" s="387" t="s">
        <v>560</v>
      </c>
      <c r="J923" s="387" t="s">
        <v>6829</v>
      </c>
      <c r="K923" s="387" t="s">
        <v>6830</v>
      </c>
      <c r="L923" s="387" t="s">
        <v>2200</v>
      </c>
      <c r="M923" s="387" t="s">
        <v>2201</v>
      </c>
      <c r="N923" s="388">
        <v>37.35</v>
      </c>
      <c r="O923" s="388">
        <v>14</v>
      </c>
      <c r="P923" s="387" t="s">
        <v>538</v>
      </c>
      <c r="Q923" s="387" t="s">
        <v>539</v>
      </c>
      <c r="R923" s="387" t="s">
        <v>6831</v>
      </c>
      <c r="S923" s="387" t="s">
        <v>541</v>
      </c>
      <c r="T923" s="387" t="s">
        <v>757</v>
      </c>
      <c r="U923" s="388">
        <v>57925</v>
      </c>
      <c r="V923" s="387" t="s">
        <v>543</v>
      </c>
      <c r="W923" s="387" t="s">
        <v>543</v>
      </c>
      <c r="X923" s="387" t="s">
        <v>543</v>
      </c>
      <c r="Y923" s="387" t="s">
        <v>543</v>
      </c>
      <c r="Z923" s="387" t="s">
        <v>543</v>
      </c>
      <c r="AA923" s="388" t="s">
        <v>543</v>
      </c>
      <c r="AB923" s="388" t="s">
        <v>543</v>
      </c>
      <c r="AC923" s="387" t="s">
        <v>543</v>
      </c>
      <c r="AD923" s="389" t="s">
        <v>6832</v>
      </c>
      <c r="AE923" s="390">
        <v>45047</v>
      </c>
      <c r="AF923" s="390">
        <v>46142</v>
      </c>
      <c r="AG923" s="391" t="s">
        <v>545</v>
      </c>
      <c r="AH923" s="391" t="s">
        <v>6833</v>
      </c>
      <c r="AI923" s="391" t="s">
        <v>2203</v>
      </c>
      <c r="AJ923" s="391">
        <v>0</v>
      </c>
      <c r="AK923" s="390">
        <v>45047</v>
      </c>
      <c r="AL923" s="389">
        <v>100</v>
      </c>
      <c r="AM923" s="391" t="s">
        <v>548</v>
      </c>
      <c r="AN923" s="391" t="s">
        <v>549</v>
      </c>
      <c r="AO923" s="391" t="s">
        <v>6834</v>
      </c>
    </row>
    <row r="924" spans="1:43" ht="16" thickBot="1">
      <c r="A924" s="387" t="s">
        <v>1717</v>
      </c>
      <c r="B924" s="387" t="s">
        <v>6835</v>
      </c>
      <c r="C924" s="387" t="s">
        <v>6836</v>
      </c>
      <c r="D924" s="387" t="s">
        <v>6837</v>
      </c>
      <c r="E924" s="387">
        <v>60</v>
      </c>
      <c r="F924" s="387" t="s">
        <v>559</v>
      </c>
      <c r="G924" s="387">
        <v>60</v>
      </c>
      <c r="H924" s="387" t="s">
        <v>559</v>
      </c>
      <c r="I924" s="387" t="s">
        <v>560</v>
      </c>
      <c r="J924" s="387" t="s">
        <v>6829</v>
      </c>
      <c r="K924" s="387" t="s">
        <v>6838</v>
      </c>
      <c r="L924" s="387" t="s">
        <v>2200</v>
      </c>
      <c r="M924" s="387" t="s">
        <v>2201</v>
      </c>
      <c r="N924" s="388">
        <v>40.15</v>
      </c>
      <c r="O924" s="388">
        <v>14</v>
      </c>
      <c r="P924" s="387" t="s">
        <v>538</v>
      </c>
      <c r="Q924" s="387" t="s">
        <v>539</v>
      </c>
      <c r="R924" s="387" t="s">
        <v>6831</v>
      </c>
      <c r="S924" s="387" t="s">
        <v>541</v>
      </c>
      <c r="T924" s="387" t="s">
        <v>757</v>
      </c>
      <c r="U924" s="388">
        <v>97119</v>
      </c>
      <c r="V924" s="387" t="s">
        <v>543</v>
      </c>
      <c r="W924" s="387" t="s">
        <v>543</v>
      </c>
      <c r="X924" s="387" t="s">
        <v>543</v>
      </c>
      <c r="Y924" s="387" t="s">
        <v>543</v>
      </c>
      <c r="Z924" s="387" t="s">
        <v>543</v>
      </c>
      <c r="AA924" s="388" t="s">
        <v>543</v>
      </c>
      <c r="AB924" s="388" t="s">
        <v>543</v>
      </c>
      <c r="AC924" s="387" t="s">
        <v>543</v>
      </c>
      <c r="AD924" s="389" t="s">
        <v>6839</v>
      </c>
      <c r="AE924" s="390">
        <v>45047</v>
      </c>
      <c r="AF924" s="390">
        <v>46142</v>
      </c>
      <c r="AG924" s="391" t="s">
        <v>545</v>
      </c>
      <c r="AH924" s="391" t="s">
        <v>6840</v>
      </c>
      <c r="AI924" s="391" t="s">
        <v>2203</v>
      </c>
      <c r="AJ924" s="391">
        <v>0</v>
      </c>
      <c r="AK924" s="390">
        <v>45047</v>
      </c>
      <c r="AL924" s="389">
        <v>100</v>
      </c>
      <c r="AM924" s="391" t="s">
        <v>548</v>
      </c>
      <c r="AN924" s="391" t="s">
        <v>549</v>
      </c>
      <c r="AO924" s="391" t="s">
        <v>6841</v>
      </c>
    </row>
    <row r="925" spans="1:43" ht="16" thickBot="1">
      <c r="A925" s="387" t="s">
        <v>1717</v>
      </c>
      <c r="B925" s="387" t="s">
        <v>6842</v>
      </c>
      <c r="C925" s="387" t="s">
        <v>6843</v>
      </c>
      <c r="D925" s="387" t="s">
        <v>6844</v>
      </c>
      <c r="E925" s="387">
        <v>100</v>
      </c>
      <c r="F925" s="387" t="s">
        <v>559</v>
      </c>
      <c r="G925" s="387">
        <v>100</v>
      </c>
      <c r="H925" s="387" t="s">
        <v>559</v>
      </c>
      <c r="I925" s="387" t="s">
        <v>560</v>
      </c>
      <c r="J925" s="387" t="s">
        <v>6829</v>
      </c>
      <c r="K925" s="387" t="s">
        <v>6845</v>
      </c>
      <c r="L925" s="387" t="s">
        <v>2200</v>
      </c>
      <c r="M925" s="387" t="s">
        <v>2201</v>
      </c>
      <c r="N925" s="388">
        <v>21.55</v>
      </c>
      <c r="O925" s="388">
        <v>14</v>
      </c>
      <c r="P925" s="387" t="s">
        <v>538</v>
      </c>
      <c r="Q925" s="387" t="s">
        <v>539</v>
      </c>
      <c r="R925" s="387" t="s">
        <v>6831</v>
      </c>
      <c r="S925" s="387" t="s">
        <v>541</v>
      </c>
      <c r="T925" s="387" t="s">
        <v>757</v>
      </c>
      <c r="U925" s="388">
        <v>87738</v>
      </c>
      <c r="V925" s="387" t="s">
        <v>543</v>
      </c>
      <c r="W925" s="387" t="s">
        <v>543</v>
      </c>
      <c r="X925" s="387" t="s">
        <v>543</v>
      </c>
      <c r="Y925" s="387" t="s">
        <v>543</v>
      </c>
      <c r="Z925" s="387" t="s">
        <v>543</v>
      </c>
      <c r="AA925" s="388" t="s">
        <v>543</v>
      </c>
      <c r="AB925" s="388" t="s">
        <v>543</v>
      </c>
      <c r="AC925" s="387" t="s">
        <v>543</v>
      </c>
      <c r="AD925" s="389">
        <v>50</v>
      </c>
      <c r="AE925" s="390">
        <v>45047</v>
      </c>
      <c r="AF925" s="390">
        <v>46142</v>
      </c>
      <c r="AG925" s="391" t="s">
        <v>545</v>
      </c>
      <c r="AH925" s="391" t="s">
        <v>6846</v>
      </c>
      <c r="AI925" s="391" t="s">
        <v>2203</v>
      </c>
      <c r="AJ925" s="391">
        <v>0</v>
      </c>
      <c r="AK925" s="390">
        <v>45047</v>
      </c>
      <c r="AL925" s="389">
        <v>100</v>
      </c>
      <c r="AM925" s="391" t="s">
        <v>548</v>
      </c>
      <c r="AN925" s="391" t="s">
        <v>549</v>
      </c>
      <c r="AO925" s="391" t="s">
        <v>6847</v>
      </c>
    </row>
    <row r="926" spans="1:43" ht="16" thickBot="1">
      <c r="A926" s="387" t="s">
        <v>1717</v>
      </c>
      <c r="B926" s="387" t="s">
        <v>6848</v>
      </c>
      <c r="C926" s="387" t="s">
        <v>6849</v>
      </c>
      <c r="D926" s="387" t="s">
        <v>6850</v>
      </c>
      <c r="E926" s="387">
        <v>60</v>
      </c>
      <c r="F926" s="387" t="s">
        <v>559</v>
      </c>
      <c r="G926" s="387">
        <v>60</v>
      </c>
      <c r="H926" s="387" t="s">
        <v>559</v>
      </c>
      <c r="I926" s="387" t="s">
        <v>560</v>
      </c>
      <c r="J926" s="387" t="s">
        <v>6829</v>
      </c>
      <c r="K926" s="387" t="s">
        <v>6851</v>
      </c>
      <c r="L926" s="387" t="s">
        <v>2200</v>
      </c>
      <c r="M926" s="387" t="s">
        <v>2201</v>
      </c>
      <c r="N926" s="388">
        <v>55.36</v>
      </c>
      <c r="O926" s="388">
        <v>14</v>
      </c>
      <c r="P926" s="387" t="s">
        <v>538</v>
      </c>
      <c r="Q926" s="387" t="s">
        <v>539</v>
      </c>
      <c r="R926" s="387" t="s">
        <v>6831</v>
      </c>
      <c r="S926" s="387" t="s">
        <v>541</v>
      </c>
      <c r="T926" s="387" t="s">
        <v>757</v>
      </c>
      <c r="U926" s="388">
        <v>19730</v>
      </c>
      <c r="V926" s="387" t="s">
        <v>543</v>
      </c>
      <c r="W926" s="387" t="s">
        <v>543</v>
      </c>
      <c r="X926" s="387" t="s">
        <v>543</v>
      </c>
      <c r="Y926" s="387" t="s">
        <v>543</v>
      </c>
      <c r="Z926" s="387" t="s">
        <v>543</v>
      </c>
      <c r="AA926" s="388" t="s">
        <v>543</v>
      </c>
      <c r="AB926" s="388" t="s">
        <v>543</v>
      </c>
      <c r="AC926" s="387" t="s">
        <v>543</v>
      </c>
      <c r="AD926" s="389" t="s">
        <v>6852</v>
      </c>
      <c r="AE926" s="390">
        <v>45047</v>
      </c>
      <c r="AF926" s="390">
        <v>46142</v>
      </c>
      <c r="AG926" s="391" t="s">
        <v>545</v>
      </c>
      <c r="AH926" s="391" t="s">
        <v>6853</v>
      </c>
      <c r="AI926" s="391" t="s">
        <v>2203</v>
      </c>
      <c r="AJ926" s="391">
        <v>0</v>
      </c>
      <c r="AK926" s="390">
        <v>45047</v>
      </c>
      <c r="AL926" s="389">
        <v>100</v>
      </c>
      <c r="AM926" s="391" t="s">
        <v>548</v>
      </c>
      <c r="AN926" s="391" t="s">
        <v>549</v>
      </c>
      <c r="AO926" s="391" t="s">
        <v>6854</v>
      </c>
    </row>
    <row r="927" spans="1:43" ht="16" thickBot="1">
      <c r="A927" s="387" t="s">
        <v>1748</v>
      </c>
      <c r="B927" s="387" t="s">
        <v>4224</v>
      </c>
      <c r="C927" s="387" t="s">
        <v>6855</v>
      </c>
      <c r="D927" s="387" t="s">
        <v>6856</v>
      </c>
      <c r="E927" s="387">
        <v>1</v>
      </c>
      <c r="F927" s="387" t="s">
        <v>531</v>
      </c>
      <c r="G927" s="387">
        <v>1</v>
      </c>
      <c r="H927" s="387" t="s">
        <v>531</v>
      </c>
      <c r="I927" s="387" t="s">
        <v>1751</v>
      </c>
      <c r="J927" s="387" t="s">
        <v>6857</v>
      </c>
      <c r="K927" s="387" t="s">
        <v>6858</v>
      </c>
      <c r="L927" s="387" t="s">
        <v>1955</v>
      </c>
      <c r="M927" s="387" t="s">
        <v>1956</v>
      </c>
      <c r="N927" s="388">
        <v>25.25</v>
      </c>
      <c r="O927" s="388">
        <v>14</v>
      </c>
      <c r="P927" s="387" t="s">
        <v>538</v>
      </c>
      <c r="Q927" s="387" t="s">
        <v>539</v>
      </c>
      <c r="R927" s="387" t="s">
        <v>6859</v>
      </c>
      <c r="S927" s="387" t="s">
        <v>541</v>
      </c>
      <c r="T927" s="387" t="s">
        <v>542</v>
      </c>
      <c r="U927" s="388">
        <v>46610</v>
      </c>
      <c r="V927" s="387">
        <v>6006267004762</v>
      </c>
      <c r="W927" s="387">
        <v>6006267004762</v>
      </c>
      <c r="X927" s="387" t="s">
        <v>543</v>
      </c>
      <c r="Y927" s="387">
        <v>16006267004769</v>
      </c>
      <c r="Z927" s="387" t="s">
        <v>543</v>
      </c>
      <c r="AA927" s="388" t="s">
        <v>543</v>
      </c>
      <c r="AB927" s="388" t="s">
        <v>543</v>
      </c>
      <c r="AC927" s="387">
        <v>867926007</v>
      </c>
      <c r="AD927" s="389" t="s">
        <v>5011</v>
      </c>
      <c r="AE927" s="390">
        <v>44317</v>
      </c>
      <c r="AF927" s="390">
        <v>45412</v>
      </c>
      <c r="AG927" s="391" t="s">
        <v>545</v>
      </c>
      <c r="AH927" s="391" t="s">
        <v>6860</v>
      </c>
      <c r="AI927" s="391" t="s">
        <v>1959</v>
      </c>
      <c r="AJ927" s="391">
        <v>0</v>
      </c>
      <c r="AK927" s="390">
        <v>44317</v>
      </c>
      <c r="AL927" s="389">
        <v>100</v>
      </c>
      <c r="AM927" s="391" t="s">
        <v>548</v>
      </c>
      <c r="AN927" s="391" t="s">
        <v>549</v>
      </c>
      <c r="AO927" s="391" t="s">
        <v>6861</v>
      </c>
    </row>
    <row r="928" spans="1:43" ht="16" thickBot="1">
      <c r="A928" s="387" t="s">
        <v>529</v>
      </c>
      <c r="B928" s="387" t="s">
        <v>975</v>
      </c>
      <c r="C928" s="387" t="s">
        <v>976</v>
      </c>
      <c r="D928" s="387" t="s">
        <v>751</v>
      </c>
      <c r="E928" s="387">
        <v>56</v>
      </c>
      <c r="F928" s="387" t="s">
        <v>559</v>
      </c>
      <c r="G928" s="387">
        <v>56</v>
      </c>
      <c r="H928" s="387" t="s">
        <v>559</v>
      </c>
      <c r="I928" s="387" t="s">
        <v>560</v>
      </c>
      <c r="J928" s="387" t="s">
        <v>752</v>
      </c>
      <c r="K928" s="387" t="s">
        <v>753</v>
      </c>
      <c r="L928" s="387" t="s">
        <v>754</v>
      </c>
      <c r="M928" s="387" t="s">
        <v>755</v>
      </c>
      <c r="N928" s="388">
        <v>455.4</v>
      </c>
      <c r="O928" s="388">
        <v>14</v>
      </c>
      <c r="P928" s="387" t="s">
        <v>538</v>
      </c>
      <c r="Q928" s="387" t="s">
        <v>539</v>
      </c>
      <c r="R928" s="387" t="s">
        <v>756</v>
      </c>
      <c r="S928" s="387" t="s">
        <v>541</v>
      </c>
      <c r="T928" s="387" t="s">
        <v>757</v>
      </c>
      <c r="U928" s="388">
        <v>2814</v>
      </c>
      <c r="V928" s="387" t="s">
        <v>543</v>
      </c>
      <c r="W928" s="387" t="s">
        <v>543</v>
      </c>
      <c r="X928" s="387" t="s">
        <v>543</v>
      </c>
      <c r="Y928" s="387" t="s">
        <v>543</v>
      </c>
      <c r="Z928" s="387" t="s">
        <v>543</v>
      </c>
      <c r="AA928" s="388" t="s">
        <v>543</v>
      </c>
      <c r="AB928" s="388" t="s">
        <v>543</v>
      </c>
      <c r="AC928" s="387">
        <v>720590001</v>
      </c>
      <c r="AD928" s="389">
        <v>1</v>
      </c>
      <c r="AE928" s="390">
        <v>44743</v>
      </c>
      <c r="AF928" s="390">
        <v>45838</v>
      </c>
      <c r="AG928" s="391" t="s">
        <v>545</v>
      </c>
      <c r="AH928" s="391" t="s">
        <v>758</v>
      </c>
      <c r="AI928" s="391" t="s">
        <v>759</v>
      </c>
      <c r="AJ928" s="391">
        <v>0</v>
      </c>
      <c r="AK928" s="390">
        <v>44743</v>
      </c>
      <c r="AL928" s="389">
        <v>100</v>
      </c>
      <c r="AM928" s="391" t="s">
        <v>548</v>
      </c>
      <c r="AN928" s="391" t="s">
        <v>549</v>
      </c>
      <c r="AO928" s="391" t="s">
        <v>760</v>
      </c>
    </row>
    <row r="929" spans="1:43" ht="16" thickBot="1">
      <c r="A929" s="387" t="s">
        <v>529</v>
      </c>
      <c r="B929" s="387" t="s">
        <v>643</v>
      </c>
      <c r="C929" s="387" t="s">
        <v>977</v>
      </c>
      <c r="D929" s="387" t="s">
        <v>761</v>
      </c>
      <c r="E929" s="387">
        <v>56</v>
      </c>
      <c r="F929" s="387" t="s">
        <v>559</v>
      </c>
      <c r="G929" s="387">
        <v>56</v>
      </c>
      <c r="H929" s="387" t="s">
        <v>559</v>
      </c>
      <c r="I929" s="387" t="s">
        <v>560</v>
      </c>
      <c r="J929" s="387" t="s">
        <v>752</v>
      </c>
      <c r="K929" s="387" t="s">
        <v>762</v>
      </c>
      <c r="L929" s="387" t="s">
        <v>754</v>
      </c>
      <c r="M929" s="387" t="s">
        <v>755</v>
      </c>
      <c r="N929" s="388">
        <v>227.7</v>
      </c>
      <c r="O929" s="388">
        <v>14</v>
      </c>
      <c r="P929" s="387" t="s">
        <v>538</v>
      </c>
      <c r="Q929" s="387" t="s">
        <v>539</v>
      </c>
      <c r="R929" s="387" t="s">
        <v>756</v>
      </c>
      <c r="S929" s="387" t="s">
        <v>541</v>
      </c>
      <c r="T929" s="387" t="s">
        <v>757</v>
      </c>
      <c r="U929" s="388">
        <v>1452</v>
      </c>
      <c r="V929" s="387">
        <v>6003422012099</v>
      </c>
      <c r="W929" s="387" t="s">
        <v>543</v>
      </c>
      <c r="X929" s="387" t="s">
        <v>543</v>
      </c>
      <c r="Y929" s="387" t="s">
        <v>543</v>
      </c>
      <c r="Z929" s="387" t="s">
        <v>543</v>
      </c>
      <c r="AA929" s="388" t="s">
        <v>543</v>
      </c>
      <c r="AB929" s="388" t="s">
        <v>543</v>
      </c>
      <c r="AC929" s="387">
        <v>720591001</v>
      </c>
      <c r="AD929" s="389">
        <v>1</v>
      </c>
      <c r="AE929" s="390">
        <v>44743</v>
      </c>
      <c r="AF929" s="390">
        <v>45838</v>
      </c>
      <c r="AG929" s="391" t="s">
        <v>545</v>
      </c>
      <c r="AH929" s="391" t="s">
        <v>763</v>
      </c>
      <c r="AI929" s="391" t="s">
        <v>759</v>
      </c>
      <c r="AJ929" s="391">
        <v>0</v>
      </c>
      <c r="AK929" s="390">
        <v>44743</v>
      </c>
      <c r="AL929" s="389">
        <v>100</v>
      </c>
      <c r="AM929" s="391" t="s">
        <v>548</v>
      </c>
      <c r="AN929" s="391" t="s">
        <v>549</v>
      </c>
      <c r="AO929" s="391" t="s">
        <v>764</v>
      </c>
    </row>
    <row r="930" spans="1:43" ht="16" thickBot="1">
      <c r="A930" s="387" t="s">
        <v>529</v>
      </c>
      <c r="B930" s="387" t="s">
        <v>970</v>
      </c>
      <c r="C930" s="387" t="s">
        <v>971</v>
      </c>
      <c r="D930" s="387" t="s">
        <v>765</v>
      </c>
      <c r="E930" s="387">
        <v>56</v>
      </c>
      <c r="F930" s="387" t="s">
        <v>559</v>
      </c>
      <c r="G930" s="387">
        <v>56</v>
      </c>
      <c r="H930" s="387" t="s">
        <v>559</v>
      </c>
      <c r="I930" s="387" t="s">
        <v>560</v>
      </c>
      <c r="J930" s="387" t="s">
        <v>752</v>
      </c>
      <c r="K930" s="387" t="s">
        <v>766</v>
      </c>
      <c r="L930" s="387" t="s">
        <v>754</v>
      </c>
      <c r="M930" s="387" t="s">
        <v>755</v>
      </c>
      <c r="N930" s="388">
        <v>537.46</v>
      </c>
      <c r="O930" s="388">
        <v>14</v>
      </c>
      <c r="P930" s="387" t="s">
        <v>538</v>
      </c>
      <c r="Q930" s="387" t="s">
        <v>539</v>
      </c>
      <c r="R930" s="387" t="s">
        <v>756</v>
      </c>
      <c r="S930" s="387" t="s">
        <v>541</v>
      </c>
      <c r="T930" s="387" t="s">
        <v>757</v>
      </c>
      <c r="U930" s="388">
        <v>11982</v>
      </c>
      <c r="V930" s="387">
        <v>6003422010477</v>
      </c>
      <c r="W930" s="387" t="s">
        <v>543</v>
      </c>
      <c r="X930" s="387" t="s">
        <v>543</v>
      </c>
      <c r="Y930" s="387">
        <v>16003422013362</v>
      </c>
      <c r="Z930" s="387" t="s">
        <v>543</v>
      </c>
      <c r="AA930" s="388" t="s">
        <v>543</v>
      </c>
      <c r="AB930" s="388" t="s">
        <v>543</v>
      </c>
      <c r="AC930" s="387">
        <v>715825001</v>
      </c>
      <c r="AD930" s="389">
        <v>1</v>
      </c>
      <c r="AE930" s="390">
        <v>44743</v>
      </c>
      <c r="AF930" s="390">
        <v>45838</v>
      </c>
      <c r="AG930" s="391" t="s">
        <v>545</v>
      </c>
      <c r="AH930" s="391" t="s">
        <v>767</v>
      </c>
      <c r="AI930" s="391" t="s">
        <v>759</v>
      </c>
      <c r="AJ930" s="391">
        <v>0</v>
      </c>
      <c r="AK930" s="390">
        <v>44743</v>
      </c>
      <c r="AL930" s="389">
        <v>100</v>
      </c>
      <c r="AM930" s="391" t="s">
        <v>548</v>
      </c>
      <c r="AN930" s="391" t="s">
        <v>549</v>
      </c>
      <c r="AO930" s="391" t="s">
        <v>768</v>
      </c>
    </row>
    <row r="931" spans="1:43" ht="16" thickBot="1">
      <c r="A931" s="387" t="s">
        <v>1748</v>
      </c>
      <c r="B931" s="387" t="s">
        <v>4261</v>
      </c>
      <c r="C931" s="387" t="s">
        <v>6862</v>
      </c>
      <c r="D931" s="387" t="s">
        <v>6863</v>
      </c>
      <c r="E931" s="387">
        <v>2</v>
      </c>
      <c r="F931" s="387" t="s">
        <v>531</v>
      </c>
      <c r="G931" s="387">
        <v>2</v>
      </c>
      <c r="H931" s="387" t="s">
        <v>531</v>
      </c>
      <c r="I931" s="387" t="s">
        <v>1751</v>
      </c>
      <c r="J931" s="387" t="s">
        <v>6864</v>
      </c>
      <c r="K931" s="387" t="s">
        <v>6865</v>
      </c>
      <c r="L931" s="387" t="s">
        <v>2312</v>
      </c>
      <c r="M931" s="387" t="s">
        <v>2313</v>
      </c>
      <c r="N931" s="388">
        <v>2.95</v>
      </c>
      <c r="O931" s="388">
        <v>14</v>
      </c>
      <c r="P931" s="387" t="s">
        <v>538</v>
      </c>
      <c r="Q931" s="387" t="s">
        <v>539</v>
      </c>
      <c r="R931" s="387" t="s">
        <v>6866</v>
      </c>
      <c r="S931" s="387" t="s">
        <v>171</v>
      </c>
      <c r="T931" s="387" t="s">
        <v>757</v>
      </c>
      <c r="U931" s="388">
        <v>822410</v>
      </c>
      <c r="V931" s="387" t="s">
        <v>543</v>
      </c>
      <c r="W931" s="387" t="s">
        <v>543</v>
      </c>
      <c r="X931" s="387" t="s">
        <v>543</v>
      </c>
      <c r="Y931" s="387" t="s">
        <v>543</v>
      </c>
      <c r="Z931" s="387" t="s">
        <v>543</v>
      </c>
      <c r="AA931" s="388" t="s">
        <v>543</v>
      </c>
      <c r="AB931" s="388" t="s">
        <v>543</v>
      </c>
      <c r="AC931" s="387" t="s">
        <v>543</v>
      </c>
      <c r="AD931" s="389">
        <v>500</v>
      </c>
      <c r="AE931" s="390">
        <v>44317</v>
      </c>
      <c r="AF931" s="390">
        <v>45412</v>
      </c>
      <c r="AG931" s="391" t="s">
        <v>545</v>
      </c>
      <c r="AH931" s="391" t="s">
        <v>6867</v>
      </c>
      <c r="AI931" s="391" t="s">
        <v>2314</v>
      </c>
      <c r="AJ931" s="391">
        <v>0</v>
      </c>
      <c r="AK931" s="390">
        <v>44317</v>
      </c>
      <c r="AL931" s="389">
        <v>100</v>
      </c>
      <c r="AM931" s="391" t="s">
        <v>548</v>
      </c>
      <c r="AN931" s="391" t="s">
        <v>549</v>
      </c>
      <c r="AO931" s="391" t="s">
        <v>6868</v>
      </c>
    </row>
    <row r="932" spans="1:43" ht="16" thickBot="1">
      <c r="A932" s="387" t="s">
        <v>2601</v>
      </c>
      <c r="B932" s="387" t="s">
        <v>581</v>
      </c>
      <c r="C932" s="387" t="s">
        <v>6869</v>
      </c>
      <c r="D932" s="387" t="s">
        <v>6870</v>
      </c>
      <c r="E932" s="387">
        <v>1</v>
      </c>
      <c r="F932" s="387" t="s">
        <v>2405</v>
      </c>
      <c r="G932" s="387">
        <v>1</v>
      </c>
      <c r="H932" s="387" t="s">
        <v>2405</v>
      </c>
      <c r="I932" s="387" t="s">
        <v>1751</v>
      </c>
      <c r="J932" s="387" t="s">
        <v>6871</v>
      </c>
      <c r="K932" s="387" t="s">
        <v>6872</v>
      </c>
      <c r="L932" s="387" t="s">
        <v>3128</v>
      </c>
      <c r="M932" s="387" t="s">
        <v>3129</v>
      </c>
      <c r="N932" s="388">
        <v>5836.25</v>
      </c>
      <c r="O932" s="388">
        <v>14</v>
      </c>
      <c r="P932" s="387" t="s">
        <v>3824</v>
      </c>
      <c r="Q932" s="387" t="s">
        <v>160</v>
      </c>
      <c r="R932" s="387" t="s">
        <v>4646</v>
      </c>
      <c r="S932" s="387" t="s">
        <v>160</v>
      </c>
      <c r="T932" s="387" t="s">
        <v>757</v>
      </c>
      <c r="U932" s="388">
        <v>2040</v>
      </c>
      <c r="V932" s="387">
        <v>6006118001438</v>
      </c>
      <c r="W932" s="387">
        <v>6006118001438</v>
      </c>
      <c r="X932" s="387" t="s">
        <v>543</v>
      </c>
      <c r="Y932" s="387">
        <v>60061180014388</v>
      </c>
      <c r="Z932" s="387" t="s">
        <v>543</v>
      </c>
      <c r="AA932" s="388" t="s">
        <v>543</v>
      </c>
      <c r="AB932" s="388" t="s">
        <v>543</v>
      </c>
      <c r="AC932" s="387">
        <v>3002173001</v>
      </c>
      <c r="AD932" s="389">
        <v>1</v>
      </c>
      <c r="AE932" s="390">
        <v>44927</v>
      </c>
      <c r="AF932" s="390">
        <v>45657</v>
      </c>
      <c r="AG932" s="391" t="s">
        <v>545</v>
      </c>
      <c r="AH932" s="391" t="s">
        <v>4605</v>
      </c>
      <c r="AI932" s="391" t="s">
        <v>3131</v>
      </c>
      <c r="AJ932" s="391">
        <v>0</v>
      </c>
      <c r="AK932" s="390">
        <v>44927</v>
      </c>
      <c r="AL932" s="389">
        <v>100</v>
      </c>
      <c r="AM932" s="391" t="s">
        <v>548</v>
      </c>
      <c r="AN932" s="391" t="s">
        <v>549</v>
      </c>
      <c r="AO932" s="391" t="s">
        <v>6873</v>
      </c>
    </row>
    <row r="933" spans="1:43" ht="16" thickBot="1">
      <c r="A933" s="387" t="s">
        <v>2601</v>
      </c>
      <c r="B933" s="387" t="s">
        <v>637</v>
      </c>
      <c r="C933" s="387" t="s">
        <v>6874</v>
      </c>
      <c r="D933" s="387" t="s">
        <v>6875</v>
      </c>
      <c r="E933" s="387">
        <v>1</v>
      </c>
      <c r="F933" s="387" t="s">
        <v>2405</v>
      </c>
      <c r="G933" s="387">
        <v>1</v>
      </c>
      <c r="H933" s="387" t="s">
        <v>2405</v>
      </c>
      <c r="I933" s="387" t="s">
        <v>1751</v>
      </c>
      <c r="J933" s="387" t="s">
        <v>6871</v>
      </c>
      <c r="K933" s="387" t="s">
        <v>6876</v>
      </c>
      <c r="L933" s="387" t="s">
        <v>3128</v>
      </c>
      <c r="M933" s="387" t="s">
        <v>3129</v>
      </c>
      <c r="N933" s="388">
        <v>1459.06</v>
      </c>
      <c r="O933" s="388">
        <v>14</v>
      </c>
      <c r="P933" s="387" t="s">
        <v>3824</v>
      </c>
      <c r="Q933" s="387" t="s">
        <v>160</v>
      </c>
      <c r="R933" s="387" t="s">
        <v>4646</v>
      </c>
      <c r="S933" s="387" t="s">
        <v>160</v>
      </c>
      <c r="T933" s="387" t="s">
        <v>757</v>
      </c>
      <c r="U933" s="388">
        <v>333</v>
      </c>
      <c r="V933" s="387">
        <v>6006118001414</v>
      </c>
      <c r="W933" s="387">
        <v>6006118001414</v>
      </c>
      <c r="X933" s="387">
        <v>60061180014142</v>
      </c>
      <c r="Y933" s="387" t="s">
        <v>543</v>
      </c>
      <c r="Z933" s="387" t="s">
        <v>543</v>
      </c>
      <c r="AA933" s="388" t="s">
        <v>543</v>
      </c>
      <c r="AB933" s="388" t="s">
        <v>543</v>
      </c>
      <c r="AC933" s="387">
        <v>3002088001</v>
      </c>
      <c r="AD933" s="389">
        <v>1</v>
      </c>
      <c r="AE933" s="390">
        <v>44927</v>
      </c>
      <c r="AF933" s="390">
        <v>45657</v>
      </c>
      <c r="AG933" s="390">
        <v>45657</v>
      </c>
      <c r="AH933" s="391" t="s">
        <v>4599</v>
      </c>
      <c r="AI933" s="391" t="s">
        <v>3131</v>
      </c>
      <c r="AJ933" s="391">
        <v>0</v>
      </c>
      <c r="AK933" s="390">
        <v>44927</v>
      </c>
      <c r="AL933" s="389">
        <v>100</v>
      </c>
      <c r="AM933" s="391" t="s">
        <v>548</v>
      </c>
      <c r="AN933" s="391" t="s">
        <v>549</v>
      </c>
      <c r="AO933" s="391" t="s">
        <v>6877</v>
      </c>
    </row>
    <row r="934" spans="1:43" ht="16" thickBot="1">
      <c r="A934" s="387" t="s">
        <v>2601</v>
      </c>
      <c r="B934" s="387" t="s">
        <v>556</v>
      </c>
      <c r="C934" s="387" t="s">
        <v>6878</v>
      </c>
      <c r="D934" s="387" t="s">
        <v>6879</v>
      </c>
      <c r="E934" s="387">
        <v>1</v>
      </c>
      <c r="F934" s="387" t="s">
        <v>2405</v>
      </c>
      <c r="G934" s="387">
        <v>1</v>
      </c>
      <c r="H934" s="387" t="s">
        <v>2405</v>
      </c>
      <c r="I934" s="387" t="s">
        <v>1751</v>
      </c>
      <c r="J934" s="387" t="s">
        <v>6871</v>
      </c>
      <c r="K934" s="387" t="s">
        <v>6880</v>
      </c>
      <c r="L934" s="387" t="s">
        <v>3128</v>
      </c>
      <c r="M934" s="387" t="s">
        <v>3129</v>
      </c>
      <c r="N934" s="388">
        <v>2918.13</v>
      </c>
      <c r="O934" s="388">
        <v>14</v>
      </c>
      <c r="P934" s="387" t="s">
        <v>3824</v>
      </c>
      <c r="Q934" s="387" t="s">
        <v>160</v>
      </c>
      <c r="R934" s="387" t="s">
        <v>4646</v>
      </c>
      <c r="S934" s="387" t="s">
        <v>160</v>
      </c>
      <c r="T934" s="387" t="s">
        <v>757</v>
      </c>
      <c r="U934" s="388">
        <v>3511</v>
      </c>
      <c r="V934" s="387">
        <v>6006118001421</v>
      </c>
      <c r="W934" s="387">
        <v>6006118001421</v>
      </c>
      <c r="X934" s="387" t="s">
        <v>543</v>
      </c>
      <c r="Y934" s="387">
        <v>60061180014210</v>
      </c>
      <c r="Z934" s="387" t="s">
        <v>543</v>
      </c>
      <c r="AA934" s="388" t="s">
        <v>543</v>
      </c>
      <c r="AB934" s="388" t="s">
        <v>543</v>
      </c>
      <c r="AC934" s="387">
        <v>3002103001</v>
      </c>
      <c r="AD934" s="389">
        <v>1</v>
      </c>
      <c r="AE934" s="390">
        <v>44927</v>
      </c>
      <c r="AF934" s="390">
        <v>45657</v>
      </c>
      <c r="AG934" s="391" t="s">
        <v>545</v>
      </c>
      <c r="AH934" s="391" t="s">
        <v>6881</v>
      </c>
      <c r="AI934" s="391" t="s">
        <v>3131</v>
      </c>
      <c r="AJ934" s="391">
        <v>0</v>
      </c>
      <c r="AK934" s="390">
        <v>44927</v>
      </c>
      <c r="AL934" s="389">
        <v>100</v>
      </c>
      <c r="AM934" s="391" t="s">
        <v>548</v>
      </c>
      <c r="AN934" s="391" t="s">
        <v>549</v>
      </c>
      <c r="AO934" s="391" t="s">
        <v>6882</v>
      </c>
    </row>
    <row r="935" spans="1:43" ht="16" thickBot="1">
      <c r="A935" s="387" t="s">
        <v>1748</v>
      </c>
      <c r="B935" s="387" t="s">
        <v>4269</v>
      </c>
      <c r="C935" s="387" t="s">
        <v>6883</v>
      </c>
      <c r="D935" s="387" t="s">
        <v>6884</v>
      </c>
      <c r="E935" s="387">
        <v>1</v>
      </c>
      <c r="F935" s="387" t="s">
        <v>1780</v>
      </c>
      <c r="G935" s="387">
        <v>1</v>
      </c>
      <c r="H935" s="387" t="s">
        <v>1780</v>
      </c>
      <c r="I935" s="387" t="s">
        <v>1751</v>
      </c>
      <c r="J935" s="387" t="s">
        <v>6885</v>
      </c>
      <c r="K935" s="387" t="s">
        <v>6886</v>
      </c>
      <c r="L935" s="387" t="s">
        <v>535</v>
      </c>
      <c r="M935" s="387" t="s">
        <v>536</v>
      </c>
      <c r="N935" s="388">
        <v>174.8</v>
      </c>
      <c r="O935" s="388">
        <v>14</v>
      </c>
      <c r="P935" s="387" t="s">
        <v>611</v>
      </c>
      <c r="Q935" s="387" t="s">
        <v>612</v>
      </c>
      <c r="R935" s="387" t="s">
        <v>6887</v>
      </c>
      <c r="S935" s="387" t="s">
        <v>614</v>
      </c>
      <c r="T935" s="387" t="s">
        <v>160</v>
      </c>
      <c r="U935" s="388">
        <v>47070</v>
      </c>
      <c r="V935" s="387" t="s">
        <v>543</v>
      </c>
      <c r="W935" s="387" t="s">
        <v>543</v>
      </c>
      <c r="X935" s="387" t="s">
        <v>543</v>
      </c>
      <c r="Y935" s="387" t="s">
        <v>543</v>
      </c>
      <c r="Z935" s="387" t="s">
        <v>543</v>
      </c>
      <c r="AA935" s="388" t="s">
        <v>543</v>
      </c>
      <c r="AB935" s="388" t="s">
        <v>543</v>
      </c>
      <c r="AC935" s="387">
        <v>853097003</v>
      </c>
      <c r="AD935" s="389">
        <v>5</v>
      </c>
      <c r="AE935" s="390">
        <v>44317</v>
      </c>
      <c r="AF935" s="390">
        <v>45412</v>
      </c>
      <c r="AG935" s="391" t="s">
        <v>545</v>
      </c>
      <c r="AH935" s="391" t="s">
        <v>6888</v>
      </c>
      <c r="AI935" s="391" t="s">
        <v>547</v>
      </c>
      <c r="AJ935" s="391">
        <v>0</v>
      </c>
      <c r="AK935" s="390">
        <v>44317</v>
      </c>
      <c r="AL935" s="389">
        <v>100</v>
      </c>
      <c r="AM935" s="391" t="s">
        <v>548</v>
      </c>
      <c r="AN935" s="391" t="s">
        <v>549</v>
      </c>
      <c r="AO935" s="391" t="s">
        <v>6889</v>
      </c>
    </row>
    <row r="936" spans="1:43" ht="16" thickBot="1">
      <c r="A936" s="387" t="s">
        <v>1703</v>
      </c>
      <c r="B936" s="387" t="s">
        <v>993</v>
      </c>
      <c r="C936" s="387" t="s">
        <v>6890</v>
      </c>
      <c r="D936" s="387" t="s">
        <v>6891</v>
      </c>
      <c r="E936" s="387">
        <v>56</v>
      </c>
      <c r="F936" s="387" t="s">
        <v>559</v>
      </c>
      <c r="G936" s="387">
        <v>56</v>
      </c>
      <c r="H936" s="387" t="s">
        <v>559</v>
      </c>
      <c r="I936" s="387" t="s">
        <v>560</v>
      </c>
      <c r="J936" s="387" t="s">
        <v>6892</v>
      </c>
      <c r="K936" s="387" t="s">
        <v>6893</v>
      </c>
      <c r="L936" s="387" t="s">
        <v>1819</v>
      </c>
      <c r="M936" s="387" t="s">
        <v>1820</v>
      </c>
      <c r="N936" s="388">
        <v>55.65</v>
      </c>
      <c r="O936" s="388">
        <v>14</v>
      </c>
      <c r="P936" s="387" t="s">
        <v>538</v>
      </c>
      <c r="Q936" s="387" t="s">
        <v>539</v>
      </c>
      <c r="R936" s="387" t="s">
        <v>6894</v>
      </c>
      <c r="S936" s="387" t="s">
        <v>541</v>
      </c>
      <c r="T936" s="387" t="s">
        <v>542</v>
      </c>
      <c r="U936" s="388">
        <v>392399</v>
      </c>
      <c r="V936" s="387">
        <v>6005317012658</v>
      </c>
      <c r="W936" s="387" t="s">
        <v>543</v>
      </c>
      <c r="X936" s="387" t="s">
        <v>543</v>
      </c>
      <c r="Y936" s="387">
        <v>26005317012652</v>
      </c>
      <c r="Z936" s="387" t="s">
        <v>543</v>
      </c>
      <c r="AA936" s="388" t="s">
        <v>543</v>
      </c>
      <c r="AB936" s="388" t="s">
        <v>543</v>
      </c>
      <c r="AC936" s="387">
        <v>710140001</v>
      </c>
      <c r="AD936" s="389">
        <v>48</v>
      </c>
      <c r="AE936" s="390">
        <v>44470</v>
      </c>
      <c r="AF936" s="390">
        <v>45199</v>
      </c>
      <c r="AG936" s="391" t="s">
        <v>545</v>
      </c>
      <c r="AH936" s="391" t="s">
        <v>6895</v>
      </c>
      <c r="AI936" s="391" t="s">
        <v>1823</v>
      </c>
      <c r="AJ936" s="391">
        <v>0</v>
      </c>
      <c r="AK936" s="390">
        <v>44470</v>
      </c>
      <c r="AL936" s="389">
        <v>70</v>
      </c>
      <c r="AM936" s="391" t="s">
        <v>548</v>
      </c>
      <c r="AN936" s="391" t="s">
        <v>549</v>
      </c>
      <c r="AO936" s="391" t="s">
        <v>6896</v>
      </c>
    </row>
    <row r="937" spans="1:43" ht="16" thickBot="1">
      <c r="A937" s="387" t="s">
        <v>1703</v>
      </c>
      <c r="B937" s="387" t="s">
        <v>993</v>
      </c>
      <c r="C937" s="387" t="s">
        <v>6890</v>
      </c>
      <c r="D937" s="387" t="s">
        <v>6891</v>
      </c>
      <c r="E937" s="387">
        <v>56</v>
      </c>
      <c r="F937" s="387" t="s">
        <v>559</v>
      </c>
      <c r="G937" s="387">
        <v>56</v>
      </c>
      <c r="H937" s="387" t="s">
        <v>559</v>
      </c>
      <c r="I937" s="387" t="s">
        <v>560</v>
      </c>
      <c r="J937" s="387" t="s">
        <v>6892</v>
      </c>
      <c r="K937" s="387" t="s">
        <v>6897</v>
      </c>
      <c r="L937" s="387" t="s">
        <v>2200</v>
      </c>
      <c r="M937" s="387" t="s">
        <v>2201</v>
      </c>
      <c r="N937" s="388">
        <v>50.85</v>
      </c>
      <c r="O937" s="388">
        <v>14</v>
      </c>
      <c r="P937" s="387" t="s">
        <v>538</v>
      </c>
      <c r="Q937" s="387" t="s">
        <v>539</v>
      </c>
      <c r="R937" s="387" t="s">
        <v>6894</v>
      </c>
      <c r="S937" s="387" t="s">
        <v>541</v>
      </c>
      <c r="T937" s="387" t="s">
        <v>542</v>
      </c>
      <c r="U937" s="388">
        <v>168171</v>
      </c>
      <c r="V937" s="387">
        <v>18901463119881</v>
      </c>
      <c r="W937" s="387">
        <v>18901463119881</v>
      </c>
      <c r="X937" s="387" t="s">
        <v>543</v>
      </c>
      <c r="Y937" s="387" t="s">
        <v>543</v>
      </c>
      <c r="Z937" s="387" t="s">
        <v>543</v>
      </c>
      <c r="AA937" s="388" t="s">
        <v>543</v>
      </c>
      <c r="AB937" s="388" t="s">
        <v>543</v>
      </c>
      <c r="AC937" s="387">
        <v>723140001</v>
      </c>
      <c r="AD937" s="389">
        <v>216</v>
      </c>
      <c r="AE937" s="390">
        <v>44470</v>
      </c>
      <c r="AF937" s="390">
        <v>45199</v>
      </c>
      <c r="AG937" s="390">
        <v>45199</v>
      </c>
      <c r="AH937" s="391" t="s">
        <v>6895</v>
      </c>
      <c r="AI937" s="391" t="s">
        <v>2203</v>
      </c>
      <c r="AJ937" s="391">
        <v>4</v>
      </c>
      <c r="AK937" s="390">
        <v>45047</v>
      </c>
      <c r="AL937" s="389">
        <v>30</v>
      </c>
      <c r="AM937" s="391" t="s">
        <v>548</v>
      </c>
      <c r="AN937" s="391" t="s">
        <v>549</v>
      </c>
      <c r="AO937" s="391" t="s">
        <v>6896</v>
      </c>
    </row>
    <row r="938" spans="1:43" ht="16" thickBot="1">
      <c r="A938" s="387" t="s">
        <v>1703</v>
      </c>
      <c r="B938" s="387" t="s">
        <v>603</v>
      </c>
      <c r="C938" s="387" t="s">
        <v>6898</v>
      </c>
      <c r="D938" s="387" t="s">
        <v>6899</v>
      </c>
      <c r="E938" s="387">
        <v>84</v>
      </c>
      <c r="F938" s="387" t="s">
        <v>559</v>
      </c>
      <c r="G938" s="387">
        <v>84</v>
      </c>
      <c r="H938" s="387" t="s">
        <v>559</v>
      </c>
      <c r="I938" s="387" t="s">
        <v>560</v>
      </c>
      <c r="J938" s="387" t="s">
        <v>6892</v>
      </c>
      <c r="K938" s="387" t="s">
        <v>6900</v>
      </c>
      <c r="L938" s="387" t="s">
        <v>1819</v>
      </c>
      <c r="M938" s="387" t="s">
        <v>1820</v>
      </c>
      <c r="N938" s="388">
        <v>71.680000000000007</v>
      </c>
      <c r="O938" s="388">
        <v>14</v>
      </c>
      <c r="P938" s="387" t="s">
        <v>538</v>
      </c>
      <c r="Q938" s="387" t="s">
        <v>539</v>
      </c>
      <c r="R938" s="387" t="s">
        <v>6894</v>
      </c>
      <c r="S938" s="387" t="s">
        <v>541</v>
      </c>
      <c r="T938" s="387" t="s">
        <v>542</v>
      </c>
      <c r="U938" s="388">
        <v>282919</v>
      </c>
      <c r="V938" s="387">
        <v>6005317012702</v>
      </c>
      <c r="W938" s="387" t="s">
        <v>543</v>
      </c>
      <c r="X938" s="387" t="s">
        <v>543</v>
      </c>
      <c r="Y938" s="387">
        <v>26005317012706</v>
      </c>
      <c r="Z938" s="387" t="s">
        <v>543</v>
      </c>
      <c r="AA938" s="388" t="s">
        <v>543</v>
      </c>
      <c r="AB938" s="388" t="s">
        <v>543</v>
      </c>
      <c r="AC938" s="387">
        <v>710140002</v>
      </c>
      <c r="AD938" s="389">
        <v>32</v>
      </c>
      <c r="AE938" s="390">
        <v>44470</v>
      </c>
      <c r="AF938" s="390">
        <v>45199</v>
      </c>
      <c r="AG938" s="391" t="s">
        <v>545</v>
      </c>
      <c r="AH938" s="391" t="s">
        <v>6901</v>
      </c>
      <c r="AI938" s="391" t="s">
        <v>1823</v>
      </c>
      <c r="AJ938" s="391">
        <v>0</v>
      </c>
      <c r="AK938" s="390">
        <v>44470</v>
      </c>
      <c r="AL938" s="389">
        <v>70</v>
      </c>
      <c r="AM938" s="391" t="s">
        <v>548</v>
      </c>
      <c r="AN938" s="391" t="s">
        <v>549</v>
      </c>
      <c r="AO938" s="391" t="s">
        <v>6896</v>
      </c>
    </row>
    <row r="939" spans="1:43" ht="16" thickBot="1">
      <c r="A939" s="387" t="s">
        <v>1703</v>
      </c>
      <c r="B939" s="387" t="s">
        <v>603</v>
      </c>
      <c r="C939" s="387" t="s">
        <v>6898</v>
      </c>
      <c r="D939" s="387" t="s">
        <v>6899</v>
      </c>
      <c r="E939" s="387">
        <v>84</v>
      </c>
      <c r="F939" s="387" t="s">
        <v>559</v>
      </c>
      <c r="G939" s="387">
        <v>84</v>
      </c>
      <c r="H939" s="387" t="s">
        <v>559</v>
      </c>
      <c r="I939" s="387" t="s">
        <v>560</v>
      </c>
      <c r="J939" s="387" t="s">
        <v>6892</v>
      </c>
      <c r="K939" s="387" t="s">
        <v>6897</v>
      </c>
      <c r="L939" s="387" t="s">
        <v>2200</v>
      </c>
      <c r="M939" s="387" t="s">
        <v>2201</v>
      </c>
      <c r="N939" s="388">
        <v>76.290000000000006</v>
      </c>
      <c r="O939" s="388">
        <v>14</v>
      </c>
      <c r="P939" s="387" t="s">
        <v>538</v>
      </c>
      <c r="Q939" s="387" t="s">
        <v>539</v>
      </c>
      <c r="R939" s="387" t="s">
        <v>6894</v>
      </c>
      <c r="S939" s="387" t="s">
        <v>541</v>
      </c>
      <c r="T939" s="387" t="s">
        <v>542</v>
      </c>
      <c r="U939" s="388">
        <v>121251</v>
      </c>
      <c r="V939" s="387" t="s">
        <v>543</v>
      </c>
      <c r="W939" s="387" t="s">
        <v>543</v>
      </c>
      <c r="X939" s="387" t="s">
        <v>543</v>
      </c>
      <c r="Y939" s="387" t="s">
        <v>543</v>
      </c>
      <c r="Z939" s="387" t="s">
        <v>543</v>
      </c>
      <c r="AA939" s="388" t="s">
        <v>543</v>
      </c>
      <c r="AB939" s="388" t="s">
        <v>543</v>
      </c>
      <c r="AC939" s="387" t="s">
        <v>543</v>
      </c>
      <c r="AD939" s="389">
        <v>168</v>
      </c>
      <c r="AE939" s="390">
        <v>44470</v>
      </c>
      <c r="AF939" s="390">
        <v>45199</v>
      </c>
      <c r="AG939" s="390">
        <v>45199</v>
      </c>
      <c r="AH939" s="391" t="s">
        <v>6901</v>
      </c>
      <c r="AI939" s="391" t="s">
        <v>2203</v>
      </c>
      <c r="AJ939" s="391">
        <v>4</v>
      </c>
      <c r="AK939" s="390">
        <v>45047</v>
      </c>
      <c r="AL939" s="389">
        <v>30</v>
      </c>
      <c r="AM939" s="391" t="s">
        <v>548</v>
      </c>
      <c r="AN939" s="391" t="s">
        <v>549</v>
      </c>
      <c r="AO939" s="391" t="s">
        <v>6896</v>
      </c>
    </row>
    <row r="940" spans="1:43" ht="16" thickBot="1">
      <c r="A940" s="387" t="s">
        <v>1703</v>
      </c>
      <c r="B940" s="387" t="s">
        <v>985</v>
      </c>
      <c r="C940" s="387" t="s">
        <v>6902</v>
      </c>
      <c r="D940" s="387" t="s">
        <v>6903</v>
      </c>
      <c r="E940" s="387">
        <v>56</v>
      </c>
      <c r="F940" s="387" t="s">
        <v>559</v>
      </c>
      <c r="G940" s="387">
        <v>56</v>
      </c>
      <c r="H940" s="387" t="s">
        <v>559</v>
      </c>
      <c r="I940" s="387" t="s">
        <v>560</v>
      </c>
      <c r="J940" s="387" t="s">
        <v>6892</v>
      </c>
      <c r="K940" s="387" t="s">
        <v>6904</v>
      </c>
      <c r="L940" s="387" t="s">
        <v>1819</v>
      </c>
      <c r="M940" s="387" t="s">
        <v>1820</v>
      </c>
      <c r="N940" s="388">
        <v>94.63</v>
      </c>
      <c r="O940" s="388">
        <v>14</v>
      </c>
      <c r="P940" s="387" t="s">
        <v>538</v>
      </c>
      <c r="Q940" s="387" t="s">
        <v>539</v>
      </c>
      <c r="R940" s="387" t="s">
        <v>6894</v>
      </c>
      <c r="S940" s="387" t="s">
        <v>541</v>
      </c>
      <c r="T940" s="387" t="s">
        <v>542</v>
      </c>
      <c r="U940" s="388">
        <v>685965</v>
      </c>
      <c r="V940" s="387">
        <v>6005317012207</v>
      </c>
      <c r="W940" s="387" t="s">
        <v>543</v>
      </c>
      <c r="X940" s="387" t="s">
        <v>543</v>
      </c>
      <c r="Y940" s="387">
        <v>26005317012201</v>
      </c>
      <c r="Z940" s="387" t="s">
        <v>543</v>
      </c>
      <c r="AA940" s="388" t="s">
        <v>543</v>
      </c>
      <c r="AB940" s="388" t="s">
        <v>543</v>
      </c>
      <c r="AC940" s="387">
        <v>710147001</v>
      </c>
      <c r="AD940" s="389">
        <v>48</v>
      </c>
      <c r="AE940" s="390">
        <v>44470</v>
      </c>
      <c r="AF940" s="390">
        <v>45199</v>
      </c>
      <c r="AG940" s="391" t="s">
        <v>545</v>
      </c>
      <c r="AH940" s="391" t="s">
        <v>6905</v>
      </c>
      <c r="AI940" s="391" t="s">
        <v>1823</v>
      </c>
      <c r="AJ940" s="391">
        <v>0</v>
      </c>
      <c r="AK940" s="390">
        <v>44470</v>
      </c>
      <c r="AL940" s="389">
        <v>70</v>
      </c>
      <c r="AM940" s="391" t="s">
        <v>548</v>
      </c>
      <c r="AN940" s="391" t="s">
        <v>549</v>
      </c>
      <c r="AO940" s="391" t="s">
        <v>6906</v>
      </c>
      <c r="AP940" s="372">
        <f>N940/E940</f>
        <v>1.6898214285714286</v>
      </c>
      <c r="AQ940" s="372">
        <f>SUMPRODUCT(AP940:AP941,U940:U941)/SUM(U940:U941)</f>
        <v>1.6595</v>
      </c>
    </row>
    <row r="941" spans="1:43" ht="16" thickBot="1">
      <c r="A941" s="387" t="s">
        <v>1703</v>
      </c>
      <c r="B941" s="387" t="s">
        <v>985</v>
      </c>
      <c r="C941" s="387" t="s">
        <v>6902</v>
      </c>
      <c r="D941" s="387" t="s">
        <v>6903</v>
      </c>
      <c r="E941" s="387">
        <v>56</v>
      </c>
      <c r="F941" s="387" t="s">
        <v>559</v>
      </c>
      <c r="G941" s="387">
        <v>56</v>
      </c>
      <c r="H941" s="387" t="s">
        <v>559</v>
      </c>
      <c r="I941" s="387" t="s">
        <v>560</v>
      </c>
      <c r="J941" s="387" t="s">
        <v>6892</v>
      </c>
      <c r="K941" s="387" t="s">
        <v>6907</v>
      </c>
      <c r="L941" s="387" t="s">
        <v>2200</v>
      </c>
      <c r="M941" s="387" t="s">
        <v>2201</v>
      </c>
      <c r="N941" s="388">
        <v>88.97</v>
      </c>
      <c r="O941" s="388">
        <v>14</v>
      </c>
      <c r="P941" s="387" t="s">
        <v>538</v>
      </c>
      <c r="Q941" s="387" t="s">
        <v>539</v>
      </c>
      <c r="R941" s="387" t="s">
        <v>6894</v>
      </c>
      <c r="S941" s="387" t="s">
        <v>541</v>
      </c>
      <c r="T941" s="387" t="s">
        <v>542</v>
      </c>
      <c r="U941" s="388">
        <v>293985</v>
      </c>
      <c r="V941" s="387">
        <v>8901463123300</v>
      </c>
      <c r="W941" s="387">
        <v>8901463123300</v>
      </c>
      <c r="X941" s="387" t="s">
        <v>543</v>
      </c>
      <c r="Y941" s="387">
        <v>58901463123305</v>
      </c>
      <c r="Z941" s="387" t="s">
        <v>543</v>
      </c>
      <c r="AA941" s="388" t="s">
        <v>543</v>
      </c>
      <c r="AB941" s="388" t="s">
        <v>543</v>
      </c>
      <c r="AC941" s="387">
        <v>723141001</v>
      </c>
      <c r="AD941" s="389">
        <v>112</v>
      </c>
      <c r="AE941" s="390">
        <v>44470</v>
      </c>
      <c r="AF941" s="390">
        <v>45199</v>
      </c>
      <c r="AG941" s="390">
        <v>45199</v>
      </c>
      <c r="AH941" s="391" t="s">
        <v>6905</v>
      </c>
      <c r="AI941" s="391" t="s">
        <v>2203</v>
      </c>
      <c r="AJ941" s="391">
        <v>3</v>
      </c>
      <c r="AK941" s="390">
        <v>45047</v>
      </c>
      <c r="AL941" s="389">
        <v>30</v>
      </c>
      <c r="AM941" s="391" t="s">
        <v>548</v>
      </c>
      <c r="AN941" s="391" t="s">
        <v>549</v>
      </c>
      <c r="AO941" s="391" t="s">
        <v>6906</v>
      </c>
      <c r="AP941" s="372">
        <f t="shared" ref="AP941" si="26">N941/E941</f>
        <v>1.5887499999999999</v>
      </c>
    </row>
    <row r="942" spans="1:43" ht="16" thickBot="1">
      <c r="A942" s="387" t="s">
        <v>1703</v>
      </c>
      <c r="B942" s="387" t="s">
        <v>994</v>
      </c>
      <c r="C942" s="387" t="s">
        <v>6908</v>
      </c>
      <c r="D942" s="387" t="s">
        <v>6909</v>
      </c>
      <c r="E942" s="387">
        <v>28</v>
      </c>
      <c r="F942" s="387" t="s">
        <v>559</v>
      </c>
      <c r="G942" s="387">
        <v>28</v>
      </c>
      <c r="H942" s="387" t="s">
        <v>559</v>
      </c>
      <c r="I942" s="387" t="s">
        <v>560</v>
      </c>
      <c r="J942" s="387" t="s">
        <v>6892</v>
      </c>
      <c r="K942" s="387" t="s">
        <v>6910</v>
      </c>
      <c r="L942" s="387" t="s">
        <v>1761</v>
      </c>
      <c r="M942" s="387" t="s">
        <v>1762</v>
      </c>
      <c r="N942" s="388">
        <v>30.76</v>
      </c>
      <c r="O942" s="388">
        <v>14</v>
      </c>
      <c r="P942" s="387" t="s">
        <v>538</v>
      </c>
      <c r="Q942" s="387" t="s">
        <v>539</v>
      </c>
      <c r="R942" s="387" t="s">
        <v>6894</v>
      </c>
      <c r="S942" s="387" t="s">
        <v>541</v>
      </c>
      <c r="T942" s="387" t="s">
        <v>542</v>
      </c>
      <c r="U942" s="388">
        <v>189332</v>
      </c>
      <c r="V942" s="387">
        <v>6006498012697</v>
      </c>
      <c r="W942" s="387" t="s">
        <v>543</v>
      </c>
      <c r="X942" s="387" t="s">
        <v>543</v>
      </c>
      <c r="Y942" s="387" t="s">
        <v>543</v>
      </c>
      <c r="Z942" s="387" t="s">
        <v>543</v>
      </c>
      <c r="AA942" s="388" t="s">
        <v>543</v>
      </c>
      <c r="AB942" s="388" t="s">
        <v>543</v>
      </c>
      <c r="AC942" s="387" t="s">
        <v>543</v>
      </c>
      <c r="AD942" s="389">
        <v>50</v>
      </c>
      <c r="AE942" s="390">
        <v>44470</v>
      </c>
      <c r="AF942" s="390">
        <v>45199</v>
      </c>
      <c r="AG942" s="391" t="s">
        <v>545</v>
      </c>
      <c r="AH942" s="391" t="s">
        <v>6911</v>
      </c>
      <c r="AI942" s="391" t="s">
        <v>1764</v>
      </c>
      <c r="AJ942" s="391">
        <v>0</v>
      </c>
      <c r="AK942" s="390">
        <v>44470</v>
      </c>
      <c r="AL942" s="389">
        <v>100</v>
      </c>
      <c r="AM942" s="391" t="s">
        <v>548</v>
      </c>
      <c r="AN942" s="391" t="s">
        <v>549</v>
      </c>
      <c r="AO942" s="391" t="s">
        <v>6912</v>
      </c>
    </row>
    <row r="943" spans="1:43" ht="16" thickBot="1">
      <c r="A943" s="387" t="s">
        <v>1703</v>
      </c>
      <c r="B943" s="387" t="s">
        <v>1004</v>
      </c>
      <c r="C943" s="387" t="s">
        <v>6913</v>
      </c>
      <c r="D943" s="387" t="s">
        <v>6914</v>
      </c>
      <c r="E943" s="387">
        <v>56</v>
      </c>
      <c r="F943" s="387" t="s">
        <v>559</v>
      </c>
      <c r="G943" s="387">
        <v>56</v>
      </c>
      <c r="H943" s="387" t="s">
        <v>559</v>
      </c>
      <c r="I943" s="387" t="s">
        <v>560</v>
      </c>
      <c r="J943" s="387" t="s">
        <v>6892</v>
      </c>
      <c r="K943" s="387" t="s">
        <v>6915</v>
      </c>
      <c r="L943" s="387" t="s">
        <v>1761</v>
      </c>
      <c r="M943" s="387" t="s">
        <v>1762</v>
      </c>
      <c r="N943" s="388">
        <v>59.2</v>
      </c>
      <c r="O943" s="388">
        <v>14</v>
      </c>
      <c r="P943" s="387" t="s">
        <v>538</v>
      </c>
      <c r="Q943" s="387" t="s">
        <v>539</v>
      </c>
      <c r="R943" s="387" t="s">
        <v>6894</v>
      </c>
      <c r="S943" s="387" t="s">
        <v>541</v>
      </c>
      <c r="T943" s="387" t="s">
        <v>542</v>
      </c>
      <c r="U943" s="388">
        <v>194134</v>
      </c>
      <c r="V943" s="387">
        <v>6006498012703</v>
      </c>
      <c r="W943" s="387" t="s">
        <v>543</v>
      </c>
      <c r="X943" s="387" t="s">
        <v>543</v>
      </c>
      <c r="Y943" s="387" t="s">
        <v>543</v>
      </c>
      <c r="Z943" s="387" t="s">
        <v>543</v>
      </c>
      <c r="AA943" s="388" t="s">
        <v>543</v>
      </c>
      <c r="AB943" s="388" t="s">
        <v>543</v>
      </c>
      <c r="AC943" s="387" t="s">
        <v>543</v>
      </c>
      <c r="AD943" s="389">
        <v>50</v>
      </c>
      <c r="AE943" s="390">
        <v>44470</v>
      </c>
      <c r="AF943" s="390">
        <v>45199</v>
      </c>
      <c r="AG943" s="391" t="s">
        <v>545</v>
      </c>
      <c r="AH943" s="391" t="s">
        <v>6916</v>
      </c>
      <c r="AI943" s="391" t="s">
        <v>1764</v>
      </c>
      <c r="AJ943" s="391">
        <v>0</v>
      </c>
      <c r="AK943" s="390">
        <v>44470</v>
      </c>
      <c r="AL943" s="389">
        <v>100</v>
      </c>
      <c r="AM943" s="391" t="s">
        <v>548</v>
      </c>
      <c r="AN943" s="391" t="s">
        <v>549</v>
      </c>
      <c r="AO943" s="391" t="s">
        <v>6912</v>
      </c>
    </row>
    <row r="944" spans="1:43" ht="16" thickBot="1">
      <c r="A944" s="387" t="s">
        <v>1703</v>
      </c>
      <c r="B944" s="387" t="s">
        <v>573</v>
      </c>
      <c r="C944" s="387" t="s">
        <v>6917</v>
      </c>
      <c r="D944" s="387" t="s">
        <v>6918</v>
      </c>
      <c r="E944" s="387">
        <v>84</v>
      </c>
      <c r="F944" s="387" t="s">
        <v>559</v>
      </c>
      <c r="G944" s="387">
        <v>84</v>
      </c>
      <c r="H944" s="387" t="s">
        <v>559</v>
      </c>
      <c r="I944" s="387" t="s">
        <v>560</v>
      </c>
      <c r="J944" s="387" t="s">
        <v>6892</v>
      </c>
      <c r="K944" s="387" t="s">
        <v>6919</v>
      </c>
      <c r="L944" s="387" t="s">
        <v>2200</v>
      </c>
      <c r="M944" s="387" t="s">
        <v>2201</v>
      </c>
      <c r="N944" s="388">
        <v>110.14</v>
      </c>
      <c r="O944" s="388">
        <v>14</v>
      </c>
      <c r="P944" s="387" t="s">
        <v>538</v>
      </c>
      <c r="Q944" s="387" t="s">
        <v>539</v>
      </c>
      <c r="R944" s="387" t="s">
        <v>6894</v>
      </c>
      <c r="S944" s="387" t="s">
        <v>541</v>
      </c>
      <c r="T944" s="387" t="s">
        <v>542</v>
      </c>
      <c r="U944" s="388">
        <v>177239</v>
      </c>
      <c r="V944" s="387">
        <v>8901463127124</v>
      </c>
      <c r="W944" s="387">
        <v>8901463127124</v>
      </c>
      <c r="X944" s="387" t="s">
        <v>543</v>
      </c>
      <c r="Y944" s="387">
        <v>58901463127129</v>
      </c>
      <c r="Z944" s="387" t="s">
        <v>543</v>
      </c>
      <c r="AA944" s="388" t="s">
        <v>543</v>
      </c>
      <c r="AB944" s="388" t="s">
        <v>543</v>
      </c>
      <c r="AC944" s="387" t="s">
        <v>543</v>
      </c>
      <c r="AD944" s="389">
        <v>96</v>
      </c>
      <c r="AE944" s="390">
        <v>44470</v>
      </c>
      <c r="AF944" s="390">
        <v>45199</v>
      </c>
      <c r="AG944" s="390">
        <v>45199</v>
      </c>
      <c r="AH944" s="391" t="s">
        <v>6920</v>
      </c>
      <c r="AI944" s="391" t="s">
        <v>2203</v>
      </c>
      <c r="AJ944" s="391">
        <v>3</v>
      </c>
      <c r="AK944" s="390">
        <v>45047</v>
      </c>
      <c r="AL944" s="389">
        <v>100</v>
      </c>
      <c r="AM944" s="391" t="s">
        <v>548</v>
      </c>
      <c r="AN944" s="391" t="s">
        <v>549</v>
      </c>
      <c r="AO944" s="391" t="s">
        <v>6921</v>
      </c>
    </row>
    <row r="945" spans="1:43" ht="16" thickBot="1">
      <c r="A945" s="387" t="s">
        <v>1703</v>
      </c>
      <c r="B945" s="387" t="s">
        <v>2054</v>
      </c>
      <c r="C945" s="387" t="s">
        <v>6922</v>
      </c>
      <c r="D945" s="387" t="s">
        <v>6923</v>
      </c>
      <c r="E945" s="387">
        <v>112</v>
      </c>
      <c r="F945" s="387" t="s">
        <v>559</v>
      </c>
      <c r="G945" s="387">
        <v>112</v>
      </c>
      <c r="H945" s="387" t="s">
        <v>559</v>
      </c>
      <c r="I945" s="387" t="s">
        <v>560</v>
      </c>
      <c r="J945" s="387" t="s">
        <v>6924</v>
      </c>
      <c r="K945" s="387" t="s">
        <v>6925</v>
      </c>
      <c r="L945" s="387" t="s">
        <v>6926</v>
      </c>
      <c r="M945" s="387" t="s">
        <v>6927</v>
      </c>
      <c r="N945" s="388">
        <v>251.34</v>
      </c>
      <c r="O945" s="388">
        <v>14</v>
      </c>
      <c r="P945" s="387" t="s">
        <v>538</v>
      </c>
      <c r="Q945" s="387" t="s">
        <v>539</v>
      </c>
      <c r="R945" s="387" t="s">
        <v>6928</v>
      </c>
      <c r="S945" s="387" t="s">
        <v>541</v>
      </c>
      <c r="T945" s="387" t="s">
        <v>542</v>
      </c>
      <c r="U945" s="388">
        <v>163595</v>
      </c>
      <c r="V945" s="387">
        <v>6009657982909</v>
      </c>
      <c r="W945" s="387" t="s">
        <v>543</v>
      </c>
      <c r="X945" s="387" t="s">
        <v>543</v>
      </c>
      <c r="Y945" s="387" t="s">
        <v>543</v>
      </c>
      <c r="Z945" s="387" t="s">
        <v>543</v>
      </c>
      <c r="AA945" s="388" t="s">
        <v>543</v>
      </c>
      <c r="AB945" s="388" t="s">
        <v>543</v>
      </c>
      <c r="AC945" s="387" t="s">
        <v>543</v>
      </c>
      <c r="AD945" s="389">
        <v>6</v>
      </c>
      <c r="AE945" s="390">
        <v>44470</v>
      </c>
      <c r="AF945" s="390">
        <v>45199</v>
      </c>
      <c r="AG945" s="391" t="s">
        <v>545</v>
      </c>
      <c r="AH945" s="391" t="s">
        <v>6929</v>
      </c>
      <c r="AI945" s="391" t="s">
        <v>6930</v>
      </c>
      <c r="AJ945" s="391">
        <v>0</v>
      </c>
      <c r="AK945" s="390">
        <v>44470</v>
      </c>
      <c r="AL945" s="389">
        <v>50</v>
      </c>
      <c r="AM945" s="391" t="s">
        <v>548</v>
      </c>
      <c r="AN945" s="391" t="s">
        <v>549</v>
      </c>
      <c r="AO945" s="391" t="s">
        <v>6931</v>
      </c>
      <c r="AP945" s="372">
        <f>N945/E945</f>
        <v>2.2441071428571431</v>
      </c>
      <c r="AQ945" s="372">
        <f>SUMPRODUCT(AP945:AP946,U945:U946)/SUM(U945:U946)</f>
        <v>2.0690178571428572</v>
      </c>
    </row>
    <row r="946" spans="1:43" ht="16" thickBot="1">
      <c r="A946" s="387" t="s">
        <v>1703</v>
      </c>
      <c r="B946" s="387" t="s">
        <v>2054</v>
      </c>
      <c r="C946" s="387" t="s">
        <v>6922</v>
      </c>
      <c r="D946" s="387" t="s">
        <v>6923</v>
      </c>
      <c r="E946" s="387">
        <v>112</v>
      </c>
      <c r="F946" s="387" t="s">
        <v>559</v>
      </c>
      <c r="G946" s="387">
        <v>112</v>
      </c>
      <c r="H946" s="387" t="s">
        <v>559</v>
      </c>
      <c r="I946" s="387" t="s">
        <v>560</v>
      </c>
      <c r="J946" s="387" t="s">
        <v>6924</v>
      </c>
      <c r="K946" s="387" t="s">
        <v>6932</v>
      </c>
      <c r="L946" s="387" t="s">
        <v>2200</v>
      </c>
      <c r="M946" s="387" t="s">
        <v>2201</v>
      </c>
      <c r="N946" s="388">
        <v>212.12</v>
      </c>
      <c r="O946" s="388">
        <v>14</v>
      </c>
      <c r="P946" s="387" t="s">
        <v>538</v>
      </c>
      <c r="Q946" s="387" t="s">
        <v>539</v>
      </c>
      <c r="R946" s="387" t="s">
        <v>6928</v>
      </c>
      <c r="S946" s="387" t="s">
        <v>541</v>
      </c>
      <c r="T946" s="387" t="s">
        <v>542</v>
      </c>
      <c r="U946" s="388">
        <v>163595</v>
      </c>
      <c r="V946" s="387">
        <v>890146123362</v>
      </c>
      <c r="W946" s="387">
        <v>890146123362</v>
      </c>
      <c r="X946" s="387" t="s">
        <v>543</v>
      </c>
      <c r="Y946" s="387" t="s">
        <v>543</v>
      </c>
      <c r="Z946" s="387" t="s">
        <v>543</v>
      </c>
      <c r="AA946" s="388" t="s">
        <v>543</v>
      </c>
      <c r="AB946" s="388" t="s">
        <v>543</v>
      </c>
      <c r="AC946" s="387">
        <v>723144004</v>
      </c>
      <c r="AD946" s="389">
        <v>12</v>
      </c>
      <c r="AE946" s="390">
        <v>44470</v>
      </c>
      <c r="AF946" s="390">
        <v>45199</v>
      </c>
      <c r="AG946" s="390">
        <v>45199</v>
      </c>
      <c r="AH946" s="391" t="s">
        <v>6929</v>
      </c>
      <c r="AI946" s="391" t="s">
        <v>2203</v>
      </c>
      <c r="AJ946" s="391">
        <v>3</v>
      </c>
      <c r="AK946" s="390">
        <v>45047</v>
      </c>
      <c r="AL946" s="389">
        <v>50</v>
      </c>
      <c r="AM946" s="391" t="s">
        <v>548</v>
      </c>
      <c r="AN946" s="391" t="s">
        <v>549</v>
      </c>
      <c r="AO946" s="391" t="s">
        <v>6931</v>
      </c>
      <c r="AP946" s="372">
        <f t="shared" ref="AP946:AP951" si="27">N946/E946</f>
        <v>1.8939285714285714</v>
      </c>
    </row>
    <row r="947" spans="1:43" ht="16" thickBot="1">
      <c r="A947" s="387" t="s">
        <v>1703</v>
      </c>
      <c r="B947" s="387" t="s">
        <v>972</v>
      </c>
      <c r="C947" s="387" t="s">
        <v>6933</v>
      </c>
      <c r="D947" s="387" t="s">
        <v>6934</v>
      </c>
      <c r="E947" s="387">
        <v>28</v>
      </c>
      <c r="F947" s="387" t="s">
        <v>559</v>
      </c>
      <c r="G947" s="387">
        <v>28</v>
      </c>
      <c r="H947" s="387" t="s">
        <v>559</v>
      </c>
      <c r="I947" s="387" t="s">
        <v>560</v>
      </c>
      <c r="J947" s="387" t="s">
        <v>6924</v>
      </c>
      <c r="K947" s="387" t="s">
        <v>6932</v>
      </c>
      <c r="L947" s="387" t="s">
        <v>2200</v>
      </c>
      <c r="M947" s="387" t="s">
        <v>2201</v>
      </c>
      <c r="N947" s="388">
        <v>53.03</v>
      </c>
      <c r="O947" s="388">
        <v>14</v>
      </c>
      <c r="P947" s="387" t="s">
        <v>538</v>
      </c>
      <c r="Q947" s="387" t="s">
        <v>539</v>
      </c>
      <c r="R947" s="387" t="s">
        <v>6928</v>
      </c>
      <c r="S947" s="387" t="s">
        <v>541</v>
      </c>
      <c r="T947" s="387" t="s">
        <v>542</v>
      </c>
      <c r="U947" s="388">
        <v>93780</v>
      </c>
      <c r="V947" s="387" t="s">
        <v>543</v>
      </c>
      <c r="W947" s="387" t="s">
        <v>543</v>
      </c>
      <c r="X947" s="387" t="s">
        <v>543</v>
      </c>
      <c r="Y947" s="387" t="s">
        <v>543</v>
      </c>
      <c r="Z947" s="387" t="s">
        <v>543</v>
      </c>
      <c r="AA947" s="388" t="s">
        <v>543</v>
      </c>
      <c r="AB947" s="388" t="s">
        <v>543</v>
      </c>
      <c r="AC947" s="387" t="s">
        <v>543</v>
      </c>
      <c r="AD947" s="389">
        <v>160</v>
      </c>
      <c r="AE947" s="390">
        <v>44470</v>
      </c>
      <c r="AF947" s="390">
        <v>45199</v>
      </c>
      <c r="AG947" s="390">
        <v>45199</v>
      </c>
      <c r="AH947" s="391" t="s">
        <v>6935</v>
      </c>
      <c r="AI947" s="391" t="s">
        <v>2203</v>
      </c>
      <c r="AJ947" s="391">
        <v>3</v>
      </c>
      <c r="AK947" s="390">
        <v>45047</v>
      </c>
      <c r="AL947" s="389">
        <v>100</v>
      </c>
      <c r="AM947" s="391" t="s">
        <v>548</v>
      </c>
      <c r="AN947" s="391" t="s">
        <v>549</v>
      </c>
      <c r="AO947" s="391" t="s">
        <v>6931</v>
      </c>
      <c r="AP947" s="372">
        <f t="shared" si="27"/>
        <v>1.8939285714285714</v>
      </c>
      <c r="AQ947" s="372">
        <f>AP947</f>
        <v>1.8939285714285714</v>
      </c>
    </row>
    <row r="948" spans="1:43" ht="16" thickBot="1">
      <c r="A948" s="387" t="s">
        <v>1703</v>
      </c>
      <c r="B948" s="387" t="s">
        <v>1006</v>
      </c>
      <c r="C948" s="387" t="s">
        <v>6936</v>
      </c>
      <c r="D948" s="387" t="s">
        <v>6937</v>
      </c>
      <c r="E948" s="387">
        <v>56</v>
      </c>
      <c r="F948" s="387" t="s">
        <v>559</v>
      </c>
      <c r="G948" s="387">
        <v>56</v>
      </c>
      <c r="H948" s="387" t="s">
        <v>559</v>
      </c>
      <c r="I948" s="387" t="s">
        <v>560</v>
      </c>
      <c r="J948" s="387" t="s">
        <v>6924</v>
      </c>
      <c r="K948" s="387" t="s">
        <v>6925</v>
      </c>
      <c r="L948" s="387" t="s">
        <v>6926</v>
      </c>
      <c r="M948" s="387" t="s">
        <v>6927</v>
      </c>
      <c r="N948" s="388">
        <v>126.25</v>
      </c>
      <c r="O948" s="388">
        <v>14</v>
      </c>
      <c r="P948" s="387" t="s">
        <v>538</v>
      </c>
      <c r="Q948" s="387" t="s">
        <v>539</v>
      </c>
      <c r="R948" s="387" t="s">
        <v>6928</v>
      </c>
      <c r="S948" s="387" t="s">
        <v>541</v>
      </c>
      <c r="T948" s="387" t="s">
        <v>542</v>
      </c>
      <c r="U948" s="388">
        <v>262395</v>
      </c>
      <c r="V948" s="387" t="s">
        <v>543</v>
      </c>
      <c r="W948" s="387" t="s">
        <v>543</v>
      </c>
      <c r="X948" s="387" t="s">
        <v>543</v>
      </c>
      <c r="Y948" s="387" t="s">
        <v>543</v>
      </c>
      <c r="Z948" s="387" t="s">
        <v>543</v>
      </c>
      <c r="AA948" s="388" t="s">
        <v>543</v>
      </c>
      <c r="AB948" s="388" t="s">
        <v>543</v>
      </c>
      <c r="AC948" s="387" t="s">
        <v>543</v>
      </c>
      <c r="AD948" s="389">
        <v>6</v>
      </c>
      <c r="AE948" s="390">
        <v>44470</v>
      </c>
      <c r="AF948" s="390">
        <v>45199</v>
      </c>
      <c r="AG948" s="391" t="s">
        <v>545</v>
      </c>
      <c r="AH948" s="391" t="s">
        <v>6938</v>
      </c>
      <c r="AI948" s="391" t="s">
        <v>6930</v>
      </c>
      <c r="AJ948" s="391">
        <v>0</v>
      </c>
      <c r="AK948" s="390">
        <v>44470</v>
      </c>
      <c r="AL948" s="389">
        <v>50</v>
      </c>
      <c r="AM948" s="391" t="s">
        <v>548</v>
      </c>
      <c r="AN948" s="391" t="s">
        <v>549</v>
      </c>
      <c r="AO948" s="391" t="s">
        <v>6931</v>
      </c>
      <c r="AP948" s="372">
        <f t="shared" si="27"/>
        <v>2.2544642857142856</v>
      </c>
      <c r="AQ948" s="372">
        <f>SUMPRODUCT(AP948:AP949,U948:U949)/SUM(U948:U949)</f>
        <v>2.0742857142857143</v>
      </c>
    </row>
    <row r="949" spans="1:43" ht="16" thickBot="1">
      <c r="A949" s="387" t="s">
        <v>1703</v>
      </c>
      <c r="B949" s="387" t="s">
        <v>1006</v>
      </c>
      <c r="C949" s="387" t="s">
        <v>6936</v>
      </c>
      <c r="D949" s="387" t="s">
        <v>6937</v>
      </c>
      <c r="E949" s="387">
        <v>56</v>
      </c>
      <c r="F949" s="387" t="s">
        <v>559</v>
      </c>
      <c r="G949" s="387">
        <v>56</v>
      </c>
      <c r="H949" s="387" t="s">
        <v>559</v>
      </c>
      <c r="I949" s="387" t="s">
        <v>560</v>
      </c>
      <c r="J949" s="387" t="s">
        <v>6924</v>
      </c>
      <c r="K949" s="387" t="s">
        <v>6932</v>
      </c>
      <c r="L949" s="387" t="s">
        <v>2200</v>
      </c>
      <c r="M949" s="387" t="s">
        <v>2201</v>
      </c>
      <c r="N949" s="388">
        <v>106.07</v>
      </c>
      <c r="O949" s="388">
        <v>14</v>
      </c>
      <c r="P949" s="387" t="s">
        <v>538</v>
      </c>
      <c r="Q949" s="387" t="s">
        <v>539</v>
      </c>
      <c r="R949" s="387" t="s">
        <v>6928</v>
      </c>
      <c r="S949" s="387" t="s">
        <v>541</v>
      </c>
      <c r="T949" s="387" t="s">
        <v>542</v>
      </c>
      <c r="U949" s="388">
        <v>262395</v>
      </c>
      <c r="V949" s="387" t="s">
        <v>543</v>
      </c>
      <c r="W949" s="387" t="s">
        <v>543</v>
      </c>
      <c r="X949" s="387" t="s">
        <v>543</v>
      </c>
      <c r="Y949" s="387" t="s">
        <v>543</v>
      </c>
      <c r="Z949" s="387" t="s">
        <v>543</v>
      </c>
      <c r="AA949" s="388" t="s">
        <v>543</v>
      </c>
      <c r="AB949" s="388" t="s">
        <v>543</v>
      </c>
      <c r="AC949" s="387" t="s">
        <v>543</v>
      </c>
      <c r="AD949" s="389">
        <v>112</v>
      </c>
      <c r="AE949" s="390">
        <v>44470</v>
      </c>
      <c r="AF949" s="390">
        <v>45199</v>
      </c>
      <c r="AG949" s="390">
        <v>45199</v>
      </c>
      <c r="AH949" s="391" t="s">
        <v>6938</v>
      </c>
      <c r="AI949" s="391" t="s">
        <v>2203</v>
      </c>
      <c r="AJ949" s="391">
        <v>3</v>
      </c>
      <c r="AK949" s="390">
        <v>45047</v>
      </c>
      <c r="AL949" s="389">
        <v>50</v>
      </c>
      <c r="AM949" s="391" t="s">
        <v>548</v>
      </c>
      <c r="AN949" s="391" t="s">
        <v>549</v>
      </c>
      <c r="AO949" s="391" t="s">
        <v>6931</v>
      </c>
      <c r="AP949" s="372">
        <f t="shared" si="27"/>
        <v>1.8941071428571428</v>
      </c>
    </row>
    <row r="950" spans="1:43" ht="16" thickBot="1">
      <c r="A950" s="387" t="s">
        <v>1703</v>
      </c>
      <c r="B950" s="387" t="s">
        <v>990</v>
      </c>
      <c r="C950" s="387" t="s">
        <v>6939</v>
      </c>
      <c r="D950" s="387" t="s">
        <v>6940</v>
      </c>
      <c r="E950" s="387">
        <v>84</v>
      </c>
      <c r="F950" s="387" t="s">
        <v>559</v>
      </c>
      <c r="G950" s="387">
        <v>84</v>
      </c>
      <c r="H950" s="387" t="s">
        <v>559</v>
      </c>
      <c r="I950" s="387" t="s">
        <v>560</v>
      </c>
      <c r="J950" s="387" t="s">
        <v>6924</v>
      </c>
      <c r="K950" s="387" t="s">
        <v>6925</v>
      </c>
      <c r="L950" s="387" t="s">
        <v>6926</v>
      </c>
      <c r="M950" s="387" t="s">
        <v>6927</v>
      </c>
      <c r="N950" s="388">
        <v>185.77</v>
      </c>
      <c r="O950" s="388">
        <v>14</v>
      </c>
      <c r="P950" s="387" t="s">
        <v>538</v>
      </c>
      <c r="Q950" s="387" t="s">
        <v>539</v>
      </c>
      <c r="R950" s="387" t="s">
        <v>6928</v>
      </c>
      <c r="S950" s="387" t="s">
        <v>541</v>
      </c>
      <c r="T950" s="387" t="s">
        <v>542</v>
      </c>
      <c r="U950" s="388">
        <v>333200</v>
      </c>
      <c r="V950" s="387" t="s">
        <v>543</v>
      </c>
      <c r="W950" s="387" t="s">
        <v>543</v>
      </c>
      <c r="X950" s="387" t="s">
        <v>543</v>
      </c>
      <c r="Y950" s="387" t="s">
        <v>543</v>
      </c>
      <c r="Z950" s="387" t="s">
        <v>543</v>
      </c>
      <c r="AA950" s="388" t="s">
        <v>543</v>
      </c>
      <c r="AB950" s="388" t="s">
        <v>543</v>
      </c>
      <c r="AC950" s="387" t="s">
        <v>543</v>
      </c>
      <c r="AD950" s="389">
        <v>6</v>
      </c>
      <c r="AE950" s="390">
        <v>44470</v>
      </c>
      <c r="AF950" s="390">
        <v>45199</v>
      </c>
      <c r="AG950" s="391" t="s">
        <v>545</v>
      </c>
      <c r="AH950" s="391" t="s">
        <v>6941</v>
      </c>
      <c r="AI950" s="391" t="s">
        <v>6930</v>
      </c>
      <c r="AJ950" s="391">
        <v>0</v>
      </c>
      <c r="AK950" s="390">
        <v>44470</v>
      </c>
      <c r="AL950" s="389">
        <v>50</v>
      </c>
      <c r="AM950" s="391" t="s">
        <v>548</v>
      </c>
      <c r="AN950" s="391" t="s">
        <v>549</v>
      </c>
      <c r="AO950" s="391" t="s">
        <v>6931</v>
      </c>
      <c r="AP950" s="372">
        <f t="shared" si="27"/>
        <v>2.2115476190476193</v>
      </c>
      <c r="AQ950" s="372">
        <f>SUMPRODUCT(AP950:AP951,U950:U951)/SUM(U950:U951)</f>
        <v>2.0527380952380954</v>
      </c>
    </row>
    <row r="951" spans="1:43" ht="16" thickBot="1">
      <c r="A951" s="387" t="s">
        <v>1703</v>
      </c>
      <c r="B951" s="387" t="s">
        <v>990</v>
      </c>
      <c r="C951" s="387" t="s">
        <v>6939</v>
      </c>
      <c r="D951" s="387" t="s">
        <v>6940</v>
      </c>
      <c r="E951" s="387">
        <v>84</v>
      </c>
      <c r="F951" s="387" t="s">
        <v>559</v>
      </c>
      <c r="G951" s="387">
        <v>84</v>
      </c>
      <c r="H951" s="387" t="s">
        <v>559</v>
      </c>
      <c r="I951" s="387" t="s">
        <v>560</v>
      </c>
      <c r="J951" s="387" t="s">
        <v>6924</v>
      </c>
      <c r="K951" s="387" t="s">
        <v>6932</v>
      </c>
      <c r="L951" s="387" t="s">
        <v>2200</v>
      </c>
      <c r="M951" s="387" t="s">
        <v>2201</v>
      </c>
      <c r="N951" s="388">
        <v>159.09</v>
      </c>
      <c r="O951" s="388">
        <v>14</v>
      </c>
      <c r="P951" s="387" t="s">
        <v>538</v>
      </c>
      <c r="Q951" s="387" t="s">
        <v>539</v>
      </c>
      <c r="R951" s="387" t="s">
        <v>6928</v>
      </c>
      <c r="S951" s="387" t="s">
        <v>541</v>
      </c>
      <c r="T951" s="387" t="s">
        <v>542</v>
      </c>
      <c r="U951" s="388">
        <v>333200</v>
      </c>
      <c r="V951" s="387" t="s">
        <v>543</v>
      </c>
      <c r="W951" s="387" t="s">
        <v>543</v>
      </c>
      <c r="X951" s="387" t="s">
        <v>543</v>
      </c>
      <c r="Y951" s="387" t="s">
        <v>543</v>
      </c>
      <c r="Z951" s="387" t="s">
        <v>543</v>
      </c>
      <c r="AA951" s="388" t="s">
        <v>543</v>
      </c>
      <c r="AB951" s="388" t="s">
        <v>543</v>
      </c>
      <c r="AC951" s="387" t="s">
        <v>543</v>
      </c>
      <c r="AD951" s="389">
        <v>144</v>
      </c>
      <c r="AE951" s="390">
        <v>44470</v>
      </c>
      <c r="AF951" s="390">
        <v>45199</v>
      </c>
      <c r="AG951" s="390">
        <v>45199</v>
      </c>
      <c r="AH951" s="391" t="s">
        <v>6941</v>
      </c>
      <c r="AI951" s="391" t="s">
        <v>2203</v>
      </c>
      <c r="AJ951" s="391">
        <v>3</v>
      </c>
      <c r="AK951" s="390">
        <v>45047</v>
      </c>
      <c r="AL951" s="389">
        <v>50</v>
      </c>
      <c r="AM951" s="391" t="s">
        <v>548</v>
      </c>
      <c r="AN951" s="391" t="s">
        <v>549</v>
      </c>
      <c r="AO951" s="391" t="s">
        <v>6931</v>
      </c>
      <c r="AP951" s="372">
        <f t="shared" si="27"/>
        <v>1.8939285714285714</v>
      </c>
    </row>
    <row r="952" spans="1:43" ht="16" thickBot="1">
      <c r="A952" s="387" t="s">
        <v>1703</v>
      </c>
      <c r="B952" s="387" t="s">
        <v>557</v>
      </c>
      <c r="C952" s="387" t="s">
        <v>6942</v>
      </c>
      <c r="D952" s="387" t="s">
        <v>6943</v>
      </c>
      <c r="E952" s="387">
        <v>84</v>
      </c>
      <c r="F952" s="387" t="s">
        <v>559</v>
      </c>
      <c r="G952" s="387">
        <v>84</v>
      </c>
      <c r="H952" s="387" t="s">
        <v>559</v>
      </c>
      <c r="I952" s="387" t="s">
        <v>560</v>
      </c>
      <c r="J952" s="387" t="s">
        <v>6944</v>
      </c>
      <c r="K952" s="387" t="s">
        <v>6945</v>
      </c>
      <c r="L952" s="387" t="s">
        <v>2200</v>
      </c>
      <c r="M952" s="387" t="s">
        <v>2201</v>
      </c>
      <c r="N952" s="388">
        <v>134.4</v>
      </c>
      <c r="O952" s="388">
        <v>14</v>
      </c>
      <c r="P952" s="387" t="s">
        <v>538</v>
      </c>
      <c r="Q952" s="387" t="s">
        <v>539</v>
      </c>
      <c r="R952" s="387" t="s">
        <v>6946</v>
      </c>
      <c r="S952" s="387" t="s">
        <v>541</v>
      </c>
      <c r="T952" s="387" t="s">
        <v>542</v>
      </c>
      <c r="U952" s="388">
        <v>177009</v>
      </c>
      <c r="V952" s="387">
        <v>8901463127131</v>
      </c>
      <c r="W952" s="387">
        <v>8901463127131</v>
      </c>
      <c r="X952" s="387" t="s">
        <v>543</v>
      </c>
      <c r="Y952" s="387">
        <v>58901463127136</v>
      </c>
      <c r="Z952" s="387" t="s">
        <v>543</v>
      </c>
      <c r="AA952" s="388" t="s">
        <v>543</v>
      </c>
      <c r="AB952" s="388" t="s">
        <v>543</v>
      </c>
      <c r="AC952" s="387" t="s">
        <v>543</v>
      </c>
      <c r="AD952" s="389">
        <v>104</v>
      </c>
      <c r="AE952" s="390">
        <v>44470</v>
      </c>
      <c r="AF952" s="390">
        <v>45199</v>
      </c>
      <c r="AG952" s="390">
        <v>45199</v>
      </c>
      <c r="AH952" s="391" t="s">
        <v>6947</v>
      </c>
      <c r="AI952" s="391" t="s">
        <v>2203</v>
      </c>
      <c r="AJ952" s="391">
        <v>3</v>
      </c>
      <c r="AK952" s="390">
        <v>45047</v>
      </c>
      <c r="AL952" s="389">
        <v>100</v>
      </c>
      <c r="AM952" s="391" t="s">
        <v>548</v>
      </c>
      <c r="AN952" s="391" t="s">
        <v>549</v>
      </c>
      <c r="AO952" s="391" t="s">
        <v>6948</v>
      </c>
    </row>
    <row r="953" spans="1:43" ht="16" thickBot="1">
      <c r="A953" s="387" t="s">
        <v>1703</v>
      </c>
      <c r="B953" s="387" t="s">
        <v>989</v>
      </c>
      <c r="C953" s="387" t="s">
        <v>6949</v>
      </c>
      <c r="D953" s="387" t="s">
        <v>6950</v>
      </c>
      <c r="E953" s="387">
        <v>100</v>
      </c>
      <c r="F953" s="387" t="s">
        <v>584</v>
      </c>
      <c r="G953" s="387">
        <v>100</v>
      </c>
      <c r="H953" s="387" t="s">
        <v>584</v>
      </c>
      <c r="I953" s="387" t="s">
        <v>585</v>
      </c>
      <c r="J953" s="387" t="s">
        <v>6951</v>
      </c>
      <c r="K953" s="387" t="s">
        <v>6952</v>
      </c>
      <c r="L953" s="387" t="s">
        <v>1761</v>
      </c>
      <c r="M953" s="387" t="s">
        <v>1762</v>
      </c>
      <c r="N953" s="388">
        <v>181.2</v>
      </c>
      <c r="O953" s="388">
        <v>14</v>
      </c>
      <c r="P953" s="387" t="s">
        <v>538</v>
      </c>
      <c r="Q953" s="387" t="s">
        <v>539</v>
      </c>
      <c r="R953" s="387" t="s">
        <v>6953</v>
      </c>
      <c r="S953" s="387" t="s">
        <v>541</v>
      </c>
      <c r="T953" s="387" t="s">
        <v>542</v>
      </c>
      <c r="U953" s="388">
        <v>46328</v>
      </c>
      <c r="V953" s="387">
        <v>6006498008003</v>
      </c>
      <c r="W953" s="387" t="s">
        <v>543</v>
      </c>
      <c r="X953" s="387" t="s">
        <v>543</v>
      </c>
      <c r="Y953" s="387" t="s">
        <v>543</v>
      </c>
      <c r="Z953" s="387" t="s">
        <v>543</v>
      </c>
      <c r="AA953" s="388" t="s">
        <v>543</v>
      </c>
      <c r="AB953" s="388" t="s">
        <v>543</v>
      </c>
      <c r="AC953" s="387">
        <v>760692009</v>
      </c>
      <c r="AD953" s="389">
        <v>50</v>
      </c>
      <c r="AE953" s="390">
        <v>44470</v>
      </c>
      <c r="AF953" s="390">
        <v>45199</v>
      </c>
      <c r="AG953" s="391" t="s">
        <v>545</v>
      </c>
      <c r="AH953" s="391" t="s">
        <v>6954</v>
      </c>
      <c r="AI953" s="391" t="s">
        <v>1764</v>
      </c>
      <c r="AJ953" s="391">
        <v>0</v>
      </c>
      <c r="AK953" s="390">
        <v>44470</v>
      </c>
      <c r="AL953" s="389">
        <v>100</v>
      </c>
      <c r="AM953" s="391" t="s">
        <v>548</v>
      </c>
      <c r="AN953" s="391" t="s">
        <v>549</v>
      </c>
      <c r="AO953" s="391" t="s">
        <v>6955</v>
      </c>
    </row>
    <row r="954" spans="1:43" ht="16" thickBot="1">
      <c r="A954" s="387" t="s">
        <v>1703</v>
      </c>
      <c r="B954" s="387" t="s">
        <v>982</v>
      </c>
      <c r="C954" s="387" t="s">
        <v>6956</v>
      </c>
      <c r="D954" s="387" t="s">
        <v>6957</v>
      </c>
      <c r="E954" s="387">
        <v>24</v>
      </c>
      <c r="F954" s="387" t="s">
        <v>559</v>
      </c>
      <c r="G954" s="387">
        <v>32</v>
      </c>
      <c r="H954" s="387" t="s">
        <v>559</v>
      </c>
      <c r="I954" s="387" t="s">
        <v>560</v>
      </c>
      <c r="J954" s="387" t="s">
        <v>6958</v>
      </c>
      <c r="K954" s="387" t="s">
        <v>6959</v>
      </c>
      <c r="L954" s="387" t="s">
        <v>1819</v>
      </c>
      <c r="M954" s="387" t="s">
        <v>1820</v>
      </c>
      <c r="N954" s="388">
        <v>133.1</v>
      </c>
      <c r="O954" s="388">
        <v>14</v>
      </c>
      <c r="P954" s="387" t="s">
        <v>611</v>
      </c>
      <c r="Q954" s="387" t="s">
        <v>4933</v>
      </c>
      <c r="R954" s="387" t="s">
        <v>6960</v>
      </c>
      <c r="S954" s="387" t="s">
        <v>614</v>
      </c>
      <c r="T954" s="387" t="s">
        <v>542</v>
      </c>
      <c r="U954" s="388">
        <v>1200000</v>
      </c>
      <c r="V954" s="387" t="s">
        <v>543</v>
      </c>
      <c r="W954" s="387" t="s">
        <v>543</v>
      </c>
      <c r="X954" s="387" t="s">
        <v>543</v>
      </c>
      <c r="Y954" s="387" t="s">
        <v>543</v>
      </c>
      <c r="Z954" s="387" t="s">
        <v>543</v>
      </c>
      <c r="AA954" s="388" t="s">
        <v>543</v>
      </c>
      <c r="AB954" s="388" t="s">
        <v>543</v>
      </c>
      <c r="AC954" s="387" t="s">
        <v>543</v>
      </c>
      <c r="AD954" s="389">
        <v>75</v>
      </c>
      <c r="AE954" s="390">
        <v>44470</v>
      </c>
      <c r="AF954" s="390">
        <v>45199</v>
      </c>
      <c r="AG954" s="391" t="s">
        <v>545</v>
      </c>
      <c r="AH954" s="391" t="s">
        <v>6961</v>
      </c>
      <c r="AI954" s="391" t="s">
        <v>1823</v>
      </c>
      <c r="AJ954" s="391">
        <v>0</v>
      </c>
      <c r="AK954" s="390">
        <v>44470</v>
      </c>
      <c r="AL954" s="389">
        <v>60</v>
      </c>
      <c r="AM954" s="391" t="s">
        <v>548</v>
      </c>
      <c r="AN954" s="391" t="s">
        <v>549</v>
      </c>
      <c r="AO954" s="391" t="s">
        <v>6962</v>
      </c>
    </row>
    <row r="955" spans="1:43" ht="16" thickBot="1">
      <c r="A955" s="387" t="s">
        <v>3235</v>
      </c>
      <c r="B955" s="387" t="s">
        <v>967</v>
      </c>
      <c r="C955" s="387" t="s">
        <v>6963</v>
      </c>
      <c r="D955" s="387" t="s">
        <v>6964</v>
      </c>
      <c r="E955" s="387">
        <v>1</v>
      </c>
      <c r="F955" s="387" t="s">
        <v>3238</v>
      </c>
      <c r="G955" s="387">
        <v>1</v>
      </c>
      <c r="H955" s="387" t="s">
        <v>3238</v>
      </c>
      <c r="I955" s="387" t="s">
        <v>3239</v>
      </c>
      <c r="J955" s="387" t="s">
        <v>6965</v>
      </c>
      <c r="K955" s="387" t="s">
        <v>6966</v>
      </c>
      <c r="L955" s="387" t="s">
        <v>3832</v>
      </c>
      <c r="M955" s="387" t="s">
        <v>3833</v>
      </c>
      <c r="N955" s="388">
        <v>54.43</v>
      </c>
      <c r="O955" s="388">
        <v>14</v>
      </c>
      <c r="P955" s="387" t="s">
        <v>379</v>
      </c>
      <c r="Q955" s="387" t="s">
        <v>160</v>
      </c>
      <c r="R955" s="387" t="s">
        <v>1745</v>
      </c>
      <c r="S955" s="387" t="s">
        <v>160</v>
      </c>
      <c r="T955" s="387" t="s">
        <v>160</v>
      </c>
      <c r="U955" s="388">
        <v>600</v>
      </c>
      <c r="V955" s="387" t="s">
        <v>543</v>
      </c>
      <c r="W955" s="387" t="s">
        <v>543</v>
      </c>
      <c r="X955" s="387" t="s">
        <v>543</v>
      </c>
      <c r="Y955" s="387" t="s">
        <v>543</v>
      </c>
      <c r="Z955" s="387" t="s">
        <v>543</v>
      </c>
      <c r="AA955" s="388" t="s">
        <v>543</v>
      </c>
      <c r="AB955" s="388" t="s">
        <v>543</v>
      </c>
      <c r="AC955" s="387" t="s">
        <v>543</v>
      </c>
      <c r="AD955" s="389" t="s">
        <v>6967</v>
      </c>
      <c r="AE955" s="390">
        <v>44105</v>
      </c>
      <c r="AF955" s="390">
        <v>45199</v>
      </c>
      <c r="AG955" s="390">
        <v>45199</v>
      </c>
      <c r="AH955" s="391" t="s">
        <v>545</v>
      </c>
      <c r="AI955" s="391" t="s">
        <v>3835</v>
      </c>
      <c r="AJ955" s="391">
        <v>0</v>
      </c>
      <c r="AK955" s="390">
        <v>44105</v>
      </c>
      <c r="AL955" s="389">
        <v>100</v>
      </c>
      <c r="AM955" s="391" t="s">
        <v>548</v>
      </c>
      <c r="AN955" s="391" t="s">
        <v>545</v>
      </c>
      <c r="AO955" s="391" t="s">
        <v>6968</v>
      </c>
    </row>
    <row r="956" spans="1:43" ht="16" thickBot="1">
      <c r="A956" s="387" t="s">
        <v>2743</v>
      </c>
      <c r="B956" s="387" t="s">
        <v>556</v>
      </c>
      <c r="C956" s="387" t="s">
        <v>6969</v>
      </c>
      <c r="D956" s="387" t="s">
        <v>6970</v>
      </c>
      <c r="E956" s="387">
        <v>1</v>
      </c>
      <c r="F956" s="387" t="s">
        <v>2746</v>
      </c>
      <c r="G956" s="387">
        <v>1000</v>
      </c>
      <c r="H956" s="387" t="s">
        <v>531</v>
      </c>
      <c r="I956" s="387" t="s">
        <v>1838</v>
      </c>
      <c r="J956" s="387" t="s">
        <v>6971</v>
      </c>
      <c r="K956" s="387" t="s">
        <v>6972</v>
      </c>
      <c r="L956" s="387" t="s">
        <v>1975</v>
      </c>
      <c r="M956" s="387" t="s">
        <v>1976</v>
      </c>
      <c r="N956" s="388">
        <v>10.75</v>
      </c>
      <c r="O956" s="388">
        <v>14</v>
      </c>
      <c r="P956" s="387" t="s">
        <v>538</v>
      </c>
      <c r="Q956" s="387" t="s">
        <v>539</v>
      </c>
      <c r="R956" s="387" t="s">
        <v>6566</v>
      </c>
      <c r="S956" s="387" t="s">
        <v>541</v>
      </c>
      <c r="T956" s="387" t="s">
        <v>757</v>
      </c>
      <c r="U956" s="388">
        <v>12520101</v>
      </c>
      <c r="V956" s="387">
        <v>6003252000327</v>
      </c>
      <c r="W956" s="387">
        <v>6003252000327</v>
      </c>
      <c r="X956" s="387" t="s">
        <v>543</v>
      </c>
      <c r="Y956" s="387">
        <v>16003252000324</v>
      </c>
      <c r="Z956" s="387" t="s">
        <v>543</v>
      </c>
      <c r="AA956" s="388" t="s">
        <v>543</v>
      </c>
      <c r="AB956" s="388" t="s">
        <v>543</v>
      </c>
      <c r="AC956" s="387">
        <v>760838003</v>
      </c>
      <c r="AD956" s="389">
        <v>12</v>
      </c>
      <c r="AE956" s="390">
        <v>44105</v>
      </c>
      <c r="AF956" s="390">
        <v>45199</v>
      </c>
      <c r="AG956" s="390">
        <v>45199</v>
      </c>
      <c r="AH956" s="391" t="s">
        <v>6973</v>
      </c>
      <c r="AI956" s="391" t="s">
        <v>1979</v>
      </c>
      <c r="AJ956" s="391">
        <v>10</v>
      </c>
      <c r="AK956" s="390">
        <v>44866</v>
      </c>
      <c r="AL956" s="389">
        <v>100</v>
      </c>
      <c r="AM956" s="391" t="s">
        <v>548</v>
      </c>
      <c r="AN956" s="391" t="s">
        <v>545</v>
      </c>
      <c r="AO956" s="391" t="s">
        <v>6974</v>
      </c>
    </row>
    <row r="957" spans="1:43" ht="16" thickBot="1">
      <c r="A957" s="387" t="s">
        <v>2743</v>
      </c>
      <c r="B957" s="387" t="s">
        <v>784</v>
      </c>
      <c r="C957" s="387" t="s">
        <v>6975</v>
      </c>
      <c r="D957" s="387" t="s">
        <v>6976</v>
      </c>
      <c r="E957" s="387">
        <v>200</v>
      </c>
      <c r="F957" s="387" t="s">
        <v>531</v>
      </c>
      <c r="G957" s="387">
        <v>200</v>
      </c>
      <c r="H957" s="387" t="s">
        <v>531</v>
      </c>
      <c r="I957" s="387" t="s">
        <v>1838</v>
      </c>
      <c r="J957" s="387" t="s">
        <v>6971</v>
      </c>
      <c r="K957" s="387" t="s">
        <v>6977</v>
      </c>
      <c r="L957" s="387" t="s">
        <v>3043</v>
      </c>
      <c r="M957" s="387" t="s">
        <v>3044</v>
      </c>
      <c r="N957" s="388">
        <v>9.42</v>
      </c>
      <c r="O957" s="388">
        <v>14</v>
      </c>
      <c r="P957" s="387" t="s">
        <v>538</v>
      </c>
      <c r="Q957" s="387" t="s">
        <v>539</v>
      </c>
      <c r="R957" s="387" t="s">
        <v>6566</v>
      </c>
      <c r="S957" s="387" t="s">
        <v>541</v>
      </c>
      <c r="T957" s="387" t="s">
        <v>757</v>
      </c>
      <c r="U957" s="388">
        <v>1202790</v>
      </c>
      <c r="V957" s="387">
        <v>4046964964190</v>
      </c>
      <c r="W957" s="387">
        <v>4046964964206</v>
      </c>
      <c r="X957" s="387" t="s">
        <v>543</v>
      </c>
      <c r="Y957" s="387" t="s">
        <v>543</v>
      </c>
      <c r="Z957" s="387" t="s">
        <v>543</v>
      </c>
      <c r="AA957" s="388" t="s">
        <v>543</v>
      </c>
      <c r="AB957" s="388" t="s">
        <v>543</v>
      </c>
      <c r="AC957" s="387" t="s">
        <v>6978</v>
      </c>
      <c r="AD957" s="389">
        <v>36</v>
      </c>
      <c r="AE957" s="390">
        <v>44105</v>
      </c>
      <c r="AF957" s="390">
        <v>45199</v>
      </c>
      <c r="AG957" s="390">
        <v>45199</v>
      </c>
      <c r="AH957" s="391" t="s">
        <v>6979</v>
      </c>
      <c r="AI957" s="391" t="s">
        <v>3047</v>
      </c>
      <c r="AJ957" s="391">
        <v>9</v>
      </c>
      <c r="AK957" s="390">
        <v>44791</v>
      </c>
      <c r="AL957" s="389">
        <v>100</v>
      </c>
      <c r="AM957" s="391" t="s">
        <v>548</v>
      </c>
      <c r="AN957" s="391" t="s">
        <v>545</v>
      </c>
      <c r="AO957" s="391" t="s">
        <v>6974</v>
      </c>
    </row>
    <row r="958" spans="1:43" ht="16" thickBot="1">
      <c r="A958" s="387" t="s">
        <v>1717</v>
      </c>
      <c r="B958" s="387" t="s">
        <v>6980</v>
      </c>
      <c r="C958" s="387" t="s">
        <v>6981</v>
      </c>
      <c r="D958" s="387" t="s">
        <v>6982</v>
      </c>
      <c r="E958" s="387">
        <v>4</v>
      </c>
      <c r="F958" s="387" t="s">
        <v>559</v>
      </c>
      <c r="G958" s="387">
        <v>4</v>
      </c>
      <c r="H958" s="387" t="s">
        <v>559</v>
      </c>
      <c r="I958" s="387" t="s">
        <v>560</v>
      </c>
      <c r="J958" s="387" t="s">
        <v>6983</v>
      </c>
      <c r="K958" s="387" t="s">
        <v>6984</v>
      </c>
      <c r="L958" s="387" t="s">
        <v>2200</v>
      </c>
      <c r="M958" s="387" t="s">
        <v>2201</v>
      </c>
      <c r="N958" s="388">
        <v>7</v>
      </c>
      <c r="O958" s="388">
        <v>14</v>
      </c>
      <c r="P958" s="387" t="s">
        <v>611</v>
      </c>
      <c r="Q958" s="387" t="s">
        <v>160</v>
      </c>
      <c r="R958" s="387" t="s">
        <v>6985</v>
      </c>
      <c r="S958" s="387" t="s">
        <v>614</v>
      </c>
      <c r="T958" s="387" t="s">
        <v>160</v>
      </c>
      <c r="U958" s="388">
        <v>60213</v>
      </c>
      <c r="V958" s="387" t="s">
        <v>543</v>
      </c>
      <c r="W958" s="387" t="s">
        <v>543</v>
      </c>
      <c r="X958" s="387" t="s">
        <v>543</v>
      </c>
      <c r="Y958" s="387" t="s">
        <v>543</v>
      </c>
      <c r="Z958" s="387" t="s">
        <v>543</v>
      </c>
      <c r="AA958" s="388" t="s">
        <v>543</v>
      </c>
      <c r="AB958" s="388" t="s">
        <v>543</v>
      </c>
      <c r="AC958" s="387" t="s">
        <v>543</v>
      </c>
      <c r="AD958" s="389" t="s">
        <v>6986</v>
      </c>
      <c r="AE958" s="390">
        <v>45047</v>
      </c>
      <c r="AF958" s="390">
        <v>46142</v>
      </c>
      <c r="AG958" s="391" t="s">
        <v>545</v>
      </c>
      <c r="AH958" s="391" t="s">
        <v>6987</v>
      </c>
      <c r="AI958" s="391" t="s">
        <v>2203</v>
      </c>
      <c r="AJ958" s="391">
        <v>0</v>
      </c>
      <c r="AK958" s="390">
        <v>45047</v>
      </c>
      <c r="AL958" s="389">
        <v>100</v>
      </c>
      <c r="AM958" s="391" t="s">
        <v>548</v>
      </c>
      <c r="AN958" s="391" t="s">
        <v>549</v>
      </c>
      <c r="AO958" s="391" t="s">
        <v>6988</v>
      </c>
    </row>
    <row r="959" spans="1:43" ht="16" thickBot="1">
      <c r="A959" s="387" t="s">
        <v>1717</v>
      </c>
      <c r="B959" s="387" t="s">
        <v>6989</v>
      </c>
      <c r="C959" s="387" t="s">
        <v>6990</v>
      </c>
      <c r="D959" s="387" t="s">
        <v>6991</v>
      </c>
      <c r="E959" s="387">
        <v>30</v>
      </c>
      <c r="F959" s="387" t="s">
        <v>559</v>
      </c>
      <c r="G959" s="387">
        <v>30</v>
      </c>
      <c r="H959" s="387" t="s">
        <v>559</v>
      </c>
      <c r="I959" s="387" t="s">
        <v>560</v>
      </c>
      <c r="J959" s="387" t="s">
        <v>6992</v>
      </c>
      <c r="K959" s="387" t="s">
        <v>6993</v>
      </c>
      <c r="L959" s="387" t="s">
        <v>2046</v>
      </c>
      <c r="M959" s="387" t="s">
        <v>2047</v>
      </c>
      <c r="N959" s="388">
        <v>4.1399999999999997</v>
      </c>
      <c r="O959" s="388">
        <v>14</v>
      </c>
      <c r="P959" s="387" t="s">
        <v>538</v>
      </c>
      <c r="Q959" s="387" t="s">
        <v>539</v>
      </c>
      <c r="R959" s="387" t="s">
        <v>6994</v>
      </c>
      <c r="S959" s="387" t="s">
        <v>541</v>
      </c>
      <c r="T959" s="387" t="s">
        <v>542</v>
      </c>
      <c r="U959" s="388">
        <v>929682</v>
      </c>
      <c r="V959" s="387">
        <v>6006352024101</v>
      </c>
      <c r="W959" s="387">
        <v>6006352024118</v>
      </c>
      <c r="X959" s="387" t="s">
        <v>543</v>
      </c>
      <c r="Y959" s="387" t="s">
        <v>543</v>
      </c>
      <c r="Z959" s="387" t="s">
        <v>543</v>
      </c>
      <c r="AA959" s="388" t="s">
        <v>543</v>
      </c>
      <c r="AB959" s="388" t="s">
        <v>543</v>
      </c>
      <c r="AC959" s="387">
        <v>717996001</v>
      </c>
      <c r="AD959" s="389">
        <v>200</v>
      </c>
      <c r="AE959" s="390">
        <v>45047</v>
      </c>
      <c r="AF959" s="390">
        <v>46142</v>
      </c>
      <c r="AG959" s="391" t="s">
        <v>545</v>
      </c>
      <c r="AH959" s="391" t="s">
        <v>6995</v>
      </c>
      <c r="AI959" s="391" t="s">
        <v>2050</v>
      </c>
      <c r="AJ959" s="391">
        <v>0</v>
      </c>
      <c r="AK959" s="390">
        <v>45047</v>
      </c>
      <c r="AL959" s="389">
        <v>100</v>
      </c>
      <c r="AM959" s="391" t="s">
        <v>548</v>
      </c>
      <c r="AN959" s="391" t="s">
        <v>549</v>
      </c>
      <c r="AO959" s="391" t="s">
        <v>6996</v>
      </c>
    </row>
    <row r="960" spans="1:43" ht="16" thickBot="1">
      <c r="A960" s="387" t="s">
        <v>3038</v>
      </c>
      <c r="B960" s="387" t="s">
        <v>2825</v>
      </c>
      <c r="C960" s="387" t="s">
        <v>6997</v>
      </c>
      <c r="D960" s="387" t="s">
        <v>6998</v>
      </c>
      <c r="E960" s="387">
        <v>30</v>
      </c>
      <c r="F960" s="387" t="s">
        <v>531</v>
      </c>
      <c r="G960" s="387">
        <v>30</v>
      </c>
      <c r="H960" s="387" t="s">
        <v>531</v>
      </c>
      <c r="I960" s="387" t="s">
        <v>532</v>
      </c>
      <c r="J960" s="387" t="s">
        <v>6992</v>
      </c>
      <c r="K960" s="387" t="s">
        <v>6999</v>
      </c>
      <c r="L960" s="387" t="s">
        <v>609</v>
      </c>
      <c r="M960" s="387" t="s">
        <v>610</v>
      </c>
      <c r="N960" s="388">
        <v>241.5</v>
      </c>
      <c r="O960" s="388">
        <v>7</v>
      </c>
      <c r="P960" s="387" t="s">
        <v>538</v>
      </c>
      <c r="Q960" s="387" t="s">
        <v>539</v>
      </c>
      <c r="R960" s="387" t="s">
        <v>6994</v>
      </c>
      <c r="S960" s="387" t="s">
        <v>541</v>
      </c>
      <c r="T960" s="387" t="s">
        <v>757</v>
      </c>
      <c r="U960" s="388">
        <v>210700</v>
      </c>
      <c r="V960" s="387">
        <v>6003191113928</v>
      </c>
      <c r="W960" s="387">
        <v>6003191113928</v>
      </c>
      <c r="X960" s="387" t="s">
        <v>543</v>
      </c>
      <c r="Y960" s="387" t="s">
        <v>543</v>
      </c>
      <c r="Z960" s="387" t="s">
        <v>543</v>
      </c>
      <c r="AA960" s="388" t="s">
        <v>543</v>
      </c>
      <c r="AB960" s="388" t="s">
        <v>543</v>
      </c>
      <c r="AC960" s="387">
        <v>823163016</v>
      </c>
      <c r="AD960" s="389" t="s">
        <v>2440</v>
      </c>
      <c r="AE960" s="390">
        <v>44246</v>
      </c>
      <c r="AF960" s="390">
        <v>45199</v>
      </c>
      <c r="AG960" s="390">
        <v>45199</v>
      </c>
      <c r="AH960" s="391" t="s">
        <v>7000</v>
      </c>
      <c r="AI960" s="391" t="s">
        <v>617</v>
      </c>
      <c r="AJ960" s="391">
        <v>0</v>
      </c>
      <c r="AK960" s="390">
        <v>44246</v>
      </c>
      <c r="AL960" s="389">
        <v>100</v>
      </c>
      <c r="AM960" s="391" t="s">
        <v>548</v>
      </c>
      <c r="AN960" s="391" t="s">
        <v>545</v>
      </c>
      <c r="AO960" s="391" t="s">
        <v>7001</v>
      </c>
    </row>
    <row r="961" spans="1:41" ht="16" thickBot="1">
      <c r="A961" s="387" t="s">
        <v>1717</v>
      </c>
      <c r="B961" s="387" t="s">
        <v>7002</v>
      </c>
      <c r="C961" s="387" t="s">
        <v>7003</v>
      </c>
      <c r="D961" s="387" t="s">
        <v>7004</v>
      </c>
      <c r="E961" s="387">
        <v>30</v>
      </c>
      <c r="F961" s="387" t="s">
        <v>559</v>
      </c>
      <c r="G961" s="387">
        <v>30</v>
      </c>
      <c r="H961" s="387" t="s">
        <v>559</v>
      </c>
      <c r="I961" s="387" t="s">
        <v>560</v>
      </c>
      <c r="J961" s="387" t="s">
        <v>6992</v>
      </c>
      <c r="K961" s="387" t="s">
        <v>7005</v>
      </c>
      <c r="L961" s="387" t="s">
        <v>2046</v>
      </c>
      <c r="M961" s="387" t="s">
        <v>2047</v>
      </c>
      <c r="N961" s="388">
        <v>4.76</v>
      </c>
      <c r="O961" s="388">
        <v>14</v>
      </c>
      <c r="P961" s="387" t="s">
        <v>538</v>
      </c>
      <c r="Q961" s="387" t="s">
        <v>539</v>
      </c>
      <c r="R961" s="387" t="s">
        <v>6994</v>
      </c>
      <c r="S961" s="387" t="s">
        <v>541</v>
      </c>
      <c r="T961" s="387" t="s">
        <v>542</v>
      </c>
      <c r="U961" s="388">
        <v>1916776</v>
      </c>
      <c r="V961" s="387">
        <v>6006352024125</v>
      </c>
      <c r="W961" s="387">
        <v>6006352024132</v>
      </c>
      <c r="X961" s="387" t="s">
        <v>543</v>
      </c>
      <c r="Y961" s="387" t="s">
        <v>543</v>
      </c>
      <c r="Z961" s="387" t="s">
        <v>543</v>
      </c>
      <c r="AA961" s="388" t="s">
        <v>543</v>
      </c>
      <c r="AB961" s="388" t="s">
        <v>543</v>
      </c>
      <c r="AC961" s="387">
        <v>717997001</v>
      </c>
      <c r="AD961" s="389">
        <v>200</v>
      </c>
      <c r="AE961" s="390">
        <v>45047</v>
      </c>
      <c r="AF961" s="390">
        <v>46142</v>
      </c>
      <c r="AG961" s="391" t="s">
        <v>545</v>
      </c>
      <c r="AH961" s="391" t="s">
        <v>7006</v>
      </c>
      <c r="AI961" s="391" t="s">
        <v>2050</v>
      </c>
      <c r="AJ961" s="391">
        <v>0</v>
      </c>
      <c r="AK961" s="390">
        <v>45047</v>
      </c>
      <c r="AL961" s="389">
        <v>100</v>
      </c>
      <c r="AM961" s="391" t="s">
        <v>548</v>
      </c>
      <c r="AN961" s="391" t="s">
        <v>549</v>
      </c>
      <c r="AO961" s="391" t="s">
        <v>7007</v>
      </c>
    </row>
    <row r="962" spans="1:41" ht="16" thickBot="1">
      <c r="A962" s="387" t="s">
        <v>1717</v>
      </c>
      <c r="B962" s="387" t="s">
        <v>7008</v>
      </c>
      <c r="C962" s="387" t="s">
        <v>7009</v>
      </c>
      <c r="D962" s="387" t="s">
        <v>7010</v>
      </c>
      <c r="E962" s="387">
        <v>30</v>
      </c>
      <c r="F962" s="387" t="s">
        <v>559</v>
      </c>
      <c r="G962" s="387">
        <v>30</v>
      </c>
      <c r="H962" s="387" t="s">
        <v>559</v>
      </c>
      <c r="I962" s="387" t="s">
        <v>560</v>
      </c>
      <c r="J962" s="387" t="s">
        <v>6992</v>
      </c>
      <c r="K962" s="387" t="s">
        <v>7011</v>
      </c>
      <c r="L962" s="387" t="s">
        <v>2046</v>
      </c>
      <c r="M962" s="387" t="s">
        <v>2047</v>
      </c>
      <c r="N962" s="388">
        <v>4.97</v>
      </c>
      <c r="O962" s="388">
        <v>14</v>
      </c>
      <c r="P962" s="387" t="s">
        <v>538</v>
      </c>
      <c r="Q962" s="387" t="s">
        <v>539</v>
      </c>
      <c r="R962" s="387" t="s">
        <v>6994</v>
      </c>
      <c r="S962" s="387" t="s">
        <v>541</v>
      </c>
      <c r="T962" s="387" t="s">
        <v>542</v>
      </c>
      <c r="U962" s="388">
        <v>2526621</v>
      </c>
      <c r="V962" s="387">
        <v>6006352024149</v>
      </c>
      <c r="W962" s="387">
        <v>6006352024156</v>
      </c>
      <c r="X962" s="387" t="s">
        <v>543</v>
      </c>
      <c r="Y962" s="387" t="s">
        <v>543</v>
      </c>
      <c r="Z962" s="387" t="s">
        <v>543</v>
      </c>
      <c r="AA962" s="388" t="s">
        <v>543</v>
      </c>
      <c r="AB962" s="388" t="s">
        <v>543</v>
      </c>
      <c r="AC962" s="387">
        <v>717998001</v>
      </c>
      <c r="AD962" s="389">
        <v>200</v>
      </c>
      <c r="AE962" s="390">
        <v>45047</v>
      </c>
      <c r="AF962" s="390">
        <v>46142</v>
      </c>
      <c r="AG962" s="391" t="s">
        <v>545</v>
      </c>
      <c r="AH962" s="391" t="s">
        <v>7012</v>
      </c>
      <c r="AI962" s="391" t="s">
        <v>2050</v>
      </c>
      <c r="AJ962" s="391">
        <v>0</v>
      </c>
      <c r="AK962" s="390">
        <v>45047</v>
      </c>
      <c r="AL962" s="389">
        <v>100</v>
      </c>
      <c r="AM962" s="391" t="s">
        <v>548</v>
      </c>
      <c r="AN962" s="391" t="s">
        <v>549</v>
      </c>
      <c r="AO962" s="391" t="s">
        <v>7013</v>
      </c>
    </row>
    <row r="963" spans="1:41" ht="16" thickBot="1">
      <c r="A963" s="387" t="s">
        <v>1717</v>
      </c>
      <c r="B963" s="387" t="s">
        <v>7014</v>
      </c>
      <c r="C963" s="387" t="s">
        <v>7015</v>
      </c>
      <c r="D963" s="387" t="s">
        <v>7016</v>
      </c>
      <c r="E963" s="387">
        <v>30</v>
      </c>
      <c r="F963" s="387" t="s">
        <v>559</v>
      </c>
      <c r="G963" s="387">
        <v>30</v>
      </c>
      <c r="H963" s="387" t="s">
        <v>559</v>
      </c>
      <c r="I963" s="387" t="s">
        <v>560</v>
      </c>
      <c r="J963" s="387" t="s">
        <v>6992</v>
      </c>
      <c r="K963" s="387" t="s">
        <v>7017</v>
      </c>
      <c r="L963" s="387" t="s">
        <v>2046</v>
      </c>
      <c r="M963" s="387" t="s">
        <v>2047</v>
      </c>
      <c r="N963" s="388">
        <v>6.21</v>
      </c>
      <c r="O963" s="388">
        <v>14</v>
      </c>
      <c r="P963" s="387" t="s">
        <v>538</v>
      </c>
      <c r="Q963" s="387" t="s">
        <v>539</v>
      </c>
      <c r="R963" s="387" t="s">
        <v>6994</v>
      </c>
      <c r="S963" s="387" t="s">
        <v>541</v>
      </c>
      <c r="T963" s="387" t="s">
        <v>542</v>
      </c>
      <c r="U963" s="388">
        <v>1491300</v>
      </c>
      <c r="V963" s="387">
        <v>6006352024163</v>
      </c>
      <c r="W963" s="387">
        <v>6006352024170</v>
      </c>
      <c r="X963" s="387" t="s">
        <v>543</v>
      </c>
      <c r="Y963" s="387" t="s">
        <v>543</v>
      </c>
      <c r="Z963" s="387" t="s">
        <v>543</v>
      </c>
      <c r="AA963" s="388" t="s">
        <v>543</v>
      </c>
      <c r="AB963" s="388" t="s">
        <v>543</v>
      </c>
      <c r="AC963" s="387">
        <v>717999001</v>
      </c>
      <c r="AD963" s="389">
        <v>100</v>
      </c>
      <c r="AE963" s="390">
        <v>45047</v>
      </c>
      <c r="AF963" s="390">
        <v>46142</v>
      </c>
      <c r="AG963" s="391" t="s">
        <v>545</v>
      </c>
      <c r="AH963" s="391" t="s">
        <v>7018</v>
      </c>
      <c r="AI963" s="391" t="s">
        <v>2050</v>
      </c>
      <c r="AJ963" s="391">
        <v>0</v>
      </c>
      <c r="AK963" s="390">
        <v>45047</v>
      </c>
      <c r="AL963" s="389">
        <v>100</v>
      </c>
      <c r="AM963" s="391" t="s">
        <v>548</v>
      </c>
      <c r="AN963" s="391" t="s">
        <v>549</v>
      </c>
      <c r="AO963" s="391" t="s">
        <v>7019</v>
      </c>
    </row>
    <row r="964" spans="1:41" ht="16" thickBot="1">
      <c r="A964" s="387" t="s">
        <v>529</v>
      </c>
      <c r="B964" s="387" t="s">
        <v>967</v>
      </c>
      <c r="C964" s="387" t="s">
        <v>968</v>
      </c>
      <c r="D964" s="387" t="s">
        <v>769</v>
      </c>
      <c r="E964" s="387">
        <v>30</v>
      </c>
      <c r="F964" s="387" t="s">
        <v>770</v>
      </c>
      <c r="G964" s="387">
        <v>30</v>
      </c>
      <c r="H964" s="387" t="s">
        <v>770</v>
      </c>
      <c r="I964" s="387" t="s">
        <v>744</v>
      </c>
      <c r="J964" s="387" t="s">
        <v>771</v>
      </c>
      <c r="K964" s="387" t="s">
        <v>772</v>
      </c>
      <c r="L964" s="387" t="s">
        <v>724</v>
      </c>
      <c r="M964" s="387" t="s">
        <v>725</v>
      </c>
      <c r="N964" s="388">
        <v>52.2</v>
      </c>
      <c r="O964" s="388">
        <v>14</v>
      </c>
      <c r="P964" s="387" t="s">
        <v>538</v>
      </c>
      <c r="Q964" s="387" t="s">
        <v>539</v>
      </c>
      <c r="R964" s="387" t="s">
        <v>773</v>
      </c>
      <c r="S964" s="387" t="s">
        <v>541</v>
      </c>
      <c r="T964" s="387" t="s">
        <v>542</v>
      </c>
      <c r="U964" s="388">
        <v>50410</v>
      </c>
      <c r="V964" s="387" t="s">
        <v>543</v>
      </c>
      <c r="W964" s="387" t="s">
        <v>543</v>
      </c>
      <c r="X964" s="387" t="s">
        <v>543</v>
      </c>
      <c r="Y964" s="387" t="s">
        <v>543</v>
      </c>
      <c r="Z964" s="387" t="s">
        <v>543</v>
      </c>
      <c r="AA964" s="388" t="s">
        <v>543</v>
      </c>
      <c r="AB964" s="388" t="s">
        <v>543</v>
      </c>
      <c r="AC964" s="387" t="s">
        <v>543</v>
      </c>
      <c r="AD964" s="389">
        <v>12</v>
      </c>
      <c r="AE964" s="390">
        <v>44743</v>
      </c>
      <c r="AF964" s="390">
        <v>45838</v>
      </c>
      <c r="AG964" s="391" t="s">
        <v>545</v>
      </c>
      <c r="AH964" s="391" t="s">
        <v>774</v>
      </c>
      <c r="AI964" s="391" t="s">
        <v>726</v>
      </c>
      <c r="AJ964" s="391">
        <v>0</v>
      </c>
      <c r="AK964" s="390">
        <v>44743</v>
      </c>
      <c r="AL964" s="389">
        <v>100</v>
      </c>
      <c r="AM964" s="391" t="s">
        <v>548</v>
      </c>
      <c r="AN964" s="391" t="s">
        <v>549</v>
      </c>
      <c r="AO964" s="391" t="s">
        <v>775</v>
      </c>
    </row>
    <row r="965" spans="1:41" ht="16" thickBot="1">
      <c r="A965" s="387" t="s">
        <v>529</v>
      </c>
      <c r="B965" s="387" t="s">
        <v>1001</v>
      </c>
      <c r="C965" s="387" t="s">
        <v>1002</v>
      </c>
      <c r="D965" s="387" t="s">
        <v>776</v>
      </c>
      <c r="E965" s="387">
        <v>56</v>
      </c>
      <c r="F965" s="387" t="s">
        <v>559</v>
      </c>
      <c r="G965" s="387">
        <v>56</v>
      </c>
      <c r="H965" s="387" t="s">
        <v>559</v>
      </c>
      <c r="I965" s="387" t="s">
        <v>560</v>
      </c>
      <c r="J965" s="387" t="s">
        <v>771</v>
      </c>
      <c r="K965" s="387" t="s">
        <v>777</v>
      </c>
      <c r="L965" s="387" t="s">
        <v>552</v>
      </c>
      <c r="M965" s="387" t="s">
        <v>553</v>
      </c>
      <c r="N965" s="388">
        <v>88.6</v>
      </c>
      <c r="O965" s="388">
        <v>14</v>
      </c>
      <c r="P965" s="387" t="s">
        <v>538</v>
      </c>
      <c r="Q965" s="387" t="s">
        <v>539</v>
      </c>
      <c r="R965" s="387" t="s">
        <v>773</v>
      </c>
      <c r="S965" s="387" t="s">
        <v>541</v>
      </c>
      <c r="T965" s="387" t="s">
        <v>542</v>
      </c>
      <c r="U965" s="388">
        <v>493697</v>
      </c>
      <c r="V965" s="387">
        <v>8903726256213</v>
      </c>
      <c r="W965" s="387">
        <v>8903726256213</v>
      </c>
      <c r="X965" s="387" t="s">
        <v>543</v>
      </c>
      <c r="Y965" s="387">
        <v>58903726266361</v>
      </c>
      <c r="Z965" s="387" t="s">
        <v>543</v>
      </c>
      <c r="AA965" s="388" t="s">
        <v>543</v>
      </c>
      <c r="AB965" s="388" t="s">
        <v>543</v>
      </c>
      <c r="AC965" s="387" t="s">
        <v>543</v>
      </c>
      <c r="AD965" s="389">
        <v>24</v>
      </c>
      <c r="AE965" s="390">
        <v>44743</v>
      </c>
      <c r="AF965" s="390">
        <v>45838</v>
      </c>
      <c r="AG965" s="390">
        <v>45838</v>
      </c>
      <c r="AH965" s="391" t="s">
        <v>778</v>
      </c>
      <c r="AI965" s="391" t="s">
        <v>555</v>
      </c>
      <c r="AJ965" s="391">
        <v>19</v>
      </c>
      <c r="AK965" s="390">
        <v>45047</v>
      </c>
      <c r="AL965" s="389">
        <v>100</v>
      </c>
      <c r="AM965" s="391" t="s">
        <v>548</v>
      </c>
      <c r="AN965" s="391" t="s">
        <v>549</v>
      </c>
      <c r="AO965" s="391" t="s">
        <v>779</v>
      </c>
    </row>
    <row r="966" spans="1:41" ht="16" thickBot="1">
      <c r="A966" s="387" t="s">
        <v>2166</v>
      </c>
      <c r="B966" s="387" t="s">
        <v>5744</v>
      </c>
      <c r="C966" s="387" t="s">
        <v>7020</v>
      </c>
      <c r="D966" s="387" t="s">
        <v>7021</v>
      </c>
      <c r="E966" s="387">
        <v>10</v>
      </c>
      <c r="F966" s="387" t="s">
        <v>531</v>
      </c>
      <c r="G966" s="387">
        <v>10</v>
      </c>
      <c r="H966" s="387" t="s">
        <v>531</v>
      </c>
      <c r="I966" s="387" t="s">
        <v>1751</v>
      </c>
      <c r="J966" s="387" t="s">
        <v>7022</v>
      </c>
      <c r="K966" s="387" t="s">
        <v>7023</v>
      </c>
      <c r="L966" s="387" t="s">
        <v>2531</v>
      </c>
      <c r="M966" s="387" t="s">
        <v>2532</v>
      </c>
      <c r="N966" s="388">
        <v>993.7</v>
      </c>
      <c r="O966" s="388">
        <v>14</v>
      </c>
      <c r="P966" s="387" t="s">
        <v>538</v>
      </c>
      <c r="Q966" s="387" t="s">
        <v>539</v>
      </c>
      <c r="R966" s="387" t="s">
        <v>7024</v>
      </c>
      <c r="S966" s="387" t="s">
        <v>171</v>
      </c>
      <c r="T966" s="387" t="s">
        <v>1908</v>
      </c>
      <c r="U966" s="388">
        <v>14202</v>
      </c>
      <c r="V966" s="387" t="s">
        <v>543</v>
      </c>
      <c r="W966" s="387" t="s">
        <v>543</v>
      </c>
      <c r="X966" s="387" t="s">
        <v>543</v>
      </c>
      <c r="Y966" s="387" t="s">
        <v>543</v>
      </c>
      <c r="Z966" s="387" t="s">
        <v>543</v>
      </c>
      <c r="AA966" s="388" t="s">
        <v>543</v>
      </c>
      <c r="AB966" s="388" t="s">
        <v>543</v>
      </c>
      <c r="AC966" s="387" t="s">
        <v>543</v>
      </c>
      <c r="AD966" s="389">
        <v>2</v>
      </c>
      <c r="AE966" s="390">
        <v>44743</v>
      </c>
      <c r="AF966" s="390">
        <v>45473</v>
      </c>
      <c r="AG966" s="391" t="s">
        <v>545</v>
      </c>
      <c r="AH966" s="391" t="s">
        <v>7025</v>
      </c>
      <c r="AI966" s="391" t="s">
        <v>2536</v>
      </c>
      <c r="AJ966" s="391">
        <v>0</v>
      </c>
      <c r="AK966" s="390">
        <v>44743</v>
      </c>
      <c r="AL966" s="389">
        <v>100</v>
      </c>
      <c r="AM966" s="391" t="s">
        <v>548</v>
      </c>
      <c r="AN966" s="391" t="s">
        <v>549</v>
      </c>
      <c r="AO966" s="391" t="s">
        <v>7026</v>
      </c>
    </row>
    <row r="967" spans="1:41" ht="16" thickBot="1">
      <c r="A967" s="387" t="s">
        <v>2166</v>
      </c>
      <c r="B967" s="387" t="s">
        <v>3381</v>
      </c>
      <c r="C967" s="387" t="s">
        <v>7027</v>
      </c>
      <c r="D967" s="387" t="s">
        <v>7028</v>
      </c>
      <c r="E967" s="387">
        <v>50</v>
      </c>
      <c r="F967" s="387" t="s">
        <v>531</v>
      </c>
      <c r="G967" s="387">
        <v>50</v>
      </c>
      <c r="H967" s="387" t="s">
        <v>531</v>
      </c>
      <c r="I967" s="387" t="s">
        <v>1751</v>
      </c>
      <c r="J967" s="387" t="s">
        <v>7022</v>
      </c>
      <c r="K967" s="387" t="s">
        <v>7029</v>
      </c>
      <c r="L967" s="387" t="s">
        <v>2531</v>
      </c>
      <c r="M967" s="387" t="s">
        <v>2532</v>
      </c>
      <c r="N967" s="388">
        <v>7618.75</v>
      </c>
      <c r="O967" s="388">
        <v>14</v>
      </c>
      <c r="P967" s="387" t="s">
        <v>538</v>
      </c>
      <c r="Q967" s="387" t="s">
        <v>539</v>
      </c>
      <c r="R967" s="387" t="s">
        <v>7024</v>
      </c>
      <c r="S967" s="387" t="s">
        <v>171</v>
      </c>
      <c r="T967" s="387" t="s">
        <v>1908</v>
      </c>
      <c r="U967" s="388">
        <v>7856</v>
      </c>
      <c r="V967" s="387" t="s">
        <v>543</v>
      </c>
      <c r="W967" s="387" t="s">
        <v>543</v>
      </c>
      <c r="X967" s="387" t="s">
        <v>543</v>
      </c>
      <c r="Y967" s="387" t="s">
        <v>543</v>
      </c>
      <c r="Z967" s="387" t="s">
        <v>543</v>
      </c>
      <c r="AA967" s="388" t="s">
        <v>543</v>
      </c>
      <c r="AB967" s="388" t="s">
        <v>543</v>
      </c>
      <c r="AC967" s="387" t="s">
        <v>543</v>
      </c>
      <c r="AD967" s="389">
        <v>1</v>
      </c>
      <c r="AE967" s="390">
        <v>44743</v>
      </c>
      <c r="AF967" s="390">
        <v>45473</v>
      </c>
      <c r="AG967" s="391" t="s">
        <v>545</v>
      </c>
      <c r="AH967" s="391" t="s">
        <v>7030</v>
      </c>
      <c r="AI967" s="391" t="s">
        <v>2536</v>
      </c>
      <c r="AJ967" s="391">
        <v>0</v>
      </c>
      <c r="AK967" s="390">
        <v>44743</v>
      </c>
      <c r="AL967" s="389">
        <v>100</v>
      </c>
      <c r="AM967" s="391" t="s">
        <v>548</v>
      </c>
      <c r="AN967" s="391" t="s">
        <v>549</v>
      </c>
      <c r="AO967" s="391" t="s">
        <v>7031</v>
      </c>
    </row>
    <row r="968" spans="1:41" ht="16" thickBot="1">
      <c r="A968" s="387" t="s">
        <v>1717</v>
      </c>
      <c r="B968" s="387" t="s">
        <v>7032</v>
      </c>
      <c r="C968" s="387" t="s">
        <v>7033</v>
      </c>
      <c r="D968" s="387" t="s">
        <v>7034</v>
      </c>
      <c r="E968" s="387">
        <v>30</v>
      </c>
      <c r="F968" s="387" t="s">
        <v>559</v>
      </c>
      <c r="G968" s="387">
        <v>30</v>
      </c>
      <c r="H968" s="387" t="s">
        <v>559</v>
      </c>
      <c r="I968" s="387" t="s">
        <v>560</v>
      </c>
      <c r="J968" s="387" t="s">
        <v>7035</v>
      </c>
      <c r="K968" s="387" t="s">
        <v>7036</v>
      </c>
      <c r="L968" s="387" t="s">
        <v>3128</v>
      </c>
      <c r="M968" s="387" t="s">
        <v>3129</v>
      </c>
      <c r="N968" s="388">
        <v>439.66</v>
      </c>
      <c r="O968" s="388">
        <v>14</v>
      </c>
      <c r="P968" s="387" t="s">
        <v>611</v>
      </c>
      <c r="Q968" s="387" t="s">
        <v>160</v>
      </c>
      <c r="R968" s="387" t="s">
        <v>7037</v>
      </c>
      <c r="S968" s="387" t="s">
        <v>614</v>
      </c>
      <c r="T968" s="387" t="s">
        <v>160</v>
      </c>
      <c r="U968" s="388">
        <v>38190</v>
      </c>
      <c r="V968" s="387">
        <v>6006118000424</v>
      </c>
      <c r="W968" s="387">
        <v>6006118000424</v>
      </c>
      <c r="X968" s="387" t="s">
        <v>543</v>
      </c>
      <c r="Y968" s="387">
        <v>60061180004242</v>
      </c>
      <c r="Z968" s="387" t="s">
        <v>543</v>
      </c>
      <c r="AA968" s="388" t="s">
        <v>543</v>
      </c>
      <c r="AB968" s="388" t="s">
        <v>543</v>
      </c>
      <c r="AC968" s="387">
        <v>714238002</v>
      </c>
      <c r="AD968" s="389" t="s">
        <v>7038</v>
      </c>
      <c r="AE968" s="390">
        <v>45047</v>
      </c>
      <c r="AF968" s="390">
        <v>46142</v>
      </c>
      <c r="AG968" s="391" t="s">
        <v>545</v>
      </c>
      <c r="AH968" s="391" t="s">
        <v>7039</v>
      </c>
      <c r="AI968" s="391" t="s">
        <v>3131</v>
      </c>
      <c r="AJ968" s="391">
        <v>0</v>
      </c>
      <c r="AK968" s="390">
        <v>45047</v>
      </c>
      <c r="AL968" s="389">
        <v>100</v>
      </c>
      <c r="AM968" s="391" t="s">
        <v>548</v>
      </c>
      <c r="AN968" s="391" t="s">
        <v>549</v>
      </c>
      <c r="AO968" s="391" t="s">
        <v>7040</v>
      </c>
    </row>
    <row r="969" spans="1:41" ht="16" thickBot="1">
      <c r="A969" s="387" t="s">
        <v>1717</v>
      </c>
      <c r="B969" s="387" t="s">
        <v>7041</v>
      </c>
      <c r="C969" s="387" t="s">
        <v>7042</v>
      </c>
      <c r="D969" s="387" t="s">
        <v>7043</v>
      </c>
      <c r="E969" s="387">
        <v>30</v>
      </c>
      <c r="F969" s="387" t="s">
        <v>559</v>
      </c>
      <c r="G969" s="387">
        <v>30</v>
      </c>
      <c r="H969" s="387" t="s">
        <v>559</v>
      </c>
      <c r="I969" s="387" t="s">
        <v>560</v>
      </c>
      <c r="J969" s="387" t="s">
        <v>7035</v>
      </c>
      <c r="K969" s="387" t="s">
        <v>7044</v>
      </c>
      <c r="L969" s="387" t="s">
        <v>3128</v>
      </c>
      <c r="M969" s="387" t="s">
        <v>3129</v>
      </c>
      <c r="N969" s="388">
        <v>615.52</v>
      </c>
      <c r="O969" s="388">
        <v>14</v>
      </c>
      <c r="P969" s="387" t="s">
        <v>611</v>
      </c>
      <c r="Q969" s="387" t="s">
        <v>160</v>
      </c>
      <c r="R969" s="387" t="s">
        <v>7037</v>
      </c>
      <c r="S969" s="387" t="s">
        <v>614</v>
      </c>
      <c r="T969" s="387" t="s">
        <v>160</v>
      </c>
      <c r="U969" s="388">
        <v>2428</v>
      </c>
      <c r="V969" s="387" t="s">
        <v>543</v>
      </c>
      <c r="W969" s="387" t="s">
        <v>543</v>
      </c>
      <c r="X969" s="387" t="s">
        <v>543</v>
      </c>
      <c r="Y969" s="387" t="s">
        <v>543</v>
      </c>
      <c r="Z969" s="387" t="s">
        <v>543</v>
      </c>
      <c r="AA969" s="388" t="s">
        <v>543</v>
      </c>
      <c r="AB969" s="388" t="s">
        <v>543</v>
      </c>
      <c r="AC969" s="387" t="s">
        <v>543</v>
      </c>
      <c r="AD969" s="389" t="s">
        <v>7045</v>
      </c>
      <c r="AE969" s="390">
        <v>45047</v>
      </c>
      <c r="AF969" s="390">
        <v>46142</v>
      </c>
      <c r="AG969" s="391" t="s">
        <v>545</v>
      </c>
      <c r="AH969" s="391" t="s">
        <v>7046</v>
      </c>
      <c r="AI969" s="391" t="s">
        <v>3131</v>
      </c>
      <c r="AJ969" s="391">
        <v>0</v>
      </c>
      <c r="AK969" s="390">
        <v>45047</v>
      </c>
      <c r="AL969" s="389">
        <v>100</v>
      </c>
      <c r="AM969" s="391" t="s">
        <v>548</v>
      </c>
      <c r="AN969" s="391" t="s">
        <v>549</v>
      </c>
      <c r="AO969" s="391" t="s">
        <v>7047</v>
      </c>
    </row>
    <row r="970" spans="1:41" ht="16" thickBot="1">
      <c r="A970" s="387" t="s">
        <v>1717</v>
      </c>
      <c r="B970" s="387" t="s">
        <v>7048</v>
      </c>
      <c r="C970" s="387" t="s">
        <v>7049</v>
      </c>
      <c r="D970" s="387" t="s">
        <v>7050</v>
      </c>
      <c r="E970" s="387">
        <v>30</v>
      </c>
      <c r="F970" s="387" t="s">
        <v>559</v>
      </c>
      <c r="G970" s="387">
        <v>30</v>
      </c>
      <c r="H970" s="387" t="s">
        <v>559</v>
      </c>
      <c r="I970" s="387" t="s">
        <v>560</v>
      </c>
      <c r="J970" s="387" t="s">
        <v>7035</v>
      </c>
      <c r="K970" s="387" t="s">
        <v>7051</v>
      </c>
      <c r="L970" s="387" t="s">
        <v>3128</v>
      </c>
      <c r="M970" s="387" t="s">
        <v>3129</v>
      </c>
      <c r="N970" s="388">
        <v>410.35</v>
      </c>
      <c r="O970" s="388">
        <v>14</v>
      </c>
      <c r="P970" s="387" t="s">
        <v>611</v>
      </c>
      <c r="Q970" s="387" t="s">
        <v>160</v>
      </c>
      <c r="R970" s="387" t="s">
        <v>7037</v>
      </c>
      <c r="S970" s="387" t="s">
        <v>614</v>
      </c>
      <c r="T970" s="387" t="s">
        <v>160</v>
      </c>
      <c r="U970" s="388">
        <v>17220</v>
      </c>
      <c r="V970" s="387" t="s">
        <v>543</v>
      </c>
      <c r="W970" s="387" t="s">
        <v>543</v>
      </c>
      <c r="X970" s="387" t="s">
        <v>543</v>
      </c>
      <c r="Y970" s="387" t="s">
        <v>543</v>
      </c>
      <c r="Z970" s="387" t="s">
        <v>543</v>
      </c>
      <c r="AA970" s="388" t="s">
        <v>543</v>
      </c>
      <c r="AB970" s="388" t="s">
        <v>543</v>
      </c>
      <c r="AC970" s="387" t="s">
        <v>543</v>
      </c>
      <c r="AD970" s="389" t="s">
        <v>7052</v>
      </c>
      <c r="AE970" s="390">
        <v>45047</v>
      </c>
      <c r="AF970" s="390">
        <v>46142</v>
      </c>
      <c r="AG970" s="391" t="s">
        <v>545</v>
      </c>
      <c r="AH970" s="391" t="s">
        <v>7053</v>
      </c>
      <c r="AI970" s="391" t="s">
        <v>3131</v>
      </c>
      <c r="AJ970" s="391">
        <v>0</v>
      </c>
      <c r="AK970" s="390">
        <v>45047</v>
      </c>
      <c r="AL970" s="389">
        <v>100</v>
      </c>
      <c r="AM970" s="391" t="s">
        <v>548</v>
      </c>
      <c r="AN970" s="391" t="s">
        <v>549</v>
      </c>
      <c r="AO970" s="391" t="s">
        <v>7054</v>
      </c>
    </row>
    <row r="971" spans="1:41" ht="16" thickBot="1">
      <c r="A971" s="387" t="s">
        <v>1748</v>
      </c>
      <c r="B971" s="387" t="s">
        <v>4313</v>
      </c>
      <c r="C971" s="387" t="s">
        <v>7055</v>
      </c>
      <c r="D971" s="387" t="s">
        <v>7056</v>
      </c>
      <c r="E971" s="387">
        <v>5</v>
      </c>
      <c r="F971" s="387" t="s">
        <v>531</v>
      </c>
      <c r="G971" s="387">
        <v>5</v>
      </c>
      <c r="H971" s="387" t="s">
        <v>531</v>
      </c>
      <c r="I971" s="387" t="s">
        <v>1751</v>
      </c>
      <c r="J971" s="387" t="s">
        <v>7057</v>
      </c>
      <c r="K971" s="387" t="s">
        <v>7058</v>
      </c>
      <c r="L971" s="387" t="s">
        <v>1955</v>
      </c>
      <c r="M971" s="387" t="s">
        <v>1956</v>
      </c>
      <c r="N971" s="388">
        <v>33.93</v>
      </c>
      <c r="O971" s="388">
        <v>14</v>
      </c>
      <c r="P971" s="387" t="s">
        <v>538</v>
      </c>
      <c r="Q971" s="387" t="s">
        <v>539</v>
      </c>
      <c r="R971" s="387" t="s">
        <v>7059</v>
      </c>
      <c r="S971" s="387" t="s">
        <v>541</v>
      </c>
      <c r="T971" s="387" t="s">
        <v>160</v>
      </c>
      <c r="U971" s="388">
        <v>777100</v>
      </c>
      <c r="V971" s="387" t="s">
        <v>543</v>
      </c>
      <c r="W971" s="387" t="s">
        <v>543</v>
      </c>
      <c r="X971" s="387" t="s">
        <v>543</v>
      </c>
      <c r="Y971" s="387" t="s">
        <v>543</v>
      </c>
      <c r="Z971" s="387" t="s">
        <v>543</v>
      </c>
      <c r="AA971" s="388" t="s">
        <v>543</v>
      </c>
      <c r="AB971" s="388" t="s">
        <v>543</v>
      </c>
      <c r="AC971" s="387" t="s">
        <v>543</v>
      </c>
      <c r="AD971" s="389" t="s">
        <v>5011</v>
      </c>
      <c r="AE971" s="390">
        <v>44317</v>
      </c>
      <c r="AF971" s="390">
        <v>45412</v>
      </c>
      <c r="AG971" s="390">
        <v>45412</v>
      </c>
      <c r="AH971" s="391" t="s">
        <v>7060</v>
      </c>
      <c r="AI971" s="391" t="s">
        <v>1959</v>
      </c>
      <c r="AJ971" s="391">
        <v>0</v>
      </c>
      <c r="AK971" s="390">
        <v>44317</v>
      </c>
      <c r="AL971" s="389">
        <v>100</v>
      </c>
      <c r="AM971" s="391" t="s">
        <v>548</v>
      </c>
      <c r="AN971" s="391" t="s">
        <v>549</v>
      </c>
      <c r="AO971" s="391" t="s">
        <v>7061</v>
      </c>
    </row>
    <row r="972" spans="1:41" ht="16" thickBot="1">
      <c r="A972" s="387" t="s">
        <v>1717</v>
      </c>
      <c r="B972" s="387" t="s">
        <v>7062</v>
      </c>
      <c r="C972" s="387" t="s">
        <v>7063</v>
      </c>
      <c r="D972" s="387" t="s">
        <v>7064</v>
      </c>
      <c r="E972" s="387">
        <v>28</v>
      </c>
      <c r="F972" s="387" t="s">
        <v>559</v>
      </c>
      <c r="G972" s="387">
        <v>28</v>
      </c>
      <c r="H972" s="387" t="s">
        <v>559</v>
      </c>
      <c r="I972" s="387" t="s">
        <v>560</v>
      </c>
      <c r="J972" s="387" t="s">
        <v>7065</v>
      </c>
      <c r="K972" s="387" t="s">
        <v>7066</v>
      </c>
      <c r="L972" s="387" t="s">
        <v>2200</v>
      </c>
      <c r="M972" s="387" t="s">
        <v>2201</v>
      </c>
      <c r="N972" s="388">
        <v>7.55</v>
      </c>
      <c r="O972" s="388">
        <v>14</v>
      </c>
      <c r="P972" s="387" t="s">
        <v>538</v>
      </c>
      <c r="Q972" s="387" t="s">
        <v>539</v>
      </c>
      <c r="R972" s="387" t="s">
        <v>7067</v>
      </c>
      <c r="S972" s="387" t="s">
        <v>171</v>
      </c>
      <c r="T972" s="387" t="s">
        <v>757</v>
      </c>
      <c r="U972" s="388">
        <v>1471080</v>
      </c>
      <c r="V972" s="387" t="s">
        <v>543</v>
      </c>
      <c r="W972" s="387" t="s">
        <v>543</v>
      </c>
      <c r="X972" s="387" t="s">
        <v>543</v>
      </c>
      <c r="Y972" s="387" t="s">
        <v>543</v>
      </c>
      <c r="Z972" s="387" t="s">
        <v>543</v>
      </c>
      <c r="AA972" s="388" t="s">
        <v>543</v>
      </c>
      <c r="AB972" s="388" t="s">
        <v>543</v>
      </c>
      <c r="AC972" s="387" t="s">
        <v>543</v>
      </c>
      <c r="AD972" s="389" t="s">
        <v>7068</v>
      </c>
      <c r="AE972" s="390">
        <v>45047</v>
      </c>
      <c r="AF972" s="390">
        <v>46142</v>
      </c>
      <c r="AG972" s="391" t="s">
        <v>545</v>
      </c>
      <c r="AH972" s="391" t="s">
        <v>7069</v>
      </c>
      <c r="AI972" s="391" t="s">
        <v>2203</v>
      </c>
      <c r="AJ972" s="391">
        <v>0</v>
      </c>
      <c r="AK972" s="390">
        <v>45047</v>
      </c>
      <c r="AL972" s="389">
        <v>100</v>
      </c>
      <c r="AM972" s="391" t="s">
        <v>548</v>
      </c>
      <c r="AN972" s="391" t="s">
        <v>549</v>
      </c>
      <c r="AO972" s="391" t="s">
        <v>7070</v>
      </c>
    </row>
    <row r="973" spans="1:41" ht="16" thickBot="1">
      <c r="A973" s="387" t="s">
        <v>1717</v>
      </c>
      <c r="B973" s="387" t="s">
        <v>7071</v>
      </c>
      <c r="C973" s="387" t="s">
        <v>7072</v>
      </c>
      <c r="D973" s="387" t="s">
        <v>7073</v>
      </c>
      <c r="E973" s="387">
        <v>28</v>
      </c>
      <c r="F973" s="387" t="s">
        <v>559</v>
      </c>
      <c r="G973" s="387">
        <v>28</v>
      </c>
      <c r="H973" s="387" t="s">
        <v>559</v>
      </c>
      <c r="I973" s="387" t="s">
        <v>560</v>
      </c>
      <c r="J973" s="387" t="s">
        <v>7065</v>
      </c>
      <c r="K973" s="387" t="s">
        <v>7074</v>
      </c>
      <c r="L973" s="387" t="s">
        <v>2200</v>
      </c>
      <c r="M973" s="387" t="s">
        <v>2201</v>
      </c>
      <c r="N973" s="388">
        <v>6.25</v>
      </c>
      <c r="O973" s="388">
        <v>14</v>
      </c>
      <c r="P973" s="387" t="s">
        <v>538</v>
      </c>
      <c r="Q973" s="387" t="s">
        <v>539</v>
      </c>
      <c r="R973" s="387" t="s">
        <v>7067</v>
      </c>
      <c r="S973" s="387" t="s">
        <v>171</v>
      </c>
      <c r="T973" s="387" t="s">
        <v>542</v>
      </c>
      <c r="U973" s="388">
        <v>1330552</v>
      </c>
      <c r="V973" s="387" t="s">
        <v>543</v>
      </c>
      <c r="W973" s="387" t="s">
        <v>543</v>
      </c>
      <c r="X973" s="387" t="s">
        <v>543</v>
      </c>
      <c r="Y973" s="387" t="s">
        <v>543</v>
      </c>
      <c r="Z973" s="387" t="s">
        <v>543</v>
      </c>
      <c r="AA973" s="388" t="s">
        <v>543</v>
      </c>
      <c r="AB973" s="388" t="s">
        <v>543</v>
      </c>
      <c r="AC973" s="387" t="s">
        <v>543</v>
      </c>
      <c r="AD973" s="389" t="s">
        <v>7075</v>
      </c>
      <c r="AE973" s="390">
        <v>45047</v>
      </c>
      <c r="AF973" s="390">
        <v>46142</v>
      </c>
      <c r="AG973" s="391" t="s">
        <v>545</v>
      </c>
      <c r="AH973" s="391" t="s">
        <v>7076</v>
      </c>
      <c r="AI973" s="391" t="s">
        <v>2203</v>
      </c>
      <c r="AJ973" s="391">
        <v>0</v>
      </c>
      <c r="AK973" s="390">
        <v>45047</v>
      </c>
      <c r="AL973" s="389">
        <v>100</v>
      </c>
      <c r="AM973" s="391" t="s">
        <v>548</v>
      </c>
      <c r="AN973" s="391" t="s">
        <v>549</v>
      </c>
      <c r="AO973" s="391" t="s">
        <v>7077</v>
      </c>
    </row>
    <row r="974" spans="1:41" ht="16" thickBot="1">
      <c r="A974" s="387" t="s">
        <v>1729</v>
      </c>
      <c r="B974" s="387" t="s">
        <v>2830</v>
      </c>
      <c r="C974" s="387" t="s">
        <v>7078</v>
      </c>
      <c r="D974" s="387" t="s">
        <v>7079</v>
      </c>
      <c r="E974" s="387">
        <v>5</v>
      </c>
      <c r="F974" s="387" t="s">
        <v>2746</v>
      </c>
      <c r="G974" s="387">
        <v>5</v>
      </c>
      <c r="H974" s="387" t="s">
        <v>2746</v>
      </c>
      <c r="I974" s="387" t="s">
        <v>532</v>
      </c>
      <c r="J974" s="387" t="s">
        <v>7080</v>
      </c>
      <c r="K974" s="387" t="s">
        <v>3894</v>
      </c>
      <c r="L974" s="387" t="s">
        <v>3895</v>
      </c>
      <c r="M974" s="387" t="s">
        <v>3896</v>
      </c>
      <c r="N974" s="388">
        <v>172.89</v>
      </c>
      <c r="O974" s="388">
        <v>7</v>
      </c>
      <c r="P974" s="387" t="s">
        <v>379</v>
      </c>
      <c r="Q974" s="387" t="s">
        <v>160</v>
      </c>
      <c r="R974" s="387" t="s">
        <v>1745</v>
      </c>
      <c r="S974" s="387" t="s">
        <v>160</v>
      </c>
      <c r="T974" s="387" t="s">
        <v>160</v>
      </c>
      <c r="U974" s="388">
        <v>1440</v>
      </c>
      <c r="V974" s="387" t="s">
        <v>543</v>
      </c>
      <c r="W974" s="387" t="s">
        <v>543</v>
      </c>
      <c r="X974" s="387" t="s">
        <v>543</v>
      </c>
      <c r="Y974" s="387" t="s">
        <v>543</v>
      </c>
      <c r="Z974" s="387" t="s">
        <v>543</v>
      </c>
      <c r="AA974" s="388" t="s">
        <v>543</v>
      </c>
      <c r="AB974" s="388" t="s">
        <v>543</v>
      </c>
      <c r="AC974" s="387" t="s">
        <v>543</v>
      </c>
      <c r="AD974" s="389">
        <v>4</v>
      </c>
      <c r="AE974" s="390">
        <v>44105</v>
      </c>
      <c r="AF974" s="390">
        <v>45199</v>
      </c>
      <c r="AG974" s="390">
        <v>45199</v>
      </c>
      <c r="AH974" s="391" t="s">
        <v>7081</v>
      </c>
      <c r="AI974" s="391" t="s">
        <v>3898</v>
      </c>
      <c r="AJ974" s="391">
        <v>0</v>
      </c>
      <c r="AK974" s="390">
        <v>44105</v>
      </c>
      <c r="AL974" s="389">
        <v>100</v>
      </c>
      <c r="AM974" s="391" t="s">
        <v>548</v>
      </c>
      <c r="AN974" s="391" t="s">
        <v>545</v>
      </c>
      <c r="AO974" s="391" t="s">
        <v>7082</v>
      </c>
    </row>
    <row r="975" spans="1:41" ht="16" thickBot="1">
      <c r="A975" s="387" t="s">
        <v>2294</v>
      </c>
      <c r="B975" s="387" t="s">
        <v>3144</v>
      </c>
      <c r="C975" s="387" t="s">
        <v>7083</v>
      </c>
      <c r="D975" s="387" t="s">
        <v>7084</v>
      </c>
      <c r="E975" s="387">
        <v>60</v>
      </c>
      <c r="F975" s="387" t="s">
        <v>7085</v>
      </c>
      <c r="G975" s="387">
        <v>60</v>
      </c>
      <c r="H975" s="387" t="s">
        <v>7085</v>
      </c>
      <c r="I975" s="387" t="s">
        <v>4105</v>
      </c>
      <c r="J975" s="387" t="s">
        <v>7086</v>
      </c>
      <c r="K975" s="387" t="s">
        <v>7087</v>
      </c>
      <c r="L975" s="387" t="s">
        <v>1975</v>
      </c>
      <c r="M975" s="387" t="s">
        <v>1976</v>
      </c>
      <c r="N975" s="388">
        <v>98.52</v>
      </c>
      <c r="O975" s="388">
        <v>14</v>
      </c>
      <c r="P975" s="387" t="s">
        <v>538</v>
      </c>
      <c r="Q975" s="387" t="s">
        <v>539</v>
      </c>
      <c r="R975" s="387" t="s">
        <v>7088</v>
      </c>
      <c r="S975" s="387" t="s">
        <v>541</v>
      </c>
      <c r="T975" s="387" t="s">
        <v>542</v>
      </c>
      <c r="U975" s="388">
        <v>73306</v>
      </c>
      <c r="V975" s="387">
        <v>6003252092711</v>
      </c>
      <c r="W975" s="387">
        <v>6003252092711</v>
      </c>
      <c r="X975" s="387" t="s">
        <v>543</v>
      </c>
      <c r="Y975" s="387" t="s">
        <v>543</v>
      </c>
      <c r="Z975" s="387">
        <v>26003252092715</v>
      </c>
      <c r="AA975" s="388" t="s">
        <v>543</v>
      </c>
      <c r="AB975" s="388" t="s">
        <v>543</v>
      </c>
      <c r="AC975" s="387">
        <v>705722001</v>
      </c>
      <c r="AD975" s="389">
        <v>1</v>
      </c>
      <c r="AE975" s="390">
        <v>44013</v>
      </c>
      <c r="AF975" s="390">
        <v>45107</v>
      </c>
      <c r="AG975" s="390">
        <v>45107</v>
      </c>
      <c r="AH975" s="391" t="s">
        <v>7089</v>
      </c>
      <c r="AI975" s="391" t="s">
        <v>1979</v>
      </c>
      <c r="AJ975" s="391">
        <v>55</v>
      </c>
      <c r="AK975" s="390">
        <v>44774</v>
      </c>
      <c r="AL975" s="389">
        <v>100</v>
      </c>
      <c r="AM975" s="391" t="s">
        <v>548</v>
      </c>
      <c r="AN975" s="391" t="s">
        <v>545</v>
      </c>
      <c r="AO975" s="391" t="s">
        <v>7090</v>
      </c>
    </row>
    <row r="976" spans="1:41" ht="16" thickBot="1">
      <c r="A976" s="387" t="s">
        <v>2294</v>
      </c>
      <c r="B976" s="387" t="s">
        <v>2799</v>
      </c>
      <c r="C976" s="387" t="s">
        <v>7091</v>
      </c>
      <c r="D976" s="387" t="s">
        <v>7092</v>
      </c>
      <c r="E976" s="387">
        <v>200</v>
      </c>
      <c r="F976" s="387" t="s">
        <v>2405</v>
      </c>
      <c r="G976" s="387">
        <v>200</v>
      </c>
      <c r="H976" s="387" t="s">
        <v>2405</v>
      </c>
      <c r="I976" s="387" t="s">
        <v>2406</v>
      </c>
      <c r="J976" s="387" t="s">
        <v>7093</v>
      </c>
      <c r="K976" s="387" t="s">
        <v>7094</v>
      </c>
      <c r="L976" s="387" t="s">
        <v>1905</v>
      </c>
      <c r="M976" s="387" t="s">
        <v>1906</v>
      </c>
      <c r="N976" s="388">
        <v>20.170000000000002</v>
      </c>
      <c r="O976" s="388">
        <v>14</v>
      </c>
      <c r="P976" s="387" t="s">
        <v>538</v>
      </c>
      <c r="Q976" s="387" t="s">
        <v>539</v>
      </c>
      <c r="R976" s="387" t="s">
        <v>7095</v>
      </c>
      <c r="S976" s="387" t="s">
        <v>541</v>
      </c>
      <c r="T976" s="387" t="s">
        <v>542</v>
      </c>
      <c r="U976" s="388">
        <v>8599888</v>
      </c>
      <c r="V976" s="387">
        <v>6006823002690</v>
      </c>
      <c r="W976" s="387" t="s">
        <v>543</v>
      </c>
      <c r="X976" s="387" t="s">
        <v>543</v>
      </c>
      <c r="Y976" s="387">
        <v>16006823002690</v>
      </c>
      <c r="Z976" s="387" t="s">
        <v>543</v>
      </c>
      <c r="AA976" s="388" t="s">
        <v>543</v>
      </c>
      <c r="AB976" s="388" t="s">
        <v>543</v>
      </c>
      <c r="AC976" s="387" t="s">
        <v>543</v>
      </c>
      <c r="AD976" s="389">
        <v>1</v>
      </c>
      <c r="AE976" s="390">
        <v>44013</v>
      </c>
      <c r="AF976" s="390">
        <v>45107</v>
      </c>
      <c r="AG976" s="390">
        <v>45107</v>
      </c>
      <c r="AH976" s="391" t="s">
        <v>7096</v>
      </c>
      <c r="AI976" s="391" t="s">
        <v>1910</v>
      </c>
      <c r="AJ976" s="391">
        <v>69</v>
      </c>
      <c r="AK976" s="390">
        <v>45047</v>
      </c>
      <c r="AL976" s="389">
        <v>90</v>
      </c>
      <c r="AM976" s="391" t="s">
        <v>548</v>
      </c>
      <c r="AN976" s="391" t="s">
        <v>545</v>
      </c>
      <c r="AO976" s="391" t="s">
        <v>7097</v>
      </c>
    </row>
    <row r="977" spans="1:43" ht="16" thickBot="1">
      <c r="A977" s="387" t="s">
        <v>2294</v>
      </c>
      <c r="B977" s="387" t="s">
        <v>2799</v>
      </c>
      <c r="C977" s="387" t="s">
        <v>7091</v>
      </c>
      <c r="D977" s="387" t="s">
        <v>7092</v>
      </c>
      <c r="E977" s="387">
        <v>200</v>
      </c>
      <c r="F977" s="387" t="s">
        <v>2405</v>
      </c>
      <c r="G977" s="387">
        <v>200</v>
      </c>
      <c r="H977" s="387" t="s">
        <v>2405</v>
      </c>
      <c r="I977" s="387" t="s">
        <v>2406</v>
      </c>
      <c r="J977" s="387" t="s">
        <v>7093</v>
      </c>
      <c r="K977" s="387" t="s">
        <v>7098</v>
      </c>
      <c r="L977" s="387" t="s">
        <v>535</v>
      </c>
      <c r="M977" s="387" t="s">
        <v>536</v>
      </c>
      <c r="N977" s="388">
        <v>23.93</v>
      </c>
      <c r="O977" s="388">
        <v>14</v>
      </c>
      <c r="P977" s="387" t="s">
        <v>538</v>
      </c>
      <c r="Q977" s="387" t="s">
        <v>539</v>
      </c>
      <c r="R977" s="387" t="s">
        <v>7095</v>
      </c>
      <c r="S977" s="387" t="s">
        <v>541</v>
      </c>
      <c r="T977" s="387" t="s">
        <v>542</v>
      </c>
      <c r="U977" s="388">
        <v>955543</v>
      </c>
      <c r="V977" s="387">
        <v>6005591145325</v>
      </c>
      <c r="W977" s="387">
        <v>6005591145325</v>
      </c>
      <c r="X977" s="387" t="s">
        <v>543</v>
      </c>
      <c r="Y977" s="387">
        <v>16005591145325</v>
      </c>
      <c r="Z977" s="387" t="s">
        <v>543</v>
      </c>
      <c r="AA977" s="388" t="s">
        <v>543</v>
      </c>
      <c r="AB977" s="388" t="s">
        <v>543</v>
      </c>
      <c r="AC977" s="387">
        <v>711213001</v>
      </c>
      <c r="AD977" s="389">
        <v>120</v>
      </c>
      <c r="AE977" s="390">
        <v>44013</v>
      </c>
      <c r="AF977" s="390">
        <v>45107</v>
      </c>
      <c r="AG977" s="390">
        <v>45107</v>
      </c>
      <c r="AH977" s="391" t="s">
        <v>7096</v>
      </c>
      <c r="AI977" s="391" t="s">
        <v>547</v>
      </c>
      <c r="AJ977" s="391">
        <v>71</v>
      </c>
      <c r="AK977" s="390">
        <v>45047</v>
      </c>
      <c r="AL977" s="389">
        <v>10</v>
      </c>
      <c r="AM977" s="391" t="s">
        <v>548</v>
      </c>
      <c r="AN977" s="391" t="s">
        <v>545</v>
      </c>
      <c r="AO977" s="391" t="s">
        <v>7097</v>
      </c>
    </row>
    <row r="978" spans="1:43" ht="16" thickBot="1">
      <c r="A978" s="387" t="s">
        <v>2412</v>
      </c>
      <c r="B978" s="387" t="s">
        <v>3081</v>
      </c>
      <c r="C978" s="387" t="s">
        <v>7099</v>
      </c>
      <c r="D978" s="387" t="s">
        <v>7100</v>
      </c>
      <c r="E978" s="387">
        <v>120</v>
      </c>
      <c r="F978" s="387" t="s">
        <v>2405</v>
      </c>
      <c r="G978" s="387">
        <v>120</v>
      </c>
      <c r="H978" s="387" t="s">
        <v>2405</v>
      </c>
      <c r="I978" s="387" t="s">
        <v>2406</v>
      </c>
      <c r="J978" s="387" t="s">
        <v>7101</v>
      </c>
      <c r="K978" s="387" t="s">
        <v>7102</v>
      </c>
      <c r="L978" s="387" t="s">
        <v>675</v>
      </c>
      <c r="M978" s="387" t="s">
        <v>676</v>
      </c>
      <c r="N978" s="388">
        <v>108.54</v>
      </c>
      <c r="O978" s="388">
        <v>14</v>
      </c>
      <c r="P978" s="387" t="s">
        <v>538</v>
      </c>
      <c r="Q978" s="387" t="s">
        <v>160</v>
      </c>
      <c r="R978" s="387" t="s">
        <v>7103</v>
      </c>
      <c r="S978" s="387" t="s">
        <v>614</v>
      </c>
      <c r="T978" s="387" t="s">
        <v>542</v>
      </c>
      <c r="U978" s="388">
        <v>16860</v>
      </c>
      <c r="V978" s="387">
        <v>6006352014485</v>
      </c>
      <c r="W978" s="387">
        <v>6006352020677</v>
      </c>
      <c r="X978" s="387" t="s">
        <v>543</v>
      </c>
      <c r="Y978" s="387" t="s">
        <v>543</v>
      </c>
      <c r="Z978" s="387" t="s">
        <v>543</v>
      </c>
      <c r="AA978" s="388" t="s">
        <v>543</v>
      </c>
      <c r="AB978" s="388" t="s">
        <v>543</v>
      </c>
      <c r="AC978" s="387">
        <v>715191001</v>
      </c>
      <c r="AD978" s="389">
        <v>120</v>
      </c>
      <c r="AE978" s="390">
        <v>44137</v>
      </c>
      <c r="AF978" s="390">
        <v>45107</v>
      </c>
      <c r="AG978" s="390">
        <v>45107</v>
      </c>
      <c r="AH978" s="391" t="s">
        <v>7104</v>
      </c>
      <c r="AI978" s="391" t="s">
        <v>679</v>
      </c>
      <c r="AJ978" s="391">
        <v>3</v>
      </c>
      <c r="AK978" s="390">
        <v>45047</v>
      </c>
      <c r="AL978" s="389">
        <v>100</v>
      </c>
      <c r="AM978" s="391" t="s">
        <v>548</v>
      </c>
      <c r="AN978" s="391" t="s">
        <v>545</v>
      </c>
      <c r="AO978" s="391" t="s">
        <v>7105</v>
      </c>
    </row>
    <row r="979" spans="1:43" ht="16" thickBot="1">
      <c r="A979" s="387" t="s">
        <v>2412</v>
      </c>
      <c r="B979" s="387" t="s">
        <v>3942</v>
      </c>
      <c r="C979" s="387" t="s">
        <v>7106</v>
      </c>
      <c r="D979" s="387" t="s">
        <v>7107</v>
      </c>
      <c r="E979" s="387">
        <v>120</v>
      </c>
      <c r="F979" s="387" t="s">
        <v>2405</v>
      </c>
      <c r="G979" s="387">
        <v>120</v>
      </c>
      <c r="H979" s="387" t="s">
        <v>7108</v>
      </c>
      <c r="I979" s="387" t="s">
        <v>2406</v>
      </c>
      <c r="J979" s="387" t="s">
        <v>7101</v>
      </c>
      <c r="K979" s="387" t="s">
        <v>7109</v>
      </c>
      <c r="L979" s="387" t="s">
        <v>675</v>
      </c>
      <c r="M979" s="387" t="s">
        <v>676</v>
      </c>
      <c r="N979" s="388">
        <v>57.46</v>
      </c>
      <c r="O979" s="388">
        <v>14</v>
      </c>
      <c r="P979" s="387" t="s">
        <v>538</v>
      </c>
      <c r="Q979" s="387" t="s">
        <v>160</v>
      </c>
      <c r="R979" s="387" t="s">
        <v>7103</v>
      </c>
      <c r="S979" s="387" t="s">
        <v>614</v>
      </c>
      <c r="T979" s="387" t="s">
        <v>542</v>
      </c>
      <c r="U979" s="388">
        <v>5736</v>
      </c>
      <c r="V979" s="387">
        <v>6006352014645</v>
      </c>
      <c r="W979" s="387">
        <v>6006352020653</v>
      </c>
      <c r="X979" s="387" t="s">
        <v>543</v>
      </c>
      <c r="Y979" s="387" t="s">
        <v>543</v>
      </c>
      <c r="Z979" s="387" t="s">
        <v>543</v>
      </c>
      <c r="AA979" s="388" t="s">
        <v>543</v>
      </c>
      <c r="AB979" s="388" t="s">
        <v>543</v>
      </c>
      <c r="AC979" s="387">
        <v>715189001</v>
      </c>
      <c r="AD979" s="389">
        <v>120</v>
      </c>
      <c r="AE979" s="390">
        <v>44137</v>
      </c>
      <c r="AF979" s="390">
        <v>45107</v>
      </c>
      <c r="AG979" s="390">
        <v>45107</v>
      </c>
      <c r="AH979" s="391" t="s">
        <v>7110</v>
      </c>
      <c r="AI979" s="391" t="s">
        <v>679</v>
      </c>
      <c r="AJ979" s="391">
        <v>3</v>
      </c>
      <c r="AK979" s="390">
        <v>45047</v>
      </c>
      <c r="AL979" s="389">
        <v>100</v>
      </c>
      <c r="AM979" s="391" t="s">
        <v>548</v>
      </c>
      <c r="AN979" s="391" t="s">
        <v>545</v>
      </c>
      <c r="AO979" s="391" t="s">
        <v>7111</v>
      </c>
    </row>
    <row r="980" spans="1:43" ht="16" thickBot="1">
      <c r="A980" s="387" t="s">
        <v>2177</v>
      </c>
      <c r="B980" s="387" t="s">
        <v>4166</v>
      </c>
      <c r="C980" s="387" t="s">
        <v>7112</v>
      </c>
      <c r="D980" s="387" t="s">
        <v>7113</v>
      </c>
      <c r="E980" s="387">
        <v>50</v>
      </c>
      <c r="F980" s="387" t="s">
        <v>531</v>
      </c>
      <c r="G980" s="387">
        <v>15</v>
      </c>
      <c r="H980" s="387" t="s">
        <v>531</v>
      </c>
      <c r="I980" s="387" t="s">
        <v>744</v>
      </c>
      <c r="J980" s="387" t="s">
        <v>7114</v>
      </c>
      <c r="K980" s="387" t="s">
        <v>7115</v>
      </c>
      <c r="L980" s="387" t="s">
        <v>7116</v>
      </c>
      <c r="M980" s="387" t="s">
        <v>7117</v>
      </c>
      <c r="N980" s="388">
        <v>52.61</v>
      </c>
      <c r="O980" s="388">
        <v>14</v>
      </c>
      <c r="P980" s="387" t="s">
        <v>538</v>
      </c>
      <c r="Q980" s="387" t="s">
        <v>539</v>
      </c>
      <c r="R980" s="387" t="s">
        <v>7118</v>
      </c>
      <c r="S980" s="387" t="s">
        <v>614</v>
      </c>
      <c r="T980" s="387" t="s">
        <v>542</v>
      </c>
      <c r="U980" s="388">
        <v>511095</v>
      </c>
      <c r="V980" s="387">
        <v>6001127043578</v>
      </c>
      <c r="W980" s="387" t="s">
        <v>543</v>
      </c>
      <c r="X980" s="387" t="s">
        <v>543</v>
      </c>
      <c r="Y980" s="387">
        <v>16001127500313</v>
      </c>
      <c r="Z980" s="387" t="s">
        <v>543</v>
      </c>
      <c r="AA980" s="388" t="s">
        <v>543</v>
      </c>
      <c r="AB980" s="388" t="s">
        <v>543</v>
      </c>
      <c r="AC980" s="387">
        <v>763179019</v>
      </c>
      <c r="AD980" s="389">
        <v>96</v>
      </c>
      <c r="AE980" s="390">
        <v>44013</v>
      </c>
      <c r="AF980" s="390">
        <v>45107</v>
      </c>
      <c r="AG980" s="390">
        <v>45107</v>
      </c>
      <c r="AH980" s="391" t="s">
        <v>7119</v>
      </c>
      <c r="AI980" s="391" t="s">
        <v>7120</v>
      </c>
      <c r="AJ980" s="391">
        <v>44</v>
      </c>
      <c r="AK980" s="390">
        <v>44774</v>
      </c>
      <c r="AL980" s="389">
        <v>100</v>
      </c>
      <c r="AM980" s="391" t="s">
        <v>548</v>
      </c>
      <c r="AN980" s="391" t="s">
        <v>545</v>
      </c>
      <c r="AO980" s="391" t="s">
        <v>7121</v>
      </c>
    </row>
    <row r="981" spans="1:43" ht="16" thickBot="1">
      <c r="A981" s="387" t="s">
        <v>1717</v>
      </c>
      <c r="B981" s="387" t="s">
        <v>7122</v>
      </c>
      <c r="C981" s="387" t="s">
        <v>7123</v>
      </c>
      <c r="D981" s="387" t="s">
        <v>7124</v>
      </c>
      <c r="E981" s="387">
        <v>20</v>
      </c>
      <c r="F981" s="387" t="s">
        <v>559</v>
      </c>
      <c r="G981" s="387">
        <v>20</v>
      </c>
      <c r="H981" s="387" t="s">
        <v>559</v>
      </c>
      <c r="I981" s="387" t="s">
        <v>560</v>
      </c>
      <c r="J981" s="387" t="s">
        <v>7125</v>
      </c>
      <c r="K981" s="387" t="s">
        <v>7126</v>
      </c>
      <c r="L981" s="387" t="s">
        <v>2046</v>
      </c>
      <c r="M981" s="387" t="s">
        <v>2047</v>
      </c>
      <c r="N981" s="388">
        <v>4.5999999999999996</v>
      </c>
      <c r="O981" s="388">
        <v>14</v>
      </c>
      <c r="P981" s="387" t="s">
        <v>538</v>
      </c>
      <c r="Q981" s="387" t="s">
        <v>539</v>
      </c>
      <c r="R981" s="387" t="s">
        <v>7127</v>
      </c>
      <c r="S981" s="387" t="s">
        <v>171</v>
      </c>
      <c r="T981" s="387" t="s">
        <v>542</v>
      </c>
      <c r="U981" s="388">
        <v>2980530</v>
      </c>
      <c r="V981" s="387">
        <v>6006352002350</v>
      </c>
      <c r="W981" s="387">
        <v>6006352002369</v>
      </c>
      <c r="X981" s="387" t="s">
        <v>543</v>
      </c>
      <c r="Y981" s="387">
        <v>6006352010296</v>
      </c>
      <c r="Z981" s="387" t="s">
        <v>543</v>
      </c>
      <c r="AA981" s="388" t="s">
        <v>543</v>
      </c>
      <c r="AB981" s="388" t="s">
        <v>543</v>
      </c>
      <c r="AC981" s="387">
        <v>868078034</v>
      </c>
      <c r="AD981" s="389">
        <v>480</v>
      </c>
      <c r="AE981" s="390">
        <v>45047</v>
      </c>
      <c r="AF981" s="390">
        <v>46142</v>
      </c>
      <c r="AG981" s="391" t="s">
        <v>545</v>
      </c>
      <c r="AH981" s="391" t="s">
        <v>7128</v>
      </c>
      <c r="AI981" s="391" t="s">
        <v>2050</v>
      </c>
      <c r="AJ981" s="391">
        <v>0</v>
      </c>
      <c r="AK981" s="390">
        <v>45047</v>
      </c>
      <c r="AL981" s="389">
        <v>100</v>
      </c>
      <c r="AM981" s="391" t="s">
        <v>548</v>
      </c>
      <c r="AN981" s="391" t="s">
        <v>549</v>
      </c>
      <c r="AO981" s="391" t="s">
        <v>7129</v>
      </c>
    </row>
    <row r="982" spans="1:43" ht="16" thickBot="1">
      <c r="A982" s="387" t="s">
        <v>1729</v>
      </c>
      <c r="B982" s="387" t="s">
        <v>3214</v>
      </c>
      <c r="C982" s="387" t="s">
        <v>7130</v>
      </c>
      <c r="D982" s="387" t="s">
        <v>7131</v>
      </c>
      <c r="E982" s="387">
        <v>250</v>
      </c>
      <c r="F982" s="387" t="s">
        <v>531</v>
      </c>
      <c r="G982" s="387">
        <v>250</v>
      </c>
      <c r="H982" s="387" t="s">
        <v>531</v>
      </c>
      <c r="I982" s="387" t="s">
        <v>1732</v>
      </c>
      <c r="J982" s="387" t="s">
        <v>7132</v>
      </c>
      <c r="K982" s="387" t="s">
        <v>7133</v>
      </c>
      <c r="L982" s="387" t="s">
        <v>2704</v>
      </c>
      <c r="M982" s="387" t="s">
        <v>2705</v>
      </c>
      <c r="N982" s="388">
        <v>901.49</v>
      </c>
      <c r="O982" s="388">
        <v>14</v>
      </c>
      <c r="P982" s="387" t="s">
        <v>538</v>
      </c>
      <c r="Q982" s="387" t="s">
        <v>539</v>
      </c>
      <c r="R982" s="387" t="s">
        <v>7134</v>
      </c>
      <c r="S982" s="387" t="s">
        <v>541</v>
      </c>
      <c r="T982" s="387" t="s">
        <v>757</v>
      </c>
      <c r="U982" s="388">
        <v>97650</v>
      </c>
      <c r="V982" s="387">
        <v>6006963452601</v>
      </c>
      <c r="W982" s="387">
        <v>606110913560</v>
      </c>
      <c r="X982" s="387" t="s">
        <v>543</v>
      </c>
      <c r="Y982" s="387">
        <v>606110913577</v>
      </c>
      <c r="Z982" s="387" t="s">
        <v>543</v>
      </c>
      <c r="AA982" s="388" t="s">
        <v>543</v>
      </c>
      <c r="AB982" s="388" t="s">
        <v>543</v>
      </c>
      <c r="AC982" s="387">
        <v>709325001</v>
      </c>
      <c r="AD982" s="389">
        <v>72</v>
      </c>
      <c r="AE982" s="390">
        <v>44105</v>
      </c>
      <c r="AF982" s="390">
        <v>45199</v>
      </c>
      <c r="AG982" s="390">
        <v>45199</v>
      </c>
      <c r="AH982" s="391" t="s">
        <v>7135</v>
      </c>
      <c r="AI982" s="391" t="s">
        <v>2708</v>
      </c>
      <c r="AJ982" s="391">
        <v>14</v>
      </c>
      <c r="AK982" s="390">
        <v>44866</v>
      </c>
      <c r="AL982" s="389">
        <v>100</v>
      </c>
      <c r="AM982" s="391" t="s">
        <v>548</v>
      </c>
      <c r="AN982" s="391" t="s">
        <v>545</v>
      </c>
      <c r="AO982" s="391" t="s">
        <v>7136</v>
      </c>
    </row>
    <row r="983" spans="1:43" ht="16" thickBot="1">
      <c r="A983" s="387" t="s">
        <v>1717</v>
      </c>
      <c r="B983" s="387" t="s">
        <v>7137</v>
      </c>
      <c r="C983" s="387" t="s">
        <v>7138</v>
      </c>
      <c r="D983" s="387" t="s">
        <v>7139</v>
      </c>
      <c r="E983" s="387">
        <v>90</v>
      </c>
      <c r="F983" s="387" t="s">
        <v>559</v>
      </c>
      <c r="G983" s="387">
        <v>90</v>
      </c>
      <c r="H983" s="387" t="s">
        <v>559</v>
      </c>
      <c r="I983" s="387" t="s">
        <v>560</v>
      </c>
      <c r="J983" s="387" t="s">
        <v>7140</v>
      </c>
      <c r="K983" s="387" t="s">
        <v>7141</v>
      </c>
      <c r="L983" s="387" t="s">
        <v>562</v>
      </c>
      <c r="M983" s="387" t="s">
        <v>563</v>
      </c>
      <c r="N983" s="388">
        <v>2465.11</v>
      </c>
      <c r="O983" s="388">
        <v>14</v>
      </c>
      <c r="P983" s="387" t="s">
        <v>611</v>
      </c>
      <c r="Q983" s="387" t="s">
        <v>612</v>
      </c>
      <c r="R983" s="387" t="s">
        <v>7142</v>
      </c>
      <c r="S983" s="387" t="s">
        <v>614</v>
      </c>
      <c r="T983" s="387" t="s">
        <v>160</v>
      </c>
      <c r="U983" s="388">
        <v>7225</v>
      </c>
      <c r="V983" s="387" t="s">
        <v>543</v>
      </c>
      <c r="W983" s="387" t="s">
        <v>543</v>
      </c>
      <c r="X983" s="387" t="s">
        <v>543</v>
      </c>
      <c r="Y983" s="387" t="s">
        <v>543</v>
      </c>
      <c r="Z983" s="387" t="s">
        <v>543</v>
      </c>
      <c r="AA983" s="388" t="s">
        <v>543</v>
      </c>
      <c r="AB983" s="388" t="s">
        <v>543</v>
      </c>
      <c r="AC983" s="387" t="s">
        <v>543</v>
      </c>
      <c r="AD983" s="389">
        <v>10</v>
      </c>
      <c r="AE983" s="390">
        <v>45047</v>
      </c>
      <c r="AF983" s="390">
        <v>46142</v>
      </c>
      <c r="AG983" s="390">
        <v>46142</v>
      </c>
      <c r="AH983" s="391" t="s">
        <v>7143</v>
      </c>
      <c r="AI983" s="391" t="s">
        <v>565</v>
      </c>
      <c r="AJ983" s="391">
        <v>0</v>
      </c>
      <c r="AK983" s="390">
        <v>45047</v>
      </c>
      <c r="AL983" s="389">
        <v>100</v>
      </c>
      <c r="AM983" s="391" t="s">
        <v>548</v>
      </c>
      <c r="AN983" s="391" t="s">
        <v>549</v>
      </c>
      <c r="AO983" s="391" t="s">
        <v>7144</v>
      </c>
    </row>
    <row r="984" spans="1:43" ht="16" thickBot="1">
      <c r="A984" s="387" t="s">
        <v>1766</v>
      </c>
      <c r="B984" s="387" t="s">
        <v>4224</v>
      </c>
      <c r="C984" s="387" t="s">
        <v>7145</v>
      </c>
      <c r="D984" s="387" t="s">
        <v>7146</v>
      </c>
      <c r="E984" s="387">
        <v>250</v>
      </c>
      <c r="F984" s="387" t="s">
        <v>2180</v>
      </c>
      <c r="G984" s="387">
        <v>250</v>
      </c>
      <c r="H984" s="387" t="s">
        <v>2180</v>
      </c>
      <c r="I984" s="387" t="s">
        <v>2181</v>
      </c>
      <c r="J984" s="387" t="s">
        <v>7147</v>
      </c>
      <c r="K984" s="387" t="s">
        <v>7148</v>
      </c>
      <c r="L984" s="387" t="s">
        <v>1905</v>
      </c>
      <c r="M984" s="387" t="s">
        <v>1906</v>
      </c>
      <c r="N984" s="388">
        <v>55.11</v>
      </c>
      <c r="O984" s="388">
        <v>14</v>
      </c>
      <c r="P984" s="387" t="s">
        <v>538</v>
      </c>
      <c r="Q984" s="387" t="s">
        <v>539</v>
      </c>
      <c r="R984" s="387" t="s">
        <v>7149</v>
      </c>
      <c r="S984" s="387" t="s">
        <v>171</v>
      </c>
      <c r="T984" s="387" t="s">
        <v>757</v>
      </c>
      <c r="U984" s="388">
        <v>36140</v>
      </c>
      <c r="V984" s="387">
        <v>6006823000023</v>
      </c>
      <c r="W984" s="387">
        <v>6006823000023</v>
      </c>
      <c r="X984" s="387" t="s">
        <v>543</v>
      </c>
      <c r="Y984" s="387">
        <v>16006823001140</v>
      </c>
      <c r="Z984" s="387" t="s">
        <v>543</v>
      </c>
      <c r="AA984" s="388" t="s">
        <v>543</v>
      </c>
      <c r="AB984" s="388" t="s">
        <v>543</v>
      </c>
      <c r="AC984" s="387" t="s">
        <v>7150</v>
      </c>
      <c r="AD984" s="389">
        <v>1</v>
      </c>
      <c r="AE984" s="390">
        <v>44470</v>
      </c>
      <c r="AF984" s="390">
        <v>45199</v>
      </c>
      <c r="AG984" s="390">
        <v>45199</v>
      </c>
      <c r="AH984" s="391" t="s">
        <v>7151</v>
      </c>
      <c r="AI984" s="391" t="s">
        <v>1910</v>
      </c>
      <c r="AJ984" s="391">
        <v>15</v>
      </c>
      <c r="AK984" s="390">
        <v>45047</v>
      </c>
      <c r="AL984" s="389">
        <v>100</v>
      </c>
      <c r="AM984" s="391" t="s">
        <v>548</v>
      </c>
      <c r="AN984" s="391" t="s">
        <v>549</v>
      </c>
      <c r="AO984" s="391" t="s">
        <v>7152</v>
      </c>
    </row>
    <row r="985" spans="1:43" ht="16" thickBot="1">
      <c r="A985" s="387" t="s">
        <v>1766</v>
      </c>
      <c r="B985" s="387" t="s">
        <v>4269</v>
      </c>
      <c r="C985" s="387" t="s">
        <v>7153</v>
      </c>
      <c r="D985" s="387" t="s">
        <v>7154</v>
      </c>
      <c r="E985" s="387">
        <v>50</v>
      </c>
      <c r="F985" s="387" t="s">
        <v>2180</v>
      </c>
      <c r="G985" s="387">
        <v>50</v>
      </c>
      <c r="H985" s="387" t="s">
        <v>2180</v>
      </c>
      <c r="I985" s="387" t="s">
        <v>2181</v>
      </c>
      <c r="J985" s="387" t="s">
        <v>7147</v>
      </c>
      <c r="K985" s="387" t="s">
        <v>7155</v>
      </c>
      <c r="L985" s="387" t="s">
        <v>1905</v>
      </c>
      <c r="M985" s="387" t="s">
        <v>1906</v>
      </c>
      <c r="N985" s="388">
        <v>16.02</v>
      </c>
      <c r="O985" s="388">
        <v>14</v>
      </c>
      <c r="P985" s="387" t="s">
        <v>538</v>
      </c>
      <c r="Q985" s="387" t="s">
        <v>539</v>
      </c>
      <c r="R985" s="387" t="s">
        <v>7149</v>
      </c>
      <c r="S985" s="387" t="s">
        <v>171</v>
      </c>
      <c r="T985" s="387" t="s">
        <v>757</v>
      </c>
      <c r="U985" s="388">
        <v>228740</v>
      </c>
      <c r="V985" s="387">
        <v>6006823000016</v>
      </c>
      <c r="W985" s="387">
        <v>6006823000016</v>
      </c>
      <c r="X985" s="387" t="s">
        <v>543</v>
      </c>
      <c r="Y985" s="387">
        <v>16006823001157</v>
      </c>
      <c r="Z985" s="387" t="s">
        <v>543</v>
      </c>
      <c r="AA985" s="388" t="s">
        <v>543</v>
      </c>
      <c r="AB985" s="388" t="s">
        <v>543</v>
      </c>
      <c r="AC985" s="387" t="s">
        <v>7156</v>
      </c>
      <c r="AD985" s="389">
        <v>1</v>
      </c>
      <c r="AE985" s="390">
        <v>44470</v>
      </c>
      <c r="AF985" s="390">
        <v>45199</v>
      </c>
      <c r="AG985" s="390">
        <v>45199</v>
      </c>
      <c r="AH985" s="391" t="s">
        <v>7157</v>
      </c>
      <c r="AI985" s="391" t="s">
        <v>1910</v>
      </c>
      <c r="AJ985" s="391">
        <v>15</v>
      </c>
      <c r="AK985" s="390">
        <v>45047</v>
      </c>
      <c r="AL985" s="389">
        <v>100</v>
      </c>
      <c r="AM985" s="391" t="s">
        <v>548</v>
      </c>
      <c r="AN985" s="391" t="s">
        <v>549</v>
      </c>
      <c r="AO985" s="391" t="s">
        <v>7152</v>
      </c>
    </row>
    <row r="986" spans="1:43" ht="16" thickBot="1">
      <c r="A986" s="387" t="s">
        <v>1766</v>
      </c>
      <c r="B986" s="387" t="s">
        <v>4261</v>
      </c>
      <c r="C986" s="387" t="s">
        <v>7158</v>
      </c>
      <c r="D986" s="387" t="s">
        <v>7159</v>
      </c>
      <c r="E986" s="387">
        <v>500</v>
      </c>
      <c r="F986" s="387" t="s">
        <v>2180</v>
      </c>
      <c r="G986" s="387">
        <v>500</v>
      </c>
      <c r="H986" s="387" t="s">
        <v>2180</v>
      </c>
      <c r="I986" s="387" t="s">
        <v>2181</v>
      </c>
      <c r="J986" s="387" t="s">
        <v>7147</v>
      </c>
      <c r="K986" s="387" t="s">
        <v>7160</v>
      </c>
      <c r="L986" s="387" t="s">
        <v>1905</v>
      </c>
      <c r="M986" s="387" t="s">
        <v>1906</v>
      </c>
      <c r="N986" s="388">
        <v>97.59</v>
      </c>
      <c r="O986" s="388">
        <v>14</v>
      </c>
      <c r="P986" s="387" t="s">
        <v>538</v>
      </c>
      <c r="Q986" s="387" t="s">
        <v>539</v>
      </c>
      <c r="R986" s="387" t="s">
        <v>7149</v>
      </c>
      <c r="S986" s="387" t="s">
        <v>171</v>
      </c>
      <c r="T986" s="387" t="s">
        <v>757</v>
      </c>
      <c r="U986" s="388">
        <v>103260</v>
      </c>
      <c r="V986" s="387">
        <v>6006823000030</v>
      </c>
      <c r="W986" s="387">
        <v>6006823000030</v>
      </c>
      <c r="X986" s="387" t="s">
        <v>543</v>
      </c>
      <c r="Y986" s="387">
        <v>16006823001133</v>
      </c>
      <c r="Z986" s="387" t="s">
        <v>543</v>
      </c>
      <c r="AA986" s="388" t="s">
        <v>543</v>
      </c>
      <c r="AB986" s="388" t="s">
        <v>543</v>
      </c>
      <c r="AC986" s="387" t="s">
        <v>7161</v>
      </c>
      <c r="AD986" s="389">
        <v>1</v>
      </c>
      <c r="AE986" s="390">
        <v>44470</v>
      </c>
      <c r="AF986" s="390">
        <v>45199</v>
      </c>
      <c r="AG986" s="390">
        <v>45199</v>
      </c>
      <c r="AH986" s="391" t="s">
        <v>7162</v>
      </c>
      <c r="AI986" s="391" t="s">
        <v>1910</v>
      </c>
      <c r="AJ986" s="391">
        <v>15</v>
      </c>
      <c r="AK986" s="390">
        <v>45047</v>
      </c>
      <c r="AL986" s="389">
        <v>100</v>
      </c>
      <c r="AM986" s="391" t="s">
        <v>548</v>
      </c>
      <c r="AN986" s="391" t="s">
        <v>549</v>
      </c>
      <c r="AO986" s="391" t="s">
        <v>7152</v>
      </c>
    </row>
    <row r="987" spans="1:43" ht="16" thickBot="1">
      <c r="A987" s="387" t="s">
        <v>1717</v>
      </c>
      <c r="B987" s="387" t="s">
        <v>7163</v>
      </c>
      <c r="C987" s="387" t="s">
        <v>7164</v>
      </c>
      <c r="D987" s="387" t="s">
        <v>7165</v>
      </c>
      <c r="E987" s="387">
        <v>28</v>
      </c>
      <c r="F987" s="387" t="s">
        <v>559</v>
      </c>
      <c r="G987" s="387">
        <v>28</v>
      </c>
      <c r="H987" s="387" t="s">
        <v>559</v>
      </c>
      <c r="I987" s="387" t="s">
        <v>560</v>
      </c>
      <c r="J987" s="387" t="s">
        <v>7166</v>
      </c>
      <c r="K987" s="387" t="s">
        <v>7167</v>
      </c>
      <c r="L987" s="387" t="s">
        <v>5222</v>
      </c>
      <c r="M987" s="387" t="s">
        <v>5223</v>
      </c>
      <c r="N987" s="388">
        <v>5.07</v>
      </c>
      <c r="O987" s="388">
        <v>14</v>
      </c>
      <c r="P987" s="387" t="s">
        <v>538</v>
      </c>
      <c r="Q987" s="387" t="s">
        <v>539</v>
      </c>
      <c r="R987" s="387" t="s">
        <v>7168</v>
      </c>
      <c r="S987" s="387" t="s">
        <v>171</v>
      </c>
      <c r="T987" s="387" t="s">
        <v>542</v>
      </c>
      <c r="U987" s="388">
        <v>11443125</v>
      </c>
      <c r="V987" s="387" t="s">
        <v>543</v>
      </c>
      <c r="W987" s="387" t="s">
        <v>543</v>
      </c>
      <c r="X987" s="387" t="s">
        <v>543</v>
      </c>
      <c r="Y987" s="387" t="s">
        <v>543</v>
      </c>
      <c r="Z987" s="387" t="s">
        <v>543</v>
      </c>
      <c r="AA987" s="388" t="s">
        <v>543</v>
      </c>
      <c r="AB987" s="388" t="s">
        <v>543</v>
      </c>
      <c r="AC987" s="387" t="s">
        <v>543</v>
      </c>
      <c r="AD987" s="389">
        <v>200</v>
      </c>
      <c r="AE987" s="390">
        <v>45047</v>
      </c>
      <c r="AF987" s="390">
        <v>46142</v>
      </c>
      <c r="AG987" s="391" t="s">
        <v>545</v>
      </c>
      <c r="AH987" s="391" t="s">
        <v>7169</v>
      </c>
      <c r="AI987" s="391" t="s">
        <v>5226</v>
      </c>
      <c r="AJ987" s="391">
        <v>0</v>
      </c>
      <c r="AK987" s="390">
        <v>45047</v>
      </c>
      <c r="AL987" s="389">
        <v>33.369999999999997</v>
      </c>
      <c r="AM987" s="391" t="s">
        <v>548</v>
      </c>
      <c r="AN987" s="391" t="s">
        <v>549</v>
      </c>
      <c r="AO987" s="391" t="s">
        <v>7170</v>
      </c>
      <c r="AP987" s="372">
        <f t="shared" ref="AP987:AP989" si="28">N987/E987</f>
        <v>0.18107142857142858</v>
      </c>
      <c r="AQ987" s="372">
        <f>SUMPRODUCT(AP987:AP989,U987:U989)/SUM(U987:U989)</f>
        <v>0.1839316921343207</v>
      </c>
    </row>
    <row r="988" spans="1:43" ht="16" thickBot="1">
      <c r="A988" s="387" t="s">
        <v>1717</v>
      </c>
      <c r="B988" s="387" t="s">
        <v>7163</v>
      </c>
      <c r="C988" s="387" t="s">
        <v>7164</v>
      </c>
      <c r="D988" s="387" t="s">
        <v>7165</v>
      </c>
      <c r="E988" s="387">
        <v>28</v>
      </c>
      <c r="F988" s="387" t="s">
        <v>559</v>
      </c>
      <c r="G988" s="387">
        <v>28</v>
      </c>
      <c r="H988" s="387" t="s">
        <v>559</v>
      </c>
      <c r="I988" s="387" t="s">
        <v>560</v>
      </c>
      <c r="J988" s="387" t="s">
        <v>7166</v>
      </c>
      <c r="K988" s="387" t="s">
        <v>7171</v>
      </c>
      <c r="L988" s="387" t="s">
        <v>2046</v>
      </c>
      <c r="M988" s="387" t="s">
        <v>2047</v>
      </c>
      <c r="N988" s="388">
        <v>5.18</v>
      </c>
      <c r="O988" s="388">
        <v>14</v>
      </c>
      <c r="P988" s="387" t="s">
        <v>538</v>
      </c>
      <c r="Q988" s="387" t="s">
        <v>539</v>
      </c>
      <c r="R988" s="387" t="s">
        <v>7168</v>
      </c>
      <c r="S988" s="387" t="s">
        <v>171</v>
      </c>
      <c r="T988" s="387" t="s">
        <v>542</v>
      </c>
      <c r="U988" s="388">
        <v>11207670</v>
      </c>
      <c r="V988" s="387">
        <v>6006352028840</v>
      </c>
      <c r="W988" s="387" t="s">
        <v>543</v>
      </c>
      <c r="X988" s="387" t="s">
        <v>543</v>
      </c>
      <c r="Y988" s="387">
        <v>6006352029250</v>
      </c>
      <c r="Z988" s="387" t="s">
        <v>543</v>
      </c>
      <c r="AA988" s="388" t="s">
        <v>543</v>
      </c>
      <c r="AB988" s="388" t="s">
        <v>543</v>
      </c>
      <c r="AC988" s="387">
        <v>708307001</v>
      </c>
      <c r="AD988" s="389">
        <v>240</v>
      </c>
      <c r="AE988" s="390">
        <v>45047</v>
      </c>
      <c r="AF988" s="390">
        <v>46142</v>
      </c>
      <c r="AG988" s="391" t="s">
        <v>545</v>
      </c>
      <c r="AH988" s="391" t="s">
        <v>7169</v>
      </c>
      <c r="AI988" s="391" t="s">
        <v>2050</v>
      </c>
      <c r="AJ988" s="391">
        <v>0</v>
      </c>
      <c r="AK988" s="390">
        <v>45047</v>
      </c>
      <c r="AL988" s="389">
        <v>32.68</v>
      </c>
      <c r="AM988" s="391" t="s">
        <v>548</v>
      </c>
      <c r="AN988" s="391" t="s">
        <v>549</v>
      </c>
      <c r="AO988" s="391" t="s">
        <v>7170</v>
      </c>
      <c r="AP988" s="372">
        <f t="shared" si="28"/>
        <v>0.185</v>
      </c>
    </row>
    <row r="989" spans="1:43" ht="16" thickBot="1">
      <c r="A989" s="387" t="s">
        <v>1717</v>
      </c>
      <c r="B989" s="387" t="s">
        <v>7163</v>
      </c>
      <c r="C989" s="387" t="s">
        <v>7164</v>
      </c>
      <c r="D989" s="387" t="s">
        <v>7165</v>
      </c>
      <c r="E989" s="387">
        <v>28</v>
      </c>
      <c r="F989" s="387" t="s">
        <v>559</v>
      </c>
      <c r="G989" s="387">
        <v>28</v>
      </c>
      <c r="H989" s="387" t="s">
        <v>559</v>
      </c>
      <c r="I989" s="387" t="s">
        <v>560</v>
      </c>
      <c r="J989" s="387" t="s">
        <v>7166</v>
      </c>
      <c r="K989" s="387" t="s">
        <v>7172</v>
      </c>
      <c r="L989" s="387" t="s">
        <v>2141</v>
      </c>
      <c r="M989" s="387" t="s">
        <v>2142</v>
      </c>
      <c r="N989" s="388">
        <v>5.2</v>
      </c>
      <c r="O989" s="388">
        <v>14</v>
      </c>
      <c r="P989" s="387" t="s">
        <v>538</v>
      </c>
      <c r="Q989" s="387" t="s">
        <v>539</v>
      </c>
      <c r="R989" s="387" t="s">
        <v>7168</v>
      </c>
      <c r="S989" s="387" t="s">
        <v>171</v>
      </c>
      <c r="T989" s="387" t="s">
        <v>542</v>
      </c>
      <c r="U989" s="388">
        <v>11644332</v>
      </c>
      <c r="V989" s="387" t="s">
        <v>543</v>
      </c>
      <c r="W989" s="387" t="s">
        <v>543</v>
      </c>
      <c r="X989" s="387" t="s">
        <v>543</v>
      </c>
      <c r="Y989" s="387" t="s">
        <v>543</v>
      </c>
      <c r="Z989" s="387" t="s">
        <v>543</v>
      </c>
      <c r="AA989" s="388" t="s">
        <v>543</v>
      </c>
      <c r="AB989" s="388" t="s">
        <v>543</v>
      </c>
      <c r="AC989" s="387" t="s">
        <v>543</v>
      </c>
      <c r="AD989" s="389">
        <v>200</v>
      </c>
      <c r="AE989" s="390">
        <v>45047</v>
      </c>
      <c r="AF989" s="390">
        <v>46142</v>
      </c>
      <c r="AG989" s="391" t="s">
        <v>545</v>
      </c>
      <c r="AH989" s="391" t="s">
        <v>7169</v>
      </c>
      <c r="AI989" s="391" t="s">
        <v>2144</v>
      </c>
      <c r="AJ989" s="391">
        <v>0</v>
      </c>
      <c r="AK989" s="390">
        <v>45047</v>
      </c>
      <c r="AL989" s="389">
        <v>33.950000000000003</v>
      </c>
      <c r="AM989" s="391" t="s">
        <v>548</v>
      </c>
      <c r="AN989" s="391" t="s">
        <v>549</v>
      </c>
      <c r="AO989" s="391" t="s">
        <v>7170</v>
      </c>
      <c r="AP989" s="372">
        <f t="shared" si="28"/>
        <v>0.18571428571428572</v>
      </c>
    </row>
    <row r="990" spans="1:43" ht="16" thickBot="1">
      <c r="A990" s="387" t="s">
        <v>1717</v>
      </c>
      <c r="B990" s="387" t="s">
        <v>7173</v>
      </c>
      <c r="C990" s="387" t="s">
        <v>7174</v>
      </c>
      <c r="D990" s="387" t="s">
        <v>7175</v>
      </c>
      <c r="E990" s="387">
        <v>28</v>
      </c>
      <c r="F990" s="387" t="s">
        <v>559</v>
      </c>
      <c r="G990" s="387">
        <v>28</v>
      </c>
      <c r="H990" s="387" t="s">
        <v>559</v>
      </c>
      <c r="I990" s="387" t="s">
        <v>560</v>
      </c>
      <c r="J990" s="387" t="s">
        <v>7166</v>
      </c>
      <c r="K990" s="387" t="s">
        <v>7176</v>
      </c>
      <c r="L990" s="387" t="s">
        <v>2141</v>
      </c>
      <c r="M990" s="387" t="s">
        <v>2142</v>
      </c>
      <c r="N990" s="388">
        <v>7.19</v>
      </c>
      <c r="O990" s="388">
        <v>14</v>
      </c>
      <c r="P990" s="387" t="s">
        <v>538</v>
      </c>
      <c r="Q990" s="387" t="s">
        <v>539</v>
      </c>
      <c r="R990" s="387" t="s">
        <v>7168</v>
      </c>
      <c r="S990" s="387" t="s">
        <v>171</v>
      </c>
      <c r="T990" s="387" t="s">
        <v>542</v>
      </c>
      <c r="U990" s="388">
        <v>5431218</v>
      </c>
      <c r="V990" s="387" t="s">
        <v>543</v>
      </c>
      <c r="W990" s="387" t="s">
        <v>543</v>
      </c>
      <c r="X990" s="387" t="s">
        <v>543</v>
      </c>
      <c r="Y990" s="387" t="s">
        <v>543</v>
      </c>
      <c r="Z990" s="387" t="s">
        <v>543</v>
      </c>
      <c r="AA990" s="388" t="s">
        <v>543</v>
      </c>
      <c r="AB990" s="388" t="s">
        <v>543</v>
      </c>
      <c r="AC990" s="387" t="s">
        <v>543</v>
      </c>
      <c r="AD990" s="389">
        <v>200</v>
      </c>
      <c r="AE990" s="390">
        <v>45047</v>
      </c>
      <c r="AF990" s="390">
        <v>46142</v>
      </c>
      <c r="AG990" s="391" t="s">
        <v>545</v>
      </c>
      <c r="AH990" s="391" t="s">
        <v>7177</v>
      </c>
      <c r="AI990" s="391" t="s">
        <v>2144</v>
      </c>
      <c r="AJ990" s="391">
        <v>0</v>
      </c>
      <c r="AK990" s="390">
        <v>45047</v>
      </c>
      <c r="AL990" s="389">
        <v>33.979999999999997</v>
      </c>
      <c r="AM990" s="391" t="s">
        <v>548</v>
      </c>
      <c r="AN990" s="391" t="s">
        <v>549</v>
      </c>
      <c r="AO990" s="391" t="s">
        <v>7178</v>
      </c>
    </row>
    <row r="991" spans="1:43" ht="16" thickBot="1">
      <c r="A991" s="387" t="s">
        <v>1717</v>
      </c>
      <c r="B991" s="387" t="s">
        <v>7173</v>
      </c>
      <c r="C991" s="387" t="s">
        <v>7174</v>
      </c>
      <c r="D991" s="387" t="s">
        <v>7175</v>
      </c>
      <c r="E991" s="387">
        <v>28</v>
      </c>
      <c r="F991" s="387" t="s">
        <v>559</v>
      </c>
      <c r="G991" s="387">
        <v>28</v>
      </c>
      <c r="H991" s="387" t="s">
        <v>559</v>
      </c>
      <c r="I991" s="387" t="s">
        <v>560</v>
      </c>
      <c r="J991" s="387" t="s">
        <v>7166</v>
      </c>
      <c r="K991" s="387" t="s">
        <v>7179</v>
      </c>
      <c r="L991" s="387" t="s">
        <v>2062</v>
      </c>
      <c r="M991" s="387" t="s">
        <v>2063</v>
      </c>
      <c r="N991" s="388">
        <v>7.65</v>
      </c>
      <c r="O991" s="388">
        <v>14</v>
      </c>
      <c r="P991" s="387" t="s">
        <v>538</v>
      </c>
      <c r="Q991" s="387" t="s">
        <v>539</v>
      </c>
      <c r="R991" s="387" t="s">
        <v>7168</v>
      </c>
      <c r="S991" s="387" t="s">
        <v>171</v>
      </c>
      <c r="T991" s="387" t="s">
        <v>542</v>
      </c>
      <c r="U991" s="388">
        <v>5086616</v>
      </c>
      <c r="V991" s="387">
        <v>6009880832194</v>
      </c>
      <c r="W991" s="387" t="s">
        <v>543</v>
      </c>
      <c r="X991" s="387" t="s">
        <v>543</v>
      </c>
      <c r="Y991" s="387">
        <v>16009880832191</v>
      </c>
      <c r="Z991" s="387" t="s">
        <v>543</v>
      </c>
      <c r="AA991" s="388" t="s">
        <v>543</v>
      </c>
      <c r="AB991" s="388" t="s">
        <v>543</v>
      </c>
      <c r="AC991" s="387" t="s">
        <v>543</v>
      </c>
      <c r="AD991" s="389">
        <v>200</v>
      </c>
      <c r="AE991" s="390">
        <v>45047</v>
      </c>
      <c r="AF991" s="390">
        <v>46142</v>
      </c>
      <c r="AG991" s="391" t="s">
        <v>545</v>
      </c>
      <c r="AH991" s="391" t="s">
        <v>7177</v>
      </c>
      <c r="AI991" s="391" t="s">
        <v>2064</v>
      </c>
      <c r="AJ991" s="391">
        <v>0</v>
      </c>
      <c r="AK991" s="390">
        <v>45047</v>
      </c>
      <c r="AL991" s="389">
        <v>31.82</v>
      </c>
      <c r="AM991" s="391" t="s">
        <v>548</v>
      </c>
      <c r="AN991" s="391" t="s">
        <v>549</v>
      </c>
      <c r="AO991" s="391" t="s">
        <v>7178</v>
      </c>
    </row>
    <row r="992" spans="1:43" ht="16" thickBot="1">
      <c r="A992" s="387" t="s">
        <v>1717</v>
      </c>
      <c r="B992" s="387" t="s">
        <v>7173</v>
      </c>
      <c r="C992" s="387" t="s">
        <v>7174</v>
      </c>
      <c r="D992" s="387" t="s">
        <v>7175</v>
      </c>
      <c r="E992" s="387">
        <v>28</v>
      </c>
      <c r="F992" s="387" t="s">
        <v>559</v>
      </c>
      <c r="G992" s="387">
        <v>28</v>
      </c>
      <c r="H992" s="387" t="s">
        <v>559</v>
      </c>
      <c r="I992" s="387" t="s">
        <v>560</v>
      </c>
      <c r="J992" s="387" t="s">
        <v>7166</v>
      </c>
      <c r="K992" s="387" t="s">
        <v>7180</v>
      </c>
      <c r="L992" s="387" t="s">
        <v>5222</v>
      </c>
      <c r="M992" s="387" t="s">
        <v>5223</v>
      </c>
      <c r="N992" s="388">
        <v>6.84</v>
      </c>
      <c r="O992" s="388">
        <v>14</v>
      </c>
      <c r="P992" s="387" t="s">
        <v>538</v>
      </c>
      <c r="Q992" s="387" t="s">
        <v>539</v>
      </c>
      <c r="R992" s="387" t="s">
        <v>7168</v>
      </c>
      <c r="S992" s="387" t="s">
        <v>171</v>
      </c>
      <c r="T992" s="387" t="s">
        <v>542</v>
      </c>
      <c r="U992" s="388">
        <v>5465678</v>
      </c>
      <c r="V992" s="387" t="s">
        <v>543</v>
      </c>
      <c r="W992" s="387" t="s">
        <v>543</v>
      </c>
      <c r="X992" s="387" t="s">
        <v>543</v>
      </c>
      <c r="Y992" s="387" t="s">
        <v>543</v>
      </c>
      <c r="Z992" s="387" t="s">
        <v>543</v>
      </c>
      <c r="AA992" s="388" t="s">
        <v>543</v>
      </c>
      <c r="AB992" s="388" t="s">
        <v>543</v>
      </c>
      <c r="AC992" s="387" t="s">
        <v>543</v>
      </c>
      <c r="AD992" s="389">
        <v>200</v>
      </c>
      <c r="AE992" s="390">
        <v>45047</v>
      </c>
      <c r="AF992" s="390">
        <v>46142</v>
      </c>
      <c r="AG992" s="391" t="s">
        <v>545</v>
      </c>
      <c r="AH992" s="391" t="s">
        <v>7177</v>
      </c>
      <c r="AI992" s="391" t="s">
        <v>5226</v>
      </c>
      <c r="AJ992" s="391">
        <v>0</v>
      </c>
      <c r="AK992" s="390">
        <v>45047</v>
      </c>
      <c r="AL992" s="389">
        <v>34.200000000000003</v>
      </c>
      <c r="AM992" s="391" t="s">
        <v>548</v>
      </c>
      <c r="AN992" s="391" t="s">
        <v>549</v>
      </c>
      <c r="AO992" s="391" t="s">
        <v>7178</v>
      </c>
    </row>
    <row r="993" spans="1:41" ht="16" thickBot="1">
      <c r="A993" s="387" t="s">
        <v>1717</v>
      </c>
      <c r="B993" s="387" t="s">
        <v>7181</v>
      </c>
      <c r="C993" s="387" t="s">
        <v>7182</v>
      </c>
      <c r="D993" s="387" t="s">
        <v>7183</v>
      </c>
      <c r="E993" s="387">
        <v>30</v>
      </c>
      <c r="F993" s="387" t="s">
        <v>559</v>
      </c>
      <c r="G993" s="387">
        <v>30</v>
      </c>
      <c r="H993" s="387" t="s">
        <v>559</v>
      </c>
      <c r="I993" s="387" t="s">
        <v>560</v>
      </c>
      <c r="J993" s="387" t="s">
        <v>7166</v>
      </c>
      <c r="K993" s="387" t="s">
        <v>7184</v>
      </c>
      <c r="L993" s="387" t="s">
        <v>5222</v>
      </c>
      <c r="M993" s="387" t="s">
        <v>5223</v>
      </c>
      <c r="N993" s="388">
        <v>11.68</v>
      </c>
      <c r="O993" s="388">
        <v>14</v>
      </c>
      <c r="P993" s="387" t="s">
        <v>538</v>
      </c>
      <c r="Q993" s="387" t="s">
        <v>539</v>
      </c>
      <c r="R993" s="387" t="s">
        <v>7168</v>
      </c>
      <c r="S993" s="387" t="s">
        <v>171</v>
      </c>
      <c r="T993" s="387" t="s">
        <v>542</v>
      </c>
      <c r="U993" s="388">
        <v>1613170</v>
      </c>
      <c r="V993" s="387" t="s">
        <v>543</v>
      </c>
      <c r="W993" s="387" t="s">
        <v>543</v>
      </c>
      <c r="X993" s="387" t="s">
        <v>543</v>
      </c>
      <c r="Y993" s="387" t="s">
        <v>543</v>
      </c>
      <c r="Z993" s="387" t="s">
        <v>543</v>
      </c>
      <c r="AA993" s="388" t="s">
        <v>543</v>
      </c>
      <c r="AB993" s="388" t="s">
        <v>543</v>
      </c>
      <c r="AC993" s="387" t="s">
        <v>543</v>
      </c>
      <c r="AD993" s="389">
        <v>200</v>
      </c>
      <c r="AE993" s="390">
        <v>45047</v>
      </c>
      <c r="AF993" s="390">
        <v>46142</v>
      </c>
      <c r="AG993" s="391" t="s">
        <v>545</v>
      </c>
      <c r="AH993" s="391" t="s">
        <v>7185</v>
      </c>
      <c r="AI993" s="391" t="s">
        <v>5226</v>
      </c>
      <c r="AJ993" s="391">
        <v>0</v>
      </c>
      <c r="AK993" s="390">
        <v>45047</v>
      </c>
      <c r="AL993" s="389">
        <v>100</v>
      </c>
      <c r="AM993" s="391" t="s">
        <v>548</v>
      </c>
      <c r="AN993" s="391" t="s">
        <v>549</v>
      </c>
      <c r="AO993" s="391" t="s">
        <v>7186</v>
      </c>
    </row>
    <row r="994" spans="1:41" ht="16" thickBot="1">
      <c r="A994" s="387" t="s">
        <v>2166</v>
      </c>
      <c r="B994" s="387" t="s">
        <v>3467</v>
      </c>
      <c r="C994" s="387" t="s">
        <v>7187</v>
      </c>
      <c r="D994" s="387" t="s">
        <v>7188</v>
      </c>
      <c r="E994" s="387">
        <v>30</v>
      </c>
      <c r="F994" s="387" t="s">
        <v>559</v>
      </c>
      <c r="G994" s="387">
        <v>30</v>
      </c>
      <c r="H994" s="387" t="s">
        <v>559</v>
      </c>
      <c r="I994" s="387" t="s">
        <v>560</v>
      </c>
      <c r="J994" s="387" t="s">
        <v>7189</v>
      </c>
      <c r="K994" s="387" t="s">
        <v>7190</v>
      </c>
      <c r="L994" s="387" t="s">
        <v>1916</v>
      </c>
      <c r="M994" s="387" t="s">
        <v>1917</v>
      </c>
      <c r="N994" s="388">
        <v>2420.6</v>
      </c>
      <c r="O994" s="388">
        <v>14</v>
      </c>
      <c r="P994" s="387" t="s">
        <v>538</v>
      </c>
      <c r="Q994" s="387" t="s">
        <v>539</v>
      </c>
      <c r="R994" s="387" t="s">
        <v>7191</v>
      </c>
      <c r="S994" s="387" t="s">
        <v>171</v>
      </c>
      <c r="T994" s="387" t="s">
        <v>1908</v>
      </c>
      <c r="U994" s="388">
        <v>7686</v>
      </c>
      <c r="V994" s="387">
        <v>6001605003247</v>
      </c>
      <c r="W994" s="387" t="s">
        <v>543</v>
      </c>
      <c r="X994" s="387" t="s">
        <v>543</v>
      </c>
      <c r="Y994" s="387" t="s">
        <v>543</v>
      </c>
      <c r="Z994" s="387" t="s">
        <v>543</v>
      </c>
      <c r="AA994" s="388" t="s">
        <v>543</v>
      </c>
      <c r="AB994" s="388" t="s">
        <v>543</v>
      </c>
      <c r="AC994" s="387">
        <v>700482003</v>
      </c>
      <c r="AD994" s="389">
        <v>1</v>
      </c>
      <c r="AE994" s="390">
        <v>44743</v>
      </c>
      <c r="AF994" s="390">
        <v>45473</v>
      </c>
      <c r="AG994" s="391" t="s">
        <v>545</v>
      </c>
      <c r="AH994" s="391" t="s">
        <v>7192</v>
      </c>
      <c r="AI994" s="391" t="s">
        <v>1920</v>
      </c>
      <c r="AJ994" s="391">
        <v>0</v>
      </c>
      <c r="AK994" s="390">
        <v>44743</v>
      </c>
      <c r="AL994" s="389">
        <v>100</v>
      </c>
      <c r="AM994" s="391" t="s">
        <v>548</v>
      </c>
      <c r="AN994" s="391" t="s">
        <v>549</v>
      </c>
      <c r="AO994" s="391" t="s">
        <v>7193</v>
      </c>
    </row>
    <row r="995" spans="1:41" ht="16" thickBot="1">
      <c r="A995" s="387" t="s">
        <v>2177</v>
      </c>
      <c r="B995" s="387" t="s">
        <v>3180</v>
      </c>
      <c r="C995" s="387" t="s">
        <v>7194</v>
      </c>
      <c r="D995" s="387" t="s">
        <v>7195</v>
      </c>
      <c r="E995" s="387">
        <v>500</v>
      </c>
      <c r="F995" s="387" t="s">
        <v>2180</v>
      </c>
      <c r="G995" s="387">
        <v>500</v>
      </c>
      <c r="H995" s="387" t="s">
        <v>2180</v>
      </c>
      <c r="I995" s="387" t="s">
        <v>2390</v>
      </c>
      <c r="J995" s="387" t="s">
        <v>7196</v>
      </c>
      <c r="K995" s="387" t="s">
        <v>7197</v>
      </c>
      <c r="L995" s="387" t="s">
        <v>1809</v>
      </c>
      <c r="M995" s="387" t="s">
        <v>1810</v>
      </c>
      <c r="N995" s="388">
        <v>17.11</v>
      </c>
      <c r="O995" s="388">
        <v>14</v>
      </c>
      <c r="P995" s="387" t="s">
        <v>379</v>
      </c>
      <c r="Q995" s="387" t="s">
        <v>160</v>
      </c>
      <c r="R995" s="387" t="s">
        <v>7198</v>
      </c>
      <c r="S995" s="387" t="s">
        <v>614</v>
      </c>
      <c r="T995" s="387" t="s">
        <v>160</v>
      </c>
      <c r="U995" s="388">
        <v>19127</v>
      </c>
      <c r="V995" s="387">
        <v>6006845002920</v>
      </c>
      <c r="W995" s="387" t="s">
        <v>543</v>
      </c>
      <c r="X995" s="387" t="s">
        <v>543</v>
      </c>
      <c r="Y995" s="387">
        <v>16006845002927</v>
      </c>
      <c r="Z995" s="387" t="s">
        <v>543</v>
      </c>
      <c r="AA995" s="388" t="s">
        <v>543</v>
      </c>
      <c r="AB995" s="388" t="s">
        <v>543</v>
      </c>
      <c r="AC995" s="387" t="s">
        <v>543</v>
      </c>
      <c r="AD995" s="389">
        <v>18</v>
      </c>
      <c r="AE995" s="390">
        <v>44013</v>
      </c>
      <c r="AF995" s="390">
        <v>45107</v>
      </c>
      <c r="AG995" s="390">
        <v>45107</v>
      </c>
      <c r="AH995" s="391" t="s">
        <v>7199</v>
      </c>
      <c r="AI995" s="391" t="s">
        <v>1813</v>
      </c>
      <c r="AJ995" s="391">
        <v>37</v>
      </c>
      <c r="AK995" s="390">
        <v>44409</v>
      </c>
      <c r="AL995" s="389">
        <v>100</v>
      </c>
      <c r="AM995" s="391" t="s">
        <v>548</v>
      </c>
      <c r="AN995" s="391" t="s">
        <v>545</v>
      </c>
      <c r="AO995" s="391" t="s">
        <v>7200</v>
      </c>
    </row>
    <row r="996" spans="1:41" ht="16" thickBot="1">
      <c r="A996" s="387" t="s">
        <v>1748</v>
      </c>
      <c r="B996" s="387" t="s">
        <v>4328</v>
      </c>
      <c r="C996" s="387" t="s">
        <v>7201</v>
      </c>
      <c r="D996" s="387" t="s">
        <v>7202</v>
      </c>
      <c r="E996" s="387">
        <v>50</v>
      </c>
      <c r="F996" s="387" t="s">
        <v>531</v>
      </c>
      <c r="G996" s="387">
        <v>50</v>
      </c>
      <c r="H996" s="387" t="s">
        <v>531</v>
      </c>
      <c r="I996" s="387" t="s">
        <v>1751</v>
      </c>
      <c r="J996" s="387" t="s">
        <v>7196</v>
      </c>
      <c r="K996" s="387" t="s">
        <v>7203</v>
      </c>
      <c r="L996" s="387" t="s">
        <v>1955</v>
      </c>
      <c r="M996" s="387" t="s">
        <v>1956</v>
      </c>
      <c r="N996" s="388">
        <v>57.77</v>
      </c>
      <c r="O996" s="388">
        <v>14</v>
      </c>
      <c r="P996" s="387" t="s">
        <v>538</v>
      </c>
      <c r="Q996" s="387" t="s">
        <v>539</v>
      </c>
      <c r="R996" s="387" t="s">
        <v>7204</v>
      </c>
      <c r="S996" s="387" t="s">
        <v>541</v>
      </c>
      <c r="T996" s="387" t="s">
        <v>757</v>
      </c>
      <c r="U996" s="388">
        <v>109550</v>
      </c>
      <c r="V996" s="387" t="s">
        <v>543</v>
      </c>
      <c r="W996" s="387" t="s">
        <v>543</v>
      </c>
      <c r="X996" s="387" t="s">
        <v>543</v>
      </c>
      <c r="Y996" s="387" t="s">
        <v>543</v>
      </c>
      <c r="Z996" s="387" t="s">
        <v>543</v>
      </c>
      <c r="AA996" s="388" t="s">
        <v>543</v>
      </c>
      <c r="AB996" s="388" t="s">
        <v>543</v>
      </c>
      <c r="AC996" s="387" t="s">
        <v>543</v>
      </c>
      <c r="AD996" s="389" t="s">
        <v>3604</v>
      </c>
      <c r="AE996" s="390">
        <v>44317</v>
      </c>
      <c r="AF996" s="390">
        <v>45412</v>
      </c>
      <c r="AG996" s="390">
        <v>45412</v>
      </c>
      <c r="AH996" s="391" t="s">
        <v>7205</v>
      </c>
      <c r="AI996" s="391" t="s">
        <v>1959</v>
      </c>
      <c r="AJ996" s="391">
        <v>0</v>
      </c>
      <c r="AK996" s="390">
        <v>44317</v>
      </c>
      <c r="AL996" s="389">
        <v>100</v>
      </c>
      <c r="AM996" s="391" t="s">
        <v>548</v>
      </c>
      <c r="AN996" s="391" t="s">
        <v>549</v>
      </c>
      <c r="AO996" s="391" t="s">
        <v>7206</v>
      </c>
    </row>
    <row r="997" spans="1:41" ht="16" thickBot="1">
      <c r="A997" s="387" t="s">
        <v>2743</v>
      </c>
      <c r="B997" s="387" t="s">
        <v>965</v>
      </c>
      <c r="C997" s="387" t="s">
        <v>7207</v>
      </c>
      <c r="D997" s="387" t="s">
        <v>7208</v>
      </c>
      <c r="E997" s="387">
        <v>200</v>
      </c>
      <c r="F997" s="387" t="s">
        <v>531</v>
      </c>
      <c r="G997" s="387">
        <v>200</v>
      </c>
      <c r="H997" s="387" t="s">
        <v>531</v>
      </c>
      <c r="I997" s="387" t="s">
        <v>1838</v>
      </c>
      <c r="J997" s="387" t="s">
        <v>7196</v>
      </c>
      <c r="K997" s="387" t="s">
        <v>7209</v>
      </c>
      <c r="L997" s="387" t="s">
        <v>1975</v>
      </c>
      <c r="M997" s="387" t="s">
        <v>1976</v>
      </c>
      <c r="N997" s="388">
        <v>125.39</v>
      </c>
      <c r="O997" s="388">
        <v>14</v>
      </c>
      <c r="P997" s="387" t="s">
        <v>538</v>
      </c>
      <c r="Q997" s="387" t="s">
        <v>539</v>
      </c>
      <c r="R997" s="387" t="s">
        <v>7210</v>
      </c>
      <c r="S997" s="387" t="s">
        <v>171</v>
      </c>
      <c r="T997" s="387" t="s">
        <v>757</v>
      </c>
      <c r="U997" s="388">
        <v>100620</v>
      </c>
      <c r="V997" s="387">
        <v>6003252006220</v>
      </c>
      <c r="W997" s="387">
        <v>6003252006220</v>
      </c>
      <c r="X997" s="387" t="s">
        <v>543</v>
      </c>
      <c r="Y997" s="387">
        <v>16003252006227</v>
      </c>
      <c r="Z997" s="387" t="s">
        <v>543</v>
      </c>
      <c r="AA997" s="388" t="s">
        <v>543</v>
      </c>
      <c r="AB997" s="388" t="s">
        <v>543</v>
      </c>
      <c r="AC997" s="387">
        <v>818860006</v>
      </c>
      <c r="AD997" s="389">
        <v>12</v>
      </c>
      <c r="AE997" s="390">
        <v>44105</v>
      </c>
      <c r="AF997" s="390">
        <v>45199</v>
      </c>
      <c r="AG997" s="390">
        <v>45199</v>
      </c>
      <c r="AH997" s="391" t="s">
        <v>7211</v>
      </c>
      <c r="AI997" s="391" t="s">
        <v>1979</v>
      </c>
      <c r="AJ997" s="391">
        <v>10</v>
      </c>
      <c r="AK997" s="390">
        <v>44866</v>
      </c>
      <c r="AL997" s="389">
        <v>100</v>
      </c>
      <c r="AM997" s="391" t="s">
        <v>548</v>
      </c>
      <c r="AN997" s="391" t="s">
        <v>545</v>
      </c>
      <c r="AO997" s="391" t="s">
        <v>7212</v>
      </c>
    </row>
    <row r="998" spans="1:41" ht="16" thickBot="1">
      <c r="A998" s="387" t="s">
        <v>1748</v>
      </c>
      <c r="B998" s="387" t="s">
        <v>4333</v>
      </c>
      <c r="C998" s="387" t="s">
        <v>7213</v>
      </c>
      <c r="D998" s="387" t="s">
        <v>7214</v>
      </c>
      <c r="E998" s="387">
        <v>50</v>
      </c>
      <c r="F998" s="387" t="s">
        <v>531</v>
      </c>
      <c r="G998" s="387">
        <v>50</v>
      </c>
      <c r="H998" s="387" t="s">
        <v>531</v>
      </c>
      <c r="I998" s="387" t="s">
        <v>1751</v>
      </c>
      <c r="J998" s="387" t="s">
        <v>7196</v>
      </c>
      <c r="K998" s="387" t="s">
        <v>7215</v>
      </c>
      <c r="L998" s="387" t="s">
        <v>1955</v>
      </c>
      <c r="M998" s="387" t="s">
        <v>1956</v>
      </c>
      <c r="N998" s="388">
        <v>73.33</v>
      </c>
      <c r="O998" s="388">
        <v>14</v>
      </c>
      <c r="P998" s="387" t="s">
        <v>538</v>
      </c>
      <c r="Q998" s="387" t="s">
        <v>539</v>
      </c>
      <c r="R998" s="387" t="s">
        <v>7204</v>
      </c>
      <c r="S998" s="387" t="s">
        <v>541</v>
      </c>
      <c r="T998" s="387" t="s">
        <v>757</v>
      </c>
      <c r="U998" s="388">
        <v>578010</v>
      </c>
      <c r="V998" s="387" t="s">
        <v>543</v>
      </c>
      <c r="W998" s="387" t="s">
        <v>543</v>
      </c>
      <c r="X998" s="387" t="s">
        <v>543</v>
      </c>
      <c r="Y998" s="387" t="s">
        <v>543</v>
      </c>
      <c r="Z998" s="387" t="s">
        <v>543</v>
      </c>
      <c r="AA998" s="388" t="s">
        <v>543</v>
      </c>
      <c r="AB998" s="388" t="s">
        <v>543</v>
      </c>
      <c r="AC998" s="387" t="s">
        <v>543</v>
      </c>
      <c r="AD998" s="389" t="s">
        <v>3604</v>
      </c>
      <c r="AE998" s="390">
        <v>44317</v>
      </c>
      <c r="AF998" s="390">
        <v>45412</v>
      </c>
      <c r="AG998" s="390">
        <v>45412</v>
      </c>
      <c r="AH998" s="391" t="s">
        <v>7216</v>
      </c>
      <c r="AI998" s="391" t="s">
        <v>1959</v>
      </c>
      <c r="AJ998" s="391">
        <v>0</v>
      </c>
      <c r="AK998" s="390">
        <v>44317</v>
      </c>
      <c r="AL998" s="389">
        <v>100</v>
      </c>
      <c r="AM998" s="391" t="s">
        <v>548</v>
      </c>
      <c r="AN998" s="391" t="s">
        <v>549</v>
      </c>
      <c r="AO998" s="391" t="s">
        <v>7217</v>
      </c>
    </row>
    <row r="999" spans="1:41" ht="16" thickBot="1">
      <c r="A999" s="387" t="s">
        <v>2743</v>
      </c>
      <c r="B999" s="387" t="s">
        <v>603</v>
      </c>
      <c r="C999" s="387" t="s">
        <v>7218</v>
      </c>
      <c r="D999" s="387" t="s">
        <v>7219</v>
      </c>
      <c r="E999" s="387">
        <v>200</v>
      </c>
      <c r="F999" s="387" t="s">
        <v>531</v>
      </c>
      <c r="G999" s="387" t="s">
        <v>543</v>
      </c>
      <c r="H999" s="387" t="s">
        <v>531</v>
      </c>
      <c r="I999" s="387" t="s">
        <v>1838</v>
      </c>
      <c r="J999" s="387" t="s">
        <v>7220</v>
      </c>
      <c r="K999" s="387" t="s">
        <v>7221</v>
      </c>
      <c r="L999" s="387" t="s">
        <v>1975</v>
      </c>
      <c r="M999" s="387" t="s">
        <v>1976</v>
      </c>
      <c r="N999" s="388">
        <v>45.57</v>
      </c>
      <c r="O999" s="388">
        <v>14</v>
      </c>
      <c r="P999" s="387" t="s">
        <v>538</v>
      </c>
      <c r="Q999" s="387" t="s">
        <v>539</v>
      </c>
      <c r="R999" s="387" t="s">
        <v>3620</v>
      </c>
      <c r="S999" s="387" t="s">
        <v>541</v>
      </c>
      <c r="T999" s="387" t="s">
        <v>757</v>
      </c>
      <c r="U999" s="388">
        <v>12740</v>
      </c>
      <c r="V999" s="387">
        <v>6003252000228</v>
      </c>
      <c r="W999" s="387">
        <v>6003252000228</v>
      </c>
      <c r="X999" s="387" t="s">
        <v>543</v>
      </c>
      <c r="Y999" s="387">
        <v>16003252000225</v>
      </c>
      <c r="Z999" s="387" t="s">
        <v>543</v>
      </c>
      <c r="AA999" s="388" t="s">
        <v>543</v>
      </c>
      <c r="AB999" s="388" t="s">
        <v>543</v>
      </c>
      <c r="AC999" s="387">
        <v>862673003</v>
      </c>
      <c r="AD999" s="389">
        <v>36</v>
      </c>
      <c r="AE999" s="390">
        <v>44105</v>
      </c>
      <c r="AF999" s="390">
        <v>45199</v>
      </c>
      <c r="AG999" s="390">
        <v>45199</v>
      </c>
      <c r="AH999" s="391" t="s">
        <v>7222</v>
      </c>
      <c r="AI999" s="391" t="s">
        <v>1979</v>
      </c>
      <c r="AJ999" s="391">
        <v>10</v>
      </c>
      <c r="AK999" s="390">
        <v>44866</v>
      </c>
      <c r="AL999" s="389">
        <v>100</v>
      </c>
      <c r="AM999" s="391" t="s">
        <v>548</v>
      </c>
      <c r="AN999" s="391" t="s">
        <v>545</v>
      </c>
      <c r="AO999" s="391" t="s">
        <v>7223</v>
      </c>
    </row>
    <row r="1000" spans="1:41" ht="16" thickBot="1">
      <c r="A1000" s="387" t="s">
        <v>2743</v>
      </c>
      <c r="B1000" s="387" t="s">
        <v>985</v>
      </c>
      <c r="C1000" s="387" t="s">
        <v>7224</v>
      </c>
      <c r="D1000" s="387" t="s">
        <v>7225</v>
      </c>
      <c r="E1000" s="387">
        <v>1</v>
      </c>
      <c r="F1000" s="387" t="s">
        <v>2746</v>
      </c>
      <c r="G1000" s="387">
        <v>1</v>
      </c>
      <c r="H1000" s="387" t="s">
        <v>2746</v>
      </c>
      <c r="I1000" s="387" t="s">
        <v>1838</v>
      </c>
      <c r="J1000" s="387" t="s">
        <v>7220</v>
      </c>
      <c r="K1000" s="387" t="s">
        <v>7226</v>
      </c>
      <c r="L1000" s="387" t="s">
        <v>1975</v>
      </c>
      <c r="M1000" s="387" t="s">
        <v>1976</v>
      </c>
      <c r="N1000" s="388">
        <v>12.31</v>
      </c>
      <c r="O1000" s="388">
        <v>14</v>
      </c>
      <c r="P1000" s="387" t="s">
        <v>538</v>
      </c>
      <c r="Q1000" s="387" t="s">
        <v>539</v>
      </c>
      <c r="R1000" s="387" t="s">
        <v>3620</v>
      </c>
      <c r="S1000" s="387" t="s">
        <v>541</v>
      </c>
      <c r="T1000" s="387" t="s">
        <v>757</v>
      </c>
      <c r="U1000" s="388">
        <v>488246</v>
      </c>
      <c r="V1000" s="387">
        <v>6003252103288</v>
      </c>
      <c r="W1000" s="387">
        <v>6003252103288</v>
      </c>
      <c r="X1000" s="387" t="s">
        <v>543</v>
      </c>
      <c r="Y1000" s="387">
        <v>16003252103285</v>
      </c>
      <c r="Z1000" s="387" t="s">
        <v>543</v>
      </c>
      <c r="AA1000" s="388" t="s">
        <v>543</v>
      </c>
      <c r="AB1000" s="388" t="s">
        <v>543</v>
      </c>
      <c r="AC1000" s="387">
        <v>801704006</v>
      </c>
      <c r="AD1000" s="389">
        <v>12</v>
      </c>
      <c r="AE1000" s="390">
        <v>44105</v>
      </c>
      <c r="AF1000" s="390">
        <v>45199</v>
      </c>
      <c r="AG1000" s="390">
        <v>45199</v>
      </c>
      <c r="AH1000" s="391" t="s">
        <v>7227</v>
      </c>
      <c r="AI1000" s="391" t="s">
        <v>1979</v>
      </c>
      <c r="AJ1000" s="391">
        <v>10</v>
      </c>
      <c r="AK1000" s="390">
        <v>44866</v>
      </c>
      <c r="AL1000" s="389">
        <v>100</v>
      </c>
      <c r="AM1000" s="391" t="s">
        <v>548</v>
      </c>
      <c r="AN1000" s="391" t="s">
        <v>545</v>
      </c>
      <c r="AO1000" s="391" t="s">
        <v>7228</v>
      </c>
    </row>
    <row r="1001" spans="1:41" ht="16" thickBot="1">
      <c r="A1001" s="387" t="s">
        <v>2743</v>
      </c>
      <c r="B1001" s="387" t="s">
        <v>994</v>
      </c>
      <c r="C1001" s="387" t="s">
        <v>7229</v>
      </c>
      <c r="D1001" s="387" t="s">
        <v>7230</v>
      </c>
      <c r="E1001" s="387">
        <v>1</v>
      </c>
      <c r="F1001" s="387" t="s">
        <v>2746</v>
      </c>
      <c r="G1001" s="387">
        <v>1</v>
      </c>
      <c r="H1001" s="387" t="s">
        <v>2746</v>
      </c>
      <c r="I1001" s="387" t="s">
        <v>1838</v>
      </c>
      <c r="J1001" s="387" t="s">
        <v>7220</v>
      </c>
      <c r="K1001" s="387" t="s">
        <v>7231</v>
      </c>
      <c r="L1001" s="387" t="s">
        <v>1975</v>
      </c>
      <c r="M1001" s="387" t="s">
        <v>1976</v>
      </c>
      <c r="N1001" s="388">
        <v>12.37</v>
      </c>
      <c r="O1001" s="388">
        <v>14</v>
      </c>
      <c r="P1001" s="387" t="s">
        <v>538</v>
      </c>
      <c r="Q1001" s="387" t="s">
        <v>539</v>
      </c>
      <c r="R1001" s="387" t="s">
        <v>3620</v>
      </c>
      <c r="S1001" s="387" t="s">
        <v>541</v>
      </c>
      <c r="T1001" s="387" t="s">
        <v>542</v>
      </c>
      <c r="U1001" s="388">
        <v>596100</v>
      </c>
      <c r="V1001" s="387">
        <v>6003252000198</v>
      </c>
      <c r="W1001" s="387">
        <v>6003252000198</v>
      </c>
      <c r="X1001" s="387" t="s">
        <v>543</v>
      </c>
      <c r="Y1001" s="387">
        <v>16003252000195</v>
      </c>
      <c r="Z1001" s="387" t="s">
        <v>543</v>
      </c>
      <c r="AA1001" s="388" t="s">
        <v>543</v>
      </c>
      <c r="AB1001" s="388" t="s">
        <v>543</v>
      </c>
      <c r="AC1001" s="387">
        <v>862703018</v>
      </c>
      <c r="AD1001" s="389">
        <v>12</v>
      </c>
      <c r="AE1001" s="390">
        <v>44105</v>
      </c>
      <c r="AF1001" s="390">
        <v>45199</v>
      </c>
      <c r="AG1001" s="390">
        <v>45199</v>
      </c>
      <c r="AH1001" s="391" t="s">
        <v>7232</v>
      </c>
      <c r="AI1001" s="391" t="s">
        <v>1979</v>
      </c>
      <c r="AJ1001" s="391">
        <v>10</v>
      </c>
      <c r="AK1001" s="390">
        <v>44866</v>
      </c>
      <c r="AL1001" s="389">
        <v>100</v>
      </c>
      <c r="AM1001" s="391" t="s">
        <v>548</v>
      </c>
      <c r="AN1001" s="391" t="s">
        <v>545</v>
      </c>
      <c r="AO1001" s="391" t="s">
        <v>7233</v>
      </c>
    </row>
    <row r="1002" spans="1:41" ht="16" thickBot="1">
      <c r="A1002" s="387" t="s">
        <v>2743</v>
      </c>
      <c r="B1002" s="387" t="s">
        <v>1004</v>
      </c>
      <c r="C1002" s="387" t="s">
        <v>7234</v>
      </c>
      <c r="D1002" s="387" t="s">
        <v>7235</v>
      </c>
      <c r="E1002" s="387">
        <v>200</v>
      </c>
      <c r="F1002" s="387" t="s">
        <v>531</v>
      </c>
      <c r="G1002" s="387" t="s">
        <v>543</v>
      </c>
      <c r="H1002" s="387" t="s">
        <v>531</v>
      </c>
      <c r="I1002" s="387" t="s">
        <v>1838</v>
      </c>
      <c r="J1002" s="387" t="s">
        <v>7220</v>
      </c>
      <c r="K1002" s="387" t="s">
        <v>7236</v>
      </c>
      <c r="L1002" s="387" t="s">
        <v>1975</v>
      </c>
      <c r="M1002" s="387" t="s">
        <v>1976</v>
      </c>
      <c r="N1002" s="388">
        <v>22.28</v>
      </c>
      <c r="O1002" s="388">
        <v>14</v>
      </c>
      <c r="P1002" s="387" t="s">
        <v>538</v>
      </c>
      <c r="Q1002" s="387" t="s">
        <v>539</v>
      </c>
      <c r="R1002" s="387" t="s">
        <v>3620</v>
      </c>
      <c r="S1002" s="387" t="s">
        <v>541</v>
      </c>
      <c r="T1002" s="387" t="s">
        <v>542</v>
      </c>
      <c r="U1002" s="388">
        <v>55116</v>
      </c>
      <c r="V1002" s="387">
        <v>6003252000204</v>
      </c>
      <c r="W1002" s="387">
        <v>6003252000204</v>
      </c>
      <c r="X1002" s="387" t="s">
        <v>543</v>
      </c>
      <c r="Y1002" s="387">
        <v>16003252000201</v>
      </c>
      <c r="Z1002" s="387" t="s">
        <v>543</v>
      </c>
      <c r="AA1002" s="388" t="s">
        <v>543</v>
      </c>
      <c r="AB1002" s="388" t="s">
        <v>543</v>
      </c>
      <c r="AC1002" s="387">
        <v>862681006</v>
      </c>
      <c r="AD1002" s="389">
        <v>36</v>
      </c>
      <c r="AE1002" s="390">
        <v>44105</v>
      </c>
      <c r="AF1002" s="390">
        <v>45199</v>
      </c>
      <c r="AG1002" s="390">
        <v>45199</v>
      </c>
      <c r="AH1002" s="391" t="s">
        <v>7237</v>
      </c>
      <c r="AI1002" s="391" t="s">
        <v>1979</v>
      </c>
      <c r="AJ1002" s="391">
        <v>10</v>
      </c>
      <c r="AK1002" s="390">
        <v>44866</v>
      </c>
      <c r="AL1002" s="389">
        <v>100</v>
      </c>
      <c r="AM1002" s="391" t="s">
        <v>548</v>
      </c>
      <c r="AN1002" s="391" t="s">
        <v>545</v>
      </c>
      <c r="AO1002" s="391" t="s">
        <v>7233</v>
      </c>
    </row>
    <row r="1003" spans="1:41" ht="16" thickBot="1">
      <c r="A1003" s="387" t="s">
        <v>2177</v>
      </c>
      <c r="B1003" s="387" t="s">
        <v>3188</v>
      </c>
      <c r="C1003" s="387" t="s">
        <v>7238</v>
      </c>
      <c r="D1003" s="387" t="s">
        <v>7239</v>
      </c>
      <c r="E1003" s="387">
        <v>500</v>
      </c>
      <c r="F1003" s="387" t="s">
        <v>2180</v>
      </c>
      <c r="G1003" s="387">
        <v>500</v>
      </c>
      <c r="H1003" s="387" t="s">
        <v>2180</v>
      </c>
      <c r="I1003" s="387" t="s">
        <v>2390</v>
      </c>
      <c r="J1003" s="387" t="s">
        <v>7240</v>
      </c>
      <c r="K1003" s="387" t="s">
        <v>7241</v>
      </c>
      <c r="L1003" s="387" t="s">
        <v>1809</v>
      </c>
      <c r="M1003" s="387" t="s">
        <v>1810</v>
      </c>
      <c r="N1003" s="388">
        <v>22.82</v>
      </c>
      <c r="O1003" s="388">
        <v>14</v>
      </c>
      <c r="P1003" s="387" t="s">
        <v>379</v>
      </c>
      <c r="Q1003" s="387" t="s">
        <v>160</v>
      </c>
      <c r="R1003" s="387" t="s">
        <v>7242</v>
      </c>
      <c r="S1003" s="387" t="s">
        <v>160</v>
      </c>
      <c r="T1003" s="387" t="s">
        <v>160</v>
      </c>
      <c r="U1003" s="388">
        <v>582</v>
      </c>
      <c r="V1003" s="387">
        <v>6006845002937</v>
      </c>
      <c r="W1003" s="387" t="s">
        <v>543</v>
      </c>
      <c r="X1003" s="387" t="s">
        <v>543</v>
      </c>
      <c r="Y1003" s="387">
        <v>16006845002934</v>
      </c>
      <c r="Z1003" s="387" t="s">
        <v>543</v>
      </c>
      <c r="AA1003" s="388" t="s">
        <v>543</v>
      </c>
      <c r="AB1003" s="388" t="s">
        <v>543</v>
      </c>
      <c r="AC1003" s="387" t="s">
        <v>543</v>
      </c>
      <c r="AD1003" s="389">
        <v>18</v>
      </c>
      <c r="AE1003" s="390">
        <v>44013</v>
      </c>
      <c r="AF1003" s="390">
        <v>45107</v>
      </c>
      <c r="AG1003" s="390">
        <v>45107</v>
      </c>
      <c r="AH1003" s="391" t="s">
        <v>7243</v>
      </c>
      <c r="AI1003" s="391" t="s">
        <v>1813</v>
      </c>
      <c r="AJ1003" s="391">
        <v>37</v>
      </c>
      <c r="AK1003" s="390">
        <v>44409</v>
      </c>
      <c r="AL1003" s="389">
        <v>100</v>
      </c>
      <c r="AM1003" s="391" t="s">
        <v>548</v>
      </c>
      <c r="AN1003" s="391" t="s">
        <v>545</v>
      </c>
      <c r="AO1003" s="391" t="s">
        <v>7244</v>
      </c>
    </row>
    <row r="1004" spans="1:41" ht="16" thickBot="1">
      <c r="A1004" s="387" t="s">
        <v>2743</v>
      </c>
      <c r="B1004" s="387" t="s">
        <v>537</v>
      </c>
      <c r="C1004" s="387" t="s">
        <v>7245</v>
      </c>
      <c r="D1004" s="387" t="s">
        <v>7246</v>
      </c>
      <c r="E1004" s="387">
        <v>1</v>
      </c>
      <c r="F1004" s="387" t="s">
        <v>2746</v>
      </c>
      <c r="G1004" s="387">
        <v>1</v>
      </c>
      <c r="H1004" s="387" t="s">
        <v>2746</v>
      </c>
      <c r="I1004" s="387" t="s">
        <v>1838</v>
      </c>
      <c r="J1004" s="387" t="s">
        <v>7240</v>
      </c>
      <c r="K1004" s="387" t="s">
        <v>7247</v>
      </c>
      <c r="L1004" s="387" t="s">
        <v>1975</v>
      </c>
      <c r="M1004" s="387" t="s">
        <v>1976</v>
      </c>
      <c r="N1004" s="388">
        <v>15.41</v>
      </c>
      <c r="O1004" s="388">
        <v>14</v>
      </c>
      <c r="P1004" s="387" t="s">
        <v>538</v>
      </c>
      <c r="Q1004" s="387" t="s">
        <v>539</v>
      </c>
      <c r="R1004" s="387" t="s">
        <v>7248</v>
      </c>
      <c r="S1004" s="387" t="s">
        <v>541</v>
      </c>
      <c r="T1004" s="387" t="s">
        <v>757</v>
      </c>
      <c r="U1004" s="388">
        <v>675610</v>
      </c>
      <c r="V1004" s="387">
        <v>6003252000259</v>
      </c>
      <c r="W1004" s="387">
        <v>6003252000259</v>
      </c>
      <c r="X1004" s="387" t="s">
        <v>543</v>
      </c>
      <c r="Y1004" s="387">
        <v>16003252000256</v>
      </c>
      <c r="Z1004" s="387" t="s">
        <v>543</v>
      </c>
      <c r="AA1004" s="388" t="s">
        <v>543</v>
      </c>
      <c r="AB1004" s="388" t="s">
        <v>543</v>
      </c>
      <c r="AC1004" s="387">
        <v>802166008</v>
      </c>
      <c r="AD1004" s="389">
        <v>12</v>
      </c>
      <c r="AE1004" s="390">
        <v>44105</v>
      </c>
      <c r="AF1004" s="390">
        <v>45199</v>
      </c>
      <c r="AG1004" s="390">
        <v>45199</v>
      </c>
      <c r="AH1004" s="391" t="s">
        <v>7249</v>
      </c>
      <c r="AI1004" s="391" t="s">
        <v>1979</v>
      </c>
      <c r="AJ1004" s="391">
        <v>10</v>
      </c>
      <c r="AK1004" s="390">
        <v>44866</v>
      </c>
      <c r="AL1004" s="389">
        <v>100</v>
      </c>
      <c r="AM1004" s="391" t="s">
        <v>548</v>
      </c>
      <c r="AN1004" s="391" t="s">
        <v>545</v>
      </c>
      <c r="AO1004" s="391" t="s">
        <v>7250</v>
      </c>
    </row>
    <row r="1005" spans="1:41" ht="16" thickBot="1">
      <c r="A1005" s="387" t="s">
        <v>2743</v>
      </c>
      <c r="B1005" s="387" t="s">
        <v>544</v>
      </c>
      <c r="C1005" s="387" t="s">
        <v>7251</v>
      </c>
      <c r="D1005" s="387" t="s">
        <v>7252</v>
      </c>
      <c r="E1005" s="387">
        <v>1</v>
      </c>
      <c r="F1005" s="387" t="s">
        <v>2746</v>
      </c>
      <c r="G1005" s="387">
        <v>1</v>
      </c>
      <c r="H1005" s="387" t="s">
        <v>2746</v>
      </c>
      <c r="I1005" s="387" t="s">
        <v>1838</v>
      </c>
      <c r="J1005" s="387" t="s">
        <v>7240</v>
      </c>
      <c r="K1005" s="387" t="s">
        <v>7253</v>
      </c>
      <c r="L1005" s="387" t="s">
        <v>1975</v>
      </c>
      <c r="M1005" s="387" t="s">
        <v>1976</v>
      </c>
      <c r="N1005" s="388">
        <v>10.59</v>
      </c>
      <c r="O1005" s="388">
        <v>14</v>
      </c>
      <c r="P1005" s="387" t="s">
        <v>538</v>
      </c>
      <c r="Q1005" s="387" t="s">
        <v>539</v>
      </c>
      <c r="R1005" s="387" t="s">
        <v>7248</v>
      </c>
      <c r="S1005" s="387" t="s">
        <v>541</v>
      </c>
      <c r="T1005" s="387" t="s">
        <v>542</v>
      </c>
      <c r="U1005" s="388">
        <v>10989943</v>
      </c>
      <c r="V1005" s="387">
        <v>6003252000273</v>
      </c>
      <c r="W1005" s="387">
        <v>6003252000273</v>
      </c>
      <c r="X1005" s="387" t="s">
        <v>543</v>
      </c>
      <c r="Y1005" s="387">
        <v>16003252000270</v>
      </c>
      <c r="Z1005" s="387" t="s">
        <v>543</v>
      </c>
      <c r="AA1005" s="388" t="s">
        <v>543</v>
      </c>
      <c r="AB1005" s="388" t="s">
        <v>543</v>
      </c>
      <c r="AC1005" s="387">
        <v>747874018</v>
      </c>
      <c r="AD1005" s="389">
        <v>12</v>
      </c>
      <c r="AE1005" s="390">
        <v>44105</v>
      </c>
      <c r="AF1005" s="390">
        <v>45199</v>
      </c>
      <c r="AG1005" s="390">
        <v>45199</v>
      </c>
      <c r="AH1005" s="391" t="s">
        <v>7254</v>
      </c>
      <c r="AI1005" s="391" t="s">
        <v>1979</v>
      </c>
      <c r="AJ1005" s="391">
        <v>10</v>
      </c>
      <c r="AK1005" s="390">
        <v>44866</v>
      </c>
      <c r="AL1005" s="389">
        <v>100</v>
      </c>
      <c r="AM1005" s="391" t="s">
        <v>548</v>
      </c>
      <c r="AN1005" s="391" t="s">
        <v>545</v>
      </c>
      <c r="AO1005" s="391" t="s">
        <v>7255</v>
      </c>
    </row>
    <row r="1006" spans="1:41" ht="16" thickBot="1">
      <c r="A1006" s="387" t="s">
        <v>2743</v>
      </c>
      <c r="B1006" s="387" t="s">
        <v>1003</v>
      </c>
      <c r="C1006" s="387" t="s">
        <v>7256</v>
      </c>
      <c r="D1006" s="387" t="s">
        <v>7257</v>
      </c>
      <c r="E1006" s="387">
        <v>100</v>
      </c>
      <c r="F1006" s="387" t="s">
        <v>531</v>
      </c>
      <c r="G1006" s="387">
        <v>100</v>
      </c>
      <c r="H1006" s="387" t="s">
        <v>531</v>
      </c>
      <c r="I1006" s="387" t="s">
        <v>1838</v>
      </c>
      <c r="J1006" s="387" t="s">
        <v>7240</v>
      </c>
      <c r="K1006" s="387" t="s">
        <v>7258</v>
      </c>
      <c r="L1006" s="387" t="s">
        <v>3043</v>
      </c>
      <c r="M1006" s="387" t="s">
        <v>3044</v>
      </c>
      <c r="N1006" s="388">
        <v>6.21</v>
      </c>
      <c r="O1006" s="388">
        <v>14</v>
      </c>
      <c r="P1006" s="387" t="s">
        <v>538</v>
      </c>
      <c r="Q1006" s="387" t="s">
        <v>539</v>
      </c>
      <c r="R1006" s="387" t="s">
        <v>7248</v>
      </c>
      <c r="S1006" s="387" t="s">
        <v>541</v>
      </c>
      <c r="T1006" s="387" t="s">
        <v>542</v>
      </c>
      <c r="U1006" s="388">
        <v>3831910</v>
      </c>
      <c r="V1006" s="387">
        <v>60096552800038</v>
      </c>
      <c r="W1006" s="387">
        <v>60096552800038</v>
      </c>
      <c r="X1006" s="387" t="s">
        <v>543</v>
      </c>
      <c r="Y1006" s="387" t="s">
        <v>543</v>
      </c>
      <c r="Z1006" s="387" t="s">
        <v>543</v>
      </c>
      <c r="AA1006" s="388" t="s">
        <v>543</v>
      </c>
      <c r="AB1006" s="388" t="s">
        <v>543</v>
      </c>
      <c r="AC1006" s="387" t="s">
        <v>543</v>
      </c>
      <c r="AD1006" s="389">
        <v>72</v>
      </c>
      <c r="AE1006" s="390">
        <v>44105</v>
      </c>
      <c r="AF1006" s="390">
        <v>45199</v>
      </c>
      <c r="AG1006" s="390">
        <v>45199</v>
      </c>
      <c r="AH1006" s="391" t="s">
        <v>7259</v>
      </c>
      <c r="AI1006" s="391" t="s">
        <v>3047</v>
      </c>
      <c r="AJ1006" s="391">
        <v>9</v>
      </c>
      <c r="AK1006" s="390">
        <v>44791</v>
      </c>
      <c r="AL1006" s="389">
        <v>100</v>
      </c>
      <c r="AM1006" s="391" t="s">
        <v>548</v>
      </c>
      <c r="AN1006" s="391" t="s">
        <v>545</v>
      </c>
      <c r="AO1006" s="391" t="s">
        <v>7255</v>
      </c>
    </row>
    <row r="1007" spans="1:41" ht="16" thickBot="1">
      <c r="A1007" s="387" t="s">
        <v>2743</v>
      </c>
      <c r="B1007" s="387" t="s">
        <v>989</v>
      </c>
      <c r="C1007" s="387" t="s">
        <v>7260</v>
      </c>
      <c r="D1007" s="387" t="s">
        <v>7261</v>
      </c>
      <c r="E1007" s="387">
        <v>200</v>
      </c>
      <c r="F1007" s="387" t="s">
        <v>531</v>
      </c>
      <c r="G1007" s="387">
        <v>200</v>
      </c>
      <c r="H1007" s="387" t="s">
        <v>531</v>
      </c>
      <c r="I1007" s="387" t="s">
        <v>1838</v>
      </c>
      <c r="J1007" s="387" t="s">
        <v>7240</v>
      </c>
      <c r="K1007" s="387" t="s">
        <v>7262</v>
      </c>
      <c r="L1007" s="387" t="s">
        <v>3043</v>
      </c>
      <c r="M1007" s="387" t="s">
        <v>3044</v>
      </c>
      <c r="N1007" s="388">
        <v>7.35</v>
      </c>
      <c r="O1007" s="388">
        <v>14</v>
      </c>
      <c r="P1007" s="387" t="s">
        <v>538</v>
      </c>
      <c r="Q1007" s="387" t="s">
        <v>539</v>
      </c>
      <c r="R1007" s="387" t="s">
        <v>7248</v>
      </c>
      <c r="S1007" s="387" t="s">
        <v>541</v>
      </c>
      <c r="T1007" s="387" t="s">
        <v>542</v>
      </c>
      <c r="U1007" s="388">
        <v>9033406</v>
      </c>
      <c r="V1007" s="387">
        <v>4046964963858</v>
      </c>
      <c r="W1007" s="387">
        <v>4046964963865</v>
      </c>
      <c r="X1007" s="387" t="s">
        <v>543</v>
      </c>
      <c r="Y1007" s="387" t="s">
        <v>543</v>
      </c>
      <c r="Z1007" s="387" t="s">
        <v>543</v>
      </c>
      <c r="AA1007" s="388" t="s">
        <v>543</v>
      </c>
      <c r="AB1007" s="388" t="s">
        <v>543</v>
      </c>
      <c r="AC1007" s="387" t="s">
        <v>7263</v>
      </c>
      <c r="AD1007" s="389">
        <v>36</v>
      </c>
      <c r="AE1007" s="390">
        <v>44105</v>
      </c>
      <c r="AF1007" s="390">
        <v>45199</v>
      </c>
      <c r="AG1007" s="390">
        <v>45199</v>
      </c>
      <c r="AH1007" s="391" t="s">
        <v>7264</v>
      </c>
      <c r="AI1007" s="391" t="s">
        <v>3047</v>
      </c>
      <c r="AJ1007" s="391">
        <v>9</v>
      </c>
      <c r="AK1007" s="390">
        <v>44791</v>
      </c>
      <c r="AL1007" s="389">
        <v>100</v>
      </c>
      <c r="AM1007" s="391" t="s">
        <v>548</v>
      </c>
      <c r="AN1007" s="391" t="s">
        <v>545</v>
      </c>
      <c r="AO1007" s="391" t="s">
        <v>7255</v>
      </c>
    </row>
    <row r="1008" spans="1:41" ht="16" thickBot="1">
      <c r="A1008" s="387" t="s">
        <v>2743</v>
      </c>
      <c r="B1008" s="387" t="s">
        <v>651</v>
      </c>
      <c r="C1008" s="387" t="s">
        <v>7265</v>
      </c>
      <c r="D1008" s="387" t="s">
        <v>7261</v>
      </c>
      <c r="E1008" s="387">
        <v>200</v>
      </c>
      <c r="F1008" s="387" t="s">
        <v>531</v>
      </c>
      <c r="G1008" s="387">
        <v>200</v>
      </c>
      <c r="H1008" s="387" t="s">
        <v>531</v>
      </c>
      <c r="I1008" s="387" t="s">
        <v>1838</v>
      </c>
      <c r="J1008" s="387" t="s">
        <v>7240</v>
      </c>
      <c r="K1008" s="387" t="s">
        <v>7266</v>
      </c>
      <c r="L1008" s="387" t="s">
        <v>1975</v>
      </c>
      <c r="M1008" s="387" t="s">
        <v>1976</v>
      </c>
      <c r="N1008" s="388">
        <v>75.83</v>
      </c>
      <c r="O1008" s="388">
        <v>14</v>
      </c>
      <c r="P1008" s="387" t="s">
        <v>538</v>
      </c>
      <c r="Q1008" s="387" t="s">
        <v>539</v>
      </c>
      <c r="R1008" s="387" t="s">
        <v>7248</v>
      </c>
      <c r="S1008" s="387" t="s">
        <v>541</v>
      </c>
      <c r="T1008" s="387" t="s">
        <v>542</v>
      </c>
      <c r="U1008" s="388">
        <v>141580</v>
      </c>
      <c r="V1008" s="387">
        <v>6003252006206</v>
      </c>
      <c r="W1008" s="387">
        <v>6003252006206</v>
      </c>
      <c r="X1008" s="387" t="s">
        <v>543</v>
      </c>
      <c r="Y1008" s="387">
        <v>16003252006203</v>
      </c>
      <c r="Z1008" s="387" t="s">
        <v>543</v>
      </c>
      <c r="AA1008" s="388" t="s">
        <v>543</v>
      </c>
      <c r="AB1008" s="388" t="s">
        <v>543</v>
      </c>
      <c r="AC1008" s="387">
        <v>807850004</v>
      </c>
      <c r="AD1008" s="389">
        <v>12</v>
      </c>
      <c r="AE1008" s="390">
        <v>44105</v>
      </c>
      <c r="AF1008" s="390">
        <v>45199</v>
      </c>
      <c r="AG1008" s="390">
        <v>45199</v>
      </c>
      <c r="AH1008" s="391" t="s">
        <v>7267</v>
      </c>
      <c r="AI1008" s="391" t="s">
        <v>1979</v>
      </c>
      <c r="AJ1008" s="391">
        <v>10</v>
      </c>
      <c r="AK1008" s="390">
        <v>44866</v>
      </c>
      <c r="AL1008" s="389">
        <v>100</v>
      </c>
      <c r="AM1008" s="391" t="s">
        <v>548</v>
      </c>
      <c r="AN1008" s="391" t="s">
        <v>545</v>
      </c>
      <c r="AO1008" s="391" t="s">
        <v>7255</v>
      </c>
    </row>
    <row r="1009" spans="1:41" ht="16" thickBot="1">
      <c r="A1009" s="387" t="s">
        <v>2743</v>
      </c>
      <c r="B1009" s="387" t="s">
        <v>999</v>
      </c>
      <c r="C1009" s="387" t="s">
        <v>7268</v>
      </c>
      <c r="D1009" s="387" t="s">
        <v>7269</v>
      </c>
      <c r="E1009" s="387">
        <v>50</v>
      </c>
      <c r="F1009" s="387" t="s">
        <v>531</v>
      </c>
      <c r="G1009" s="387">
        <v>50</v>
      </c>
      <c r="H1009" s="387" t="s">
        <v>531</v>
      </c>
      <c r="I1009" s="387" t="s">
        <v>1838</v>
      </c>
      <c r="J1009" s="387" t="s">
        <v>7240</v>
      </c>
      <c r="K1009" s="387" t="s">
        <v>7270</v>
      </c>
      <c r="L1009" s="387" t="s">
        <v>3043</v>
      </c>
      <c r="M1009" s="387" t="s">
        <v>3044</v>
      </c>
      <c r="N1009" s="388">
        <v>6.01</v>
      </c>
      <c r="O1009" s="388">
        <v>14</v>
      </c>
      <c r="P1009" s="387" t="s">
        <v>538</v>
      </c>
      <c r="Q1009" s="387" t="s">
        <v>539</v>
      </c>
      <c r="R1009" s="387" t="s">
        <v>7248</v>
      </c>
      <c r="S1009" s="387" t="s">
        <v>541</v>
      </c>
      <c r="T1009" s="387" t="s">
        <v>542</v>
      </c>
      <c r="U1009" s="388">
        <v>14876260</v>
      </c>
      <c r="V1009" s="387">
        <v>4046964963896</v>
      </c>
      <c r="W1009" s="387">
        <v>4046964964107</v>
      </c>
      <c r="X1009" s="387" t="s">
        <v>543</v>
      </c>
      <c r="Y1009" s="387" t="s">
        <v>543</v>
      </c>
      <c r="Z1009" s="387" t="s">
        <v>543</v>
      </c>
      <c r="AA1009" s="388" t="s">
        <v>543</v>
      </c>
      <c r="AB1009" s="388" t="s">
        <v>543</v>
      </c>
      <c r="AC1009" s="387" t="s">
        <v>7271</v>
      </c>
      <c r="AD1009" s="389">
        <v>72</v>
      </c>
      <c r="AE1009" s="390">
        <v>44105</v>
      </c>
      <c r="AF1009" s="390">
        <v>45199</v>
      </c>
      <c r="AG1009" s="390">
        <v>45199</v>
      </c>
      <c r="AH1009" s="391" t="s">
        <v>7272</v>
      </c>
      <c r="AI1009" s="391" t="s">
        <v>3047</v>
      </c>
      <c r="AJ1009" s="391">
        <v>9</v>
      </c>
      <c r="AK1009" s="390">
        <v>44791</v>
      </c>
      <c r="AL1009" s="389">
        <v>100</v>
      </c>
      <c r="AM1009" s="391" t="s">
        <v>548</v>
      </c>
      <c r="AN1009" s="391" t="s">
        <v>545</v>
      </c>
      <c r="AO1009" s="391" t="s">
        <v>7255</v>
      </c>
    </row>
    <row r="1010" spans="1:41" ht="16" thickBot="1">
      <c r="A1010" s="387" t="s">
        <v>1748</v>
      </c>
      <c r="B1010" s="387" t="s">
        <v>4337</v>
      </c>
      <c r="C1010" s="387" t="s">
        <v>7273</v>
      </c>
      <c r="D1010" s="387" t="s">
        <v>7274</v>
      </c>
      <c r="E1010" s="387">
        <v>10</v>
      </c>
      <c r="F1010" s="387" t="s">
        <v>531</v>
      </c>
      <c r="G1010" s="387">
        <v>10</v>
      </c>
      <c r="H1010" s="387" t="s">
        <v>531</v>
      </c>
      <c r="I1010" s="387" t="s">
        <v>1751</v>
      </c>
      <c r="J1010" s="387" t="s">
        <v>7240</v>
      </c>
      <c r="K1010" s="387" t="s">
        <v>7275</v>
      </c>
      <c r="L1010" s="387" t="s">
        <v>3043</v>
      </c>
      <c r="M1010" s="387" t="s">
        <v>3044</v>
      </c>
      <c r="N1010" s="388">
        <v>1.48</v>
      </c>
      <c r="O1010" s="388">
        <v>14</v>
      </c>
      <c r="P1010" s="387" t="s">
        <v>538</v>
      </c>
      <c r="Q1010" s="387" t="s">
        <v>539</v>
      </c>
      <c r="R1010" s="387" t="s">
        <v>7248</v>
      </c>
      <c r="S1010" s="387" t="s">
        <v>541</v>
      </c>
      <c r="T1010" s="387" t="s">
        <v>542</v>
      </c>
      <c r="U1010" s="388">
        <v>11160486</v>
      </c>
      <c r="V1010" s="387">
        <v>4030539121040</v>
      </c>
      <c r="W1010" s="387">
        <v>4030539121057</v>
      </c>
      <c r="X1010" s="387" t="s">
        <v>543</v>
      </c>
      <c r="Y1010" s="387">
        <v>4046964925771</v>
      </c>
      <c r="Z1010" s="387" t="s">
        <v>543</v>
      </c>
      <c r="AA1010" s="388" t="s">
        <v>543</v>
      </c>
      <c r="AB1010" s="388" t="s">
        <v>543</v>
      </c>
      <c r="AC1010" s="387">
        <v>709412</v>
      </c>
      <c r="AD1010" s="389">
        <v>100</v>
      </c>
      <c r="AE1010" s="390">
        <v>44317</v>
      </c>
      <c r="AF1010" s="390">
        <v>45412</v>
      </c>
      <c r="AG1010" s="391" t="s">
        <v>545</v>
      </c>
      <c r="AH1010" s="391" t="s">
        <v>7276</v>
      </c>
      <c r="AI1010" s="391" t="s">
        <v>3047</v>
      </c>
      <c r="AJ1010" s="391">
        <v>0</v>
      </c>
      <c r="AK1010" s="390">
        <v>44317</v>
      </c>
      <c r="AL1010" s="389">
        <v>90</v>
      </c>
      <c r="AM1010" s="391" t="s">
        <v>548</v>
      </c>
      <c r="AN1010" s="391" t="s">
        <v>549</v>
      </c>
      <c r="AO1010" s="391" t="s">
        <v>7277</v>
      </c>
    </row>
    <row r="1011" spans="1:41" ht="16" thickBot="1">
      <c r="A1011" s="387" t="s">
        <v>1748</v>
      </c>
      <c r="B1011" s="387" t="s">
        <v>4337</v>
      </c>
      <c r="C1011" s="387" t="s">
        <v>7273</v>
      </c>
      <c r="D1011" s="387" t="s">
        <v>7274</v>
      </c>
      <c r="E1011" s="387">
        <v>10</v>
      </c>
      <c r="F1011" s="387" t="s">
        <v>531</v>
      </c>
      <c r="G1011" s="387">
        <v>10</v>
      </c>
      <c r="H1011" s="387" t="s">
        <v>531</v>
      </c>
      <c r="I1011" s="387" t="s">
        <v>1751</v>
      </c>
      <c r="J1011" s="387" t="s">
        <v>7240</v>
      </c>
      <c r="K1011" s="387" t="s">
        <v>7278</v>
      </c>
      <c r="L1011" s="387" t="s">
        <v>1975</v>
      </c>
      <c r="M1011" s="387" t="s">
        <v>1976</v>
      </c>
      <c r="N1011" s="388">
        <v>2.2999999999999998</v>
      </c>
      <c r="O1011" s="388">
        <v>14</v>
      </c>
      <c r="P1011" s="387" t="s">
        <v>538</v>
      </c>
      <c r="Q1011" s="387" t="s">
        <v>539</v>
      </c>
      <c r="R1011" s="387" t="s">
        <v>7248</v>
      </c>
      <c r="S1011" s="387" t="s">
        <v>541</v>
      </c>
      <c r="T1011" s="387" t="s">
        <v>542</v>
      </c>
      <c r="U1011" s="388">
        <v>1240054</v>
      </c>
      <c r="V1011" s="387" t="s">
        <v>543</v>
      </c>
      <c r="W1011" s="387" t="s">
        <v>543</v>
      </c>
      <c r="X1011" s="387" t="s">
        <v>543</v>
      </c>
      <c r="Y1011" s="387" t="s">
        <v>543</v>
      </c>
      <c r="Z1011" s="387" t="s">
        <v>543</v>
      </c>
      <c r="AA1011" s="388" t="s">
        <v>543</v>
      </c>
      <c r="AB1011" s="388" t="s">
        <v>543</v>
      </c>
      <c r="AC1011" s="387" t="s">
        <v>543</v>
      </c>
      <c r="AD1011" s="389">
        <v>100</v>
      </c>
      <c r="AE1011" s="390">
        <v>44317</v>
      </c>
      <c r="AF1011" s="390">
        <v>45412</v>
      </c>
      <c r="AG1011" s="391" t="s">
        <v>545</v>
      </c>
      <c r="AH1011" s="391" t="s">
        <v>7276</v>
      </c>
      <c r="AI1011" s="391" t="s">
        <v>1979</v>
      </c>
      <c r="AJ1011" s="391">
        <v>0</v>
      </c>
      <c r="AK1011" s="390">
        <v>44317</v>
      </c>
      <c r="AL1011" s="389">
        <v>10</v>
      </c>
      <c r="AM1011" s="391" t="s">
        <v>548</v>
      </c>
      <c r="AN1011" s="391" t="s">
        <v>549</v>
      </c>
      <c r="AO1011" s="391" t="s">
        <v>7277</v>
      </c>
    </row>
    <row r="1012" spans="1:41" ht="16" thickBot="1">
      <c r="A1012" s="387" t="s">
        <v>2743</v>
      </c>
      <c r="B1012" s="387" t="s">
        <v>1890</v>
      </c>
      <c r="C1012" s="387" t="s">
        <v>7279</v>
      </c>
      <c r="D1012" s="387" t="s">
        <v>7280</v>
      </c>
      <c r="E1012" s="387">
        <v>1</v>
      </c>
      <c r="F1012" s="387" t="s">
        <v>2746</v>
      </c>
      <c r="G1012" s="387">
        <v>1</v>
      </c>
      <c r="H1012" s="387" t="s">
        <v>2746</v>
      </c>
      <c r="I1012" s="387" t="s">
        <v>7281</v>
      </c>
      <c r="J1012" s="387" t="s">
        <v>7240</v>
      </c>
      <c r="K1012" s="387" t="s">
        <v>7282</v>
      </c>
      <c r="L1012" s="387" t="s">
        <v>1975</v>
      </c>
      <c r="M1012" s="387" t="s">
        <v>1976</v>
      </c>
      <c r="N1012" s="388">
        <v>21.47</v>
      </c>
      <c r="O1012" s="388">
        <v>14</v>
      </c>
      <c r="P1012" s="387" t="s">
        <v>538</v>
      </c>
      <c r="Q1012" s="387" t="s">
        <v>539</v>
      </c>
      <c r="R1012" s="387" t="s">
        <v>7242</v>
      </c>
      <c r="S1012" s="387" t="s">
        <v>171</v>
      </c>
      <c r="T1012" s="387" t="s">
        <v>542</v>
      </c>
      <c r="U1012" s="388">
        <v>71094</v>
      </c>
      <c r="V1012" s="387">
        <v>6003252001157</v>
      </c>
      <c r="W1012" s="387">
        <v>6003252001157</v>
      </c>
      <c r="X1012" s="387" t="s">
        <v>543</v>
      </c>
      <c r="Y1012" s="387">
        <v>16003252001154</v>
      </c>
      <c r="Z1012" s="387" t="s">
        <v>543</v>
      </c>
      <c r="AA1012" s="388" t="s">
        <v>543</v>
      </c>
      <c r="AB1012" s="388" t="s">
        <v>543</v>
      </c>
      <c r="AC1012" s="387">
        <v>862746019</v>
      </c>
      <c r="AD1012" s="389">
        <v>12</v>
      </c>
      <c r="AE1012" s="390">
        <v>44105</v>
      </c>
      <c r="AF1012" s="390">
        <v>45199</v>
      </c>
      <c r="AG1012" s="390">
        <v>45199</v>
      </c>
      <c r="AH1012" s="391" t="s">
        <v>7283</v>
      </c>
      <c r="AI1012" s="391" t="s">
        <v>1979</v>
      </c>
      <c r="AJ1012" s="391">
        <v>11</v>
      </c>
      <c r="AK1012" s="390">
        <v>45047</v>
      </c>
      <c r="AL1012" s="389">
        <v>100</v>
      </c>
      <c r="AM1012" s="391" t="s">
        <v>548</v>
      </c>
      <c r="AN1012" s="391" t="s">
        <v>545</v>
      </c>
      <c r="AO1012" s="391" t="s">
        <v>7284</v>
      </c>
    </row>
    <row r="1013" spans="1:41" ht="16" thickBot="1">
      <c r="A1013" s="387" t="s">
        <v>2743</v>
      </c>
      <c r="B1013" s="387" t="s">
        <v>992</v>
      </c>
      <c r="C1013" s="387" t="s">
        <v>7285</v>
      </c>
      <c r="D1013" s="387" t="s">
        <v>7286</v>
      </c>
      <c r="E1013" s="387">
        <v>3</v>
      </c>
      <c r="F1013" s="387" t="s">
        <v>2746</v>
      </c>
      <c r="G1013" s="387">
        <v>3</v>
      </c>
      <c r="H1013" s="387" t="s">
        <v>2746</v>
      </c>
      <c r="I1013" s="387" t="s">
        <v>7281</v>
      </c>
      <c r="J1013" s="387" t="s">
        <v>7240</v>
      </c>
      <c r="K1013" s="387" t="s">
        <v>7287</v>
      </c>
      <c r="L1013" s="387" t="s">
        <v>1975</v>
      </c>
      <c r="M1013" s="387" t="s">
        <v>1976</v>
      </c>
      <c r="N1013" s="388">
        <v>44.43</v>
      </c>
      <c r="O1013" s="388">
        <v>14</v>
      </c>
      <c r="P1013" s="387" t="s">
        <v>538</v>
      </c>
      <c r="Q1013" s="387" t="s">
        <v>539</v>
      </c>
      <c r="R1013" s="387" t="s">
        <v>7242</v>
      </c>
      <c r="S1013" s="387" t="s">
        <v>171</v>
      </c>
      <c r="T1013" s="387" t="s">
        <v>542</v>
      </c>
      <c r="U1013" s="388">
        <v>144808</v>
      </c>
      <c r="V1013" s="387">
        <v>6003252001164</v>
      </c>
      <c r="W1013" s="387">
        <v>6003252001164</v>
      </c>
      <c r="X1013" s="387" t="s">
        <v>543</v>
      </c>
      <c r="Y1013" s="387">
        <v>26003252001168</v>
      </c>
      <c r="Z1013" s="387" t="s">
        <v>543</v>
      </c>
      <c r="AA1013" s="388" t="s">
        <v>543</v>
      </c>
      <c r="AB1013" s="388" t="s">
        <v>543</v>
      </c>
      <c r="AC1013" s="387">
        <v>862754003</v>
      </c>
      <c r="AD1013" s="389">
        <v>4</v>
      </c>
      <c r="AE1013" s="390">
        <v>44105</v>
      </c>
      <c r="AF1013" s="390">
        <v>45199</v>
      </c>
      <c r="AG1013" s="390">
        <v>45199</v>
      </c>
      <c r="AH1013" s="391" t="s">
        <v>7288</v>
      </c>
      <c r="AI1013" s="391" t="s">
        <v>1979</v>
      </c>
      <c r="AJ1013" s="391">
        <v>10</v>
      </c>
      <c r="AK1013" s="390">
        <v>44866</v>
      </c>
      <c r="AL1013" s="389">
        <v>100</v>
      </c>
      <c r="AM1013" s="391" t="s">
        <v>548</v>
      </c>
      <c r="AN1013" s="391" t="s">
        <v>545</v>
      </c>
      <c r="AO1013" s="391" t="s">
        <v>7284</v>
      </c>
    </row>
    <row r="1014" spans="1:41" ht="16" thickBot="1">
      <c r="A1014" s="387" t="s">
        <v>2743</v>
      </c>
      <c r="B1014" s="387" t="s">
        <v>1704</v>
      </c>
      <c r="C1014" s="387" t="s">
        <v>7289</v>
      </c>
      <c r="D1014" s="387" t="s">
        <v>7290</v>
      </c>
      <c r="E1014" s="387">
        <v>1</v>
      </c>
      <c r="F1014" s="387" t="s">
        <v>2746</v>
      </c>
      <c r="G1014" s="387">
        <v>1</v>
      </c>
      <c r="H1014" s="387" t="s">
        <v>2746</v>
      </c>
      <c r="I1014" s="387" t="s">
        <v>7291</v>
      </c>
      <c r="J1014" s="387" t="s">
        <v>7240</v>
      </c>
      <c r="K1014" s="387" t="s">
        <v>7292</v>
      </c>
      <c r="L1014" s="387" t="s">
        <v>3043</v>
      </c>
      <c r="M1014" s="387" t="s">
        <v>3044</v>
      </c>
      <c r="N1014" s="388">
        <v>13.37</v>
      </c>
      <c r="O1014" s="388">
        <v>14</v>
      </c>
      <c r="P1014" s="387" t="s">
        <v>538</v>
      </c>
      <c r="Q1014" s="387" t="s">
        <v>539</v>
      </c>
      <c r="R1014" s="387" t="s">
        <v>7242</v>
      </c>
      <c r="S1014" s="387" t="s">
        <v>171</v>
      </c>
      <c r="T1014" s="387" t="s">
        <v>542</v>
      </c>
      <c r="U1014" s="388">
        <v>2887630</v>
      </c>
      <c r="V1014" s="387">
        <v>4030539097369</v>
      </c>
      <c r="W1014" s="387">
        <v>4030539097352</v>
      </c>
      <c r="X1014" s="387" t="s">
        <v>543</v>
      </c>
      <c r="Y1014" s="387">
        <v>4046964896941</v>
      </c>
      <c r="Z1014" s="387" t="s">
        <v>543</v>
      </c>
      <c r="AA1014" s="388" t="s">
        <v>543</v>
      </c>
      <c r="AB1014" s="388" t="s">
        <v>543</v>
      </c>
      <c r="AC1014" s="387" t="s">
        <v>7293</v>
      </c>
      <c r="AD1014" s="389">
        <v>10</v>
      </c>
      <c r="AE1014" s="390">
        <v>44105</v>
      </c>
      <c r="AF1014" s="390">
        <v>45199</v>
      </c>
      <c r="AG1014" s="390">
        <v>45199</v>
      </c>
      <c r="AH1014" s="391" t="s">
        <v>7294</v>
      </c>
      <c r="AI1014" s="391" t="s">
        <v>3047</v>
      </c>
      <c r="AJ1014" s="391">
        <v>9</v>
      </c>
      <c r="AK1014" s="390">
        <v>44791</v>
      </c>
      <c r="AL1014" s="389">
        <v>100</v>
      </c>
      <c r="AM1014" s="391" t="s">
        <v>548</v>
      </c>
      <c r="AN1014" s="391" t="s">
        <v>545</v>
      </c>
      <c r="AO1014" s="391" t="s">
        <v>7295</v>
      </c>
    </row>
    <row r="1015" spans="1:41" ht="16" thickBot="1">
      <c r="A1015" s="387" t="s">
        <v>2294</v>
      </c>
      <c r="B1015" s="387" t="s">
        <v>990</v>
      </c>
      <c r="C1015" s="387" t="s">
        <v>7296</v>
      </c>
      <c r="D1015" s="387" t="s">
        <v>7297</v>
      </c>
      <c r="E1015" s="387">
        <v>30</v>
      </c>
      <c r="F1015" s="387" t="s">
        <v>531</v>
      </c>
      <c r="G1015" s="387">
        <v>30</v>
      </c>
      <c r="H1015" s="387" t="s">
        <v>531</v>
      </c>
      <c r="I1015" s="387" t="s">
        <v>7298</v>
      </c>
      <c r="J1015" s="387" t="s">
        <v>7240</v>
      </c>
      <c r="K1015" s="387" t="s">
        <v>7299</v>
      </c>
      <c r="L1015" s="387" t="s">
        <v>1975</v>
      </c>
      <c r="M1015" s="387" t="s">
        <v>1976</v>
      </c>
      <c r="N1015" s="388">
        <v>3.92</v>
      </c>
      <c r="O1015" s="388">
        <v>14</v>
      </c>
      <c r="P1015" s="387" t="s">
        <v>538</v>
      </c>
      <c r="Q1015" s="387" t="s">
        <v>539</v>
      </c>
      <c r="R1015" s="387" t="s">
        <v>7242</v>
      </c>
      <c r="S1015" s="387" t="s">
        <v>171</v>
      </c>
      <c r="T1015" s="387" t="s">
        <v>542</v>
      </c>
      <c r="U1015" s="388">
        <v>148820</v>
      </c>
      <c r="V1015" s="387">
        <v>6003252028031</v>
      </c>
      <c r="W1015" s="387">
        <v>6003252028031</v>
      </c>
      <c r="X1015" s="387" t="s">
        <v>543</v>
      </c>
      <c r="Y1015" s="387">
        <v>26003252028035</v>
      </c>
      <c r="Z1015" s="387" t="s">
        <v>543</v>
      </c>
      <c r="AA1015" s="388" t="s">
        <v>543</v>
      </c>
      <c r="AB1015" s="388" t="s">
        <v>543</v>
      </c>
      <c r="AC1015" s="387">
        <v>831638028</v>
      </c>
      <c r="AD1015" s="389">
        <v>1</v>
      </c>
      <c r="AE1015" s="390">
        <v>44013</v>
      </c>
      <c r="AF1015" s="390">
        <v>45107</v>
      </c>
      <c r="AG1015" s="390">
        <v>45107</v>
      </c>
      <c r="AH1015" s="391" t="s">
        <v>7300</v>
      </c>
      <c r="AI1015" s="391" t="s">
        <v>1979</v>
      </c>
      <c r="AJ1015" s="391">
        <v>55</v>
      </c>
      <c r="AK1015" s="390">
        <v>44774</v>
      </c>
      <c r="AL1015" s="389">
        <v>100</v>
      </c>
      <c r="AM1015" s="391" t="s">
        <v>548</v>
      </c>
      <c r="AN1015" s="391" t="s">
        <v>545</v>
      </c>
      <c r="AO1015" s="391" t="s">
        <v>7301</v>
      </c>
    </row>
    <row r="1016" spans="1:41" ht="16" thickBot="1">
      <c r="A1016" s="387" t="s">
        <v>2743</v>
      </c>
      <c r="B1016" s="387" t="s">
        <v>993</v>
      </c>
      <c r="C1016" s="387" t="s">
        <v>7302</v>
      </c>
      <c r="D1016" s="387" t="s">
        <v>7303</v>
      </c>
      <c r="E1016" s="387">
        <v>200</v>
      </c>
      <c r="F1016" s="387" t="s">
        <v>531</v>
      </c>
      <c r="G1016" s="387">
        <v>200</v>
      </c>
      <c r="H1016" s="387" t="s">
        <v>531</v>
      </c>
      <c r="I1016" s="387" t="s">
        <v>1838</v>
      </c>
      <c r="J1016" s="387" t="s">
        <v>7240</v>
      </c>
      <c r="K1016" s="387" t="s">
        <v>7304</v>
      </c>
      <c r="L1016" s="387" t="s">
        <v>1955</v>
      </c>
      <c r="M1016" s="387" t="s">
        <v>1956</v>
      </c>
      <c r="N1016" s="388">
        <v>35.42</v>
      </c>
      <c r="O1016" s="388">
        <v>14</v>
      </c>
      <c r="P1016" s="387" t="s">
        <v>538</v>
      </c>
      <c r="Q1016" s="387" t="s">
        <v>539</v>
      </c>
      <c r="R1016" s="387" t="s">
        <v>7248</v>
      </c>
      <c r="S1016" s="387" t="s">
        <v>541</v>
      </c>
      <c r="T1016" s="387" t="s">
        <v>757</v>
      </c>
      <c r="U1016" s="388">
        <v>82902</v>
      </c>
      <c r="V1016" s="387">
        <v>6006267005448</v>
      </c>
      <c r="W1016" s="387">
        <v>16006267005445</v>
      </c>
      <c r="X1016" s="387" t="s">
        <v>543</v>
      </c>
      <c r="Y1016" s="387">
        <v>16006267005445</v>
      </c>
      <c r="Z1016" s="387" t="s">
        <v>543</v>
      </c>
      <c r="AA1016" s="388" t="s">
        <v>543</v>
      </c>
      <c r="AB1016" s="388" t="s">
        <v>543</v>
      </c>
      <c r="AC1016" s="387" t="s">
        <v>7305</v>
      </c>
      <c r="AD1016" s="389">
        <v>30</v>
      </c>
      <c r="AE1016" s="390">
        <v>44105</v>
      </c>
      <c r="AF1016" s="390">
        <v>45199</v>
      </c>
      <c r="AG1016" s="390">
        <v>45199</v>
      </c>
      <c r="AH1016" s="391" t="s">
        <v>7306</v>
      </c>
      <c r="AI1016" s="391" t="s">
        <v>1959</v>
      </c>
      <c r="AJ1016" s="391">
        <v>12</v>
      </c>
      <c r="AK1016" s="390">
        <v>45047</v>
      </c>
      <c r="AL1016" s="389">
        <v>100</v>
      </c>
      <c r="AM1016" s="391" t="s">
        <v>548</v>
      </c>
      <c r="AN1016" s="391" t="s">
        <v>545</v>
      </c>
      <c r="AO1016" s="391" t="s">
        <v>7307</v>
      </c>
    </row>
    <row r="1017" spans="1:41" ht="16" thickBot="1">
      <c r="A1017" s="387" t="s">
        <v>2177</v>
      </c>
      <c r="B1017" s="387" t="s">
        <v>3277</v>
      </c>
      <c r="C1017" s="387" t="s">
        <v>7308</v>
      </c>
      <c r="D1017" s="387" t="s">
        <v>7309</v>
      </c>
      <c r="E1017" s="387">
        <v>500</v>
      </c>
      <c r="F1017" s="387" t="s">
        <v>2180</v>
      </c>
      <c r="G1017" s="387" t="s">
        <v>543</v>
      </c>
      <c r="H1017" s="387" t="s">
        <v>2180</v>
      </c>
      <c r="I1017" s="387" t="s">
        <v>2390</v>
      </c>
      <c r="J1017" s="387" t="s">
        <v>7310</v>
      </c>
      <c r="K1017" s="387" t="s">
        <v>7311</v>
      </c>
      <c r="L1017" s="387" t="s">
        <v>1809</v>
      </c>
      <c r="M1017" s="387" t="s">
        <v>1810</v>
      </c>
      <c r="N1017" s="388">
        <v>59.24</v>
      </c>
      <c r="O1017" s="388">
        <v>14</v>
      </c>
      <c r="P1017" s="387" t="s">
        <v>379</v>
      </c>
      <c r="Q1017" s="387" t="s">
        <v>160</v>
      </c>
      <c r="R1017" s="387" t="s">
        <v>7312</v>
      </c>
      <c r="S1017" s="387" t="s">
        <v>160</v>
      </c>
      <c r="T1017" s="387" t="s">
        <v>160</v>
      </c>
      <c r="U1017" s="388">
        <v>5770</v>
      </c>
      <c r="V1017" s="387">
        <v>6006845001367</v>
      </c>
      <c r="W1017" s="387" t="s">
        <v>543</v>
      </c>
      <c r="X1017" s="387" t="s">
        <v>543</v>
      </c>
      <c r="Y1017" s="387">
        <v>16006845001364</v>
      </c>
      <c r="Z1017" s="387" t="s">
        <v>543</v>
      </c>
      <c r="AA1017" s="388" t="s">
        <v>543</v>
      </c>
      <c r="AB1017" s="388" t="s">
        <v>543</v>
      </c>
      <c r="AC1017" s="387" t="s">
        <v>543</v>
      </c>
      <c r="AD1017" s="389">
        <v>18</v>
      </c>
      <c r="AE1017" s="390">
        <v>44013</v>
      </c>
      <c r="AF1017" s="390">
        <v>45107</v>
      </c>
      <c r="AG1017" s="390">
        <v>45107</v>
      </c>
      <c r="AH1017" s="391" t="s">
        <v>7313</v>
      </c>
      <c r="AI1017" s="391" t="s">
        <v>1813</v>
      </c>
      <c r="AJ1017" s="391">
        <v>37</v>
      </c>
      <c r="AK1017" s="390">
        <v>44409</v>
      </c>
      <c r="AL1017" s="389">
        <v>100</v>
      </c>
      <c r="AM1017" s="391" t="s">
        <v>548</v>
      </c>
      <c r="AN1017" s="391" t="s">
        <v>545</v>
      </c>
      <c r="AO1017" s="391" t="s">
        <v>7314</v>
      </c>
    </row>
    <row r="1018" spans="1:41" ht="16" thickBot="1">
      <c r="A1018" s="387" t="s">
        <v>2177</v>
      </c>
      <c r="B1018" s="387" t="s">
        <v>3285</v>
      </c>
      <c r="C1018" s="387" t="s">
        <v>7315</v>
      </c>
      <c r="D1018" s="387" t="s">
        <v>7316</v>
      </c>
      <c r="E1018" s="387">
        <v>60</v>
      </c>
      <c r="F1018" s="387" t="s">
        <v>2180</v>
      </c>
      <c r="G1018" s="387">
        <v>60</v>
      </c>
      <c r="H1018" s="387" t="s">
        <v>2180</v>
      </c>
      <c r="I1018" s="387" t="s">
        <v>1708</v>
      </c>
      <c r="J1018" s="387" t="s">
        <v>7317</v>
      </c>
      <c r="K1018" s="387" t="s">
        <v>7318</v>
      </c>
      <c r="L1018" s="387" t="s">
        <v>654</v>
      </c>
      <c r="M1018" s="387" t="s">
        <v>655</v>
      </c>
      <c r="N1018" s="388">
        <v>25.11</v>
      </c>
      <c r="O1018" s="388">
        <v>14</v>
      </c>
      <c r="P1018" s="387" t="s">
        <v>611</v>
      </c>
      <c r="Q1018" s="387" t="s">
        <v>612</v>
      </c>
      <c r="R1018" s="387" t="s">
        <v>7319</v>
      </c>
      <c r="S1018" s="387" t="s">
        <v>614</v>
      </c>
      <c r="T1018" s="387" t="s">
        <v>160</v>
      </c>
      <c r="U1018" s="388">
        <v>750464</v>
      </c>
      <c r="V1018" s="387">
        <v>6001206405402</v>
      </c>
      <c r="W1018" s="387">
        <v>6001206405419</v>
      </c>
      <c r="X1018" s="387" t="s">
        <v>543</v>
      </c>
      <c r="Y1018" s="387">
        <v>16001206405416</v>
      </c>
      <c r="Z1018" s="387" t="s">
        <v>543</v>
      </c>
      <c r="AA1018" s="388">
        <v>26001206405413</v>
      </c>
      <c r="AB1018" s="388" t="s">
        <v>543</v>
      </c>
      <c r="AC1018" s="387" t="s">
        <v>543</v>
      </c>
      <c r="AD1018" s="389">
        <v>12</v>
      </c>
      <c r="AE1018" s="390">
        <v>44013</v>
      </c>
      <c r="AF1018" s="390">
        <v>45107</v>
      </c>
      <c r="AG1018" s="390">
        <v>45107</v>
      </c>
      <c r="AH1018" s="391" t="s">
        <v>7320</v>
      </c>
      <c r="AI1018" s="391" t="s">
        <v>658</v>
      </c>
      <c r="AJ1018" s="391">
        <v>55</v>
      </c>
      <c r="AK1018" s="390">
        <v>45047</v>
      </c>
      <c r="AL1018" s="389">
        <v>100</v>
      </c>
      <c r="AM1018" s="391" t="s">
        <v>548</v>
      </c>
      <c r="AN1018" s="391" t="s">
        <v>545</v>
      </c>
      <c r="AO1018" s="391" t="s">
        <v>7321</v>
      </c>
    </row>
    <row r="1019" spans="1:41" ht="16" thickBot="1">
      <c r="A1019" s="387" t="s">
        <v>1729</v>
      </c>
      <c r="B1019" s="387" t="s">
        <v>2641</v>
      </c>
      <c r="C1019" s="387" t="s">
        <v>7322</v>
      </c>
      <c r="D1019" s="387" t="s">
        <v>7323</v>
      </c>
      <c r="E1019" s="387">
        <v>135</v>
      </c>
      <c r="F1019" s="387" t="s">
        <v>531</v>
      </c>
      <c r="G1019" s="387">
        <v>135</v>
      </c>
      <c r="H1019" s="387" t="s">
        <v>531</v>
      </c>
      <c r="I1019" s="387" t="s">
        <v>7324</v>
      </c>
      <c r="J1019" s="387" t="s">
        <v>7325</v>
      </c>
      <c r="K1019" s="387" t="s">
        <v>7326</v>
      </c>
      <c r="L1019" s="387" t="s">
        <v>1975</v>
      </c>
      <c r="M1019" s="387" t="s">
        <v>1976</v>
      </c>
      <c r="N1019" s="388">
        <v>17.190000000000001</v>
      </c>
      <c r="O1019" s="388">
        <v>14</v>
      </c>
      <c r="P1019" s="387" t="s">
        <v>538</v>
      </c>
      <c r="Q1019" s="387" t="s">
        <v>539</v>
      </c>
      <c r="R1019" s="387" t="s">
        <v>7327</v>
      </c>
      <c r="S1019" s="387" t="s">
        <v>171</v>
      </c>
      <c r="T1019" s="387" t="s">
        <v>757</v>
      </c>
      <c r="U1019" s="388">
        <v>671860</v>
      </c>
      <c r="V1019" s="387">
        <v>6003252003403</v>
      </c>
      <c r="W1019" s="387">
        <v>16003252003400</v>
      </c>
      <c r="X1019" s="387" t="s">
        <v>543</v>
      </c>
      <c r="Y1019" s="387">
        <v>16003252003400</v>
      </c>
      <c r="Z1019" s="387" t="s">
        <v>543</v>
      </c>
      <c r="AA1019" s="388" t="s">
        <v>543</v>
      </c>
      <c r="AB1019" s="388" t="s">
        <v>543</v>
      </c>
      <c r="AC1019" s="387" t="s">
        <v>7328</v>
      </c>
      <c r="AD1019" s="389">
        <v>10</v>
      </c>
      <c r="AE1019" s="390">
        <v>44105</v>
      </c>
      <c r="AF1019" s="390">
        <v>45199</v>
      </c>
      <c r="AG1019" s="390">
        <v>45199</v>
      </c>
      <c r="AH1019" s="391" t="s">
        <v>7329</v>
      </c>
      <c r="AI1019" s="391" t="s">
        <v>1979</v>
      </c>
      <c r="AJ1019" s="391">
        <v>0</v>
      </c>
      <c r="AK1019" s="390">
        <v>44105</v>
      </c>
      <c r="AL1019" s="389">
        <v>100</v>
      </c>
      <c r="AM1019" s="391" t="s">
        <v>548</v>
      </c>
      <c r="AN1019" s="391" t="s">
        <v>545</v>
      </c>
      <c r="AO1019" s="391" t="s">
        <v>7330</v>
      </c>
    </row>
    <row r="1020" spans="1:41" ht="16" thickBot="1">
      <c r="A1020" s="387" t="s">
        <v>2743</v>
      </c>
      <c r="B1020" s="387" t="s">
        <v>573</v>
      </c>
      <c r="C1020" s="387" t="s">
        <v>7331</v>
      </c>
      <c r="D1020" s="387" t="s">
        <v>7332</v>
      </c>
      <c r="E1020" s="387">
        <v>1</v>
      </c>
      <c r="F1020" s="387" t="s">
        <v>2746</v>
      </c>
      <c r="G1020" s="387">
        <v>1</v>
      </c>
      <c r="H1020" s="387" t="s">
        <v>2746</v>
      </c>
      <c r="I1020" s="387" t="s">
        <v>1838</v>
      </c>
      <c r="J1020" s="387" t="s">
        <v>7333</v>
      </c>
      <c r="K1020" s="387" t="s">
        <v>7334</v>
      </c>
      <c r="L1020" s="387" t="s">
        <v>1975</v>
      </c>
      <c r="M1020" s="387" t="s">
        <v>1976</v>
      </c>
      <c r="N1020" s="388">
        <v>11.82</v>
      </c>
      <c r="O1020" s="388">
        <v>14</v>
      </c>
      <c r="P1020" s="387" t="s">
        <v>538</v>
      </c>
      <c r="Q1020" s="387" t="s">
        <v>539</v>
      </c>
      <c r="R1020" s="387" t="s">
        <v>6566</v>
      </c>
      <c r="S1020" s="387" t="s">
        <v>541</v>
      </c>
      <c r="T1020" s="387" t="s">
        <v>757</v>
      </c>
      <c r="U1020" s="388">
        <v>1880335</v>
      </c>
      <c r="V1020" s="387">
        <v>6003252000464</v>
      </c>
      <c r="W1020" s="387">
        <v>6003252000464</v>
      </c>
      <c r="X1020" s="387" t="s">
        <v>543</v>
      </c>
      <c r="Y1020" s="387">
        <v>16003252000461</v>
      </c>
      <c r="Z1020" s="387" t="s">
        <v>543</v>
      </c>
      <c r="AA1020" s="388" t="s">
        <v>543</v>
      </c>
      <c r="AB1020" s="388" t="s">
        <v>543</v>
      </c>
      <c r="AC1020" s="387">
        <v>802050018</v>
      </c>
      <c r="AD1020" s="389">
        <v>12</v>
      </c>
      <c r="AE1020" s="390">
        <v>44105</v>
      </c>
      <c r="AF1020" s="390">
        <v>45199</v>
      </c>
      <c r="AG1020" s="390">
        <v>45199</v>
      </c>
      <c r="AH1020" s="391" t="s">
        <v>7335</v>
      </c>
      <c r="AI1020" s="391" t="s">
        <v>1979</v>
      </c>
      <c r="AJ1020" s="391">
        <v>10</v>
      </c>
      <c r="AK1020" s="390">
        <v>44866</v>
      </c>
      <c r="AL1020" s="389">
        <v>100</v>
      </c>
      <c r="AM1020" s="391" t="s">
        <v>548</v>
      </c>
      <c r="AN1020" s="391" t="s">
        <v>545</v>
      </c>
      <c r="AO1020" s="391" t="s">
        <v>7336</v>
      </c>
    </row>
    <row r="1021" spans="1:41" ht="16" thickBot="1">
      <c r="A1021" s="387" t="s">
        <v>2743</v>
      </c>
      <c r="B1021" s="387" t="s">
        <v>990</v>
      </c>
      <c r="C1021" s="387" t="s">
        <v>7337</v>
      </c>
      <c r="D1021" s="387" t="s">
        <v>7338</v>
      </c>
      <c r="E1021" s="387">
        <v>200</v>
      </c>
      <c r="F1021" s="387" t="s">
        <v>531</v>
      </c>
      <c r="G1021" s="387">
        <v>200</v>
      </c>
      <c r="H1021" s="387" t="s">
        <v>531</v>
      </c>
      <c r="I1021" s="387" t="s">
        <v>1838</v>
      </c>
      <c r="J1021" s="387" t="s">
        <v>7333</v>
      </c>
      <c r="K1021" s="387" t="s">
        <v>7339</v>
      </c>
      <c r="L1021" s="387" t="s">
        <v>1975</v>
      </c>
      <c r="M1021" s="387" t="s">
        <v>1976</v>
      </c>
      <c r="N1021" s="388">
        <v>34.24</v>
      </c>
      <c r="O1021" s="388">
        <v>14</v>
      </c>
      <c r="P1021" s="387" t="s">
        <v>538</v>
      </c>
      <c r="Q1021" s="387" t="s">
        <v>539</v>
      </c>
      <c r="R1021" s="387" t="s">
        <v>6566</v>
      </c>
      <c r="S1021" s="387" t="s">
        <v>541</v>
      </c>
      <c r="T1021" s="387" t="s">
        <v>757</v>
      </c>
      <c r="U1021" s="388">
        <v>111255</v>
      </c>
      <c r="V1021" s="387">
        <v>6003252000471</v>
      </c>
      <c r="W1021" s="387">
        <v>6003252000471</v>
      </c>
      <c r="X1021" s="387" t="s">
        <v>543</v>
      </c>
      <c r="Y1021" s="387">
        <v>16003252000478</v>
      </c>
      <c r="Z1021" s="387" t="s">
        <v>543</v>
      </c>
      <c r="AA1021" s="388" t="s">
        <v>543</v>
      </c>
      <c r="AB1021" s="388" t="s">
        <v>543</v>
      </c>
      <c r="AC1021" s="387">
        <v>801925002</v>
      </c>
      <c r="AD1021" s="389">
        <v>36</v>
      </c>
      <c r="AE1021" s="390">
        <v>44105</v>
      </c>
      <c r="AF1021" s="390">
        <v>45199</v>
      </c>
      <c r="AG1021" s="390">
        <v>45199</v>
      </c>
      <c r="AH1021" s="391" t="s">
        <v>7340</v>
      </c>
      <c r="AI1021" s="391" t="s">
        <v>1979</v>
      </c>
      <c r="AJ1021" s="391">
        <v>10</v>
      </c>
      <c r="AK1021" s="390">
        <v>44866</v>
      </c>
      <c r="AL1021" s="389">
        <v>100</v>
      </c>
      <c r="AM1021" s="391" t="s">
        <v>548</v>
      </c>
      <c r="AN1021" s="391" t="s">
        <v>545</v>
      </c>
      <c r="AO1021" s="391" t="s">
        <v>7341</v>
      </c>
    </row>
    <row r="1022" spans="1:41" ht="16" thickBot="1">
      <c r="A1022" s="387" t="s">
        <v>2743</v>
      </c>
      <c r="B1022" s="387" t="s">
        <v>1006</v>
      </c>
      <c r="C1022" s="387" t="s">
        <v>7342</v>
      </c>
      <c r="D1022" s="387" t="s">
        <v>7343</v>
      </c>
      <c r="E1022" s="387">
        <v>500</v>
      </c>
      <c r="F1022" s="387" t="s">
        <v>531</v>
      </c>
      <c r="G1022" s="387">
        <v>500</v>
      </c>
      <c r="H1022" s="387" t="s">
        <v>531</v>
      </c>
      <c r="I1022" s="387" t="s">
        <v>1838</v>
      </c>
      <c r="J1022" s="387" t="s">
        <v>7333</v>
      </c>
      <c r="K1022" s="387" t="s">
        <v>7344</v>
      </c>
      <c r="L1022" s="387" t="s">
        <v>1975</v>
      </c>
      <c r="M1022" s="387" t="s">
        <v>1976</v>
      </c>
      <c r="N1022" s="388">
        <v>38.200000000000003</v>
      </c>
      <c r="O1022" s="388">
        <v>14</v>
      </c>
      <c r="P1022" s="387" t="s">
        <v>538</v>
      </c>
      <c r="Q1022" s="387" t="s">
        <v>539</v>
      </c>
      <c r="R1022" s="387" t="s">
        <v>6566</v>
      </c>
      <c r="S1022" s="387" t="s">
        <v>541</v>
      </c>
      <c r="T1022" s="387" t="s">
        <v>757</v>
      </c>
      <c r="U1022" s="388">
        <v>10391</v>
      </c>
      <c r="V1022" s="387">
        <v>6003252000488</v>
      </c>
      <c r="W1022" s="387">
        <v>6003252000488</v>
      </c>
      <c r="X1022" s="387" t="s">
        <v>543</v>
      </c>
      <c r="Y1022" s="387">
        <v>16003252000485</v>
      </c>
      <c r="Z1022" s="387" t="s">
        <v>543</v>
      </c>
      <c r="AA1022" s="388" t="s">
        <v>543</v>
      </c>
      <c r="AB1022" s="388" t="s">
        <v>543</v>
      </c>
      <c r="AC1022" s="387">
        <v>801933005</v>
      </c>
      <c r="AD1022" s="389">
        <v>18</v>
      </c>
      <c r="AE1022" s="390">
        <v>44105</v>
      </c>
      <c r="AF1022" s="390">
        <v>45199</v>
      </c>
      <c r="AG1022" s="390">
        <v>45199</v>
      </c>
      <c r="AH1022" s="391" t="s">
        <v>7345</v>
      </c>
      <c r="AI1022" s="391" t="s">
        <v>1979</v>
      </c>
      <c r="AJ1022" s="391">
        <v>10</v>
      </c>
      <c r="AK1022" s="390">
        <v>44866</v>
      </c>
      <c r="AL1022" s="389">
        <v>100</v>
      </c>
      <c r="AM1022" s="391" t="s">
        <v>548</v>
      </c>
      <c r="AN1022" s="391" t="s">
        <v>545</v>
      </c>
      <c r="AO1022" s="391" t="s">
        <v>7341</v>
      </c>
    </row>
    <row r="1023" spans="1:41" ht="16" thickBot="1">
      <c r="A1023" s="387" t="s">
        <v>2177</v>
      </c>
      <c r="B1023" s="387" t="s">
        <v>3302</v>
      </c>
      <c r="C1023" s="387" t="s">
        <v>7346</v>
      </c>
      <c r="D1023" s="387" t="s">
        <v>7347</v>
      </c>
      <c r="E1023" s="387">
        <v>500</v>
      </c>
      <c r="F1023" s="387" t="s">
        <v>2180</v>
      </c>
      <c r="G1023" s="387">
        <v>500</v>
      </c>
      <c r="H1023" s="387" t="s">
        <v>2180</v>
      </c>
      <c r="I1023" s="387" t="s">
        <v>2720</v>
      </c>
      <c r="J1023" s="387" t="s">
        <v>7348</v>
      </c>
      <c r="K1023" s="387" t="s">
        <v>7349</v>
      </c>
      <c r="L1023" s="387" t="s">
        <v>1855</v>
      </c>
      <c r="M1023" s="387" t="s">
        <v>1856</v>
      </c>
      <c r="N1023" s="388">
        <v>27.68</v>
      </c>
      <c r="O1023" s="388">
        <v>14</v>
      </c>
      <c r="P1023" s="387" t="s">
        <v>538</v>
      </c>
      <c r="Q1023" s="387" t="s">
        <v>539</v>
      </c>
      <c r="R1023" s="387" t="s">
        <v>2184</v>
      </c>
      <c r="S1023" s="387" t="s">
        <v>614</v>
      </c>
      <c r="T1023" s="387" t="s">
        <v>757</v>
      </c>
      <c r="U1023" s="388">
        <v>186603</v>
      </c>
      <c r="V1023" s="387">
        <v>6001668011029</v>
      </c>
      <c r="W1023" s="387" t="s">
        <v>543</v>
      </c>
      <c r="X1023" s="387" t="s">
        <v>543</v>
      </c>
      <c r="Y1023" s="387">
        <v>16001668011033</v>
      </c>
      <c r="Z1023" s="387" t="s">
        <v>543</v>
      </c>
      <c r="AA1023" s="388" t="s">
        <v>543</v>
      </c>
      <c r="AB1023" s="388" t="s">
        <v>543</v>
      </c>
      <c r="AC1023" s="387" t="s">
        <v>543</v>
      </c>
      <c r="AD1023" s="389">
        <v>22</v>
      </c>
      <c r="AE1023" s="390">
        <v>44013</v>
      </c>
      <c r="AF1023" s="390">
        <v>45107</v>
      </c>
      <c r="AG1023" s="390">
        <v>45107</v>
      </c>
      <c r="AH1023" s="391" t="s">
        <v>7350</v>
      </c>
      <c r="AI1023" s="391" t="s">
        <v>1859</v>
      </c>
      <c r="AJ1023" s="391">
        <v>51</v>
      </c>
      <c r="AK1023" s="390">
        <v>44958</v>
      </c>
      <c r="AL1023" s="389">
        <v>100</v>
      </c>
      <c r="AM1023" s="391" t="s">
        <v>548</v>
      </c>
      <c r="AN1023" s="391" t="s">
        <v>545</v>
      </c>
      <c r="AO1023" s="391" t="s">
        <v>7351</v>
      </c>
    </row>
    <row r="1024" spans="1:41" ht="16" thickBot="1">
      <c r="A1024" s="387" t="s">
        <v>1748</v>
      </c>
      <c r="B1024" s="387" t="s">
        <v>4357</v>
      </c>
      <c r="C1024" s="387" t="s">
        <v>7352</v>
      </c>
      <c r="D1024" s="387" t="s">
        <v>7353</v>
      </c>
      <c r="E1024" s="387">
        <v>1.5</v>
      </c>
      <c r="F1024" s="387" t="s">
        <v>531</v>
      </c>
      <c r="G1024" s="387">
        <v>1.5</v>
      </c>
      <c r="H1024" s="387" t="s">
        <v>531</v>
      </c>
      <c r="I1024" s="387" t="s">
        <v>4939</v>
      </c>
      <c r="J1024" s="387" t="s">
        <v>7354</v>
      </c>
      <c r="K1024" s="387" t="s">
        <v>7355</v>
      </c>
      <c r="L1024" s="387" t="s">
        <v>1761</v>
      </c>
      <c r="M1024" s="387" t="s">
        <v>1762</v>
      </c>
      <c r="N1024" s="388">
        <v>1016</v>
      </c>
      <c r="O1024" s="388">
        <v>14</v>
      </c>
      <c r="P1024" s="387" t="s">
        <v>538</v>
      </c>
      <c r="Q1024" s="387" t="s">
        <v>539</v>
      </c>
      <c r="R1024" s="387" t="s">
        <v>7356</v>
      </c>
      <c r="S1024" s="387" t="s">
        <v>171</v>
      </c>
      <c r="T1024" s="387" t="s">
        <v>1908</v>
      </c>
      <c r="U1024" s="388">
        <v>24895</v>
      </c>
      <c r="V1024" s="387" t="s">
        <v>543</v>
      </c>
      <c r="W1024" s="387" t="s">
        <v>543</v>
      </c>
      <c r="X1024" s="387" t="s">
        <v>543</v>
      </c>
      <c r="Y1024" s="387" t="s">
        <v>543</v>
      </c>
      <c r="Z1024" s="387" t="s">
        <v>543</v>
      </c>
      <c r="AA1024" s="388" t="s">
        <v>543</v>
      </c>
      <c r="AB1024" s="388" t="s">
        <v>543</v>
      </c>
      <c r="AC1024" s="387" t="s">
        <v>543</v>
      </c>
      <c r="AD1024" s="389">
        <v>100</v>
      </c>
      <c r="AE1024" s="390">
        <v>44317</v>
      </c>
      <c r="AF1024" s="390">
        <v>45412</v>
      </c>
      <c r="AG1024" s="391" t="s">
        <v>545</v>
      </c>
      <c r="AH1024" s="391" t="s">
        <v>7357</v>
      </c>
      <c r="AI1024" s="391" t="s">
        <v>1764</v>
      </c>
      <c r="AJ1024" s="391">
        <v>0</v>
      </c>
      <c r="AK1024" s="390">
        <v>44317</v>
      </c>
      <c r="AL1024" s="389">
        <v>100</v>
      </c>
      <c r="AM1024" s="391" t="s">
        <v>548</v>
      </c>
      <c r="AN1024" s="391" t="s">
        <v>549</v>
      </c>
      <c r="AO1024" s="391" t="s">
        <v>7358</v>
      </c>
    </row>
    <row r="1025" spans="1:43" ht="16" thickBot="1">
      <c r="A1025" s="387" t="s">
        <v>1748</v>
      </c>
      <c r="B1025" s="387" t="s">
        <v>4349</v>
      </c>
      <c r="C1025" s="387" t="s">
        <v>7359</v>
      </c>
      <c r="D1025" s="387" t="s">
        <v>7360</v>
      </c>
      <c r="E1025" s="387">
        <v>1.5</v>
      </c>
      <c r="F1025" s="387" t="s">
        <v>531</v>
      </c>
      <c r="G1025" s="387">
        <v>1.5</v>
      </c>
      <c r="H1025" s="387" t="s">
        <v>531</v>
      </c>
      <c r="I1025" s="387" t="s">
        <v>4939</v>
      </c>
      <c r="J1025" s="387" t="s">
        <v>7354</v>
      </c>
      <c r="K1025" s="387" t="s">
        <v>7361</v>
      </c>
      <c r="L1025" s="387" t="s">
        <v>3984</v>
      </c>
      <c r="M1025" s="387" t="s">
        <v>3985</v>
      </c>
      <c r="N1025" s="388">
        <v>536.07000000000005</v>
      </c>
      <c r="O1025" s="388">
        <v>14</v>
      </c>
      <c r="P1025" s="387" t="s">
        <v>538</v>
      </c>
      <c r="Q1025" s="387" t="s">
        <v>539</v>
      </c>
      <c r="R1025" s="387" t="s">
        <v>7356</v>
      </c>
      <c r="S1025" s="387" t="s">
        <v>171</v>
      </c>
      <c r="T1025" s="387" t="s">
        <v>1908</v>
      </c>
      <c r="U1025" s="388">
        <v>23720</v>
      </c>
      <c r="V1025" s="387">
        <v>6006338001287</v>
      </c>
      <c r="W1025" s="387">
        <v>6006338001287</v>
      </c>
      <c r="X1025" s="387" t="s">
        <v>543</v>
      </c>
      <c r="Y1025" s="387" t="s">
        <v>543</v>
      </c>
      <c r="Z1025" s="387" t="s">
        <v>543</v>
      </c>
      <c r="AA1025" s="388" t="s">
        <v>543</v>
      </c>
      <c r="AB1025" s="388" t="s">
        <v>543</v>
      </c>
      <c r="AC1025" s="387">
        <v>704017001</v>
      </c>
      <c r="AD1025" s="389">
        <v>1</v>
      </c>
      <c r="AE1025" s="390">
        <v>44317</v>
      </c>
      <c r="AF1025" s="390">
        <v>45412</v>
      </c>
      <c r="AG1025" s="391" t="s">
        <v>545</v>
      </c>
      <c r="AH1025" s="391" t="s">
        <v>7362</v>
      </c>
      <c r="AI1025" s="391" t="s">
        <v>3988</v>
      </c>
      <c r="AJ1025" s="391">
        <v>0</v>
      </c>
      <c r="AK1025" s="390">
        <v>44317</v>
      </c>
      <c r="AL1025" s="389">
        <v>100</v>
      </c>
      <c r="AM1025" s="391" t="s">
        <v>548</v>
      </c>
      <c r="AN1025" s="391" t="s">
        <v>549</v>
      </c>
      <c r="AO1025" s="391" t="s">
        <v>7363</v>
      </c>
    </row>
    <row r="1026" spans="1:43" ht="16" thickBot="1">
      <c r="A1026" s="387" t="s">
        <v>1729</v>
      </c>
      <c r="B1026" s="387" t="s">
        <v>2837</v>
      </c>
      <c r="C1026" s="387" t="s">
        <v>7364</v>
      </c>
      <c r="D1026" s="387" t="s">
        <v>7365</v>
      </c>
      <c r="E1026" s="387">
        <v>500</v>
      </c>
      <c r="F1026" s="387" t="s">
        <v>531</v>
      </c>
      <c r="G1026" s="387">
        <v>500</v>
      </c>
      <c r="H1026" s="387" t="s">
        <v>531</v>
      </c>
      <c r="I1026" s="387" t="s">
        <v>532</v>
      </c>
      <c r="J1026" s="387" t="s">
        <v>7366</v>
      </c>
      <c r="K1026" s="387" t="s">
        <v>7367</v>
      </c>
      <c r="L1026" s="387" t="s">
        <v>1809</v>
      </c>
      <c r="M1026" s="387" t="s">
        <v>1810</v>
      </c>
      <c r="N1026" s="388">
        <v>61.98</v>
      </c>
      <c r="O1026" s="388">
        <v>14</v>
      </c>
      <c r="P1026" s="387" t="s">
        <v>538</v>
      </c>
      <c r="Q1026" s="387" t="s">
        <v>539</v>
      </c>
      <c r="R1026" s="387" t="s">
        <v>7368</v>
      </c>
      <c r="S1026" s="387" t="s">
        <v>171</v>
      </c>
      <c r="T1026" s="387" t="s">
        <v>757</v>
      </c>
      <c r="U1026" s="388">
        <v>13992</v>
      </c>
      <c r="V1026" s="387" t="s">
        <v>543</v>
      </c>
      <c r="W1026" s="387" t="s">
        <v>543</v>
      </c>
      <c r="X1026" s="387" t="s">
        <v>543</v>
      </c>
      <c r="Y1026" s="387" t="s">
        <v>543</v>
      </c>
      <c r="Z1026" s="387" t="s">
        <v>543</v>
      </c>
      <c r="AA1026" s="388" t="s">
        <v>543</v>
      </c>
      <c r="AB1026" s="388" t="s">
        <v>543</v>
      </c>
      <c r="AC1026" s="387" t="s">
        <v>543</v>
      </c>
      <c r="AD1026" s="389">
        <v>24</v>
      </c>
      <c r="AE1026" s="390">
        <v>44105</v>
      </c>
      <c r="AF1026" s="390">
        <v>45199</v>
      </c>
      <c r="AG1026" s="390">
        <v>45199</v>
      </c>
      <c r="AH1026" s="391" t="s">
        <v>7369</v>
      </c>
      <c r="AI1026" s="391" t="s">
        <v>1813</v>
      </c>
      <c r="AJ1026" s="391">
        <v>0</v>
      </c>
      <c r="AK1026" s="390">
        <v>44105</v>
      </c>
      <c r="AL1026" s="389">
        <v>100</v>
      </c>
      <c r="AM1026" s="391" t="s">
        <v>548</v>
      </c>
      <c r="AN1026" s="391" t="s">
        <v>545</v>
      </c>
      <c r="AO1026" s="391" t="s">
        <v>7370</v>
      </c>
    </row>
    <row r="1027" spans="1:43" ht="16" thickBot="1">
      <c r="A1027" s="387" t="s">
        <v>2412</v>
      </c>
      <c r="B1027" s="387" t="s">
        <v>3180</v>
      </c>
      <c r="C1027" s="387" t="s">
        <v>7371</v>
      </c>
      <c r="D1027" s="387" t="s">
        <v>7372</v>
      </c>
      <c r="E1027" s="387">
        <v>1</v>
      </c>
      <c r="F1027" s="387" t="s">
        <v>3238</v>
      </c>
      <c r="G1027" s="387">
        <v>1</v>
      </c>
      <c r="H1027" s="387" t="s">
        <v>3238</v>
      </c>
      <c r="I1027" s="387" t="s">
        <v>3239</v>
      </c>
      <c r="J1027" s="387" t="s">
        <v>7373</v>
      </c>
      <c r="K1027" s="387" t="s">
        <v>7374</v>
      </c>
      <c r="L1027" s="387" t="s">
        <v>675</v>
      </c>
      <c r="M1027" s="387" t="s">
        <v>676</v>
      </c>
      <c r="N1027" s="388">
        <v>117.9</v>
      </c>
      <c r="O1027" s="388">
        <v>14</v>
      </c>
      <c r="P1027" s="387" t="s">
        <v>538</v>
      </c>
      <c r="Q1027" s="387" t="s">
        <v>160</v>
      </c>
      <c r="R1027" s="387" t="s">
        <v>1745</v>
      </c>
      <c r="S1027" s="387" t="s">
        <v>541</v>
      </c>
      <c r="T1027" s="387" t="s">
        <v>542</v>
      </c>
      <c r="U1027" s="388">
        <v>24520</v>
      </c>
      <c r="V1027" s="387">
        <v>6006352020417</v>
      </c>
      <c r="W1027" s="387" t="s">
        <v>543</v>
      </c>
      <c r="X1027" s="387" t="s">
        <v>543</v>
      </c>
      <c r="Y1027" s="387" t="s">
        <v>543</v>
      </c>
      <c r="Z1027" s="387" t="s">
        <v>543</v>
      </c>
      <c r="AA1027" s="388" t="s">
        <v>543</v>
      </c>
      <c r="AB1027" s="388" t="s">
        <v>543</v>
      </c>
      <c r="AC1027" s="387">
        <v>402042006</v>
      </c>
      <c r="AD1027" s="389" t="s">
        <v>7375</v>
      </c>
      <c r="AE1027" s="390">
        <v>44137</v>
      </c>
      <c r="AF1027" s="390">
        <v>45107</v>
      </c>
      <c r="AG1027" s="390">
        <v>45107</v>
      </c>
      <c r="AH1027" s="391" t="s">
        <v>7376</v>
      </c>
      <c r="AI1027" s="391" t="s">
        <v>679</v>
      </c>
      <c r="AJ1027" s="391">
        <v>3</v>
      </c>
      <c r="AK1027" s="390">
        <v>45047</v>
      </c>
      <c r="AL1027" s="389">
        <v>100</v>
      </c>
      <c r="AM1027" s="391" t="s">
        <v>548</v>
      </c>
      <c r="AN1027" s="391" t="s">
        <v>545</v>
      </c>
      <c r="AO1027" s="391" t="s">
        <v>7377</v>
      </c>
    </row>
    <row r="1028" spans="1:43" ht="16" thickBot="1">
      <c r="A1028" s="387" t="s">
        <v>2294</v>
      </c>
      <c r="B1028" s="387" t="s">
        <v>3214</v>
      </c>
      <c r="C1028" s="387" t="s">
        <v>7378</v>
      </c>
      <c r="D1028" s="387" t="s">
        <v>7379</v>
      </c>
      <c r="E1028" s="387">
        <v>1</v>
      </c>
      <c r="F1028" s="387" t="s">
        <v>3238</v>
      </c>
      <c r="G1028" s="387">
        <v>1</v>
      </c>
      <c r="H1028" s="387" t="s">
        <v>3238</v>
      </c>
      <c r="I1028" s="387" t="s">
        <v>3239</v>
      </c>
      <c r="J1028" s="387" t="s">
        <v>7380</v>
      </c>
      <c r="K1028" s="387" t="s">
        <v>7381</v>
      </c>
      <c r="L1028" s="387" t="s">
        <v>675</v>
      </c>
      <c r="M1028" s="387" t="s">
        <v>676</v>
      </c>
      <c r="N1028" s="388">
        <v>123.18</v>
      </c>
      <c r="O1028" s="388">
        <v>14</v>
      </c>
      <c r="P1028" s="387" t="s">
        <v>538</v>
      </c>
      <c r="Q1028" s="387" t="s">
        <v>539</v>
      </c>
      <c r="R1028" s="387" t="s">
        <v>1745</v>
      </c>
      <c r="S1028" s="387" t="s">
        <v>541</v>
      </c>
      <c r="T1028" s="387" t="s">
        <v>542</v>
      </c>
      <c r="U1028" s="388">
        <v>63931</v>
      </c>
      <c r="V1028" s="387">
        <v>6006352020417</v>
      </c>
      <c r="W1028" s="387" t="s">
        <v>543</v>
      </c>
      <c r="X1028" s="387" t="s">
        <v>543</v>
      </c>
      <c r="Y1028" s="387" t="s">
        <v>543</v>
      </c>
      <c r="Z1028" s="387" t="s">
        <v>543</v>
      </c>
      <c r="AA1028" s="388" t="s">
        <v>543</v>
      </c>
      <c r="AB1028" s="388" t="s">
        <v>543</v>
      </c>
      <c r="AC1028" s="387" t="s">
        <v>543</v>
      </c>
      <c r="AD1028" s="389">
        <v>6</v>
      </c>
      <c r="AE1028" s="390">
        <v>44013</v>
      </c>
      <c r="AF1028" s="390">
        <v>45107</v>
      </c>
      <c r="AG1028" s="390">
        <v>45107</v>
      </c>
      <c r="AH1028" s="391" t="s">
        <v>7382</v>
      </c>
      <c r="AI1028" s="391" t="s">
        <v>679</v>
      </c>
      <c r="AJ1028" s="391">
        <v>70</v>
      </c>
      <c r="AK1028" s="390">
        <v>45047</v>
      </c>
      <c r="AL1028" s="389">
        <v>100</v>
      </c>
      <c r="AM1028" s="391" t="s">
        <v>548</v>
      </c>
      <c r="AN1028" s="391" t="s">
        <v>545</v>
      </c>
      <c r="AO1028" s="391" t="s">
        <v>7383</v>
      </c>
    </row>
    <row r="1029" spans="1:43" ht="16" thickBot="1">
      <c r="A1029" s="387" t="s">
        <v>2294</v>
      </c>
      <c r="B1029" s="387" t="s">
        <v>2830</v>
      </c>
      <c r="C1029" s="387" t="s">
        <v>7384</v>
      </c>
      <c r="D1029" s="387" t="s">
        <v>7385</v>
      </c>
      <c r="E1029" s="387">
        <v>1</v>
      </c>
      <c r="F1029" s="387" t="s">
        <v>3238</v>
      </c>
      <c r="G1029" s="387">
        <v>1</v>
      </c>
      <c r="H1029" s="387" t="s">
        <v>3238</v>
      </c>
      <c r="I1029" s="387" t="s">
        <v>3239</v>
      </c>
      <c r="J1029" s="387" t="s">
        <v>7386</v>
      </c>
      <c r="K1029" s="387" t="s">
        <v>7387</v>
      </c>
      <c r="L1029" s="387" t="s">
        <v>7388</v>
      </c>
      <c r="M1029" s="387" t="s">
        <v>7389</v>
      </c>
      <c r="N1029" s="388">
        <v>53.14</v>
      </c>
      <c r="O1029" s="388">
        <v>14</v>
      </c>
      <c r="P1029" s="387" t="s">
        <v>538</v>
      </c>
      <c r="Q1029" s="387" t="s">
        <v>539</v>
      </c>
      <c r="R1029" s="387" t="s">
        <v>1745</v>
      </c>
      <c r="S1029" s="387" t="s">
        <v>541</v>
      </c>
      <c r="T1029" s="387" t="s">
        <v>542</v>
      </c>
      <c r="U1029" s="388">
        <v>22445</v>
      </c>
      <c r="V1029" s="387" t="s">
        <v>543</v>
      </c>
      <c r="W1029" s="387" t="s">
        <v>543</v>
      </c>
      <c r="X1029" s="387" t="s">
        <v>543</v>
      </c>
      <c r="Y1029" s="387" t="s">
        <v>543</v>
      </c>
      <c r="Z1029" s="387" t="s">
        <v>543</v>
      </c>
      <c r="AA1029" s="388" t="s">
        <v>543</v>
      </c>
      <c r="AB1029" s="388" t="s">
        <v>543</v>
      </c>
      <c r="AC1029" s="387" t="s">
        <v>543</v>
      </c>
      <c r="AD1029" s="389">
        <v>50</v>
      </c>
      <c r="AE1029" s="390">
        <v>44013</v>
      </c>
      <c r="AF1029" s="390">
        <v>45107</v>
      </c>
      <c r="AG1029" s="390">
        <v>45107</v>
      </c>
      <c r="AH1029" s="391" t="s">
        <v>7390</v>
      </c>
      <c r="AI1029" s="391" t="s">
        <v>7391</v>
      </c>
      <c r="AJ1029" s="391">
        <v>66</v>
      </c>
      <c r="AK1029" s="390">
        <v>44958</v>
      </c>
      <c r="AL1029" s="389">
        <v>100</v>
      </c>
      <c r="AM1029" s="391" t="s">
        <v>548</v>
      </c>
      <c r="AN1029" s="391" t="s">
        <v>545</v>
      </c>
      <c r="AO1029" s="391" t="s">
        <v>7392</v>
      </c>
    </row>
    <row r="1030" spans="1:43" ht="16" thickBot="1">
      <c r="A1030" s="387" t="s">
        <v>1717</v>
      </c>
      <c r="B1030" s="387" t="s">
        <v>7393</v>
      </c>
      <c r="C1030" s="387" t="s">
        <v>7394</v>
      </c>
      <c r="D1030" s="387" t="s">
        <v>7395</v>
      </c>
      <c r="E1030" s="387">
        <v>60</v>
      </c>
      <c r="F1030" s="387" t="s">
        <v>559</v>
      </c>
      <c r="G1030" s="387" t="s">
        <v>543</v>
      </c>
      <c r="H1030" s="387" t="s">
        <v>559</v>
      </c>
      <c r="I1030" s="387" t="s">
        <v>560</v>
      </c>
      <c r="J1030" s="387" t="s">
        <v>7396</v>
      </c>
      <c r="K1030" s="387" t="s">
        <v>7397</v>
      </c>
      <c r="L1030" s="387" t="s">
        <v>535</v>
      </c>
      <c r="M1030" s="387" t="s">
        <v>536</v>
      </c>
      <c r="N1030" s="388">
        <v>139</v>
      </c>
      <c r="O1030" s="388">
        <v>14</v>
      </c>
      <c r="P1030" s="387" t="s">
        <v>538</v>
      </c>
      <c r="Q1030" s="387" t="s">
        <v>539</v>
      </c>
      <c r="R1030" s="387" t="s">
        <v>7398</v>
      </c>
      <c r="S1030" s="387" t="s">
        <v>171</v>
      </c>
      <c r="T1030" s="387" t="s">
        <v>542</v>
      </c>
      <c r="U1030" s="388">
        <v>9010</v>
      </c>
      <c r="V1030" s="387" t="s">
        <v>543</v>
      </c>
      <c r="W1030" s="387" t="s">
        <v>543</v>
      </c>
      <c r="X1030" s="387" t="s">
        <v>543</v>
      </c>
      <c r="Y1030" s="387" t="s">
        <v>543</v>
      </c>
      <c r="Z1030" s="387" t="s">
        <v>543</v>
      </c>
      <c r="AA1030" s="388" t="s">
        <v>543</v>
      </c>
      <c r="AB1030" s="388" t="s">
        <v>543</v>
      </c>
      <c r="AC1030" s="387">
        <v>898937019</v>
      </c>
      <c r="AD1030" s="389">
        <v>10</v>
      </c>
      <c r="AE1030" s="390">
        <v>45047</v>
      </c>
      <c r="AF1030" s="390">
        <v>46142</v>
      </c>
      <c r="AG1030" s="391" t="s">
        <v>545</v>
      </c>
      <c r="AH1030" s="391" t="s">
        <v>7399</v>
      </c>
      <c r="AI1030" s="391" t="s">
        <v>547</v>
      </c>
      <c r="AJ1030" s="391">
        <v>0</v>
      </c>
      <c r="AK1030" s="390">
        <v>45047</v>
      </c>
      <c r="AL1030" s="389">
        <v>100</v>
      </c>
      <c r="AM1030" s="391" t="s">
        <v>548</v>
      </c>
      <c r="AN1030" s="391" t="s">
        <v>549</v>
      </c>
      <c r="AO1030" s="391" t="s">
        <v>7400</v>
      </c>
    </row>
    <row r="1031" spans="1:43" ht="16" thickBot="1">
      <c r="A1031" s="387" t="s">
        <v>1717</v>
      </c>
      <c r="B1031" s="387" t="s">
        <v>7401</v>
      </c>
      <c r="C1031" s="387" t="s">
        <v>7402</v>
      </c>
      <c r="D1031" s="387" t="s">
        <v>7403</v>
      </c>
      <c r="E1031" s="387">
        <v>28</v>
      </c>
      <c r="F1031" s="387" t="s">
        <v>559</v>
      </c>
      <c r="G1031" s="387" t="s">
        <v>543</v>
      </c>
      <c r="H1031" s="387" t="s">
        <v>559</v>
      </c>
      <c r="I1031" s="387" t="s">
        <v>560</v>
      </c>
      <c r="J1031" s="387" t="s">
        <v>7396</v>
      </c>
      <c r="K1031" s="387" t="s">
        <v>7404</v>
      </c>
      <c r="L1031" s="387" t="s">
        <v>535</v>
      </c>
      <c r="M1031" s="387" t="s">
        <v>536</v>
      </c>
      <c r="N1031" s="388">
        <v>13</v>
      </c>
      <c r="O1031" s="388">
        <v>14</v>
      </c>
      <c r="P1031" s="387" t="s">
        <v>538</v>
      </c>
      <c r="Q1031" s="387" t="s">
        <v>539</v>
      </c>
      <c r="R1031" s="387" t="s">
        <v>7398</v>
      </c>
      <c r="S1031" s="387" t="s">
        <v>171</v>
      </c>
      <c r="T1031" s="387" t="s">
        <v>542</v>
      </c>
      <c r="U1031" s="388">
        <v>3575286</v>
      </c>
      <c r="V1031" s="387" t="s">
        <v>543</v>
      </c>
      <c r="W1031" s="387" t="s">
        <v>543</v>
      </c>
      <c r="X1031" s="387" t="s">
        <v>543</v>
      </c>
      <c r="Y1031" s="387" t="s">
        <v>543</v>
      </c>
      <c r="Z1031" s="387" t="s">
        <v>543</v>
      </c>
      <c r="AA1031" s="388" t="s">
        <v>543</v>
      </c>
      <c r="AB1031" s="388" t="s">
        <v>543</v>
      </c>
      <c r="AC1031" s="387">
        <v>765910004</v>
      </c>
      <c r="AD1031" s="389">
        <v>80</v>
      </c>
      <c r="AE1031" s="390">
        <v>45047</v>
      </c>
      <c r="AF1031" s="390">
        <v>46142</v>
      </c>
      <c r="AG1031" s="391" t="s">
        <v>545</v>
      </c>
      <c r="AH1031" s="391" t="s">
        <v>7405</v>
      </c>
      <c r="AI1031" s="391" t="s">
        <v>547</v>
      </c>
      <c r="AJ1031" s="391">
        <v>0</v>
      </c>
      <c r="AK1031" s="390">
        <v>45047</v>
      </c>
      <c r="AL1031" s="389">
        <v>100</v>
      </c>
      <c r="AM1031" s="391" t="s">
        <v>548</v>
      </c>
      <c r="AN1031" s="391" t="s">
        <v>549</v>
      </c>
      <c r="AO1031" s="391" t="s">
        <v>7406</v>
      </c>
    </row>
    <row r="1032" spans="1:43" ht="16" thickBot="1">
      <c r="A1032" s="387" t="s">
        <v>1717</v>
      </c>
      <c r="B1032" s="387" t="s">
        <v>7407</v>
      </c>
      <c r="C1032" s="387" t="s">
        <v>7408</v>
      </c>
      <c r="D1032" s="387" t="s">
        <v>7409</v>
      </c>
      <c r="E1032" s="387">
        <v>56</v>
      </c>
      <c r="F1032" s="387" t="s">
        <v>559</v>
      </c>
      <c r="G1032" s="387" t="s">
        <v>543</v>
      </c>
      <c r="H1032" s="387" t="s">
        <v>559</v>
      </c>
      <c r="I1032" s="387" t="s">
        <v>560</v>
      </c>
      <c r="J1032" s="387" t="s">
        <v>7396</v>
      </c>
      <c r="K1032" s="387" t="s">
        <v>7410</v>
      </c>
      <c r="L1032" s="387" t="s">
        <v>2021</v>
      </c>
      <c r="M1032" s="387" t="s">
        <v>2022</v>
      </c>
      <c r="N1032" s="388">
        <v>25.47</v>
      </c>
      <c r="O1032" s="388">
        <v>14</v>
      </c>
      <c r="P1032" s="387" t="s">
        <v>538</v>
      </c>
      <c r="Q1032" s="387" t="s">
        <v>539</v>
      </c>
      <c r="R1032" s="387" t="s">
        <v>7398</v>
      </c>
      <c r="S1032" s="387" t="s">
        <v>171</v>
      </c>
      <c r="T1032" s="387" t="s">
        <v>542</v>
      </c>
      <c r="U1032" s="388">
        <v>1442563</v>
      </c>
      <c r="V1032" s="387" t="s">
        <v>543</v>
      </c>
      <c r="W1032" s="387" t="s">
        <v>543</v>
      </c>
      <c r="X1032" s="387" t="s">
        <v>543</v>
      </c>
      <c r="Y1032" s="387" t="s">
        <v>543</v>
      </c>
      <c r="Z1032" s="387" t="s">
        <v>543</v>
      </c>
      <c r="AA1032" s="388" t="s">
        <v>543</v>
      </c>
      <c r="AB1032" s="388" t="s">
        <v>543</v>
      </c>
      <c r="AC1032" s="387" t="s">
        <v>543</v>
      </c>
      <c r="AD1032" s="389">
        <v>280</v>
      </c>
      <c r="AE1032" s="390">
        <v>45047</v>
      </c>
      <c r="AF1032" s="390">
        <v>46142</v>
      </c>
      <c r="AG1032" s="391" t="s">
        <v>545</v>
      </c>
      <c r="AH1032" s="391" t="s">
        <v>7411</v>
      </c>
      <c r="AI1032" s="391" t="s">
        <v>2024</v>
      </c>
      <c r="AJ1032" s="391">
        <v>0</v>
      </c>
      <c r="AK1032" s="390">
        <v>45047</v>
      </c>
      <c r="AL1032" s="389">
        <v>100</v>
      </c>
      <c r="AM1032" s="391" t="s">
        <v>548</v>
      </c>
      <c r="AN1032" s="391" t="s">
        <v>549</v>
      </c>
      <c r="AO1032" s="391" t="s">
        <v>7406</v>
      </c>
    </row>
    <row r="1033" spans="1:43" ht="16" thickBot="1">
      <c r="A1033" s="387" t="s">
        <v>1717</v>
      </c>
      <c r="B1033" s="387" t="s">
        <v>7412</v>
      </c>
      <c r="C1033" s="387" t="s">
        <v>7413</v>
      </c>
      <c r="D1033" s="387" t="s">
        <v>7414</v>
      </c>
      <c r="E1033" s="387">
        <v>84</v>
      </c>
      <c r="F1033" s="387" t="s">
        <v>559</v>
      </c>
      <c r="G1033" s="387" t="s">
        <v>543</v>
      </c>
      <c r="H1033" s="387" t="s">
        <v>559</v>
      </c>
      <c r="I1033" s="387" t="s">
        <v>560</v>
      </c>
      <c r="J1033" s="387" t="s">
        <v>7396</v>
      </c>
      <c r="K1033" s="387" t="s">
        <v>7410</v>
      </c>
      <c r="L1033" s="387" t="s">
        <v>2021</v>
      </c>
      <c r="M1033" s="387" t="s">
        <v>2022</v>
      </c>
      <c r="N1033" s="388">
        <v>34.090000000000003</v>
      </c>
      <c r="O1033" s="388">
        <v>14</v>
      </c>
      <c r="P1033" s="387" t="s">
        <v>538</v>
      </c>
      <c r="Q1033" s="387" t="s">
        <v>539</v>
      </c>
      <c r="R1033" s="387" t="s">
        <v>7398</v>
      </c>
      <c r="S1033" s="387" t="s">
        <v>171</v>
      </c>
      <c r="T1033" s="387" t="s">
        <v>542</v>
      </c>
      <c r="U1033" s="388">
        <v>152409</v>
      </c>
      <c r="V1033" s="387" t="s">
        <v>543</v>
      </c>
      <c r="W1033" s="387" t="s">
        <v>543</v>
      </c>
      <c r="X1033" s="387" t="s">
        <v>543</v>
      </c>
      <c r="Y1033" s="387" t="s">
        <v>543</v>
      </c>
      <c r="Z1033" s="387" t="s">
        <v>543</v>
      </c>
      <c r="AA1033" s="388" t="s">
        <v>543</v>
      </c>
      <c r="AB1033" s="388" t="s">
        <v>543</v>
      </c>
      <c r="AC1033" s="387" t="s">
        <v>543</v>
      </c>
      <c r="AD1033" s="389">
        <v>150</v>
      </c>
      <c r="AE1033" s="390">
        <v>45047</v>
      </c>
      <c r="AF1033" s="390">
        <v>46142</v>
      </c>
      <c r="AG1033" s="391" t="s">
        <v>545</v>
      </c>
      <c r="AH1033" s="391" t="s">
        <v>7415</v>
      </c>
      <c r="AI1033" s="391" t="s">
        <v>2024</v>
      </c>
      <c r="AJ1033" s="391">
        <v>0</v>
      </c>
      <c r="AK1033" s="390">
        <v>45047</v>
      </c>
      <c r="AL1033" s="389">
        <v>100</v>
      </c>
      <c r="AM1033" s="391" t="s">
        <v>548</v>
      </c>
      <c r="AN1033" s="391" t="s">
        <v>549</v>
      </c>
      <c r="AO1033" s="391" t="s">
        <v>7406</v>
      </c>
    </row>
    <row r="1034" spans="1:43" ht="16" thickBot="1">
      <c r="A1034" s="387" t="s">
        <v>1748</v>
      </c>
      <c r="B1034" s="387" t="s">
        <v>4414</v>
      </c>
      <c r="C1034" s="387" t="s">
        <v>7416</v>
      </c>
      <c r="D1034" s="387" t="s">
        <v>7417</v>
      </c>
      <c r="E1034" s="387">
        <v>1</v>
      </c>
      <c r="F1034" s="387" t="s">
        <v>1780</v>
      </c>
      <c r="G1034" s="387">
        <v>1</v>
      </c>
      <c r="H1034" s="387" t="s">
        <v>1780</v>
      </c>
      <c r="I1034" s="387" t="s">
        <v>1751</v>
      </c>
      <c r="J1034" s="387" t="s">
        <v>7418</v>
      </c>
      <c r="K1034" s="387" t="s">
        <v>7419</v>
      </c>
      <c r="L1034" s="387" t="s">
        <v>2522</v>
      </c>
      <c r="M1034" s="387" t="s">
        <v>2523</v>
      </c>
      <c r="N1034" s="388">
        <v>4640.8</v>
      </c>
      <c r="O1034" s="388">
        <v>14</v>
      </c>
      <c r="P1034" s="387" t="s">
        <v>538</v>
      </c>
      <c r="Q1034" s="387" t="s">
        <v>539</v>
      </c>
      <c r="R1034" s="387" t="s">
        <v>7420</v>
      </c>
      <c r="S1034" s="387" t="s">
        <v>541</v>
      </c>
      <c r="T1034" s="387" t="s">
        <v>542</v>
      </c>
      <c r="U1034" s="388">
        <v>10155</v>
      </c>
      <c r="V1034" s="387">
        <v>6009880474042</v>
      </c>
      <c r="W1034" s="387">
        <v>6009880474042</v>
      </c>
      <c r="X1034" s="387" t="s">
        <v>543</v>
      </c>
      <c r="Y1034" s="387" t="s">
        <v>543</v>
      </c>
      <c r="Z1034" s="387" t="s">
        <v>543</v>
      </c>
      <c r="AA1034" s="388" t="s">
        <v>543</v>
      </c>
      <c r="AB1034" s="388" t="s">
        <v>543</v>
      </c>
      <c r="AC1034" s="387">
        <v>3000120001</v>
      </c>
      <c r="AD1034" s="389">
        <v>5</v>
      </c>
      <c r="AE1034" s="390">
        <v>44317</v>
      </c>
      <c r="AF1034" s="390">
        <v>45412</v>
      </c>
      <c r="AG1034" s="391" t="s">
        <v>545</v>
      </c>
      <c r="AH1034" s="391" t="s">
        <v>7421</v>
      </c>
      <c r="AI1034" s="391" t="s">
        <v>2525</v>
      </c>
      <c r="AJ1034" s="391">
        <v>0</v>
      </c>
      <c r="AK1034" s="390">
        <v>44317</v>
      </c>
      <c r="AL1034" s="389">
        <v>100</v>
      </c>
      <c r="AM1034" s="391" t="s">
        <v>548</v>
      </c>
      <c r="AN1034" s="391" t="s">
        <v>549</v>
      </c>
      <c r="AO1034" s="391" t="s">
        <v>7422</v>
      </c>
    </row>
    <row r="1035" spans="1:43" ht="16" thickBot="1">
      <c r="A1035" s="387" t="s">
        <v>1766</v>
      </c>
      <c r="B1035" s="387" t="s">
        <v>4313</v>
      </c>
      <c r="C1035" s="387" t="s">
        <v>7423</v>
      </c>
      <c r="D1035" s="387" t="s">
        <v>7424</v>
      </c>
      <c r="E1035" s="387">
        <v>100</v>
      </c>
      <c r="F1035" s="387" t="s">
        <v>531</v>
      </c>
      <c r="G1035" s="387">
        <v>100</v>
      </c>
      <c r="H1035" s="387" t="s">
        <v>531</v>
      </c>
      <c r="I1035" s="387" t="s">
        <v>744</v>
      </c>
      <c r="J1035" s="387" t="s">
        <v>7425</v>
      </c>
      <c r="K1035" s="387" t="s">
        <v>7426</v>
      </c>
      <c r="L1035" s="387" t="s">
        <v>1809</v>
      </c>
      <c r="M1035" s="387" t="s">
        <v>1810</v>
      </c>
      <c r="N1035" s="388">
        <v>6.61</v>
      </c>
      <c r="O1035" s="388">
        <v>14</v>
      </c>
      <c r="P1035" s="387" t="s">
        <v>538</v>
      </c>
      <c r="Q1035" s="387" t="s">
        <v>539</v>
      </c>
      <c r="R1035" s="387" t="s">
        <v>7427</v>
      </c>
      <c r="S1035" s="387" t="s">
        <v>171</v>
      </c>
      <c r="T1035" s="387" t="s">
        <v>542</v>
      </c>
      <c r="U1035" s="388">
        <v>2738172</v>
      </c>
      <c r="V1035" s="387">
        <v>6006845002791</v>
      </c>
      <c r="W1035" s="387">
        <v>6006845002791</v>
      </c>
      <c r="X1035" s="387" t="s">
        <v>543</v>
      </c>
      <c r="Y1035" s="387">
        <v>16006845002798</v>
      </c>
      <c r="Z1035" s="387" t="s">
        <v>543</v>
      </c>
      <c r="AA1035" s="388" t="s">
        <v>543</v>
      </c>
      <c r="AB1035" s="388" t="s">
        <v>543</v>
      </c>
      <c r="AC1035" s="387" t="s">
        <v>543</v>
      </c>
      <c r="AD1035" s="389">
        <v>100</v>
      </c>
      <c r="AE1035" s="390">
        <v>44470</v>
      </c>
      <c r="AF1035" s="390">
        <v>45199</v>
      </c>
      <c r="AG1035" s="391" t="s">
        <v>545</v>
      </c>
      <c r="AH1035" s="391" t="s">
        <v>7428</v>
      </c>
      <c r="AI1035" s="391" t="s">
        <v>1813</v>
      </c>
      <c r="AJ1035" s="391">
        <v>0</v>
      </c>
      <c r="AK1035" s="390">
        <v>44470</v>
      </c>
      <c r="AL1035" s="389">
        <v>40</v>
      </c>
      <c r="AM1035" s="391" t="s">
        <v>548</v>
      </c>
      <c r="AN1035" s="391" t="s">
        <v>549</v>
      </c>
      <c r="AO1035" s="391" t="s">
        <v>7429</v>
      </c>
      <c r="AP1035" s="372">
        <f>N1035/G1035</f>
        <v>6.6100000000000006E-2</v>
      </c>
      <c r="AQ1035" s="372">
        <f>SUMPRODUCT(AP1035:AP1036,U1035:U1036)/SUM(U1035:U1036)</f>
        <v>6.6400000000000001E-2</v>
      </c>
    </row>
    <row r="1036" spans="1:43" ht="16" thickBot="1">
      <c r="A1036" s="387" t="s">
        <v>1766</v>
      </c>
      <c r="B1036" s="387" t="s">
        <v>4313</v>
      </c>
      <c r="C1036" s="387" t="s">
        <v>7423</v>
      </c>
      <c r="D1036" s="387" t="s">
        <v>7424</v>
      </c>
      <c r="E1036" s="387">
        <v>100</v>
      </c>
      <c r="F1036" s="387" t="s">
        <v>531</v>
      </c>
      <c r="G1036" s="387">
        <v>100</v>
      </c>
      <c r="H1036" s="387" t="s">
        <v>531</v>
      </c>
      <c r="I1036" s="387" t="s">
        <v>744</v>
      </c>
      <c r="J1036" s="387" t="s">
        <v>7425</v>
      </c>
      <c r="K1036" s="387" t="s">
        <v>7430</v>
      </c>
      <c r="L1036" s="387" t="s">
        <v>2062</v>
      </c>
      <c r="M1036" s="387" t="s">
        <v>2063</v>
      </c>
      <c r="N1036" s="388">
        <v>6.66</v>
      </c>
      <c r="O1036" s="388">
        <v>14</v>
      </c>
      <c r="P1036" s="387" t="s">
        <v>538</v>
      </c>
      <c r="Q1036" s="387" t="s">
        <v>539</v>
      </c>
      <c r="R1036" s="387" t="s">
        <v>7427</v>
      </c>
      <c r="S1036" s="387" t="s">
        <v>171</v>
      </c>
      <c r="T1036" s="387" t="s">
        <v>542</v>
      </c>
      <c r="U1036" s="388">
        <v>4107258</v>
      </c>
      <c r="V1036" s="387">
        <v>6009880832866</v>
      </c>
      <c r="W1036" s="387" t="s">
        <v>543</v>
      </c>
      <c r="X1036" s="387" t="s">
        <v>543</v>
      </c>
      <c r="Y1036" s="387">
        <v>16009880832863</v>
      </c>
      <c r="Z1036" s="387" t="s">
        <v>543</v>
      </c>
      <c r="AA1036" s="388" t="s">
        <v>543</v>
      </c>
      <c r="AB1036" s="388" t="s">
        <v>543</v>
      </c>
      <c r="AC1036" s="387" t="s">
        <v>543</v>
      </c>
      <c r="AD1036" s="389">
        <v>300</v>
      </c>
      <c r="AE1036" s="390">
        <v>44470</v>
      </c>
      <c r="AF1036" s="390">
        <v>45199</v>
      </c>
      <c r="AG1036" s="390">
        <v>45199</v>
      </c>
      <c r="AH1036" s="391" t="s">
        <v>7428</v>
      </c>
      <c r="AI1036" s="391" t="s">
        <v>2064</v>
      </c>
      <c r="AJ1036" s="391">
        <v>24</v>
      </c>
      <c r="AK1036" s="390">
        <v>45047</v>
      </c>
      <c r="AL1036" s="389">
        <v>60</v>
      </c>
      <c r="AM1036" s="391" t="s">
        <v>548</v>
      </c>
      <c r="AN1036" s="391" t="s">
        <v>549</v>
      </c>
      <c r="AO1036" s="391" t="s">
        <v>7429</v>
      </c>
      <c r="AP1036" s="372">
        <f t="shared" ref="AP1036" si="29">N1036/G1036</f>
        <v>6.6600000000000006E-2</v>
      </c>
    </row>
    <row r="1037" spans="1:43" ht="16" thickBot="1">
      <c r="A1037" s="387" t="s">
        <v>1766</v>
      </c>
      <c r="B1037" s="387" t="s">
        <v>4333</v>
      </c>
      <c r="C1037" s="387" t="s">
        <v>7431</v>
      </c>
      <c r="D1037" s="387" t="s">
        <v>7432</v>
      </c>
      <c r="E1037" s="387">
        <v>100</v>
      </c>
      <c r="F1037" s="387" t="s">
        <v>559</v>
      </c>
      <c r="G1037" s="387">
        <v>100</v>
      </c>
      <c r="H1037" s="387" t="s">
        <v>559</v>
      </c>
      <c r="I1037" s="387" t="s">
        <v>560</v>
      </c>
      <c r="J1037" s="387" t="s">
        <v>7425</v>
      </c>
      <c r="K1037" s="387" t="s">
        <v>7433</v>
      </c>
      <c r="L1037" s="387" t="s">
        <v>576</v>
      </c>
      <c r="M1037" s="387" t="s">
        <v>577</v>
      </c>
      <c r="N1037" s="388">
        <v>28.16</v>
      </c>
      <c r="O1037" s="388">
        <v>14</v>
      </c>
      <c r="P1037" s="387" t="s">
        <v>538</v>
      </c>
      <c r="Q1037" s="387" t="s">
        <v>539</v>
      </c>
      <c r="R1037" s="387" t="s">
        <v>7427</v>
      </c>
      <c r="S1037" s="387" t="s">
        <v>171</v>
      </c>
      <c r="T1037" s="387" t="s">
        <v>542</v>
      </c>
      <c r="U1037" s="388">
        <v>293430</v>
      </c>
      <c r="V1037" s="387">
        <v>6009688290158</v>
      </c>
      <c r="W1037" s="387" t="s">
        <v>543</v>
      </c>
      <c r="X1037" s="387" t="s">
        <v>543</v>
      </c>
      <c r="Y1037" s="387" t="s">
        <v>543</v>
      </c>
      <c r="Z1037" s="387" t="s">
        <v>543</v>
      </c>
      <c r="AA1037" s="388" t="s">
        <v>543</v>
      </c>
      <c r="AB1037" s="388" t="s">
        <v>543</v>
      </c>
      <c r="AC1037" s="387" t="s">
        <v>543</v>
      </c>
      <c r="AD1037" s="389">
        <v>74</v>
      </c>
      <c r="AE1037" s="390">
        <v>44470</v>
      </c>
      <c r="AF1037" s="390">
        <v>45199</v>
      </c>
      <c r="AG1037" s="391" t="s">
        <v>545</v>
      </c>
      <c r="AH1037" s="391" t="s">
        <v>7434</v>
      </c>
      <c r="AI1037" s="391" t="s">
        <v>580</v>
      </c>
      <c r="AJ1037" s="391">
        <v>0</v>
      </c>
      <c r="AK1037" s="390">
        <v>44470</v>
      </c>
      <c r="AL1037" s="389">
        <v>100</v>
      </c>
      <c r="AM1037" s="391" t="s">
        <v>548</v>
      </c>
      <c r="AN1037" s="391" t="s">
        <v>549</v>
      </c>
      <c r="AO1037" s="391" t="s">
        <v>7435</v>
      </c>
    </row>
    <row r="1038" spans="1:43" ht="16" thickBot="1">
      <c r="A1038" s="387" t="s">
        <v>1766</v>
      </c>
      <c r="B1038" s="387" t="s">
        <v>4328</v>
      </c>
      <c r="C1038" s="387" t="s">
        <v>7436</v>
      </c>
      <c r="D1038" s="387" t="s">
        <v>7437</v>
      </c>
      <c r="E1038" s="387">
        <v>28</v>
      </c>
      <c r="F1038" s="387" t="s">
        <v>559</v>
      </c>
      <c r="G1038" s="387">
        <v>28</v>
      </c>
      <c r="H1038" s="387" t="s">
        <v>559</v>
      </c>
      <c r="I1038" s="387" t="s">
        <v>560</v>
      </c>
      <c r="J1038" s="387" t="s">
        <v>7425</v>
      </c>
      <c r="K1038" s="387" t="s">
        <v>7433</v>
      </c>
      <c r="L1038" s="387" t="s">
        <v>576</v>
      </c>
      <c r="M1038" s="387" t="s">
        <v>577</v>
      </c>
      <c r="N1038" s="388">
        <v>6.6</v>
      </c>
      <c r="O1038" s="388">
        <v>14</v>
      </c>
      <c r="P1038" s="387" t="s">
        <v>538</v>
      </c>
      <c r="Q1038" s="387" t="s">
        <v>539</v>
      </c>
      <c r="R1038" s="387" t="s">
        <v>7427</v>
      </c>
      <c r="S1038" s="387" t="s">
        <v>171</v>
      </c>
      <c r="T1038" s="387" t="s">
        <v>542</v>
      </c>
      <c r="U1038" s="388">
        <v>1800936</v>
      </c>
      <c r="V1038" s="387">
        <v>6009688290172</v>
      </c>
      <c r="W1038" s="387" t="s">
        <v>543</v>
      </c>
      <c r="X1038" s="387" t="s">
        <v>543</v>
      </c>
      <c r="Y1038" s="387" t="s">
        <v>543</v>
      </c>
      <c r="Z1038" s="387" t="s">
        <v>543</v>
      </c>
      <c r="AA1038" s="388" t="s">
        <v>543</v>
      </c>
      <c r="AB1038" s="388" t="s">
        <v>543</v>
      </c>
      <c r="AC1038" s="387" t="s">
        <v>543</v>
      </c>
      <c r="AD1038" s="389">
        <v>300</v>
      </c>
      <c r="AE1038" s="390">
        <v>44470</v>
      </c>
      <c r="AF1038" s="390">
        <v>45199</v>
      </c>
      <c r="AG1038" s="391" t="s">
        <v>545</v>
      </c>
      <c r="AH1038" s="391" t="s">
        <v>7438</v>
      </c>
      <c r="AI1038" s="391" t="s">
        <v>580</v>
      </c>
      <c r="AJ1038" s="391">
        <v>0</v>
      </c>
      <c r="AK1038" s="390">
        <v>44470</v>
      </c>
      <c r="AL1038" s="389">
        <v>60</v>
      </c>
      <c r="AM1038" s="391" t="s">
        <v>548</v>
      </c>
      <c r="AN1038" s="391" t="s">
        <v>549</v>
      </c>
      <c r="AO1038" s="391" t="s">
        <v>7435</v>
      </c>
      <c r="AP1038" s="372">
        <f>N1038/G1038</f>
        <v>0.23571428571428571</v>
      </c>
      <c r="AQ1038" s="372">
        <f>SUMPRODUCT(AP1038:AP1039,U1038:U1039)/SUM(U1038:U1039)</f>
        <v>0.24214285714285716</v>
      </c>
    </row>
    <row r="1039" spans="1:43" ht="16" thickBot="1">
      <c r="A1039" s="387" t="s">
        <v>1766</v>
      </c>
      <c r="B1039" s="387" t="s">
        <v>4328</v>
      </c>
      <c r="C1039" s="387" t="s">
        <v>7436</v>
      </c>
      <c r="D1039" s="387" t="s">
        <v>7437</v>
      </c>
      <c r="E1039" s="387">
        <v>28</v>
      </c>
      <c r="F1039" s="387" t="s">
        <v>559</v>
      </c>
      <c r="G1039" s="387">
        <v>28</v>
      </c>
      <c r="H1039" s="387" t="s">
        <v>559</v>
      </c>
      <c r="I1039" s="387" t="s">
        <v>560</v>
      </c>
      <c r="J1039" s="387" t="s">
        <v>7425</v>
      </c>
      <c r="K1039" s="387" t="s">
        <v>7439</v>
      </c>
      <c r="L1039" s="387" t="s">
        <v>2062</v>
      </c>
      <c r="M1039" s="387" t="s">
        <v>2063</v>
      </c>
      <c r="N1039" s="388">
        <v>7.05</v>
      </c>
      <c r="O1039" s="388">
        <v>14</v>
      </c>
      <c r="P1039" s="387" t="s">
        <v>538</v>
      </c>
      <c r="Q1039" s="387" t="s">
        <v>539</v>
      </c>
      <c r="R1039" s="387" t="s">
        <v>7427</v>
      </c>
      <c r="S1039" s="387" t="s">
        <v>171</v>
      </c>
      <c r="T1039" s="387" t="s">
        <v>542</v>
      </c>
      <c r="U1039" s="388">
        <v>1200624</v>
      </c>
      <c r="V1039" s="387" t="s">
        <v>543</v>
      </c>
      <c r="W1039" s="387" t="s">
        <v>543</v>
      </c>
      <c r="X1039" s="387" t="s">
        <v>543</v>
      </c>
      <c r="Y1039" s="387" t="s">
        <v>543</v>
      </c>
      <c r="Z1039" s="387" t="s">
        <v>543</v>
      </c>
      <c r="AA1039" s="388" t="s">
        <v>543</v>
      </c>
      <c r="AB1039" s="388" t="s">
        <v>543</v>
      </c>
      <c r="AC1039" s="387" t="s">
        <v>543</v>
      </c>
      <c r="AD1039" s="389">
        <v>300</v>
      </c>
      <c r="AE1039" s="390">
        <v>44470</v>
      </c>
      <c r="AF1039" s="390">
        <v>45199</v>
      </c>
      <c r="AG1039" s="390">
        <v>45199</v>
      </c>
      <c r="AH1039" s="391" t="s">
        <v>7438</v>
      </c>
      <c r="AI1039" s="391" t="s">
        <v>2064</v>
      </c>
      <c r="AJ1039" s="391">
        <v>24</v>
      </c>
      <c r="AK1039" s="390">
        <v>45047</v>
      </c>
      <c r="AL1039" s="389">
        <v>40</v>
      </c>
      <c r="AM1039" s="391" t="s">
        <v>548</v>
      </c>
      <c r="AN1039" s="391" t="s">
        <v>549</v>
      </c>
      <c r="AO1039" s="391" t="s">
        <v>7435</v>
      </c>
      <c r="AP1039" s="372">
        <f t="shared" ref="AP1039" si="30">N1039/G1039</f>
        <v>0.25178571428571428</v>
      </c>
    </row>
    <row r="1040" spans="1:43" ht="16" thickBot="1">
      <c r="A1040" s="387" t="s">
        <v>1766</v>
      </c>
      <c r="B1040" s="387" t="s">
        <v>4337</v>
      </c>
      <c r="C1040" s="387" t="s">
        <v>7440</v>
      </c>
      <c r="D1040" s="387" t="s">
        <v>7441</v>
      </c>
      <c r="E1040" s="387">
        <v>56</v>
      </c>
      <c r="F1040" s="387" t="s">
        <v>559</v>
      </c>
      <c r="G1040" s="387">
        <v>56</v>
      </c>
      <c r="H1040" s="387" t="s">
        <v>559</v>
      </c>
      <c r="I1040" s="387" t="s">
        <v>560</v>
      </c>
      <c r="J1040" s="387" t="s">
        <v>7425</v>
      </c>
      <c r="K1040" s="387" t="s">
        <v>7433</v>
      </c>
      <c r="L1040" s="387" t="s">
        <v>576</v>
      </c>
      <c r="M1040" s="387" t="s">
        <v>577</v>
      </c>
      <c r="N1040" s="388">
        <v>11.85</v>
      </c>
      <c r="O1040" s="388">
        <v>14</v>
      </c>
      <c r="P1040" s="387" t="s">
        <v>538</v>
      </c>
      <c r="Q1040" s="387" t="s">
        <v>539</v>
      </c>
      <c r="R1040" s="387" t="s">
        <v>7427</v>
      </c>
      <c r="S1040" s="387" t="s">
        <v>171</v>
      </c>
      <c r="T1040" s="387" t="s">
        <v>542</v>
      </c>
      <c r="U1040" s="388">
        <v>4819556</v>
      </c>
      <c r="V1040" s="387">
        <v>6009688290547</v>
      </c>
      <c r="W1040" s="387" t="s">
        <v>543</v>
      </c>
      <c r="X1040" s="387" t="s">
        <v>543</v>
      </c>
      <c r="Y1040" s="387" t="s">
        <v>543</v>
      </c>
      <c r="Z1040" s="387" t="s">
        <v>543</v>
      </c>
      <c r="AA1040" s="388" t="s">
        <v>543</v>
      </c>
      <c r="AB1040" s="388" t="s">
        <v>543</v>
      </c>
      <c r="AC1040" s="387" t="s">
        <v>543</v>
      </c>
      <c r="AD1040" s="389">
        <v>300</v>
      </c>
      <c r="AE1040" s="390">
        <v>44470</v>
      </c>
      <c r="AF1040" s="390">
        <v>45199</v>
      </c>
      <c r="AG1040" s="391" t="s">
        <v>545</v>
      </c>
      <c r="AH1040" s="391" t="s">
        <v>7442</v>
      </c>
      <c r="AI1040" s="391" t="s">
        <v>580</v>
      </c>
      <c r="AJ1040" s="391">
        <v>0</v>
      </c>
      <c r="AK1040" s="390">
        <v>44470</v>
      </c>
      <c r="AL1040" s="389">
        <v>70</v>
      </c>
      <c r="AM1040" s="391" t="s">
        <v>548</v>
      </c>
      <c r="AN1040" s="391" t="s">
        <v>549</v>
      </c>
      <c r="AO1040" s="391" t="s">
        <v>7435</v>
      </c>
      <c r="AP1040" s="372">
        <f>N1040/G1040</f>
        <v>0.21160714285714285</v>
      </c>
      <c r="AQ1040" s="372">
        <f>SUMPRODUCT(AP1040:AP1041,U1040:U1041)/SUM(U1040:U1041)</f>
        <v>0.21851785714285715</v>
      </c>
    </row>
    <row r="1041" spans="1:43" ht="16" thickBot="1">
      <c r="A1041" s="387" t="s">
        <v>1766</v>
      </c>
      <c r="B1041" s="387" t="s">
        <v>4337</v>
      </c>
      <c r="C1041" s="387" t="s">
        <v>7440</v>
      </c>
      <c r="D1041" s="387" t="s">
        <v>7441</v>
      </c>
      <c r="E1041" s="387">
        <v>56</v>
      </c>
      <c r="F1041" s="387" t="s">
        <v>559</v>
      </c>
      <c r="G1041" s="387">
        <v>56</v>
      </c>
      <c r="H1041" s="387" t="s">
        <v>559</v>
      </c>
      <c r="I1041" s="387" t="s">
        <v>560</v>
      </c>
      <c r="J1041" s="387" t="s">
        <v>7425</v>
      </c>
      <c r="K1041" s="387" t="s">
        <v>7443</v>
      </c>
      <c r="L1041" s="387" t="s">
        <v>2141</v>
      </c>
      <c r="M1041" s="387" t="s">
        <v>2142</v>
      </c>
      <c r="N1041" s="388">
        <v>13.14</v>
      </c>
      <c r="O1041" s="388">
        <v>14</v>
      </c>
      <c r="P1041" s="387" t="s">
        <v>538</v>
      </c>
      <c r="Q1041" s="387" t="s">
        <v>539</v>
      </c>
      <c r="R1041" s="387" t="s">
        <v>7427</v>
      </c>
      <c r="S1041" s="387" t="s">
        <v>171</v>
      </c>
      <c r="T1041" s="387" t="s">
        <v>542</v>
      </c>
      <c r="U1041" s="388">
        <v>2065524</v>
      </c>
      <c r="V1041" s="387" t="s">
        <v>543</v>
      </c>
      <c r="W1041" s="387" t="s">
        <v>543</v>
      </c>
      <c r="X1041" s="387" t="s">
        <v>543</v>
      </c>
      <c r="Y1041" s="387" t="s">
        <v>543</v>
      </c>
      <c r="Z1041" s="387" t="s">
        <v>543</v>
      </c>
      <c r="AA1041" s="388" t="s">
        <v>543</v>
      </c>
      <c r="AB1041" s="388" t="s">
        <v>543</v>
      </c>
      <c r="AC1041" s="387" t="s">
        <v>543</v>
      </c>
      <c r="AD1041" s="389">
        <v>200</v>
      </c>
      <c r="AE1041" s="390">
        <v>44470</v>
      </c>
      <c r="AF1041" s="390">
        <v>45199</v>
      </c>
      <c r="AG1041" s="390">
        <v>45199</v>
      </c>
      <c r="AH1041" s="391" t="s">
        <v>7442</v>
      </c>
      <c r="AI1041" s="391" t="s">
        <v>2144</v>
      </c>
      <c r="AJ1041" s="391">
        <v>20</v>
      </c>
      <c r="AK1041" s="390">
        <v>45047</v>
      </c>
      <c r="AL1041" s="389">
        <v>30</v>
      </c>
      <c r="AM1041" s="391" t="s">
        <v>548</v>
      </c>
      <c r="AN1041" s="391" t="s">
        <v>549</v>
      </c>
      <c r="AO1041" s="391" t="s">
        <v>7435</v>
      </c>
      <c r="AP1041" s="372">
        <f t="shared" ref="AP1041" si="31">N1041/G1041</f>
        <v>0.23464285714285715</v>
      </c>
    </row>
    <row r="1042" spans="1:43" ht="16" thickBot="1">
      <c r="A1042" s="387" t="s">
        <v>1766</v>
      </c>
      <c r="B1042" s="387" t="s">
        <v>4322</v>
      </c>
      <c r="C1042" s="387" t="s">
        <v>7444</v>
      </c>
      <c r="D1042" s="387" t="s">
        <v>7445</v>
      </c>
      <c r="E1042" s="387">
        <v>5</v>
      </c>
      <c r="F1042" s="387" t="s">
        <v>531</v>
      </c>
      <c r="G1042" s="387">
        <v>5</v>
      </c>
      <c r="H1042" s="387" t="s">
        <v>531</v>
      </c>
      <c r="I1042" s="387" t="s">
        <v>1751</v>
      </c>
      <c r="J1042" s="387" t="s">
        <v>7425</v>
      </c>
      <c r="K1042" s="387" t="s">
        <v>7446</v>
      </c>
      <c r="L1042" s="387" t="s">
        <v>2312</v>
      </c>
      <c r="M1042" s="387" t="s">
        <v>2313</v>
      </c>
      <c r="N1042" s="388">
        <v>8.1999999999999993</v>
      </c>
      <c r="O1042" s="388">
        <v>14</v>
      </c>
      <c r="P1042" s="387" t="s">
        <v>538</v>
      </c>
      <c r="Q1042" s="387" t="s">
        <v>539</v>
      </c>
      <c r="R1042" s="387" t="s">
        <v>7427</v>
      </c>
      <c r="S1042" s="387" t="s">
        <v>171</v>
      </c>
      <c r="T1042" s="387" t="s">
        <v>757</v>
      </c>
      <c r="U1042" s="388">
        <v>625150</v>
      </c>
      <c r="V1042" s="387">
        <v>6005436004364</v>
      </c>
      <c r="W1042" s="387">
        <v>6005436004364</v>
      </c>
      <c r="X1042" s="387" t="s">
        <v>543</v>
      </c>
      <c r="Y1042" s="387">
        <v>16009802416119</v>
      </c>
      <c r="Z1042" s="387" t="s">
        <v>543</v>
      </c>
      <c r="AA1042" s="388" t="s">
        <v>543</v>
      </c>
      <c r="AB1042" s="388" t="s">
        <v>543</v>
      </c>
      <c r="AC1042" s="387">
        <v>701743003</v>
      </c>
      <c r="AD1042" s="389">
        <v>250</v>
      </c>
      <c r="AE1042" s="390">
        <v>44470</v>
      </c>
      <c r="AF1042" s="390">
        <v>45199</v>
      </c>
      <c r="AG1042" s="390">
        <v>45199</v>
      </c>
      <c r="AH1042" s="391" t="s">
        <v>7447</v>
      </c>
      <c r="AI1042" s="391" t="s">
        <v>2314</v>
      </c>
      <c r="AJ1042" s="391">
        <v>22</v>
      </c>
      <c r="AK1042" s="390">
        <v>45047</v>
      </c>
      <c r="AL1042" s="389">
        <v>100</v>
      </c>
      <c r="AM1042" s="391" t="s">
        <v>548</v>
      </c>
      <c r="AN1042" s="391" t="s">
        <v>549</v>
      </c>
      <c r="AO1042" s="391" t="s">
        <v>7448</v>
      </c>
    </row>
    <row r="1043" spans="1:43" ht="16" thickBot="1">
      <c r="A1043" s="387" t="s">
        <v>1717</v>
      </c>
      <c r="B1043" s="387" t="s">
        <v>7449</v>
      </c>
      <c r="C1043" s="387" t="s">
        <v>7450</v>
      </c>
      <c r="D1043" s="387" t="s">
        <v>7451</v>
      </c>
      <c r="E1043" s="387">
        <v>100</v>
      </c>
      <c r="F1043" s="387" t="s">
        <v>559</v>
      </c>
      <c r="G1043" s="387" t="s">
        <v>543</v>
      </c>
      <c r="H1043" s="387" t="s">
        <v>559</v>
      </c>
      <c r="I1043" s="387" t="s">
        <v>560</v>
      </c>
      <c r="J1043" s="387" t="s">
        <v>7452</v>
      </c>
      <c r="K1043" s="387" t="s">
        <v>7453</v>
      </c>
      <c r="L1043" s="387" t="s">
        <v>1916</v>
      </c>
      <c r="M1043" s="387" t="s">
        <v>1917</v>
      </c>
      <c r="N1043" s="388">
        <v>309.57</v>
      </c>
      <c r="O1043" s="388">
        <v>14</v>
      </c>
      <c r="P1043" s="387" t="s">
        <v>538</v>
      </c>
      <c r="Q1043" s="387" t="s">
        <v>539</v>
      </c>
      <c r="R1043" s="387" t="s">
        <v>7454</v>
      </c>
      <c r="S1043" s="387" t="s">
        <v>171</v>
      </c>
      <c r="T1043" s="387" t="s">
        <v>757</v>
      </c>
      <c r="U1043" s="388">
        <v>372251</v>
      </c>
      <c r="V1043" s="387">
        <v>6006673180067</v>
      </c>
      <c r="W1043" s="387" t="s">
        <v>543</v>
      </c>
      <c r="X1043" s="387" t="s">
        <v>543</v>
      </c>
      <c r="Y1043" s="387" t="s">
        <v>543</v>
      </c>
      <c r="Z1043" s="387" t="s">
        <v>543</v>
      </c>
      <c r="AA1043" s="388" t="s">
        <v>543</v>
      </c>
      <c r="AB1043" s="388" t="s">
        <v>543</v>
      </c>
      <c r="AC1043" s="387">
        <v>762016019</v>
      </c>
      <c r="AD1043" s="389">
        <v>10</v>
      </c>
      <c r="AE1043" s="390">
        <v>45047</v>
      </c>
      <c r="AF1043" s="390">
        <v>46142</v>
      </c>
      <c r="AG1043" s="391" t="s">
        <v>545</v>
      </c>
      <c r="AH1043" s="391" t="s">
        <v>7455</v>
      </c>
      <c r="AI1043" s="391" t="s">
        <v>1920</v>
      </c>
      <c r="AJ1043" s="391">
        <v>0</v>
      </c>
      <c r="AK1043" s="390">
        <v>45047</v>
      </c>
      <c r="AL1043" s="389">
        <v>100</v>
      </c>
      <c r="AM1043" s="391" t="s">
        <v>548</v>
      </c>
      <c r="AN1043" s="391" t="s">
        <v>549</v>
      </c>
      <c r="AO1043" s="391" t="s">
        <v>7456</v>
      </c>
    </row>
    <row r="1044" spans="1:43" ht="16" thickBot="1">
      <c r="A1044" s="387" t="s">
        <v>2177</v>
      </c>
      <c r="B1044" s="387" t="s">
        <v>3361</v>
      </c>
      <c r="C1044" s="387" t="s">
        <v>7457</v>
      </c>
      <c r="D1044" s="387" t="s">
        <v>7458</v>
      </c>
      <c r="E1044" s="387">
        <v>150</v>
      </c>
      <c r="F1044" s="387" t="s">
        <v>531</v>
      </c>
      <c r="G1044" s="387">
        <v>150</v>
      </c>
      <c r="H1044" s="387" t="s">
        <v>531</v>
      </c>
      <c r="I1044" s="387" t="s">
        <v>2181</v>
      </c>
      <c r="J1044" s="387" t="s">
        <v>7459</v>
      </c>
      <c r="K1044" s="387" t="s">
        <v>7460</v>
      </c>
      <c r="L1044" s="387" t="s">
        <v>1855</v>
      </c>
      <c r="M1044" s="387" t="s">
        <v>1856</v>
      </c>
      <c r="N1044" s="388">
        <v>34.72</v>
      </c>
      <c r="O1044" s="388">
        <v>14</v>
      </c>
      <c r="P1044" s="387" t="s">
        <v>538</v>
      </c>
      <c r="Q1044" s="387" t="s">
        <v>539</v>
      </c>
      <c r="R1044" s="387" t="s">
        <v>7461</v>
      </c>
      <c r="S1044" s="387" t="s">
        <v>171</v>
      </c>
      <c r="T1044" s="387" t="s">
        <v>542</v>
      </c>
      <c r="U1044" s="388">
        <v>736493</v>
      </c>
      <c r="V1044" s="387">
        <v>6006833000488</v>
      </c>
      <c r="W1044" s="387" t="s">
        <v>543</v>
      </c>
      <c r="X1044" s="387" t="s">
        <v>543</v>
      </c>
      <c r="Y1044" s="387">
        <v>16001668007791</v>
      </c>
      <c r="Z1044" s="387" t="s">
        <v>543</v>
      </c>
      <c r="AA1044" s="388" t="s">
        <v>543</v>
      </c>
      <c r="AB1044" s="388" t="s">
        <v>543</v>
      </c>
      <c r="AC1044" s="387" t="s">
        <v>543</v>
      </c>
      <c r="AD1044" s="389">
        <v>100</v>
      </c>
      <c r="AE1044" s="390">
        <v>44013</v>
      </c>
      <c r="AF1044" s="390">
        <v>45107</v>
      </c>
      <c r="AG1044" s="390">
        <v>45107</v>
      </c>
      <c r="AH1044" s="391" t="s">
        <v>7462</v>
      </c>
      <c r="AI1044" s="391" t="s">
        <v>1859</v>
      </c>
      <c r="AJ1044" s="391">
        <v>51</v>
      </c>
      <c r="AK1044" s="390">
        <v>44958</v>
      </c>
      <c r="AL1044" s="389">
        <v>100</v>
      </c>
      <c r="AM1044" s="391" t="s">
        <v>548</v>
      </c>
      <c r="AN1044" s="391" t="s">
        <v>545</v>
      </c>
      <c r="AO1044" s="391" t="s">
        <v>7463</v>
      </c>
    </row>
    <row r="1045" spans="1:43" ht="16" thickBot="1">
      <c r="A1045" s="387" t="s">
        <v>1748</v>
      </c>
      <c r="B1045" s="387" t="s">
        <v>4423</v>
      </c>
      <c r="C1045" s="387" t="s">
        <v>7464</v>
      </c>
      <c r="D1045" s="387" t="s">
        <v>7465</v>
      </c>
      <c r="E1045" s="387">
        <v>2</v>
      </c>
      <c r="F1045" s="387" t="s">
        <v>531</v>
      </c>
      <c r="G1045" s="387">
        <v>30</v>
      </c>
      <c r="H1045" s="387" t="s">
        <v>531</v>
      </c>
      <c r="I1045" s="387" t="s">
        <v>1751</v>
      </c>
      <c r="J1045" s="387" t="s">
        <v>7466</v>
      </c>
      <c r="K1045" s="387" t="s">
        <v>7467</v>
      </c>
      <c r="L1045" s="387" t="s">
        <v>1955</v>
      </c>
      <c r="M1045" s="387" t="s">
        <v>1956</v>
      </c>
      <c r="N1045" s="388">
        <v>12.71</v>
      </c>
      <c r="O1045" s="388">
        <v>14</v>
      </c>
      <c r="P1045" s="387" t="s">
        <v>538</v>
      </c>
      <c r="Q1045" s="387" t="s">
        <v>539</v>
      </c>
      <c r="R1045" s="387" t="s">
        <v>7468</v>
      </c>
      <c r="S1045" s="387" t="s">
        <v>541</v>
      </c>
      <c r="T1045" s="387" t="s">
        <v>757</v>
      </c>
      <c r="U1045" s="388">
        <v>635010</v>
      </c>
      <c r="V1045" s="387" t="s">
        <v>543</v>
      </c>
      <c r="W1045" s="387" t="s">
        <v>543</v>
      </c>
      <c r="X1045" s="387" t="s">
        <v>543</v>
      </c>
      <c r="Y1045" s="387" t="s">
        <v>543</v>
      </c>
      <c r="Z1045" s="387" t="s">
        <v>543</v>
      </c>
      <c r="AA1045" s="388" t="s">
        <v>543</v>
      </c>
      <c r="AB1045" s="388" t="s">
        <v>543</v>
      </c>
      <c r="AC1045" s="387" t="s">
        <v>543</v>
      </c>
      <c r="AD1045" s="389" t="s">
        <v>2308</v>
      </c>
      <c r="AE1045" s="390">
        <v>44317</v>
      </c>
      <c r="AF1045" s="390">
        <v>45412</v>
      </c>
      <c r="AG1045" s="390">
        <v>45412</v>
      </c>
      <c r="AH1045" s="391" t="s">
        <v>7469</v>
      </c>
      <c r="AI1045" s="391" t="s">
        <v>1959</v>
      </c>
      <c r="AJ1045" s="391">
        <v>0</v>
      </c>
      <c r="AK1045" s="390">
        <v>44317</v>
      </c>
      <c r="AL1045" s="389">
        <v>100</v>
      </c>
      <c r="AM1045" s="391" t="s">
        <v>548</v>
      </c>
      <c r="AN1045" s="391" t="s">
        <v>549</v>
      </c>
      <c r="AO1045" s="391" t="s">
        <v>7470</v>
      </c>
    </row>
    <row r="1046" spans="1:43" ht="16" thickBot="1">
      <c r="A1046" s="387" t="s">
        <v>1729</v>
      </c>
      <c r="B1046" s="387" t="s">
        <v>2866</v>
      </c>
      <c r="C1046" s="387" t="s">
        <v>7471</v>
      </c>
      <c r="D1046" s="387" t="s">
        <v>7472</v>
      </c>
      <c r="E1046" s="387">
        <v>2.5</v>
      </c>
      <c r="F1046" s="387" t="s">
        <v>2746</v>
      </c>
      <c r="G1046" s="387">
        <v>2.5</v>
      </c>
      <c r="H1046" s="387" t="s">
        <v>2746</v>
      </c>
      <c r="I1046" s="387" t="s">
        <v>848</v>
      </c>
      <c r="J1046" s="387" t="s">
        <v>7473</v>
      </c>
      <c r="K1046" s="387" t="s">
        <v>7474</v>
      </c>
      <c r="L1046" s="387" t="s">
        <v>1809</v>
      </c>
      <c r="M1046" s="387" t="s">
        <v>1810</v>
      </c>
      <c r="N1046" s="388">
        <v>73.099999999999994</v>
      </c>
      <c r="O1046" s="388">
        <v>14</v>
      </c>
      <c r="P1046" s="387" t="s">
        <v>538</v>
      </c>
      <c r="Q1046" s="387" t="s">
        <v>539</v>
      </c>
      <c r="R1046" s="387" t="s">
        <v>4278</v>
      </c>
      <c r="S1046" s="387" t="s">
        <v>171</v>
      </c>
      <c r="T1046" s="387" t="s">
        <v>757</v>
      </c>
      <c r="U1046" s="388">
        <v>3665</v>
      </c>
      <c r="V1046" s="387">
        <v>6006845002494</v>
      </c>
      <c r="W1046" s="387">
        <v>6006845002494</v>
      </c>
      <c r="X1046" s="387" t="s">
        <v>543</v>
      </c>
      <c r="Y1046" s="387">
        <v>16006845002491</v>
      </c>
      <c r="Z1046" s="387" t="s">
        <v>543</v>
      </c>
      <c r="AA1046" s="388" t="s">
        <v>543</v>
      </c>
      <c r="AB1046" s="388" t="s">
        <v>543</v>
      </c>
      <c r="AC1046" s="387" t="s">
        <v>543</v>
      </c>
      <c r="AD1046" s="389">
        <v>5</v>
      </c>
      <c r="AE1046" s="390">
        <v>44105</v>
      </c>
      <c r="AF1046" s="390">
        <v>45199</v>
      </c>
      <c r="AG1046" s="390">
        <v>45199</v>
      </c>
      <c r="AH1046" s="391" t="s">
        <v>7475</v>
      </c>
      <c r="AI1046" s="391" t="s">
        <v>1813</v>
      </c>
      <c r="AJ1046" s="391">
        <v>0</v>
      </c>
      <c r="AK1046" s="390">
        <v>44105</v>
      </c>
      <c r="AL1046" s="389">
        <v>100</v>
      </c>
      <c r="AM1046" s="391" t="s">
        <v>548</v>
      </c>
      <c r="AN1046" s="391" t="s">
        <v>545</v>
      </c>
      <c r="AO1046" s="391" t="s">
        <v>7476</v>
      </c>
    </row>
    <row r="1047" spans="1:43" ht="16" thickBot="1">
      <c r="A1047" s="387" t="s">
        <v>2166</v>
      </c>
      <c r="B1047" s="387" t="s">
        <v>3482</v>
      </c>
      <c r="C1047" s="387" t="s">
        <v>7477</v>
      </c>
      <c r="D1047" s="387" t="s">
        <v>7478</v>
      </c>
      <c r="E1047" s="387">
        <v>30</v>
      </c>
      <c r="F1047" s="387" t="s">
        <v>584</v>
      </c>
      <c r="G1047" s="387">
        <v>30</v>
      </c>
      <c r="H1047" s="387" t="s">
        <v>584</v>
      </c>
      <c r="I1047" s="387" t="s">
        <v>585</v>
      </c>
      <c r="J1047" s="387" t="s">
        <v>7479</v>
      </c>
      <c r="K1047" s="387" t="s">
        <v>7480</v>
      </c>
      <c r="L1047" s="387" t="s">
        <v>2595</v>
      </c>
      <c r="M1047" s="387" t="s">
        <v>2596</v>
      </c>
      <c r="N1047" s="388">
        <v>91.08</v>
      </c>
      <c r="O1047" s="388">
        <v>14</v>
      </c>
      <c r="P1047" s="387" t="s">
        <v>538</v>
      </c>
      <c r="Q1047" s="387" t="s">
        <v>539</v>
      </c>
      <c r="R1047" s="387" t="s">
        <v>7481</v>
      </c>
      <c r="S1047" s="387" t="s">
        <v>614</v>
      </c>
      <c r="T1047" s="387" t="s">
        <v>1908</v>
      </c>
      <c r="U1047" s="388">
        <v>18290</v>
      </c>
      <c r="V1047" s="387">
        <v>6009880039425</v>
      </c>
      <c r="W1047" s="387" t="s">
        <v>543</v>
      </c>
      <c r="X1047" s="387" t="s">
        <v>543</v>
      </c>
      <c r="Y1047" s="387" t="s">
        <v>543</v>
      </c>
      <c r="Z1047" s="387" t="s">
        <v>543</v>
      </c>
      <c r="AA1047" s="388" t="s">
        <v>543</v>
      </c>
      <c r="AB1047" s="388" t="s">
        <v>543</v>
      </c>
      <c r="AC1047" s="387" t="s">
        <v>543</v>
      </c>
      <c r="AD1047" s="389">
        <v>20</v>
      </c>
      <c r="AE1047" s="390">
        <v>44743</v>
      </c>
      <c r="AF1047" s="390">
        <v>45473</v>
      </c>
      <c r="AG1047" s="391" t="s">
        <v>545</v>
      </c>
      <c r="AH1047" s="391" t="s">
        <v>7482</v>
      </c>
      <c r="AI1047" s="391" t="s">
        <v>2599</v>
      </c>
      <c r="AJ1047" s="391">
        <v>0</v>
      </c>
      <c r="AK1047" s="390">
        <v>44743</v>
      </c>
      <c r="AL1047" s="389">
        <v>100</v>
      </c>
      <c r="AM1047" s="391" t="s">
        <v>548</v>
      </c>
      <c r="AN1047" s="391" t="s">
        <v>549</v>
      </c>
      <c r="AO1047" s="391" t="s">
        <v>7483</v>
      </c>
    </row>
    <row r="1048" spans="1:43" ht="16" thickBot="1">
      <c r="A1048" s="387" t="s">
        <v>2166</v>
      </c>
      <c r="B1048" s="387" t="s">
        <v>3490</v>
      </c>
      <c r="C1048" s="387" t="s">
        <v>7484</v>
      </c>
      <c r="D1048" s="387" t="s">
        <v>7485</v>
      </c>
      <c r="E1048" s="387">
        <v>30</v>
      </c>
      <c r="F1048" s="387" t="s">
        <v>584</v>
      </c>
      <c r="G1048" s="387">
        <v>30</v>
      </c>
      <c r="H1048" s="387" t="s">
        <v>584</v>
      </c>
      <c r="I1048" s="387" t="s">
        <v>585</v>
      </c>
      <c r="J1048" s="387" t="s">
        <v>7479</v>
      </c>
      <c r="K1048" s="387" t="s">
        <v>7486</v>
      </c>
      <c r="L1048" s="387" t="s">
        <v>2595</v>
      </c>
      <c r="M1048" s="387" t="s">
        <v>2596</v>
      </c>
      <c r="N1048" s="388">
        <v>180.78</v>
      </c>
      <c r="O1048" s="388">
        <v>14</v>
      </c>
      <c r="P1048" s="387" t="s">
        <v>538</v>
      </c>
      <c r="Q1048" s="387" t="s">
        <v>539</v>
      </c>
      <c r="R1048" s="387" t="s">
        <v>7481</v>
      </c>
      <c r="S1048" s="387" t="s">
        <v>614</v>
      </c>
      <c r="T1048" s="387" t="s">
        <v>1908</v>
      </c>
      <c r="U1048" s="388">
        <v>102689</v>
      </c>
      <c r="V1048" s="387">
        <v>6009880039432</v>
      </c>
      <c r="W1048" s="387" t="s">
        <v>543</v>
      </c>
      <c r="X1048" s="387" t="s">
        <v>543</v>
      </c>
      <c r="Y1048" s="387" t="s">
        <v>543</v>
      </c>
      <c r="Z1048" s="387" t="s">
        <v>543</v>
      </c>
      <c r="AA1048" s="388" t="s">
        <v>543</v>
      </c>
      <c r="AB1048" s="388" t="s">
        <v>543</v>
      </c>
      <c r="AC1048" s="387" t="s">
        <v>543</v>
      </c>
      <c r="AD1048" s="389">
        <v>20</v>
      </c>
      <c r="AE1048" s="390">
        <v>44743</v>
      </c>
      <c r="AF1048" s="390">
        <v>45473</v>
      </c>
      <c r="AG1048" s="391" t="s">
        <v>545</v>
      </c>
      <c r="AH1048" s="391" t="s">
        <v>7487</v>
      </c>
      <c r="AI1048" s="391" t="s">
        <v>2599</v>
      </c>
      <c r="AJ1048" s="391">
        <v>0</v>
      </c>
      <c r="AK1048" s="390">
        <v>44743</v>
      </c>
      <c r="AL1048" s="389">
        <v>100</v>
      </c>
      <c r="AM1048" s="391" t="s">
        <v>548</v>
      </c>
      <c r="AN1048" s="391" t="s">
        <v>549</v>
      </c>
      <c r="AO1048" s="391" t="s">
        <v>7488</v>
      </c>
    </row>
    <row r="1049" spans="1:43" ht="16" thickBot="1">
      <c r="A1049" s="387" t="s">
        <v>2166</v>
      </c>
      <c r="B1049" s="387" t="s">
        <v>3496</v>
      </c>
      <c r="C1049" s="387" t="s">
        <v>7489</v>
      </c>
      <c r="D1049" s="387" t="s">
        <v>7490</v>
      </c>
      <c r="E1049" s="387">
        <v>30</v>
      </c>
      <c r="F1049" s="387" t="s">
        <v>584</v>
      </c>
      <c r="G1049" s="387">
        <v>30</v>
      </c>
      <c r="H1049" s="387" t="s">
        <v>584</v>
      </c>
      <c r="I1049" s="387" t="s">
        <v>585</v>
      </c>
      <c r="J1049" s="387" t="s">
        <v>7479</v>
      </c>
      <c r="K1049" s="387" t="s">
        <v>7491</v>
      </c>
      <c r="L1049" s="387" t="s">
        <v>2595</v>
      </c>
      <c r="M1049" s="387" t="s">
        <v>2596</v>
      </c>
      <c r="N1049" s="388">
        <v>892.86</v>
      </c>
      <c r="O1049" s="388">
        <v>14</v>
      </c>
      <c r="P1049" s="387" t="s">
        <v>538</v>
      </c>
      <c r="Q1049" s="387" t="s">
        <v>539</v>
      </c>
      <c r="R1049" s="387" t="s">
        <v>7481</v>
      </c>
      <c r="S1049" s="387" t="s">
        <v>614</v>
      </c>
      <c r="T1049" s="387" t="s">
        <v>1908</v>
      </c>
      <c r="U1049" s="388">
        <v>12636</v>
      </c>
      <c r="V1049" s="387">
        <v>6009880039418</v>
      </c>
      <c r="W1049" s="387" t="s">
        <v>543</v>
      </c>
      <c r="X1049" s="387" t="s">
        <v>543</v>
      </c>
      <c r="Y1049" s="387" t="s">
        <v>543</v>
      </c>
      <c r="Z1049" s="387" t="s">
        <v>543</v>
      </c>
      <c r="AA1049" s="388" t="s">
        <v>543</v>
      </c>
      <c r="AB1049" s="388" t="s">
        <v>543</v>
      </c>
      <c r="AC1049" s="387" t="s">
        <v>543</v>
      </c>
      <c r="AD1049" s="389">
        <v>20</v>
      </c>
      <c r="AE1049" s="390">
        <v>44743</v>
      </c>
      <c r="AF1049" s="390">
        <v>45473</v>
      </c>
      <c r="AG1049" s="391" t="s">
        <v>545</v>
      </c>
      <c r="AH1049" s="391" t="s">
        <v>7492</v>
      </c>
      <c r="AI1049" s="391" t="s">
        <v>2599</v>
      </c>
      <c r="AJ1049" s="391">
        <v>0</v>
      </c>
      <c r="AK1049" s="390">
        <v>44743</v>
      </c>
      <c r="AL1049" s="389">
        <v>100</v>
      </c>
      <c r="AM1049" s="391" t="s">
        <v>548</v>
      </c>
      <c r="AN1049" s="391" t="s">
        <v>549</v>
      </c>
      <c r="AO1049" s="391" t="s">
        <v>7493</v>
      </c>
    </row>
    <row r="1050" spans="1:43" ht="16" thickBot="1">
      <c r="A1050" s="387" t="s">
        <v>2166</v>
      </c>
      <c r="B1050" s="387" t="s">
        <v>5499</v>
      </c>
      <c r="C1050" s="387" t="s">
        <v>7494</v>
      </c>
      <c r="D1050" s="387" t="s">
        <v>7495</v>
      </c>
      <c r="E1050" s="387">
        <v>28</v>
      </c>
      <c r="F1050" s="387" t="s">
        <v>559</v>
      </c>
      <c r="G1050" s="387">
        <v>28</v>
      </c>
      <c r="H1050" s="387" t="s">
        <v>559</v>
      </c>
      <c r="I1050" s="387" t="s">
        <v>560</v>
      </c>
      <c r="J1050" s="387" t="s">
        <v>7496</v>
      </c>
      <c r="K1050" s="387" t="s">
        <v>7497</v>
      </c>
      <c r="L1050" s="387" t="s">
        <v>1793</v>
      </c>
      <c r="M1050" s="387" t="s">
        <v>1794</v>
      </c>
      <c r="N1050" s="388">
        <v>125.49</v>
      </c>
      <c r="O1050" s="388">
        <v>14</v>
      </c>
      <c r="P1050" s="387" t="s">
        <v>538</v>
      </c>
      <c r="Q1050" s="387" t="s">
        <v>539</v>
      </c>
      <c r="R1050" s="387" t="s">
        <v>7498</v>
      </c>
      <c r="S1050" s="387" t="s">
        <v>541</v>
      </c>
      <c r="T1050" s="387" t="s">
        <v>757</v>
      </c>
      <c r="U1050" s="388">
        <v>192985</v>
      </c>
      <c r="V1050" s="387">
        <v>6009646070976</v>
      </c>
      <c r="W1050" s="387">
        <v>6009646070976</v>
      </c>
      <c r="X1050" s="387" t="s">
        <v>543</v>
      </c>
      <c r="Y1050" s="387" t="s">
        <v>543</v>
      </c>
      <c r="Z1050" s="387" t="s">
        <v>543</v>
      </c>
      <c r="AA1050" s="388" t="s">
        <v>543</v>
      </c>
      <c r="AB1050" s="388" t="s">
        <v>543</v>
      </c>
      <c r="AC1050" s="387">
        <v>712610001</v>
      </c>
      <c r="AD1050" s="389">
        <v>15</v>
      </c>
      <c r="AE1050" s="390">
        <v>44743</v>
      </c>
      <c r="AF1050" s="390">
        <v>45473</v>
      </c>
      <c r="AG1050" s="390">
        <v>45473</v>
      </c>
      <c r="AH1050" s="391" t="s">
        <v>7499</v>
      </c>
      <c r="AI1050" s="391" t="s">
        <v>1797</v>
      </c>
      <c r="AJ1050" s="391">
        <v>8</v>
      </c>
      <c r="AK1050" s="390">
        <v>44958</v>
      </c>
      <c r="AL1050" s="389">
        <v>100</v>
      </c>
      <c r="AM1050" s="391" t="s">
        <v>548</v>
      </c>
      <c r="AN1050" s="391" t="s">
        <v>549</v>
      </c>
      <c r="AO1050" s="391" t="s">
        <v>7500</v>
      </c>
    </row>
    <row r="1051" spans="1:43" ht="16" thickBot="1">
      <c r="A1051" s="387" t="s">
        <v>529</v>
      </c>
      <c r="B1051" s="387" t="s">
        <v>987</v>
      </c>
      <c r="C1051" s="387" t="s">
        <v>988</v>
      </c>
      <c r="D1051" s="387" t="s">
        <v>780</v>
      </c>
      <c r="E1051" s="392">
        <v>28</v>
      </c>
      <c r="F1051" s="392" t="s">
        <v>559</v>
      </c>
      <c r="G1051" s="392">
        <v>28</v>
      </c>
      <c r="H1051" s="392" t="s">
        <v>559</v>
      </c>
      <c r="I1051" s="392" t="s">
        <v>560</v>
      </c>
      <c r="J1051" s="392" t="s">
        <v>781</v>
      </c>
      <c r="K1051" s="392" t="s">
        <v>782</v>
      </c>
      <c r="L1051" s="392" t="s">
        <v>535</v>
      </c>
      <c r="M1051" s="392" t="s">
        <v>536</v>
      </c>
      <c r="N1051" s="393">
        <v>92.91</v>
      </c>
      <c r="O1051" s="393">
        <v>14</v>
      </c>
      <c r="P1051" s="392" t="s">
        <v>538</v>
      </c>
      <c r="Q1051" s="392" t="s">
        <v>539</v>
      </c>
      <c r="R1051" s="392" t="s">
        <v>783</v>
      </c>
      <c r="S1051" s="392" t="s">
        <v>541</v>
      </c>
      <c r="T1051" s="392" t="s">
        <v>542</v>
      </c>
      <c r="U1051" s="393">
        <v>11021391</v>
      </c>
      <c r="V1051" s="392">
        <v>6001390129795</v>
      </c>
      <c r="W1051" s="392">
        <v>6001390129801</v>
      </c>
      <c r="X1051" s="392" t="s">
        <v>543</v>
      </c>
      <c r="Y1051" s="392">
        <v>16001390129808</v>
      </c>
      <c r="Z1051" s="392" t="s">
        <v>543</v>
      </c>
      <c r="AA1051" s="393" t="s">
        <v>543</v>
      </c>
      <c r="AB1051" s="393" t="s">
        <v>543</v>
      </c>
      <c r="AC1051" s="392" t="s">
        <v>543</v>
      </c>
      <c r="AD1051" s="394">
        <v>10</v>
      </c>
      <c r="AE1051" s="395">
        <v>44743</v>
      </c>
      <c r="AF1051" s="395">
        <v>45838</v>
      </c>
      <c r="AG1051" s="395">
        <v>45838</v>
      </c>
      <c r="AH1051" s="396" t="s">
        <v>785</v>
      </c>
      <c r="AI1051" s="396" t="s">
        <v>547</v>
      </c>
      <c r="AJ1051" s="396">
        <v>21</v>
      </c>
      <c r="AK1051" s="395">
        <v>45047</v>
      </c>
      <c r="AL1051" s="394">
        <v>33.159999999999997</v>
      </c>
      <c r="AM1051" s="391" t="s">
        <v>548</v>
      </c>
      <c r="AN1051" s="391" t="s">
        <v>549</v>
      </c>
      <c r="AO1051" s="391" t="s">
        <v>786</v>
      </c>
      <c r="AP1051" s="372">
        <f>N1051/G1051</f>
        <v>3.3182142857142858</v>
      </c>
      <c r="AQ1051" s="372">
        <f>SUMPRODUCT(AP1051:AP1055,U1051:U1055)/SUM(U1051:U1055)</f>
        <v>3.260735727216034</v>
      </c>
    </row>
    <row r="1052" spans="1:43" ht="16" thickBot="1">
      <c r="A1052" s="387" t="s">
        <v>529</v>
      </c>
      <c r="B1052" s="387" t="s">
        <v>987</v>
      </c>
      <c r="C1052" s="387" t="s">
        <v>988</v>
      </c>
      <c r="D1052" s="387" t="s">
        <v>780</v>
      </c>
      <c r="E1052" s="392">
        <v>28</v>
      </c>
      <c r="F1052" s="392" t="s">
        <v>559</v>
      </c>
      <c r="G1052" s="392">
        <v>28</v>
      </c>
      <c r="H1052" s="392" t="s">
        <v>559</v>
      </c>
      <c r="I1052" s="392" t="s">
        <v>560</v>
      </c>
      <c r="J1052" s="392" t="s">
        <v>781</v>
      </c>
      <c r="K1052" s="392" t="s">
        <v>788</v>
      </c>
      <c r="L1052" s="392" t="s">
        <v>552</v>
      </c>
      <c r="M1052" s="392" t="s">
        <v>553</v>
      </c>
      <c r="N1052" s="393">
        <v>94.62</v>
      </c>
      <c r="O1052" s="393">
        <v>14</v>
      </c>
      <c r="P1052" s="392" t="s">
        <v>538</v>
      </c>
      <c r="Q1052" s="392" t="s">
        <v>539</v>
      </c>
      <c r="R1052" s="392" t="s">
        <v>783</v>
      </c>
      <c r="S1052" s="392" t="s">
        <v>541</v>
      </c>
      <c r="T1052" s="392" t="s">
        <v>542</v>
      </c>
      <c r="U1052" s="393">
        <v>11149962</v>
      </c>
      <c r="V1052" s="392">
        <v>8903726245835</v>
      </c>
      <c r="W1052" s="392">
        <v>8903726245835</v>
      </c>
      <c r="X1052" s="392" t="s">
        <v>543</v>
      </c>
      <c r="Y1052" s="392">
        <v>18903726245832</v>
      </c>
      <c r="Z1052" s="392" t="s">
        <v>543</v>
      </c>
      <c r="AA1052" s="393" t="s">
        <v>543</v>
      </c>
      <c r="AB1052" s="393" t="s">
        <v>543</v>
      </c>
      <c r="AC1052" s="392" t="s">
        <v>789</v>
      </c>
      <c r="AD1052" s="394">
        <v>56</v>
      </c>
      <c r="AE1052" s="395">
        <v>44743</v>
      </c>
      <c r="AF1052" s="395">
        <v>45838</v>
      </c>
      <c r="AG1052" s="395">
        <v>45838</v>
      </c>
      <c r="AH1052" s="396" t="s">
        <v>785</v>
      </c>
      <c r="AI1052" s="396" t="s">
        <v>555</v>
      </c>
      <c r="AJ1052" s="396">
        <v>19</v>
      </c>
      <c r="AK1052" s="395">
        <v>45047</v>
      </c>
      <c r="AL1052" s="394">
        <v>33.54</v>
      </c>
      <c r="AM1052" s="391" t="s">
        <v>548</v>
      </c>
      <c r="AN1052" s="391" t="s">
        <v>549</v>
      </c>
      <c r="AO1052" s="391" t="s">
        <v>786</v>
      </c>
      <c r="AP1052" s="372">
        <f t="shared" ref="AP1052:AP1055" si="32">N1052/G1052</f>
        <v>3.3792857142857144</v>
      </c>
    </row>
    <row r="1053" spans="1:43" ht="16" thickBot="1">
      <c r="A1053" s="387" t="s">
        <v>529</v>
      </c>
      <c r="B1053" s="387" t="s">
        <v>987</v>
      </c>
      <c r="C1053" s="387" t="s">
        <v>988</v>
      </c>
      <c r="D1053" s="387" t="s">
        <v>780</v>
      </c>
      <c r="E1053" s="392">
        <v>28</v>
      </c>
      <c r="F1053" s="392" t="s">
        <v>559</v>
      </c>
      <c r="G1053" s="392">
        <v>28</v>
      </c>
      <c r="H1053" s="392" t="s">
        <v>559</v>
      </c>
      <c r="I1053" s="392" t="s">
        <v>560</v>
      </c>
      <c r="J1053" s="392" t="s">
        <v>781</v>
      </c>
      <c r="K1053" s="392" t="s">
        <v>787</v>
      </c>
      <c r="L1053" s="392" t="s">
        <v>562</v>
      </c>
      <c r="M1053" s="392" t="s">
        <v>563</v>
      </c>
      <c r="N1053" s="393">
        <v>86.53</v>
      </c>
      <c r="O1053" s="393">
        <v>14</v>
      </c>
      <c r="P1053" s="392" t="s">
        <v>538</v>
      </c>
      <c r="Q1053" s="392" t="s">
        <v>539</v>
      </c>
      <c r="R1053" s="392" t="s">
        <v>783</v>
      </c>
      <c r="S1053" s="392" t="s">
        <v>541</v>
      </c>
      <c r="T1053" s="392" t="s">
        <v>542</v>
      </c>
      <c r="U1053" s="393">
        <v>11070358</v>
      </c>
      <c r="V1053" s="392">
        <v>6009628332771</v>
      </c>
      <c r="W1053" s="392">
        <v>6009628332771</v>
      </c>
      <c r="X1053" s="392" t="s">
        <v>543</v>
      </c>
      <c r="Y1053" s="392">
        <v>16009628332778</v>
      </c>
      <c r="Z1053" s="392" t="s">
        <v>543</v>
      </c>
      <c r="AA1053" s="393" t="s">
        <v>543</v>
      </c>
      <c r="AB1053" s="393" t="s">
        <v>543</v>
      </c>
      <c r="AC1053" s="392">
        <v>717837001</v>
      </c>
      <c r="AD1053" s="394">
        <v>144</v>
      </c>
      <c r="AE1053" s="395">
        <v>44743</v>
      </c>
      <c r="AF1053" s="395">
        <v>45838</v>
      </c>
      <c r="AG1053" s="395">
        <v>45838</v>
      </c>
      <c r="AH1053" s="396" t="s">
        <v>785</v>
      </c>
      <c r="AI1053" s="396" t="s">
        <v>565</v>
      </c>
      <c r="AJ1053" s="396">
        <v>23</v>
      </c>
      <c r="AK1053" s="395">
        <v>45047</v>
      </c>
      <c r="AL1053" s="394">
        <v>33.299999999999997</v>
      </c>
      <c r="AM1053" s="391" t="s">
        <v>548</v>
      </c>
      <c r="AN1053" s="391" t="s">
        <v>549</v>
      </c>
      <c r="AO1053" s="391" t="s">
        <v>786</v>
      </c>
      <c r="AP1053" s="372">
        <f t="shared" si="32"/>
        <v>3.090357142857143</v>
      </c>
    </row>
    <row r="1054" spans="1:43" ht="16" thickBot="1">
      <c r="A1054" s="387" t="s">
        <v>529</v>
      </c>
      <c r="B1054" s="387" t="s">
        <v>634</v>
      </c>
      <c r="C1054" s="387" t="s">
        <v>1011</v>
      </c>
      <c r="D1054" s="387" t="s">
        <v>790</v>
      </c>
      <c r="E1054" s="397">
        <v>84</v>
      </c>
      <c r="F1054" s="397" t="s">
        <v>559</v>
      </c>
      <c r="G1054" s="397">
        <v>84</v>
      </c>
      <c r="H1054" s="397" t="s">
        <v>559</v>
      </c>
      <c r="I1054" s="397" t="s">
        <v>560</v>
      </c>
      <c r="J1054" s="397" t="s">
        <v>781</v>
      </c>
      <c r="K1054" s="397" t="s">
        <v>794</v>
      </c>
      <c r="L1054" s="397" t="s">
        <v>552</v>
      </c>
      <c r="M1054" s="397" t="s">
        <v>553</v>
      </c>
      <c r="N1054" s="398">
        <v>269.64999999999998</v>
      </c>
      <c r="O1054" s="393">
        <v>14</v>
      </c>
      <c r="P1054" s="392" t="s">
        <v>538</v>
      </c>
      <c r="Q1054" s="392" t="s">
        <v>539</v>
      </c>
      <c r="R1054" s="392" t="s">
        <v>783</v>
      </c>
      <c r="S1054" s="392" t="s">
        <v>541</v>
      </c>
      <c r="T1054" s="392" t="s">
        <v>542</v>
      </c>
      <c r="U1054" s="393">
        <v>1783788</v>
      </c>
      <c r="V1054" s="392">
        <v>8903726265710</v>
      </c>
      <c r="W1054" s="392">
        <v>8903726265710</v>
      </c>
      <c r="X1054" s="392" t="s">
        <v>543</v>
      </c>
      <c r="Y1054" s="392">
        <v>58903726265715</v>
      </c>
      <c r="Z1054" s="392" t="s">
        <v>543</v>
      </c>
      <c r="AA1054" s="393" t="s">
        <v>543</v>
      </c>
      <c r="AB1054" s="393" t="s">
        <v>543</v>
      </c>
      <c r="AC1054" s="392" t="s">
        <v>543</v>
      </c>
      <c r="AD1054" s="394">
        <v>20</v>
      </c>
      <c r="AE1054" s="395">
        <v>44743</v>
      </c>
      <c r="AF1054" s="395">
        <v>45838</v>
      </c>
      <c r="AG1054" s="395">
        <v>45838</v>
      </c>
      <c r="AH1054" s="396" t="s">
        <v>792</v>
      </c>
      <c r="AI1054" s="396" t="s">
        <v>555</v>
      </c>
      <c r="AJ1054" s="396">
        <v>19</v>
      </c>
      <c r="AK1054" s="395">
        <v>45047</v>
      </c>
      <c r="AL1054" s="394">
        <v>80</v>
      </c>
      <c r="AM1054" s="391" t="s">
        <v>548</v>
      </c>
      <c r="AN1054" s="391" t="s">
        <v>549</v>
      </c>
      <c r="AO1054" s="391" t="s">
        <v>786</v>
      </c>
      <c r="AP1054" s="372">
        <f t="shared" si="32"/>
        <v>3.2101190476190475</v>
      </c>
    </row>
    <row r="1055" spans="1:43" ht="16" thickBot="1">
      <c r="A1055" s="387" t="s">
        <v>529</v>
      </c>
      <c r="B1055" s="387" t="s">
        <v>634</v>
      </c>
      <c r="C1055" s="387" t="s">
        <v>1011</v>
      </c>
      <c r="D1055" s="387" t="s">
        <v>790</v>
      </c>
      <c r="E1055" s="397">
        <v>84</v>
      </c>
      <c r="F1055" s="397" t="s">
        <v>559</v>
      </c>
      <c r="G1055" s="397">
        <v>84</v>
      </c>
      <c r="H1055" s="397" t="s">
        <v>559</v>
      </c>
      <c r="I1055" s="397" t="s">
        <v>560</v>
      </c>
      <c r="J1055" s="397" t="s">
        <v>781</v>
      </c>
      <c r="K1055" s="397" t="s">
        <v>791</v>
      </c>
      <c r="L1055" s="397" t="s">
        <v>562</v>
      </c>
      <c r="M1055" s="397" t="s">
        <v>563</v>
      </c>
      <c r="N1055" s="398">
        <v>277.88</v>
      </c>
      <c r="O1055" s="393">
        <v>14</v>
      </c>
      <c r="P1055" s="392" t="s">
        <v>538</v>
      </c>
      <c r="Q1055" s="392" t="s">
        <v>539</v>
      </c>
      <c r="R1055" s="392" t="s">
        <v>783</v>
      </c>
      <c r="S1055" s="392" t="s">
        <v>541</v>
      </c>
      <c r="T1055" s="392" t="s">
        <v>542</v>
      </c>
      <c r="U1055" s="393">
        <v>445947</v>
      </c>
      <c r="V1055" s="392">
        <v>6009888613092</v>
      </c>
      <c r="W1055" s="392">
        <v>6009888613092</v>
      </c>
      <c r="X1055" s="392" t="s">
        <v>543</v>
      </c>
      <c r="Y1055" s="392" t="s">
        <v>543</v>
      </c>
      <c r="Z1055" s="392" t="s">
        <v>543</v>
      </c>
      <c r="AA1055" s="393" t="s">
        <v>543</v>
      </c>
      <c r="AB1055" s="393" t="s">
        <v>543</v>
      </c>
      <c r="AC1055" s="392" t="s">
        <v>543</v>
      </c>
      <c r="AD1055" s="394">
        <v>72</v>
      </c>
      <c r="AE1055" s="395">
        <v>44743</v>
      </c>
      <c r="AF1055" s="395">
        <v>45838</v>
      </c>
      <c r="AG1055" s="395">
        <v>45838</v>
      </c>
      <c r="AH1055" s="396" t="s">
        <v>792</v>
      </c>
      <c r="AI1055" s="396" t="s">
        <v>565</v>
      </c>
      <c r="AJ1055" s="396">
        <v>23</v>
      </c>
      <c r="AK1055" s="395">
        <v>45047</v>
      </c>
      <c r="AL1055" s="394">
        <v>20</v>
      </c>
      <c r="AM1055" s="391" t="s">
        <v>548</v>
      </c>
      <c r="AN1055" s="391" t="s">
        <v>549</v>
      </c>
      <c r="AO1055" s="391" t="s">
        <v>786</v>
      </c>
      <c r="AP1055" s="372">
        <f t="shared" si="32"/>
        <v>3.308095238095238</v>
      </c>
    </row>
    <row r="1056" spans="1:43" ht="16" thickBot="1">
      <c r="A1056" s="387" t="s">
        <v>529</v>
      </c>
      <c r="B1056" s="387" t="s">
        <v>1009</v>
      </c>
      <c r="C1056" s="387" t="s">
        <v>1010</v>
      </c>
      <c r="D1056" s="387" t="s">
        <v>795</v>
      </c>
      <c r="E1056" s="387">
        <v>28</v>
      </c>
      <c r="F1056" s="387" t="s">
        <v>559</v>
      </c>
      <c r="G1056" s="387">
        <v>28</v>
      </c>
      <c r="H1056" s="387" t="s">
        <v>559</v>
      </c>
      <c r="I1056" s="387" t="s">
        <v>560</v>
      </c>
      <c r="J1056" s="387" t="s">
        <v>796</v>
      </c>
      <c r="K1056" s="387" t="s">
        <v>797</v>
      </c>
      <c r="L1056" s="387" t="s">
        <v>562</v>
      </c>
      <c r="M1056" s="387" t="s">
        <v>563</v>
      </c>
      <c r="N1056" s="388">
        <v>58.58</v>
      </c>
      <c r="O1056" s="388">
        <v>14</v>
      </c>
      <c r="P1056" s="387" t="s">
        <v>538</v>
      </c>
      <c r="Q1056" s="387" t="s">
        <v>539</v>
      </c>
      <c r="R1056" s="387" t="s">
        <v>798</v>
      </c>
      <c r="S1056" s="387" t="s">
        <v>541</v>
      </c>
      <c r="T1056" s="387" t="s">
        <v>542</v>
      </c>
      <c r="U1056" s="388">
        <v>1540705</v>
      </c>
      <c r="V1056" s="387">
        <v>6009628332740</v>
      </c>
      <c r="W1056" s="387" t="s">
        <v>543</v>
      </c>
      <c r="X1056" s="387" t="s">
        <v>543</v>
      </c>
      <c r="Y1056" s="387">
        <v>16009628332747</v>
      </c>
      <c r="Z1056" s="387" t="s">
        <v>543</v>
      </c>
      <c r="AA1056" s="388" t="s">
        <v>543</v>
      </c>
      <c r="AB1056" s="388" t="s">
        <v>543</v>
      </c>
      <c r="AC1056" s="387">
        <v>717981001</v>
      </c>
      <c r="AD1056" s="389">
        <v>144</v>
      </c>
      <c r="AE1056" s="390">
        <v>44743</v>
      </c>
      <c r="AF1056" s="390">
        <v>45838</v>
      </c>
      <c r="AG1056" s="390">
        <v>45838</v>
      </c>
      <c r="AH1056" s="391" t="s">
        <v>799</v>
      </c>
      <c r="AI1056" s="391" t="s">
        <v>565</v>
      </c>
      <c r="AJ1056" s="391">
        <v>23</v>
      </c>
      <c r="AK1056" s="390">
        <v>45047</v>
      </c>
      <c r="AL1056" s="389">
        <v>14</v>
      </c>
      <c r="AM1056" s="391" t="s">
        <v>548</v>
      </c>
      <c r="AN1056" s="391" t="s">
        <v>549</v>
      </c>
      <c r="AO1056" s="391" t="s">
        <v>800</v>
      </c>
      <c r="AP1056" s="372">
        <f>N1056/G1056</f>
        <v>2.0921428571428571</v>
      </c>
      <c r="AQ1056" s="372">
        <f>SUMPRODUCT(AP1056:AP1058,U1056:U1058)/SUM(U1056:U1058)</f>
        <v>2.1998857230972644</v>
      </c>
    </row>
    <row r="1057" spans="1:42" ht="16" thickBot="1">
      <c r="A1057" s="387" t="s">
        <v>529</v>
      </c>
      <c r="B1057" s="387" t="s">
        <v>1009</v>
      </c>
      <c r="C1057" s="387" t="s">
        <v>1010</v>
      </c>
      <c r="D1057" s="387" t="s">
        <v>795</v>
      </c>
      <c r="E1057" s="387">
        <v>28</v>
      </c>
      <c r="F1057" s="387" t="s">
        <v>559</v>
      </c>
      <c r="G1057" s="387">
        <v>28</v>
      </c>
      <c r="H1057" s="387" t="s">
        <v>559</v>
      </c>
      <c r="I1057" s="387" t="s">
        <v>560</v>
      </c>
      <c r="J1057" s="387" t="s">
        <v>796</v>
      </c>
      <c r="K1057" s="387" t="s">
        <v>802</v>
      </c>
      <c r="L1057" s="387" t="s">
        <v>552</v>
      </c>
      <c r="M1057" s="387" t="s">
        <v>553</v>
      </c>
      <c r="N1057" s="388">
        <v>57.26</v>
      </c>
      <c r="O1057" s="388">
        <v>14</v>
      </c>
      <c r="P1057" s="387" t="s">
        <v>538</v>
      </c>
      <c r="Q1057" s="387" t="s">
        <v>539</v>
      </c>
      <c r="R1057" s="387" t="s">
        <v>798</v>
      </c>
      <c r="S1057" s="387" t="s">
        <v>541</v>
      </c>
      <c r="T1057" s="387" t="s">
        <v>542</v>
      </c>
      <c r="U1057" s="388">
        <v>6162820</v>
      </c>
      <c r="V1057" s="387">
        <v>8903726213582</v>
      </c>
      <c r="W1057" s="387">
        <v>8903726213582</v>
      </c>
      <c r="X1057" s="387" t="s">
        <v>543</v>
      </c>
      <c r="Y1057" s="387">
        <v>18903726213589</v>
      </c>
      <c r="Z1057" s="387" t="s">
        <v>543</v>
      </c>
      <c r="AA1057" s="388" t="s">
        <v>543</v>
      </c>
      <c r="AB1057" s="388" t="s">
        <v>543</v>
      </c>
      <c r="AC1057" s="387" t="s">
        <v>803</v>
      </c>
      <c r="AD1057" s="389">
        <v>108</v>
      </c>
      <c r="AE1057" s="390">
        <v>44743</v>
      </c>
      <c r="AF1057" s="390">
        <v>45838</v>
      </c>
      <c r="AG1057" s="390">
        <v>45838</v>
      </c>
      <c r="AH1057" s="391" t="s">
        <v>799</v>
      </c>
      <c r="AI1057" s="391" t="s">
        <v>555</v>
      </c>
      <c r="AJ1057" s="391">
        <v>19</v>
      </c>
      <c r="AK1057" s="390">
        <v>45047</v>
      </c>
      <c r="AL1057" s="389">
        <v>56</v>
      </c>
      <c r="AM1057" s="391" t="s">
        <v>548</v>
      </c>
      <c r="AN1057" s="391" t="s">
        <v>549</v>
      </c>
      <c r="AO1057" s="391" t="s">
        <v>800</v>
      </c>
      <c r="AP1057" s="372">
        <f t="shared" ref="AP1057:AP1058" si="33">N1057/G1057</f>
        <v>2.0449999999999999</v>
      </c>
    </row>
    <row r="1058" spans="1:42" ht="16" thickBot="1">
      <c r="A1058" s="387" t="s">
        <v>529</v>
      </c>
      <c r="B1058" s="387" t="s">
        <v>1009</v>
      </c>
      <c r="C1058" s="387" t="s">
        <v>1010</v>
      </c>
      <c r="D1058" s="387" t="s">
        <v>795</v>
      </c>
      <c r="E1058" s="387">
        <v>28</v>
      </c>
      <c r="F1058" s="387" t="s">
        <v>559</v>
      </c>
      <c r="G1058" s="387">
        <v>28</v>
      </c>
      <c r="H1058" s="387" t="s">
        <v>559</v>
      </c>
      <c r="I1058" s="387" t="s">
        <v>560</v>
      </c>
      <c r="J1058" s="387" t="s">
        <v>796</v>
      </c>
      <c r="K1058" s="387" t="s">
        <v>801</v>
      </c>
      <c r="L1058" s="387" t="s">
        <v>631</v>
      </c>
      <c r="M1058" s="387" t="s">
        <v>632</v>
      </c>
      <c r="N1058" s="388">
        <v>71.099999999999994</v>
      </c>
      <c r="O1058" s="388">
        <v>14</v>
      </c>
      <c r="P1058" s="387" t="s">
        <v>538</v>
      </c>
      <c r="Q1058" s="387" t="s">
        <v>539</v>
      </c>
      <c r="R1058" s="387" t="s">
        <v>798</v>
      </c>
      <c r="S1058" s="387" t="s">
        <v>541</v>
      </c>
      <c r="T1058" s="387" t="s">
        <v>542</v>
      </c>
      <c r="U1058" s="388">
        <v>3301511</v>
      </c>
      <c r="V1058" s="387">
        <v>6008288004462</v>
      </c>
      <c r="W1058" s="387">
        <v>6008288004462</v>
      </c>
      <c r="X1058" s="387" t="s">
        <v>543</v>
      </c>
      <c r="Y1058" s="387">
        <v>16008288004469</v>
      </c>
      <c r="Z1058" s="387" t="s">
        <v>543</v>
      </c>
      <c r="AA1058" s="388" t="s">
        <v>543</v>
      </c>
      <c r="AB1058" s="388" t="s">
        <v>543</v>
      </c>
      <c r="AC1058" s="387" t="s">
        <v>543</v>
      </c>
      <c r="AD1058" s="389">
        <v>90</v>
      </c>
      <c r="AE1058" s="390">
        <v>44743</v>
      </c>
      <c r="AF1058" s="390">
        <v>45838</v>
      </c>
      <c r="AG1058" s="390">
        <v>45838</v>
      </c>
      <c r="AH1058" s="391" t="s">
        <v>799</v>
      </c>
      <c r="AI1058" s="391" t="s">
        <v>636</v>
      </c>
      <c r="AJ1058" s="391">
        <v>22</v>
      </c>
      <c r="AK1058" s="390">
        <v>45047</v>
      </c>
      <c r="AL1058" s="389">
        <v>30</v>
      </c>
      <c r="AM1058" s="391" t="s">
        <v>548</v>
      </c>
      <c r="AN1058" s="391" t="s">
        <v>549</v>
      </c>
      <c r="AO1058" s="391" t="s">
        <v>800</v>
      </c>
      <c r="AP1058" s="372">
        <f t="shared" si="33"/>
        <v>2.5392857142857141</v>
      </c>
    </row>
    <row r="1059" spans="1:42" ht="16" thickBot="1">
      <c r="A1059" s="387" t="s">
        <v>529</v>
      </c>
      <c r="B1059" s="387" t="s">
        <v>651</v>
      </c>
      <c r="C1059" s="387" t="s">
        <v>984</v>
      </c>
      <c r="D1059" s="387" t="s">
        <v>804</v>
      </c>
      <c r="E1059" s="387">
        <v>28</v>
      </c>
      <c r="F1059" s="387" t="s">
        <v>559</v>
      </c>
      <c r="G1059" s="387">
        <v>28</v>
      </c>
      <c r="H1059" s="387" t="s">
        <v>559</v>
      </c>
      <c r="I1059" s="387" t="s">
        <v>560</v>
      </c>
      <c r="J1059" s="387" t="s">
        <v>805</v>
      </c>
      <c r="K1059" s="387" t="s">
        <v>815</v>
      </c>
      <c r="L1059" s="387" t="s">
        <v>588</v>
      </c>
      <c r="M1059" s="387" t="s">
        <v>589</v>
      </c>
      <c r="N1059" s="388">
        <v>86.62</v>
      </c>
      <c r="O1059" s="388">
        <v>14</v>
      </c>
      <c r="P1059" s="387" t="s">
        <v>538</v>
      </c>
      <c r="Q1059" s="387" t="s">
        <v>539</v>
      </c>
      <c r="R1059" s="387" t="s">
        <v>807</v>
      </c>
      <c r="S1059" s="387" t="s">
        <v>541</v>
      </c>
      <c r="T1059" s="387" t="s">
        <v>542</v>
      </c>
      <c r="U1059" s="388">
        <v>18502381</v>
      </c>
      <c r="V1059" s="387">
        <v>6009695244786</v>
      </c>
      <c r="W1059" s="387" t="s">
        <v>543</v>
      </c>
      <c r="X1059" s="387" t="s">
        <v>543</v>
      </c>
      <c r="Y1059" s="387">
        <v>16009695244783</v>
      </c>
      <c r="Z1059" s="387" t="s">
        <v>543</v>
      </c>
      <c r="AA1059" s="388" t="s">
        <v>543</v>
      </c>
      <c r="AB1059" s="388" t="s">
        <v>543</v>
      </c>
      <c r="AC1059" s="387">
        <v>3000435001</v>
      </c>
      <c r="AD1059" s="389">
        <v>48</v>
      </c>
      <c r="AE1059" s="390">
        <v>44743</v>
      </c>
      <c r="AF1059" s="390">
        <v>45838</v>
      </c>
      <c r="AG1059" s="390">
        <v>45838</v>
      </c>
      <c r="AH1059" s="391" t="s">
        <v>808</v>
      </c>
      <c r="AI1059" s="391" t="s">
        <v>592</v>
      </c>
      <c r="AJ1059" s="391">
        <v>10</v>
      </c>
      <c r="AK1059" s="390">
        <v>44958</v>
      </c>
      <c r="AL1059" s="389">
        <v>12.7</v>
      </c>
      <c r="AM1059" s="391" t="s">
        <v>548</v>
      </c>
      <c r="AN1059" s="391" t="s">
        <v>549</v>
      </c>
      <c r="AO1059" s="391" t="s">
        <v>809</v>
      </c>
    </row>
    <row r="1060" spans="1:42" ht="16" thickBot="1">
      <c r="A1060" s="387" t="s">
        <v>529</v>
      </c>
      <c r="B1060" s="387" t="s">
        <v>651</v>
      </c>
      <c r="C1060" s="387" t="s">
        <v>984</v>
      </c>
      <c r="D1060" s="387" t="s">
        <v>804</v>
      </c>
      <c r="E1060" s="387">
        <v>28</v>
      </c>
      <c r="F1060" s="387" t="s">
        <v>559</v>
      </c>
      <c r="G1060" s="387">
        <v>28</v>
      </c>
      <c r="H1060" s="387" t="s">
        <v>559</v>
      </c>
      <c r="I1060" s="387" t="s">
        <v>560</v>
      </c>
      <c r="J1060" s="387" t="s">
        <v>805</v>
      </c>
      <c r="K1060" s="387" t="s">
        <v>813</v>
      </c>
      <c r="L1060" s="387" t="s">
        <v>576</v>
      </c>
      <c r="M1060" s="387" t="s">
        <v>577</v>
      </c>
      <c r="N1060" s="388">
        <v>80.099999999999994</v>
      </c>
      <c r="O1060" s="388">
        <v>14</v>
      </c>
      <c r="P1060" s="387" t="s">
        <v>538</v>
      </c>
      <c r="Q1060" s="387" t="s">
        <v>539</v>
      </c>
      <c r="R1060" s="387" t="s">
        <v>807</v>
      </c>
      <c r="S1060" s="387" t="s">
        <v>541</v>
      </c>
      <c r="T1060" s="387" t="s">
        <v>542</v>
      </c>
      <c r="U1060" s="388">
        <v>22087619</v>
      </c>
      <c r="V1060" s="387">
        <v>6009688291247</v>
      </c>
      <c r="W1060" s="387">
        <v>6009688291247</v>
      </c>
      <c r="X1060" s="387" t="s">
        <v>543</v>
      </c>
      <c r="Y1060" s="387">
        <v>16009688291244</v>
      </c>
      <c r="Z1060" s="387" t="s">
        <v>543</v>
      </c>
      <c r="AA1060" s="388" t="s">
        <v>543</v>
      </c>
      <c r="AB1060" s="388" t="s">
        <v>543</v>
      </c>
      <c r="AC1060" s="387" t="s">
        <v>543</v>
      </c>
      <c r="AD1060" s="389">
        <v>50</v>
      </c>
      <c r="AE1060" s="390">
        <v>44743</v>
      </c>
      <c r="AF1060" s="390">
        <v>45838</v>
      </c>
      <c r="AG1060" s="390">
        <v>45838</v>
      </c>
      <c r="AH1060" s="391" t="s">
        <v>808</v>
      </c>
      <c r="AI1060" s="391" t="s">
        <v>580</v>
      </c>
      <c r="AJ1060" s="391">
        <v>20</v>
      </c>
      <c r="AK1060" s="390">
        <v>45047</v>
      </c>
      <c r="AL1060" s="389">
        <v>15.16</v>
      </c>
      <c r="AM1060" s="391" t="s">
        <v>548</v>
      </c>
      <c r="AN1060" s="391" t="s">
        <v>549</v>
      </c>
      <c r="AO1060" s="391" t="s">
        <v>809</v>
      </c>
    </row>
    <row r="1061" spans="1:42" ht="16" thickBot="1">
      <c r="A1061" s="387" t="s">
        <v>529</v>
      </c>
      <c r="B1061" s="387" t="s">
        <v>651</v>
      </c>
      <c r="C1061" s="387" t="s">
        <v>984</v>
      </c>
      <c r="D1061" s="387" t="s">
        <v>804</v>
      </c>
      <c r="E1061" s="387">
        <v>28</v>
      </c>
      <c r="F1061" s="387" t="s">
        <v>559</v>
      </c>
      <c r="G1061" s="387">
        <v>28</v>
      </c>
      <c r="H1061" s="387" t="s">
        <v>559</v>
      </c>
      <c r="I1061" s="387" t="s">
        <v>560</v>
      </c>
      <c r="J1061" s="387" t="s">
        <v>805</v>
      </c>
      <c r="K1061" s="387" t="s">
        <v>812</v>
      </c>
      <c r="L1061" s="387" t="s">
        <v>552</v>
      </c>
      <c r="M1061" s="387" t="s">
        <v>553</v>
      </c>
      <c r="N1061" s="388">
        <v>71.97</v>
      </c>
      <c r="O1061" s="388">
        <v>14</v>
      </c>
      <c r="P1061" s="387" t="s">
        <v>538</v>
      </c>
      <c r="Q1061" s="387" t="s">
        <v>539</v>
      </c>
      <c r="R1061" s="387" t="s">
        <v>807</v>
      </c>
      <c r="S1061" s="387" t="s">
        <v>541</v>
      </c>
      <c r="T1061" s="387" t="s">
        <v>542</v>
      </c>
      <c r="U1061" s="388">
        <v>23706468</v>
      </c>
      <c r="V1061" s="387">
        <v>8903726217276</v>
      </c>
      <c r="W1061" s="387" t="s">
        <v>543</v>
      </c>
      <c r="X1061" s="387" t="s">
        <v>543</v>
      </c>
      <c r="Y1061" s="387" t="s">
        <v>543</v>
      </c>
      <c r="Z1061" s="387" t="s">
        <v>543</v>
      </c>
      <c r="AA1061" s="388" t="s">
        <v>543</v>
      </c>
      <c r="AB1061" s="388" t="s">
        <v>543</v>
      </c>
      <c r="AC1061" s="387" t="s">
        <v>543</v>
      </c>
      <c r="AD1061" s="389">
        <v>72</v>
      </c>
      <c r="AE1061" s="390">
        <v>44743</v>
      </c>
      <c r="AF1061" s="390">
        <v>45838</v>
      </c>
      <c r="AG1061" s="390">
        <v>45838</v>
      </c>
      <c r="AH1061" s="391" t="s">
        <v>808</v>
      </c>
      <c r="AI1061" s="391" t="s">
        <v>555</v>
      </c>
      <c r="AJ1061" s="391">
        <v>19</v>
      </c>
      <c r="AK1061" s="390">
        <v>45047</v>
      </c>
      <c r="AL1061" s="389">
        <v>16.28</v>
      </c>
      <c r="AM1061" s="391" t="s">
        <v>548</v>
      </c>
      <c r="AN1061" s="391" t="s">
        <v>549</v>
      </c>
      <c r="AO1061" s="391" t="s">
        <v>809</v>
      </c>
    </row>
    <row r="1062" spans="1:42" ht="16" thickBot="1">
      <c r="A1062" s="387" t="s">
        <v>529</v>
      </c>
      <c r="B1062" s="387" t="s">
        <v>651</v>
      </c>
      <c r="C1062" s="387" t="s">
        <v>984</v>
      </c>
      <c r="D1062" s="387" t="s">
        <v>804</v>
      </c>
      <c r="E1062" s="387">
        <v>28</v>
      </c>
      <c r="F1062" s="387" t="s">
        <v>559</v>
      </c>
      <c r="G1062" s="387">
        <v>28</v>
      </c>
      <c r="H1062" s="387" t="s">
        <v>559</v>
      </c>
      <c r="I1062" s="387" t="s">
        <v>560</v>
      </c>
      <c r="J1062" s="387" t="s">
        <v>805</v>
      </c>
      <c r="K1062" s="387" t="s">
        <v>814</v>
      </c>
      <c r="L1062" s="387" t="s">
        <v>631</v>
      </c>
      <c r="M1062" s="387" t="s">
        <v>632</v>
      </c>
      <c r="N1062" s="388">
        <v>88.62</v>
      </c>
      <c r="O1062" s="388">
        <v>14</v>
      </c>
      <c r="P1062" s="387" t="s">
        <v>538</v>
      </c>
      <c r="Q1062" s="387" t="s">
        <v>539</v>
      </c>
      <c r="R1062" s="387" t="s">
        <v>807</v>
      </c>
      <c r="S1062" s="387" t="s">
        <v>541</v>
      </c>
      <c r="T1062" s="387" t="s">
        <v>542</v>
      </c>
      <c r="U1062" s="388">
        <v>18509070</v>
      </c>
      <c r="V1062" s="387">
        <v>6008288004295</v>
      </c>
      <c r="W1062" s="387">
        <v>6008288004301</v>
      </c>
      <c r="X1062" s="387" t="s">
        <v>543</v>
      </c>
      <c r="Y1062" s="387">
        <v>46008288004309</v>
      </c>
      <c r="Z1062" s="387" t="s">
        <v>543</v>
      </c>
      <c r="AA1062" s="388" t="s">
        <v>543</v>
      </c>
      <c r="AB1062" s="388" t="s">
        <v>543</v>
      </c>
      <c r="AC1062" s="387" t="s">
        <v>543</v>
      </c>
      <c r="AD1062" s="389">
        <v>72</v>
      </c>
      <c r="AE1062" s="390">
        <v>44743</v>
      </c>
      <c r="AF1062" s="390">
        <v>45838</v>
      </c>
      <c r="AG1062" s="390">
        <v>45838</v>
      </c>
      <c r="AH1062" s="391" t="s">
        <v>808</v>
      </c>
      <c r="AI1062" s="391" t="s">
        <v>636</v>
      </c>
      <c r="AJ1062" s="391">
        <v>22</v>
      </c>
      <c r="AK1062" s="390">
        <v>45047</v>
      </c>
      <c r="AL1062" s="389">
        <v>12.71</v>
      </c>
      <c r="AM1062" s="391" t="s">
        <v>548</v>
      </c>
      <c r="AN1062" s="391" t="s">
        <v>549</v>
      </c>
      <c r="AO1062" s="391" t="s">
        <v>809</v>
      </c>
    </row>
    <row r="1063" spans="1:42" ht="16" thickBot="1">
      <c r="A1063" s="387" t="s">
        <v>529</v>
      </c>
      <c r="B1063" s="387" t="s">
        <v>651</v>
      </c>
      <c r="C1063" s="387" t="s">
        <v>984</v>
      </c>
      <c r="D1063" s="387" t="s">
        <v>804</v>
      </c>
      <c r="E1063" s="387">
        <v>28</v>
      </c>
      <c r="F1063" s="387" t="s">
        <v>559</v>
      </c>
      <c r="G1063" s="387">
        <v>28</v>
      </c>
      <c r="H1063" s="387" t="s">
        <v>559</v>
      </c>
      <c r="I1063" s="387" t="s">
        <v>560</v>
      </c>
      <c r="J1063" s="387" t="s">
        <v>805</v>
      </c>
      <c r="K1063" s="387" t="s">
        <v>811</v>
      </c>
      <c r="L1063" s="387" t="s">
        <v>675</v>
      </c>
      <c r="M1063" s="387" t="s">
        <v>676</v>
      </c>
      <c r="N1063" s="388">
        <v>87.46</v>
      </c>
      <c r="O1063" s="388">
        <v>14</v>
      </c>
      <c r="P1063" s="387" t="s">
        <v>538</v>
      </c>
      <c r="Q1063" s="387" t="s">
        <v>539</v>
      </c>
      <c r="R1063" s="387" t="s">
        <v>807</v>
      </c>
      <c r="S1063" s="387" t="s">
        <v>541</v>
      </c>
      <c r="T1063" s="387" t="s">
        <v>542</v>
      </c>
      <c r="U1063" s="388">
        <v>17988717</v>
      </c>
      <c r="V1063" s="387">
        <v>6006352034407</v>
      </c>
      <c r="W1063" s="387">
        <v>6006352034414</v>
      </c>
      <c r="X1063" s="387" t="s">
        <v>543</v>
      </c>
      <c r="Y1063" s="387">
        <v>16006352034312</v>
      </c>
      <c r="Z1063" s="387" t="s">
        <v>543</v>
      </c>
      <c r="AA1063" s="388" t="s">
        <v>543</v>
      </c>
      <c r="AB1063" s="388" t="s">
        <v>543</v>
      </c>
      <c r="AC1063" s="387">
        <v>3000440001</v>
      </c>
      <c r="AD1063" s="389">
        <v>80</v>
      </c>
      <c r="AE1063" s="390">
        <v>44743</v>
      </c>
      <c r="AF1063" s="390">
        <v>45838</v>
      </c>
      <c r="AG1063" s="390">
        <v>45838</v>
      </c>
      <c r="AH1063" s="391" t="s">
        <v>808</v>
      </c>
      <c r="AI1063" s="391" t="s">
        <v>679</v>
      </c>
      <c r="AJ1063" s="391">
        <v>17</v>
      </c>
      <c r="AK1063" s="390">
        <v>45047</v>
      </c>
      <c r="AL1063" s="389">
        <v>12.35</v>
      </c>
      <c r="AM1063" s="391" t="s">
        <v>548</v>
      </c>
      <c r="AN1063" s="391" t="s">
        <v>549</v>
      </c>
      <c r="AO1063" s="391" t="s">
        <v>809</v>
      </c>
    </row>
    <row r="1064" spans="1:42" ht="16" thickBot="1">
      <c r="A1064" s="387" t="s">
        <v>529</v>
      </c>
      <c r="B1064" s="387" t="s">
        <v>651</v>
      </c>
      <c r="C1064" s="387" t="s">
        <v>984</v>
      </c>
      <c r="D1064" s="387" t="s">
        <v>804</v>
      </c>
      <c r="E1064" s="387">
        <v>28</v>
      </c>
      <c r="F1064" s="387" t="s">
        <v>559</v>
      </c>
      <c r="G1064" s="387">
        <v>28</v>
      </c>
      <c r="H1064" s="387" t="s">
        <v>559</v>
      </c>
      <c r="I1064" s="387" t="s">
        <v>560</v>
      </c>
      <c r="J1064" s="387" t="s">
        <v>805</v>
      </c>
      <c r="K1064" s="387" t="s">
        <v>806</v>
      </c>
      <c r="L1064" s="387" t="s">
        <v>535</v>
      </c>
      <c r="M1064" s="387" t="s">
        <v>536</v>
      </c>
      <c r="N1064" s="388">
        <v>75.44</v>
      </c>
      <c r="O1064" s="388">
        <v>14</v>
      </c>
      <c r="P1064" s="387" t="s">
        <v>538</v>
      </c>
      <c r="Q1064" s="387" t="s">
        <v>539</v>
      </c>
      <c r="R1064" s="387" t="s">
        <v>807</v>
      </c>
      <c r="S1064" s="387" t="s">
        <v>541</v>
      </c>
      <c r="T1064" s="387" t="s">
        <v>542</v>
      </c>
      <c r="U1064" s="388">
        <v>21131456</v>
      </c>
      <c r="V1064" s="387">
        <v>6001399014198</v>
      </c>
      <c r="W1064" s="387" t="s">
        <v>543</v>
      </c>
      <c r="X1064" s="387" t="s">
        <v>543</v>
      </c>
      <c r="Y1064" s="387" t="s">
        <v>543</v>
      </c>
      <c r="Z1064" s="387" t="s">
        <v>543</v>
      </c>
      <c r="AA1064" s="388" t="s">
        <v>543</v>
      </c>
      <c r="AB1064" s="388" t="s">
        <v>543</v>
      </c>
      <c r="AC1064" s="387" t="s">
        <v>543</v>
      </c>
      <c r="AD1064" s="389">
        <v>12</v>
      </c>
      <c r="AE1064" s="390">
        <v>44743</v>
      </c>
      <c r="AF1064" s="390">
        <v>45838</v>
      </c>
      <c r="AG1064" s="390">
        <v>45838</v>
      </c>
      <c r="AH1064" s="391" t="s">
        <v>808</v>
      </c>
      <c r="AI1064" s="391" t="s">
        <v>547</v>
      </c>
      <c r="AJ1064" s="391">
        <v>21</v>
      </c>
      <c r="AK1064" s="390">
        <v>45047</v>
      </c>
      <c r="AL1064" s="389">
        <v>14.51</v>
      </c>
      <c r="AM1064" s="391" t="s">
        <v>548</v>
      </c>
      <c r="AN1064" s="391" t="s">
        <v>549</v>
      </c>
      <c r="AO1064" s="391" t="s">
        <v>809</v>
      </c>
    </row>
    <row r="1065" spans="1:42" ht="16" thickBot="1">
      <c r="A1065" s="387" t="s">
        <v>529</v>
      </c>
      <c r="B1065" s="387" t="s">
        <v>651</v>
      </c>
      <c r="C1065" s="387" t="s">
        <v>984</v>
      </c>
      <c r="D1065" s="387" t="s">
        <v>804</v>
      </c>
      <c r="E1065" s="387">
        <v>28</v>
      </c>
      <c r="F1065" s="387" t="s">
        <v>559</v>
      </c>
      <c r="G1065" s="387">
        <v>28</v>
      </c>
      <c r="H1065" s="387" t="s">
        <v>559</v>
      </c>
      <c r="I1065" s="387" t="s">
        <v>560</v>
      </c>
      <c r="J1065" s="387" t="s">
        <v>805</v>
      </c>
      <c r="K1065" s="387" t="s">
        <v>810</v>
      </c>
      <c r="L1065" s="387" t="s">
        <v>562</v>
      </c>
      <c r="M1065" s="387" t="s">
        <v>563</v>
      </c>
      <c r="N1065" s="388">
        <v>66.44</v>
      </c>
      <c r="O1065" s="388">
        <v>14</v>
      </c>
      <c r="P1065" s="387" t="s">
        <v>538</v>
      </c>
      <c r="Q1065" s="387" t="s">
        <v>539</v>
      </c>
      <c r="R1065" s="387" t="s">
        <v>807</v>
      </c>
      <c r="S1065" s="387" t="s">
        <v>541</v>
      </c>
      <c r="T1065" s="387" t="s">
        <v>542</v>
      </c>
      <c r="U1065" s="388">
        <v>23726959</v>
      </c>
      <c r="V1065" s="387">
        <v>6009880897018</v>
      </c>
      <c r="W1065" s="387" t="s">
        <v>543</v>
      </c>
      <c r="X1065" s="387" t="s">
        <v>543</v>
      </c>
      <c r="Y1065" s="387" t="s">
        <v>543</v>
      </c>
      <c r="Z1065" s="387" t="s">
        <v>543</v>
      </c>
      <c r="AA1065" s="388" t="s">
        <v>543</v>
      </c>
      <c r="AB1065" s="388" t="s">
        <v>543</v>
      </c>
      <c r="AC1065" s="387">
        <v>3000426001</v>
      </c>
      <c r="AD1065" s="389">
        <v>100</v>
      </c>
      <c r="AE1065" s="390">
        <v>44743</v>
      </c>
      <c r="AF1065" s="390">
        <v>45838</v>
      </c>
      <c r="AG1065" s="390">
        <v>45838</v>
      </c>
      <c r="AH1065" s="391" t="s">
        <v>808</v>
      </c>
      <c r="AI1065" s="391" t="s">
        <v>565</v>
      </c>
      <c r="AJ1065" s="391">
        <v>23</v>
      </c>
      <c r="AK1065" s="390">
        <v>45047</v>
      </c>
      <c r="AL1065" s="389">
        <v>16.29</v>
      </c>
      <c r="AM1065" s="391" t="s">
        <v>548</v>
      </c>
      <c r="AN1065" s="391" t="s">
        <v>549</v>
      </c>
      <c r="AO1065" s="391" t="s">
        <v>809</v>
      </c>
    </row>
    <row r="1066" spans="1:42" ht="16" thickBot="1">
      <c r="A1066" s="387" t="s">
        <v>529</v>
      </c>
      <c r="B1066" s="387" t="s">
        <v>537</v>
      </c>
      <c r="C1066" s="387" t="s">
        <v>1020</v>
      </c>
      <c r="D1066" s="387" t="s">
        <v>816</v>
      </c>
      <c r="E1066" s="387">
        <v>84</v>
      </c>
      <c r="F1066" s="387" t="s">
        <v>559</v>
      </c>
      <c r="G1066" s="387">
        <v>84</v>
      </c>
      <c r="H1066" s="387" t="s">
        <v>559</v>
      </c>
      <c r="I1066" s="387" t="s">
        <v>560</v>
      </c>
      <c r="J1066" s="387" t="s">
        <v>805</v>
      </c>
      <c r="K1066" s="387" t="s">
        <v>817</v>
      </c>
      <c r="L1066" s="387" t="s">
        <v>562</v>
      </c>
      <c r="M1066" s="387" t="s">
        <v>563</v>
      </c>
      <c r="N1066" s="388">
        <v>204.84</v>
      </c>
      <c r="O1066" s="388">
        <v>14</v>
      </c>
      <c r="P1066" s="387" t="s">
        <v>538</v>
      </c>
      <c r="Q1066" s="387" t="s">
        <v>539</v>
      </c>
      <c r="R1066" s="387" t="s">
        <v>807</v>
      </c>
      <c r="S1066" s="387" t="s">
        <v>541</v>
      </c>
      <c r="T1066" s="387" t="s">
        <v>542</v>
      </c>
      <c r="U1066" s="388">
        <v>3079277</v>
      </c>
      <c r="V1066" s="387">
        <v>6009880897827</v>
      </c>
      <c r="W1066" s="387">
        <v>6009880897827</v>
      </c>
      <c r="X1066" s="387" t="s">
        <v>543</v>
      </c>
      <c r="Y1066" s="387" t="s">
        <v>543</v>
      </c>
      <c r="Z1066" s="387" t="s">
        <v>543</v>
      </c>
      <c r="AA1066" s="388" t="s">
        <v>543</v>
      </c>
      <c r="AB1066" s="388" t="s">
        <v>543</v>
      </c>
      <c r="AC1066" s="387" t="s">
        <v>543</v>
      </c>
      <c r="AD1066" s="389">
        <v>50</v>
      </c>
      <c r="AE1066" s="390">
        <v>44743</v>
      </c>
      <c r="AF1066" s="390">
        <v>45838</v>
      </c>
      <c r="AG1066" s="390">
        <v>45838</v>
      </c>
      <c r="AH1066" s="391" t="s">
        <v>818</v>
      </c>
      <c r="AI1066" s="391" t="s">
        <v>565</v>
      </c>
      <c r="AJ1066" s="391">
        <v>23</v>
      </c>
      <c r="AK1066" s="390">
        <v>45047</v>
      </c>
      <c r="AL1066" s="389">
        <v>32.159999999999997</v>
      </c>
      <c r="AM1066" s="391" t="s">
        <v>548</v>
      </c>
      <c r="AN1066" s="391" t="s">
        <v>549</v>
      </c>
      <c r="AO1066" s="391" t="s">
        <v>809</v>
      </c>
    </row>
    <row r="1067" spans="1:42" ht="16" thickBot="1">
      <c r="A1067" s="387" t="s">
        <v>529</v>
      </c>
      <c r="B1067" s="387" t="s">
        <v>537</v>
      </c>
      <c r="C1067" s="387" t="s">
        <v>1020</v>
      </c>
      <c r="D1067" s="387" t="s">
        <v>816</v>
      </c>
      <c r="E1067" s="387">
        <v>84</v>
      </c>
      <c r="F1067" s="387" t="s">
        <v>559</v>
      </c>
      <c r="G1067" s="387">
        <v>84</v>
      </c>
      <c r="H1067" s="387" t="s">
        <v>559</v>
      </c>
      <c r="I1067" s="387" t="s">
        <v>560</v>
      </c>
      <c r="J1067" s="387" t="s">
        <v>805</v>
      </c>
      <c r="K1067" s="387" t="s">
        <v>813</v>
      </c>
      <c r="L1067" s="387" t="s">
        <v>576</v>
      </c>
      <c r="M1067" s="387" t="s">
        <v>577</v>
      </c>
      <c r="N1067" s="388">
        <v>230.41</v>
      </c>
      <c r="O1067" s="388">
        <v>14</v>
      </c>
      <c r="P1067" s="387" t="s">
        <v>538</v>
      </c>
      <c r="Q1067" s="387" t="s">
        <v>539</v>
      </c>
      <c r="R1067" s="387" t="s">
        <v>807</v>
      </c>
      <c r="S1067" s="387" t="s">
        <v>541</v>
      </c>
      <c r="T1067" s="387" t="s">
        <v>542</v>
      </c>
      <c r="U1067" s="388">
        <v>3079103</v>
      </c>
      <c r="V1067" s="387" t="s">
        <v>543</v>
      </c>
      <c r="W1067" s="387" t="s">
        <v>543</v>
      </c>
      <c r="X1067" s="387" t="s">
        <v>543</v>
      </c>
      <c r="Y1067" s="387">
        <v>16009688291244</v>
      </c>
      <c r="Z1067" s="387" t="s">
        <v>543</v>
      </c>
      <c r="AA1067" s="388" t="s">
        <v>543</v>
      </c>
      <c r="AB1067" s="388" t="s">
        <v>543</v>
      </c>
      <c r="AC1067" s="387" t="s">
        <v>543</v>
      </c>
      <c r="AD1067" s="389">
        <v>72</v>
      </c>
      <c r="AE1067" s="390">
        <v>44743</v>
      </c>
      <c r="AF1067" s="390">
        <v>45838</v>
      </c>
      <c r="AG1067" s="390">
        <v>45838</v>
      </c>
      <c r="AH1067" s="391" t="s">
        <v>818</v>
      </c>
      <c r="AI1067" s="391" t="s">
        <v>580</v>
      </c>
      <c r="AJ1067" s="391">
        <v>20</v>
      </c>
      <c r="AK1067" s="390">
        <v>45047</v>
      </c>
      <c r="AL1067" s="389">
        <v>32.159999999999997</v>
      </c>
      <c r="AM1067" s="391" t="s">
        <v>548</v>
      </c>
      <c r="AN1067" s="391" t="s">
        <v>549</v>
      </c>
      <c r="AO1067" s="391" t="s">
        <v>809</v>
      </c>
    </row>
    <row r="1068" spans="1:42" ht="16" thickBot="1">
      <c r="A1068" s="387" t="s">
        <v>529</v>
      </c>
      <c r="B1068" s="387" t="s">
        <v>537</v>
      </c>
      <c r="C1068" s="387" t="s">
        <v>1020</v>
      </c>
      <c r="D1068" s="387" t="s">
        <v>816</v>
      </c>
      <c r="E1068" s="387">
        <v>84</v>
      </c>
      <c r="F1068" s="387" t="s">
        <v>559</v>
      </c>
      <c r="G1068" s="387">
        <v>84</v>
      </c>
      <c r="H1068" s="387" t="s">
        <v>559</v>
      </c>
      <c r="I1068" s="387" t="s">
        <v>560</v>
      </c>
      <c r="J1068" s="387" t="s">
        <v>805</v>
      </c>
      <c r="K1068" s="387" t="s">
        <v>819</v>
      </c>
      <c r="L1068" s="387" t="s">
        <v>552</v>
      </c>
      <c r="M1068" s="387" t="s">
        <v>553</v>
      </c>
      <c r="N1068" s="388">
        <v>201.46</v>
      </c>
      <c r="O1068" s="388">
        <v>14</v>
      </c>
      <c r="P1068" s="387" t="s">
        <v>538</v>
      </c>
      <c r="Q1068" s="387" t="s">
        <v>539</v>
      </c>
      <c r="R1068" s="387" t="s">
        <v>807</v>
      </c>
      <c r="S1068" s="387" t="s">
        <v>541</v>
      </c>
      <c r="T1068" s="387" t="s">
        <v>542</v>
      </c>
      <c r="U1068" s="388">
        <v>3415065</v>
      </c>
      <c r="V1068" s="387">
        <v>8903726256251</v>
      </c>
      <c r="W1068" s="387">
        <v>8903726256251</v>
      </c>
      <c r="X1068" s="387" t="s">
        <v>543</v>
      </c>
      <c r="Y1068" s="387">
        <v>58903726266231</v>
      </c>
      <c r="Z1068" s="387" t="s">
        <v>543</v>
      </c>
      <c r="AA1068" s="388" t="s">
        <v>543</v>
      </c>
      <c r="AB1068" s="388" t="s">
        <v>543</v>
      </c>
      <c r="AC1068" s="387" t="s">
        <v>543</v>
      </c>
      <c r="AD1068" s="389">
        <v>20</v>
      </c>
      <c r="AE1068" s="390">
        <v>44743</v>
      </c>
      <c r="AF1068" s="390">
        <v>45838</v>
      </c>
      <c r="AG1068" s="390">
        <v>45838</v>
      </c>
      <c r="AH1068" s="391" t="s">
        <v>818</v>
      </c>
      <c r="AI1068" s="391" t="s">
        <v>555</v>
      </c>
      <c r="AJ1068" s="391">
        <v>19</v>
      </c>
      <c r="AK1068" s="390">
        <v>45047</v>
      </c>
      <c r="AL1068" s="389">
        <v>35.67</v>
      </c>
      <c r="AM1068" s="391" t="s">
        <v>548</v>
      </c>
      <c r="AN1068" s="391" t="s">
        <v>549</v>
      </c>
      <c r="AO1068" s="391" t="s">
        <v>809</v>
      </c>
    </row>
    <row r="1069" spans="1:42" ht="16" thickBot="1">
      <c r="A1069" s="387" t="s">
        <v>529</v>
      </c>
      <c r="B1069" s="387" t="s">
        <v>1024</v>
      </c>
      <c r="C1069" s="387" t="s">
        <v>824</v>
      </c>
      <c r="D1069" s="387" t="s">
        <v>820</v>
      </c>
      <c r="E1069" s="387">
        <v>28</v>
      </c>
      <c r="F1069" s="387" t="s">
        <v>559</v>
      </c>
      <c r="G1069" s="387">
        <v>28</v>
      </c>
      <c r="H1069" s="387" t="s">
        <v>559</v>
      </c>
      <c r="I1069" s="387" t="s">
        <v>560</v>
      </c>
      <c r="J1069" s="387" t="s">
        <v>821</v>
      </c>
      <c r="K1069" s="387" t="s">
        <v>822</v>
      </c>
      <c r="L1069" s="387" t="s">
        <v>654</v>
      </c>
      <c r="M1069" s="387" t="s">
        <v>655</v>
      </c>
      <c r="N1069" s="388">
        <v>39.79</v>
      </c>
      <c r="O1069" s="388">
        <v>14</v>
      </c>
      <c r="P1069" s="387" t="s">
        <v>538</v>
      </c>
      <c r="Q1069" s="387" t="s">
        <v>539</v>
      </c>
      <c r="R1069" s="387" t="s">
        <v>823</v>
      </c>
      <c r="S1069" s="387" t="s">
        <v>541</v>
      </c>
      <c r="T1069" s="387" t="s">
        <v>542</v>
      </c>
      <c r="U1069" s="388">
        <v>366698</v>
      </c>
      <c r="V1069" s="387">
        <v>6004405009358</v>
      </c>
      <c r="W1069" s="387">
        <v>6004405009358</v>
      </c>
      <c r="X1069" s="387" t="s">
        <v>543</v>
      </c>
      <c r="Y1069" s="387">
        <v>16004405009355</v>
      </c>
      <c r="Z1069" s="387" t="s">
        <v>543</v>
      </c>
      <c r="AA1069" s="388" t="s">
        <v>543</v>
      </c>
      <c r="AB1069" s="388" t="s">
        <v>543</v>
      </c>
      <c r="AC1069" s="387">
        <v>181896242</v>
      </c>
      <c r="AD1069" s="389" t="s">
        <v>825</v>
      </c>
      <c r="AE1069" s="390">
        <v>44743</v>
      </c>
      <c r="AF1069" s="390">
        <v>45838</v>
      </c>
      <c r="AG1069" s="390">
        <v>45838</v>
      </c>
      <c r="AH1069" s="391" t="s">
        <v>826</v>
      </c>
      <c r="AI1069" s="391" t="s">
        <v>658</v>
      </c>
      <c r="AJ1069" s="391">
        <v>16</v>
      </c>
      <c r="AK1069" s="390">
        <v>45047</v>
      </c>
      <c r="AL1069" s="389">
        <v>100</v>
      </c>
      <c r="AM1069" s="391" t="s">
        <v>548</v>
      </c>
      <c r="AN1069" s="391" t="s">
        <v>549</v>
      </c>
      <c r="AO1069" s="391" t="s">
        <v>827</v>
      </c>
    </row>
    <row r="1070" spans="1:42" ht="16" thickBot="1">
      <c r="A1070" s="387" t="s">
        <v>2166</v>
      </c>
      <c r="B1070" s="387" t="s">
        <v>3517</v>
      </c>
      <c r="C1070" s="387" t="s">
        <v>7501</v>
      </c>
      <c r="D1070" s="387" t="s">
        <v>7502</v>
      </c>
      <c r="E1070" s="387">
        <v>28</v>
      </c>
      <c r="F1070" s="387" t="s">
        <v>559</v>
      </c>
      <c r="G1070" s="387">
        <v>28</v>
      </c>
      <c r="H1070" s="387" t="s">
        <v>559</v>
      </c>
      <c r="I1070" s="387" t="s">
        <v>560</v>
      </c>
      <c r="J1070" s="387" t="s">
        <v>7503</v>
      </c>
      <c r="K1070" s="387" t="s">
        <v>7504</v>
      </c>
      <c r="L1070" s="387" t="s">
        <v>1819</v>
      </c>
      <c r="M1070" s="387" t="s">
        <v>1820</v>
      </c>
      <c r="N1070" s="388">
        <v>4400</v>
      </c>
      <c r="O1070" s="388">
        <v>14</v>
      </c>
      <c r="P1070" s="387" t="s">
        <v>538</v>
      </c>
      <c r="Q1070" s="387" t="s">
        <v>160</v>
      </c>
      <c r="R1070" s="387" t="s">
        <v>7505</v>
      </c>
      <c r="S1070" s="387" t="s">
        <v>160</v>
      </c>
      <c r="T1070" s="387" t="s">
        <v>160</v>
      </c>
      <c r="U1070" s="388">
        <v>3272</v>
      </c>
      <c r="V1070" s="387">
        <v>6009609473172</v>
      </c>
      <c r="W1070" s="387" t="s">
        <v>543</v>
      </c>
      <c r="X1070" s="387" t="s">
        <v>543</v>
      </c>
      <c r="Y1070" s="387" t="s">
        <v>543</v>
      </c>
      <c r="Z1070" s="387" t="s">
        <v>543</v>
      </c>
      <c r="AA1070" s="388" t="s">
        <v>543</v>
      </c>
      <c r="AB1070" s="388" t="s">
        <v>543</v>
      </c>
      <c r="AC1070" s="387">
        <v>721520001</v>
      </c>
      <c r="AD1070" s="389">
        <v>1</v>
      </c>
      <c r="AE1070" s="390">
        <v>44743</v>
      </c>
      <c r="AF1070" s="390">
        <v>45473</v>
      </c>
      <c r="AG1070" s="390">
        <v>45473</v>
      </c>
      <c r="AH1070" s="391" t="s">
        <v>7506</v>
      </c>
      <c r="AI1070" s="391" t="s">
        <v>1823</v>
      </c>
      <c r="AJ1070" s="391">
        <v>1</v>
      </c>
      <c r="AK1070" s="390">
        <v>44743</v>
      </c>
      <c r="AL1070" s="389">
        <v>100</v>
      </c>
      <c r="AM1070" s="391" t="s">
        <v>548</v>
      </c>
      <c r="AN1070" s="391" t="s">
        <v>549</v>
      </c>
      <c r="AO1070" s="391" t="s">
        <v>7507</v>
      </c>
    </row>
    <row r="1071" spans="1:42" ht="16" thickBot="1">
      <c r="A1071" s="387" t="s">
        <v>1703</v>
      </c>
      <c r="B1071" s="387" t="s">
        <v>975</v>
      </c>
      <c r="C1071" s="387" t="s">
        <v>7508</v>
      </c>
      <c r="D1071" s="387" t="s">
        <v>7509</v>
      </c>
      <c r="E1071" s="387">
        <v>100</v>
      </c>
      <c r="F1071" s="387" t="s">
        <v>584</v>
      </c>
      <c r="G1071" s="387">
        <v>100</v>
      </c>
      <c r="H1071" s="387" t="s">
        <v>584</v>
      </c>
      <c r="I1071" s="387" t="s">
        <v>585</v>
      </c>
      <c r="J1071" s="387" t="s">
        <v>7510</v>
      </c>
      <c r="K1071" s="387" t="s">
        <v>7511</v>
      </c>
      <c r="L1071" s="387" t="s">
        <v>2200</v>
      </c>
      <c r="M1071" s="387" t="s">
        <v>2201</v>
      </c>
      <c r="N1071" s="388">
        <v>816.16</v>
      </c>
      <c r="O1071" s="388">
        <v>14</v>
      </c>
      <c r="P1071" s="387" t="s">
        <v>538</v>
      </c>
      <c r="Q1071" s="387" t="s">
        <v>539</v>
      </c>
      <c r="R1071" s="387" t="s">
        <v>7512</v>
      </c>
      <c r="S1071" s="387" t="s">
        <v>541</v>
      </c>
      <c r="T1071" s="387" t="s">
        <v>757</v>
      </c>
      <c r="U1071" s="388">
        <v>48772</v>
      </c>
      <c r="V1071" s="387">
        <v>8901463123416</v>
      </c>
      <c r="W1071" s="387">
        <v>8901463123416</v>
      </c>
      <c r="X1071" s="387" t="s">
        <v>543</v>
      </c>
      <c r="Y1071" s="387">
        <v>58901463123497</v>
      </c>
      <c r="Z1071" s="387" t="s">
        <v>543</v>
      </c>
      <c r="AA1071" s="388" t="s">
        <v>543</v>
      </c>
      <c r="AB1071" s="388" t="s">
        <v>543</v>
      </c>
      <c r="AC1071" s="387" t="s">
        <v>543</v>
      </c>
      <c r="AD1071" s="389">
        <v>16</v>
      </c>
      <c r="AE1071" s="390">
        <v>44470</v>
      </c>
      <c r="AF1071" s="390">
        <v>45199</v>
      </c>
      <c r="AG1071" s="390">
        <v>45199</v>
      </c>
      <c r="AH1071" s="391" t="s">
        <v>7513</v>
      </c>
      <c r="AI1071" s="391" t="s">
        <v>2203</v>
      </c>
      <c r="AJ1071" s="391">
        <v>3</v>
      </c>
      <c r="AK1071" s="390">
        <v>45047</v>
      </c>
      <c r="AL1071" s="389">
        <v>100</v>
      </c>
      <c r="AM1071" s="391" t="s">
        <v>548</v>
      </c>
      <c r="AN1071" s="391" t="s">
        <v>549</v>
      </c>
      <c r="AO1071" s="391" t="s">
        <v>7514</v>
      </c>
    </row>
    <row r="1072" spans="1:42" ht="16" thickBot="1">
      <c r="A1072" s="387" t="s">
        <v>2387</v>
      </c>
      <c r="B1072" s="387" t="s">
        <v>603</v>
      </c>
      <c r="C1072" s="387" t="s">
        <v>7515</v>
      </c>
      <c r="D1072" s="387" t="s">
        <v>7516</v>
      </c>
      <c r="E1072" s="387">
        <v>50</v>
      </c>
      <c r="F1072" s="387" t="s">
        <v>7517</v>
      </c>
      <c r="G1072" s="387">
        <v>50</v>
      </c>
      <c r="H1072" s="387" t="s">
        <v>7517</v>
      </c>
      <c r="I1072" s="387" t="s">
        <v>7518</v>
      </c>
      <c r="J1072" s="387" t="s">
        <v>7519</v>
      </c>
      <c r="K1072" s="387" t="s">
        <v>4464</v>
      </c>
      <c r="L1072" s="387" t="s">
        <v>4465</v>
      </c>
      <c r="M1072" s="387" t="s">
        <v>4466</v>
      </c>
      <c r="N1072" s="388">
        <v>50.41</v>
      </c>
      <c r="O1072" s="388">
        <v>14</v>
      </c>
      <c r="P1072" s="387" t="s">
        <v>3824</v>
      </c>
      <c r="Q1072" s="387" t="s">
        <v>160</v>
      </c>
      <c r="R1072" s="387" t="s">
        <v>7520</v>
      </c>
      <c r="S1072" s="387" t="s">
        <v>160</v>
      </c>
      <c r="T1072" s="387" t="s">
        <v>160</v>
      </c>
      <c r="U1072" s="388">
        <v>5731410</v>
      </c>
      <c r="V1072" s="387">
        <v>858745005015</v>
      </c>
      <c r="W1072" s="387">
        <v>858745005015</v>
      </c>
      <c r="X1072" s="387" t="s">
        <v>543</v>
      </c>
      <c r="Y1072" s="387" t="s">
        <v>543</v>
      </c>
      <c r="Z1072" s="387" t="s">
        <v>543</v>
      </c>
      <c r="AA1072" s="388" t="s">
        <v>543</v>
      </c>
      <c r="AB1072" s="388" t="s">
        <v>543</v>
      </c>
      <c r="AC1072" s="387" t="s">
        <v>543</v>
      </c>
      <c r="AD1072" s="389">
        <v>100</v>
      </c>
      <c r="AE1072" s="390">
        <v>44378</v>
      </c>
      <c r="AF1072" s="390">
        <v>45473</v>
      </c>
      <c r="AG1072" s="390">
        <v>45473</v>
      </c>
      <c r="AH1072" s="391" t="s">
        <v>7521</v>
      </c>
      <c r="AI1072" s="391" t="s">
        <v>4468</v>
      </c>
      <c r="AJ1072" s="391">
        <v>1</v>
      </c>
      <c r="AK1072" s="390">
        <v>44958</v>
      </c>
      <c r="AL1072" s="389">
        <v>100</v>
      </c>
      <c r="AM1072" s="391" t="s">
        <v>548</v>
      </c>
      <c r="AN1072" s="391" t="s">
        <v>549</v>
      </c>
      <c r="AO1072" s="391" t="s">
        <v>7522</v>
      </c>
    </row>
    <row r="1073" spans="1:41" ht="16" thickBot="1">
      <c r="A1073" s="387" t="s">
        <v>2375</v>
      </c>
      <c r="B1073" s="387" t="s">
        <v>993</v>
      </c>
      <c r="C1073" s="387" t="s">
        <v>7523</v>
      </c>
      <c r="D1073" s="387" t="s">
        <v>7524</v>
      </c>
      <c r="E1073" s="387">
        <v>25</v>
      </c>
      <c r="F1073" s="387" t="s">
        <v>7517</v>
      </c>
      <c r="G1073" s="387">
        <v>25</v>
      </c>
      <c r="H1073" s="387" t="s">
        <v>7517</v>
      </c>
      <c r="I1073" s="387" t="s">
        <v>7525</v>
      </c>
      <c r="J1073" s="387" t="s">
        <v>7526</v>
      </c>
      <c r="K1073" s="387" t="s">
        <v>7527</v>
      </c>
      <c r="L1073" s="387" t="s">
        <v>7528</v>
      </c>
      <c r="M1073" s="387" t="s">
        <v>7529</v>
      </c>
      <c r="N1073" s="388">
        <v>79.81</v>
      </c>
      <c r="O1073" s="388">
        <v>14</v>
      </c>
      <c r="P1073" s="387" t="s">
        <v>3824</v>
      </c>
      <c r="Q1073" s="387" t="s">
        <v>160</v>
      </c>
      <c r="R1073" s="387" t="s">
        <v>7530</v>
      </c>
      <c r="S1073" s="387" t="s">
        <v>160</v>
      </c>
      <c r="T1073" s="387" t="s">
        <v>160</v>
      </c>
      <c r="U1073" s="388">
        <v>59720</v>
      </c>
      <c r="V1073" s="387" t="s">
        <v>543</v>
      </c>
      <c r="W1073" s="387" t="s">
        <v>543</v>
      </c>
      <c r="X1073" s="387" t="s">
        <v>543</v>
      </c>
      <c r="Y1073" s="387" t="s">
        <v>543</v>
      </c>
      <c r="Z1073" s="387" t="s">
        <v>543</v>
      </c>
      <c r="AA1073" s="388" t="s">
        <v>543</v>
      </c>
      <c r="AB1073" s="388" t="s">
        <v>543</v>
      </c>
      <c r="AC1073" s="387" t="s">
        <v>543</v>
      </c>
      <c r="AD1073" s="389" t="s">
        <v>7531</v>
      </c>
      <c r="AE1073" s="390">
        <v>44620</v>
      </c>
      <c r="AF1073" s="390">
        <v>45473</v>
      </c>
      <c r="AG1073" s="390">
        <v>45473</v>
      </c>
      <c r="AH1073" s="391" t="s">
        <v>545</v>
      </c>
      <c r="AI1073" s="391" t="s">
        <v>7532</v>
      </c>
      <c r="AJ1073" s="391">
        <v>1</v>
      </c>
      <c r="AK1073" s="390">
        <v>44958</v>
      </c>
      <c r="AL1073" s="389">
        <v>100</v>
      </c>
      <c r="AM1073" s="391" t="s">
        <v>548</v>
      </c>
      <c r="AN1073" s="391" t="s">
        <v>549</v>
      </c>
      <c r="AO1073" s="391" t="s">
        <v>7533</v>
      </c>
    </row>
    <row r="1074" spans="1:41" ht="16" thickBot="1">
      <c r="A1074" s="387" t="s">
        <v>2387</v>
      </c>
      <c r="B1074" s="387" t="s">
        <v>985</v>
      </c>
      <c r="C1074" s="387" t="s">
        <v>7534</v>
      </c>
      <c r="D1074" s="387" t="s">
        <v>7535</v>
      </c>
      <c r="E1074" s="387">
        <v>100</v>
      </c>
      <c r="F1074" s="387" t="s">
        <v>7517</v>
      </c>
      <c r="G1074" s="387">
        <v>100</v>
      </c>
      <c r="H1074" s="387" t="s">
        <v>7517</v>
      </c>
      <c r="I1074" s="387" t="s">
        <v>7525</v>
      </c>
      <c r="J1074" s="387" t="s">
        <v>7536</v>
      </c>
      <c r="K1074" s="387" t="s">
        <v>7537</v>
      </c>
      <c r="L1074" s="387" t="s">
        <v>2062</v>
      </c>
      <c r="M1074" s="387" t="s">
        <v>2063</v>
      </c>
      <c r="N1074" s="388">
        <v>46.46</v>
      </c>
      <c r="O1074" s="388">
        <v>14</v>
      </c>
      <c r="P1074" s="387" t="s">
        <v>379</v>
      </c>
      <c r="Q1074" s="387" t="s">
        <v>160</v>
      </c>
      <c r="R1074" s="387" t="s">
        <v>7538</v>
      </c>
      <c r="S1074" s="387" t="s">
        <v>160</v>
      </c>
      <c r="T1074" s="387" t="s">
        <v>160</v>
      </c>
      <c r="U1074" s="388">
        <v>655530</v>
      </c>
      <c r="V1074" s="387">
        <v>6009881036638</v>
      </c>
      <c r="W1074" s="387">
        <v>6009881036638</v>
      </c>
      <c r="X1074" s="387" t="s">
        <v>543</v>
      </c>
      <c r="Y1074" s="387">
        <v>1600988103663</v>
      </c>
      <c r="Z1074" s="387" t="s">
        <v>543</v>
      </c>
      <c r="AA1074" s="388" t="s">
        <v>543</v>
      </c>
      <c r="AB1074" s="388" t="s">
        <v>543</v>
      </c>
      <c r="AC1074" s="387" t="s">
        <v>543</v>
      </c>
      <c r="AD1074" s="389">
        <v>48</v>
      </c>
      <c r="AE1074" s="390">
        <v>44378</v>
      </c>
      <c r="AF1074" s="390">
        <v>45473</v>
      </c>
      <c r="AG1074" s="390">
        <v>45473</v>
      </c>
      <c r="AH1074" s="391" t="s">
        <v>7539</v>
      </c>
      <c r="AI1074" s="391" t="s">
        <v>2064</v>
      </c>
      <c r="AJ1074" s="391">
        <v>2</v>
      </c>
      <c r="AK1074" s="390">
        <v>44958</v>
      </c>
      <c r="AL1074" s="389">
        <v>100</v>
      </c>
      <c r="AM1074" s="391" t="s">
        <v>548</v>
      </c>
      <c r="AN1074" s="391" t="s">
        <v>549</v>
      </c>
      <c r="AO1074" s="391" t="s">
        <v>7540</v>
      </c>
    </row>
    <row r="1075" spans="1:41" ht="16" thickBot="1">
      <c r="A1075" s="387" t="s">
        <v>2177</v>
      </c>
      <c r="B1075" s="387" t="s">
        <v>5744</v>
      </c>
      <c r="C1075" s="387" t="s">
        <v>7541</v>
      </c>
      <c r="D1075" s="387" t="s">
        <v>7542</v>
      </c>
      <c r="E1075" s="387">
        <v>10</v>
      </c>
      <c r="F1075" s="387" t="s">
        <v>2180</v>
      </c>
      <c r="G1075" s="387">
        <v>10</v>
      </c>
      <c r="H1075" s="387" t="s">
        <v>2180</v>
      </c>
      <c r="I1075" s="387" t="s">
        <v>2720</v>
      </c>
      <c r="J1075" s="387" t="s">
        <v>7543</v>
      </c>
      <c r="K1075" s="387" t="s">
        <v>7544</v>
      </c>
      <c r="L1075" s="387" t="s">
        <v>654</v>
      </c>
      <c r="M1075" s="387" t="s">
        <v>655</v>
      </c>
      <c r="N1075" s="388">
        <v>17.43</v>
      </c>
      <c r="O1075" s="388">
        <v>14</v>
      </c>
      <c r="P1075" s="387" t="s">
        <v>611</v>
      </c>
      <c r="Q1075" s="387" t="s">
        <v>612</v>
      </c>
      <c r="R1075" s="387" t="s">
        <v>7545</v>
      </c>
      <c r="S1075" s="387" t="s">
        <v>614</v>
      </c>
      <c r="T1075" s="387" t="s">
        <v>160</v>
      </c>
      <c r="U1075" s="388">
        <v>498320</v>
      </c>
      <c r="V1075" s="387">
        <v>6006408000219</v>
      </c>
      <c r="W1075" s="387" t="s">
        <v>543</v>
      </c>
      <c r="X1075" s="387" t="s">
        <v>543</v>
      </c>
      <c r="Y1075" s="387">
        <v>16006408000216</v>
      </c>
      <c r="Z1075" s="387" t="s">
        <v>543</v>
      </c>
      <c r="AA1075" s="388" t="s">
        <v>543</v>
      </c>
      <c r="AB1075" s="388" t="s">
        <v>543</v>
      </c>
      <c r="AC1075" s="387" t="s">
        <v>543</v>
      </c>
      <c r="AD1075" s="389">
        <v>936</v>
      </c>
      <c r="AE1075" s="390">
        <v>44013</v>
      </c>
      <c r="AF1075" s="390">
        <v>45107</v>
      </c>
      <c r="AG1075" s="390">
        <v>45107</v>
      </c>
      <c r="AH1075" s="391" t="s">
        <v>7546</v>
      </c>
      <c r="AI1075" s="391" t="s">
        <v>658</v>
      </c>
      <c r="AJ1075" s="391">
        <v>33</v>
      </c>
      <c r="AK1075" s="390">
        <v>44409</v>
      </c>
      <c r="AL1075" s="389">
        <v>100</v>
      </c>
      <c r="AM1075" s="391" t="s">
        <v>548</v>
      </c>
      <c r="AN1075" s="391" t="s">
        <v>545</v>
      </c>
      <c r="AO1075" s="391" t="s">
        <v>7547</v>
      </c>
    </row>
    <row r="1076" spans="1:41" ht="16" thickBot="1">
      <c r="A1076" s="387" t="s">
        <v>2166</v>
      </c>
      <c r="B1076" s="387" t="s">
        <v>3529</v>
      </c>
      <c r="C1076" s="387" t="s">
        <v>7548</v>
      </c>
      <c r="D1076" s="387" t="s">
        <v>7549</v>
      </c>
      <c r="E1076" s="387">
        <v>28</v>
      </c>
      <c r="F1076" s="387" t="s">
        <v>584</v>
      </c>
      <c r="G1076" s="387">
        <v>50</v>
      </c>
      <c r="H1076" s="387" t="s">
        <v>584</v>
      </c>
      <c r="I1076" s="387" t="s">
        <v>585</v>
      </c>
      <c r="J1076" s="387" t="s">
        <v>7550</v>
      </c>
      <c r="K1076" s="387" t="s">
        <v>7551</v>
      </c>
      <c r="L1076" s="387" t="s">
        <v>3460</v>
      </c>
      <c r="M1076" s="387" t="s">
        <v>3461</v>
      </c>
      <c r="N1076" s="388">
        <v>1484.08</v>
      </c>
      <c r="O1076" s="388">
        <v>2</v>
      </c>
      <c r="P1076" s="387" t="s">
        <v>538</v>
      </c>
      <c r="Q1076" s="387" t="s">
        <v>539</v>
      </c>
      <c r="R1076" s="387" t="s">
        <v>7552</v>
      </c>
      <c r="S1076" s="387" t="s">
        <v>171</v>
      </c>
      <c r="T1076" s="387" t="s">
        <v>1908</v>
      </c>
      <c r="U1076" s="388">
        <v>9084</v>
      </c>
      <c r="V1076" s="387">
        <v>5065000520090</v>
      </c>
      <c r="W1076" s="387" t="s">
        <v>543</v>
      </c>
      <c r="X1076" s="387" t="s">
        <v>543</v>
      </c>
      <c r="Y1076" s="387" t="s">
        <v>543</v>
      </c>
      <c r="Z1076" s="387" t="s">
        <v>543</v>
      </c>
      <c r="AA1076" s="388" t="s">
        <v>543</v>
      </c>
      <c r="AB1076" s="388" t="s">
        <v>543</v>
      </c>
      <c r="AC1076" s="387">
        <v>709228001</v>
      </c>
      <c r="AD1076" s="389">
        <v>2</v>
      </c>
      <c r="AE1076" s="390">
        <v>44743</v>
      </c>
      <c r="AF1076" s="390">
        <v>45473</v>
      </c>
      <c r="AG1076" s="391" t="s">
        <v>545</v>
      </c>
      <c r="AH1076" s="391" t="s">
        <v>7553</v>
      </c>
      <c r="AI1076" s="391" t="s">
        <v>3465</v>
      </c>
      <c r="AJ1076" s="391">
        <v>0</v>
      </c>
      <c r="AK1076" s="390">
        <v>44743</v>
      </c>
      <c r="AL1076" s="389">
        <v>100</v>
      </c>
      <c r="AM1076" s="391" t="s">
        <v>548</v>
      </c>
      <c r="AN1076" s="391" t="s">
        <v>549</v>
      </c>
      <c r="AO1076" s="391" t="s">
        <v>7554</v>
      </c>
    </row>
    <row r="1077" spans="1:41" ht="16" thickBot="1">
      <c r="A1077" s="387" t="s">
        <v>1717</v>
      </c>
      <c r="B1077" s="387" t="s">
        <v>7555</v>
      </c>
      <c r="C1077" s="387" t="s">
        <v>7556</v>
      </c>
      <c r="D1077" s="387" t="s">
        <v>7557</v>
      </c>
      <c r="E1077" s="387">
        <v>60</v>
      </c>
      <c r="F1077" s="387" t="s">
        <v>559</v>
      </c>
      <c r="G1077" s="387">
        <v>60</v>
      </c>
      <c r="H1077" s="387" t="s">
        <v>559</v>
      </c>
      <c r="I1077" s="387" t="s">
        <v>5717</v>
      </c>
      <c r="J1077" s="387" t="s">
        <v>7558</v>
      </c>
      <c r="K1077" s="387" t="s">
        <v>7559</v>
      </c>
      <c r="L1077" s="387" t="s">
        <v>2021</v>
      </c>
      <c r="M1077" s="387" t="s">
        <v>2022</v>
      </c>
      <c r="N1077" s="388">
        <v>28.46</v>
      </c>
      <c r="O1077" s="388">
        <v>14</v>
      </c>
      <c r="P1077" s="387" t="s">
        <v>538</v>
      </c>
      <c r="Q1077" s="387" t="s">
        <v>539</v>
      </c>
      <c r="R1077" s="387" t="s">
        <v>7560</v>
      </c>
      <c r="S1077" s="387" t="s">
        <v>171</v>
      </c>
      <c r="T1077" s="387" t="s">
        <v>757</v>
      </c>
      <c r="U1077" s="388">
        <v>2487612</v>
      </c>
      <c r="V1077" s="387" t="s">
        <v>543</v>
      </c>
      <c r="W1077" s="387" t="s">
        <v>543</v>
      </c>
      <c r="X1077" s="387" t="s">
        <v>543</v>
      </c>
      <c r="Y1077" s="387" t="s">
        <v>543</v>
      </c>
      <c r="Z1077" s="387" t="s">
        <v>543</v>
      </c>
      <c r="AA1077" s="388" t="s">
        <v>543</v>
      </c>
      <c r="AB1077" s="388" t="s">
        <v>543</v>
      </c>
      <c r="AC1077" s="387" t="s">
        <v>543</v>
      </c>
      <c r="AD1077" s="389">
        <v>140</v>
      </c>
      <c r="AE1077" s="390">
        <v>45047</v>
      </c>
      <c r="AF1077" s="390">
        <v>46142</v>
      </c>
      <c r="AG1077" s="391" t="s">
        <v>545</v>
      </c>
      <c r="AH1077" s="391" t="s">
        <v>7561</v>
      </c>
      <c r="AI1077" s="391" t="s">
        <v>2024</v>
      </c>
      <c r="AJ1077" s="391">
        <v>0</v>
      </c>
      <c r="AK1077" s="390">
        <v>45047</v>
      </c>
      <c r="AL1077" s="389">
        <v>100</v>
      </c>
      <c r="AM1077" s="391" t="s">
        <v>548</v>
      </c>
      <c r="AN1077" s="391" t="s">
        <v>549</v>
      </c>
      <c r="AO1077" s="391" t="s">
        <v>7562</v>
      </c>
    </row>
    <row r="1078" spans="1:41" ht="16" thickBot="1">
      <c r="A1078" s="387" t="s">
        <v>2412</v>
      </c>
      <c r="B1078" s="387" t="s">
        <v>581</v>
      </c>
      <c r="C1078" s="387" t="s">
        <v>7563</v>
      </c>
      <c r="D1078" s="387" t="s">
        <v>7564</v>
      </c>
      <c r="E1078" s="387">
        <v>3</v>
      </c>
      <c r="F1078" s="387" t="s">
        <v>531</v>
      </c>
      <c r="G1078" s="387">
        <v>60</v>
      </c>
      <c r="H1078" s="387" t="s">
        <v>2297</v>
      </c>
      <c r="I1078" s="387" t="s">
        <v>2298</v>
      </c>
      <c r="J1078" s="387" t="s">
        <v>7565</v>
      </c>
      <c r="K1078" s="387" t="s">
        <v>7566</v>
      </c>
      <c r="L1078" s="387" t="s">
        <v>2549</v>
      </c>
      <c r="M1078" s="387" t="s">
        <v>2550</v>
      </c>
      <c r="N1078" s="388">
        <v>41.95</v>
      </c>
      <c r="O1078" s="388">
        <v>14</v>
      </c>
      <c r="P1078" s="387" t="s">
        <v>538</v>
      </c>
      <c r="Q1078" s="387" t="s">
        <v>539</v>
      </c>
      <c r="R1078" s="387" t="s">
        <v>7567</v>
      </c>
      <c r="S1078" s="387" t="s">
        <v>171</v>
      </c>
      <c r="T1078" s="387" t="s">
        <v>757</v>
      </c>
      <c r="U1078" s="388">
        <v>198580</v>
      </c>
      <c r="V1078" s="387">
        <v>6009701960136</v>
      </c>
      <c r="W1078" s="387" t="s">
        <v>543</v>
      </c>
      <c r="X1078" s="387" t="s">
        <v>543</v>
      </c>
      <c r="Y1078" s="387" t="s">
        <v>543</v>
      </c>
      <c r="Z1078" s="387" t="s">
        <v>543</v>
      </c>
      <c r="AA1078" s="388" t="s">
        <v>543</v>
      </c>
      <c r="AB1078" s="388" t="s">
        <v>543</v>
      </c>
      <c r="AC1078" s="387" t="s">
        <v>543</v>
      </c>
      <c r="AD1078" s="389">
        <v>12</v>
      </c>
      <c r="AE1078" s="390">
        <v>44137</v>
      </c>
      <c r="AF1078" s="390">
        <v>45107</v>
      </c>
      <c r="AG1078" s="390">
        <v>45107</v>
      </c>
      <c r="AH1078" s="391" t="s">
        <v>7568</v>
      </c>
      <c r="AI1078" s="391" t="s">
        <v>2553</v>
      </c>
      <c r="AJ1078" s="391">
        <v>0</v>
      </c>
      <c r="AK1078" s="390">
        <v>44137</v>
      </c>
      <c r="AL1078" s="389">
        <v>100</v>
      </c>
      <c r="AM1078" s="391" t="s">
        <v>548</v>
      </c>
      <c r="AN1078" s="391" t="s">
        <v>545</v>
      </c>
      <c r="AO1078" s="391" t="s">
        <v>7569</v>
      </c>
    </row>
    <row r="1079" spans="1:41" ht="16" thickBot="1">
      <c r="A1079" s="387" t="s">
        <v>2412</v>
      </c>
      <c r="B1079" s="387" t="s">
        <v>784</v>
      </c>
      <c r="C1079" s="387" t="s">
        <v>7570</v>
      </c>
      <c r="D1079" s="387" t="s">
        <v>7571</v>
      </c>
      <c r="E1079" s="387">
        <v>5</v>
      </c>
      <c r="F1079" s="387" t="s">
        <v>531</v>
      </c>
      <c r="G1079" s="387">
        <v>100</v>
      </c>
      <c r="H1079" s="387" t="s">
        <v>2297</v>
      </c>
      <c r="I1079" s="387" t="s">
        <v>2298</v>
      </c>
      <c r="J1079" s="387" t="s">
        <v>7572</v>
      </c>
      <c r="K1079" s="387" t="s">
        <v>7573</v>
      </c>
      <c r="L1079" s="387" t="s">
        <v>2549</v>
      </c>
      <c r="M1079" s="387" t="s">
        <v>2550</v>
      </c>
      <c r="N1079" s="388">
        <v>88.82</v>
      </c>
      <c r="O1079" s="388">
        <v>14</v>
      </c>
      <c r="P1079" s="387" t="s">
        <v>538</v>
      </c>
      <c r="Q1079" s="387" t="s">
        <v>539</v>
      </c>
      <c r="R1079" s="387" t="s">
        <v>7567</v>
      </c>
      <c r="S1079" s="387" t="s">
        <v>171</v>
      </c>
      <c r="T1079" s="387" t="s">
        <v>160</v>
      </c>
      <c r="U1079" s="388">
        <v>193460</v>
      </c>
      <c r="V1079" s="387">
        <v>6009701960099</v>
      </c>
      <c r="W1079" s="387" t="s">
        <v>543</v>
      </c>
      <c r="X1079" s="387" t="s">
        <v>543</v>
      </c>
      <c r="Y1079" s="387" t="s">
        <v>543</v>
      </c>
      <c r="Z1079" s="387" t="s">
        <v>543</v>
      </c>
      <c r="AA1079" s="388" t="s">
        <v>543</v>
      </c>
      <c r="AB1079" s="388" t="s">
        <v>543</v>
      </c>
      <c r="AC1079" s="387" t="s">
        <v>543</v>
      </c>
      <c r="AD1079" s="389">
        <v>12</v>
      </c>
      <c r="AE1079" s="390">
        <v>44137</v>
      </c>
      <c r="AF1079" s="390">
        <v>45107</v>
      </c>
      <c r="AG1079" s="390">
        <v>45107</v>
      </c>
      <c r="AH1079" s="391" t="s">
        <v>7574</v>
      </c>
      <c r="AI1079" s="391" t="s">
        <v>2553</v>
      </c>
      <c r="AJ1079" s="391">
        <v>0</v>
      </c>
      <c r="AK1079" s="390">
        <v>44137</v>
      </c>
      <c r="AL1079" s="389">
        <v>100</v>
      </c>
      <c r="AM1079" s="391" t="s">
        <v>548</v>
      </c>
      <c r="AN1079" s="391" t="s">
        <v>545</v>
      </c>
      <c r="AO1079" s="391" t="s">
        <v>7575</v>
      </c>
    </row>
    <row r="1080" spans="1:41" ht="16" thickBot="1">
      <c r="A1080" s="387" t="s">
        <v>2294</v>
      </c>
      <c r="B1080" s="387" t="s">
        <v>992</v>
      </c>
      <c r="C1080" s="387" t="s">
        <v>7576</v>
      </c>
      <c r="D1080" s="387" t="s">
        <v>7577</v>
      </c>
      <c r="E1080" s="387">
        <v>5</v>
      </c>
      <c r="F1080" s="387" t="s">
        <v>531</v>
      </c>
      <c r="G1080" s="387">
        <v>100</v>
      </c>
      <c r="H1080" s="387" t="s">
        <v>2297</v>
      </c>
      <c r="I1080" s="387" t="s">
        <v>2298</v>
      </c>
      <c r="J1080" s="387" t="s">
        <v>7578</v>
      </c>
      <c r="K1080" s="387" t="s">
        <v>7579</v>
      </c>
      <c r="L1080" s="387" t="s">
        <v>2522</v>
      </c>
      <c r="M1080" s="387" t="s">
        <v>2523</v>
      </c>
      <c r="N1080" s="388">
        <v>49.78</v>
      </c>
      <c r="O1080" s="388">
        <v>14</v>
      </c>
      <c r="P1080" s="387" t="s">
        <v>611</v>
      </c>
      <c r="Q1080" s="387" t="s">
        <v>3265</v>
      </c>
      <c r="R1080" s="387" t="s">
        <v>7567</v>
      </c>
      <c r="S1080" s="387" t="s">
        <v>614</v>
      </c>
      <c r="T1080" s="387" t="s">
        <v>160</v>
      </c>
      <c r="U1080" s="388">
        <v>135660</v>
      </c>
      <c r="V1080" s="387">
        <v>6009802743959</v>
      </c>
      <c r="W1080" s="387" t="s">
        <v>543</v>
      </c>
      <c r="X1080" s="387" t="s">
        <v>543</v>
      </c>
      <c r="Y1080" s="387" t="s">
        <v>543</v>
      </c>
      <c r="Z1080" s="387" t="s">
        <v>543</v>
      </c>
      <c r="AA1080" s="388" t="s">
        <v>543</v>
      </c>
      <c r="AB1080" s="388" t="s">
        <v>543</v>
      </c>
      <c r="AC1080" s="387" t="s">
        <v>543</v>
      </c>
      <c r="AD1080" s="389">
        <v>20</v>
      </c>
      <c r="AE1080" s="390">
        <v>44013</v>
      </c>
      <c r="AF1080" s="390">
        <v>45107</v>
      </c>
      <c r="AG1080" s="390">
        <v>45107</v>
      </c>
      <c r="AH1080" s="391" t="s">
        <v>7580</v>
      </c>
      <c r="AI1080" s="391" t="s">
        <v>2525</v>
      </c>
      <c r="AJ1080" s="391">
        <v>49</v>
      </c>
      <c r="AK1080" s="390">
        <v>44531</v>
      </c>
      <c r="AL1080" s="389">
        <v>100</v>
      </c>
      <c r="AM1080" s="391" t="s">
        <v>548</v>
      </c>
      <c r="AN1080" s="391" t="s">
        <v>545</v>
      </c>
      <c r="AO1080" s="391" t="s">
        <v>7581</v>
      </c>
    </row>
    <row r="1081" spans="1:41" ht="16" thickBot="1">
      <c r="A1081" s="387" t="s">
        <v>2294</v>
      </c>
      <c r="B1081" s="387" t="s">
        <v>634</v>
      </c>
      <c r="C1081" s="387" t="s">
        <v>7582</v>
      </c>
      <c r="D1081" s="387" t="s">
        <v>7583</v>
      </c>
      <c r="E1081" s="387">
        <v>2.5</v>
      </c>
      <c r="F1081" s="387" t="s">
        <v>531</v>
      </c>
      <c r="G1081" s="387">
        <v>50</v>
      </c>
      <c r="H1081" s="387" t="s">
        <v>2297</v>
      </c>
      <c r="I1081" s="387" t="s">
        <v>2298</v>
      </c>
      <c r="J1081" s="387" t="s">
        <v>7584</v>
      </c>
      <c r="K1081" s="387" t="s">
        <v>7585</v>
      </c>
      <c r="L1081" s="387" t="s">
        <v>1945</v>
      </c>
      <c r="M1081" s="387" t="s">
        <v>1946</v>
      </c>
      <c r="N1081" s="388">
        <v>43.18</v>
      </c>
      <c r="O1081" s="388">
        <v>14</v>
      </c>
      <c r="P1081" s="387" t="s">
        <v>538</v>
      </c>
      <c r="Q1081" s="387" t="s">
        <v>539</v>
      </c>
      <c r="R1081" s="387" t="s">
        <v>7567</v>
      </c>
      <c r="S1081" s="387" t="s">
        <v>171</v>
      </c>
      <c r="T1081" s="387" t="s">
        <v>757</v>
      </c>
      <c r="U1081" s="388">
        <v>620423</v>
      </c>
      <c r="V1081" s="387" t="s">
        <v>543</v>
      </c>
      <c r="W1081" s="387" t="s">
        <v>543</v>
      </c>
      <c r="X1081" s="387" t="s">
        <v>543</v>
      </c>
      <c r="Y1081" s="387" t="s">
        <v>543</v>
      </c>
      <c r="Z1081" s="387" t="s">
        <v>543</v>
      </c>
      <c r="AA1081" s="388" t="s">
        <v>543</v>
      </c>
      <c r="AB1081" s="388" t="s">
        <v>543</v>
      </c>
      <c r="AC1081" s="387" t="s">
        <v>543</v>
      </c>
      <c r="AD1081" s="389">
        <v>1</v>
      </c>
      <c r="AE1081" s="390">
        <v>44013</v>
      </c>
      <c r="AF1081" s="390">
        <v>45107</v>
      </c>
      <c r="AG1081" s="390">
        <v>45107</v>
      </c>
      <c r="AH1081" s="391" t="s">
        <v>7586</v>
      </c>
      <c r="AI1081" s="391" t="s">
        <v>1949</v>
      </c>
      <c r="AJ1081" s="391">
        <v>0</v>
      </c>
      <c r="AK1081" s="390">
        <v>44013</v>
      </c>
      <c r="AL1081" s="389">
        <v>100</v>
      </c>
      <c r="AM1081" s="391" t="s">
        <v>548</v>
      </c>
      <c r="AN1081" s="391" t="s">
        <v>545</v>
      </c>
      <c r="AO1081" s="391" t="s">
        <v>7587</v>
      </c>
    </row>
    <row r="1082" spans="1:41" ht="16" thickBot="1">
      <c r="A1082" s="387" t="s">
        <v>2166</v>
      </c>
      <c r="B1082" s="387" t="s">
        <v>3541</v>
      </c>
      <c r="C1082" s="387" t="s">
        <v>7588</v>
      </c>
      <c r="D1082" s="387" t="s">
        <v>7589</v>
      </c>
      <c r="E1082" s="387">
        <v>25</v>
      </c>
      <c r="F1082" s="387" t="s">
        <v>559</v>
      </c>
      <c r="G1082" s="387">
        <v>25</v>
      </c>
      <c r="H1082" s="387" t="s">
        <v>559</v>
      </c>
      <c r="I1082" s="387" t="s">
        <v>560</v>
      </c>
      <c r="J1082" s="387" t="s">
        <v>7590</v>
      </c>
      <c r="K1082" s="387" t="s">
        <v>7591</v>
      </c>
      <c r="L1082" s="387" t="s">
        <v>535</v>
      </c>
      <c r="M1082" s="387" t="s">
        <v>536</v>
      </c>
      <c r="N1082" s="388">
        <v>2395.33</v>
      </c>
      <c r="O1082" s="388">
        <v>14</v>
      </c>
      <c r="P1082" s="387" t="s">
        <v>611</v>
      </c>
      <c r="Q1082" s="387" t="s">
        <v>668</v>
      </c>
      <c r="R1082" s="387" t="s">
        <v>7592</v>
      </c>
      <c r="S1082" s="387" t="s">
        <v>614</v>
      </c>
      <c r="T1082" s="387" t="s">
        <v>160</v>
      </c>
      <c r="U1082" s="388">
        <v>1300</v>
      </c>
      <c r="V1082" s="387">
        <v>6001424001011</v>
      </c>
      <c r="W1082" s="387">
        <v>6001424001011</v>
      </c>
      <c r="X1082" s="387" t="s">
        <v>543</v>
      </c>
      <c r="Y1082" s="387">
        <v>16001424001011</v>
      </c>
      <c r="Z1082" s="387" t="s">
        <v>543</v>
      </c>
      <c r="AA1082" s="388" t="s">
        <v>543</v>
      </c>
      <c r="AB1082" s="388" t="s">
        <v>543</v>
      </c>
      <c r="AC1082" s="387">
        <v>735825009</v>
      </c>
      <c r="AD1082" s="389">
        <v>1</v>
      </c>
      <c r="AE1082" s="390">
        <v>44743</v>
      </c>
      <c r="AF1082" s="390">
        <v>45473</v>
      </c>
      <c r="AG1082" s="391" t="s">
        <v>545</v>
      </c>
      <c r="AH1082" s="391" t="s">
        <v>7593</v>
      </c>
      <c r="AI1082" s="391" t="s">
        <v>547</v>
      </c>
      <c r="AJ1082" s="391">
        <v>0</v>
      </c>
      <c r="AK1082" s="390">
        <v>44743</v>
      </c>
      <c r="AL1082" s="389">
        <v>100</v>
      </c>
      <c r="AM1082" s="391" t="s">
        <v>548</v>
      </c>
      <c r="AN1082" s="391" t="s">
        <v>549</v>
      </c>
      <c r="AO1082" s="391" t="s">
        <v>7594</v>
      </c>
    </row>
    <row r="1083" spans="1:41" ht="16" thickBot="1">
      <c r="A1083" s="387" t="s">
        <v>1766</v>
      </c>
      <c r="B1083" s="387" t="s">
        <v>4357</v>
      </c>
      <c r="C1083" s="387" t="s">
        <v>7595</v>
      </c>
      <c r="D1083" s="387" t="s">
        <v>7596</v>
      </c>
      <c r="E1083" s="387">
        <v>3.5</v>
      </c>
      <c r="F1083" s="387" t="s">
        <v>2180</v>
      </c>
      <c r="G1083" s="387">
        <v>3.5</v>
      </c>
      <c r="H1083" s="387" t="s">
        <v>2180</v>
      </c>
      <c r="I1083" s="387" t="s">
        <v>3023</v>
      </c>
      <c r="J1083" s="387" t="s">
        <v>7597</v>
      </c>
      <c r="K1083" s="387" t="s">
        <v>7598</v>
      </c>
      <c r="L1083" s="387" t="s">
        <v>1945</v>
      </c>
      <c r="M1083" s="387" t="s">
        <v>1946</v>
      </c>
      <c r="N1083" s="388">
        <v>32.25</v>
      </c>
      <c r="O1083" s="388">
        <v>14</v>
      </c>
      <c r="P1083" s="387" t="s">
        <v>611</v>
      </c>
      <c r="Q1083" s="387" t="s">
        <v>612</v>
      </c>
      <c r="R1083" s="387" t="s">
        <v>7599</v>
      </c>
      <c r="S1083" s="387" t="s">
        <v>614</v>
      </c>
      <c r="T1083" s="387" t="s">
        <v>160</v>
      </c>
      <c r="U1083" s="388">
        <v>65124</v>
      </c>
      <c r="V1083" s="387">
        <v>6005534003774</v>
      </c>
      <c r="W1083" s="387" t="s">
        <v>543</v>
      </c>
      <c r="X1083" s="387" t="s">
        <v>543</v>
      </c>
      <c r="Y1083" s="387" t="s">
        <v>543</v>
      </c>
      <c r="Z1083" s="387" t="s">
        <v>543</v>
      </c>
      <c r="AA1083" s="388" t="s">
        <v>543</v>
      </c>
      <c r="AB1083" s="388" t="s">
        <v>543</v>
      </c>
      <c r="AC1083" s="387">
        <v>771104006</v>
      </c>
      <c r="AD1083" s="389">
        <v>1</v>
      </c>
      <c r="AE1083" s="390">
        <v>44470</v>
      </c>
      <c r="AF1083" s="390">
        <v>45199</v>
      </c>
      <c r="AG1083" s="391" t="s">
        <v>545</v>
      </c>
      <c r="AH1083" s="391" t="s">
        <v>7600</v>
      </c>
      <c r="AI1083" s="391" t="s">
        <v>1949</v>
      </c>
      <c r="AJ1083" s="391">
        <v>0</v>
      </c>
      <c r="AK1083" s="390">
        <v>44470</v>
      </c>
      <c r="AL1083" s="389">
        <v>100</v>
      </c>
      <c r="AM1083" s="391" t="s">
        <v>548</v>
      </c>
      <c r="AN1083" s="391" t="s">
        <v>549</v>
      </c>
      <c r="AO1083" s="391" t="s">
        <v>7601</v>
      </c>
    </row>
    <row r="1084" spans="1:41" ht="16" thickBot="1">
      <c r="A1084" s="387" t="s">
        <v>1766</v>
      </c>
      <c r="B1084" s="387" t="s">
        <v>4362</v>
      </c>
      <c r="C1084" s="387" t="s">
        <v>7602</v>
      </c>
      <c r="D1084" s="387" t="s">
        <v>7603</v>
      </c>
      <c r="E1084" s="387">
        <v>5</v>
      </c>
      <c r="F1084" s="387" t="s">
        <v>531</v>
      </c>
      <c r="G1084" s="387">
        <v>100</v>
      </c>
      <c r="H1084" s="387" t="s">
        <v>2297</v>
      </c>
      <c r="I1084" s="387" t="s">
        <v>2298</v>
      </c>
      <c r="J1084" s="387" t="s">
        <v>7597</v>
      </c>
      <c r="K1084" s="387" t="s">
        <v>7604</v>
      </c>
      <c r="L1084" s="387" t="s">
        <v>1945</v>
      </c>
      <c r="M1084" s="387" t="s">
        <v>1946</v>
      </c>
      <c r="N1084" s="388">
        <v>21.47</v>
      </c>
      <c r="O1084" s="388">
        <v>14</v>
      </c>
      <c r="P1084" s="387" t="s">
        <v>611</v>
      </c>
      <c r="Q1084" s="387" t="s">
        <v>612</v>
      </c>
      <c r="R1084" s="387" t="s">
        <v>7599</v>
      </c>
      <c r="S1084" s="387" t="s">
        <v>614</v>
      </c>
      <c r="T1084" s="387" t="s">
        <v>160</v>
      </c>
      <c r="U1084" s="388">
        <v>103638</v>
      </c>
      <c r="V1084" s="387">
        <v>6005534003767</v>
      </c>
      <c r="W1084" s="387" t="s">
        <v>543</v>
      </c>
      <c r="X1084" s="387" t="s">
        <v>543</v>
      </c>
      <c r="Y1084" s="387" t="s">
        <v>543</v>
      </c>
      <c r="Z1084" s="387" t="s">
        <v>543</v>
      </c>
      <c r="AA1084" s="388" t="s">
        <v>543</v>
      </c>
      <c r="AB1084" s="388" t="s">
        <v>543</v>
      </c>
      <c r="AC1084" s="387">
        <v>771082002</v>
      </c>
      <c r="AD1084" s="389">
        <v>1</v>
      </c>
      <c r="AE1084" s="390">
        <v>44470</v>
      </c>
      <c r="AF1084" s="390">
        <v>45199</v>
      </c>
      <c r="AG1084" s="391" t="s">
        <v>545</v>
      </c>
      <c r="AH1084" s="391" t="s">
        <v>7605</v>
      </c>
      <c r="AI1084" s="391" t="s">
        <v>1949</v>
      </c>
      <c r="AJ1084" s="391">
        <v>0</v>
      </c>
      <c r="AK1084" s="390">
        <v>44470</v>
      </c>
      <c r="AL1084" s="389">
        <v>100</v>
      </c>
      <c r="AM1084" s="391" t="s">
        <v>548</v>
      </c>
      <c r="AN1084" s="391" t="s">
        <v>549</v>
      </c>
      <c r="AO1084" s="391" t="s">
        <v>7606</v>
      </c>
    </row>
    <row r="1085" spans="1:41" ht="16" thickBot="1">
      <c r="A1085" s="387" t="s">
        <v>1717</v>
      </c>
      <c r="B1085" s="387" t="s">
        <v>7607</v>
      </c>
      <c r="C1085" s="387" t="s">
        <v>7608</v>
      </c>
      <c r="D1085" s="387" t="s">
        <v>7609</v>
      </c>
      <c r="E1085" s="387">
        <v>60</v>
      </c>
      <c r="F1085" s="387" t="s">
        <v>559</v>
      </c>
      <c r="G1085" s="387">
        <v>60</v>
      </c>
      <c r="H1085" s="387" t="s">
        <v>559</v>
      </c>
      <c r="I1085" s="387" t="s">
        <v>560</v>
      </c>
      <c r="J1085" s="387" t="s">
        <v>7610</v>
      </c>
      <c r="K1085" s="387" t="s">
        <v>7611</v>
      </c>
      <c r="L1085" s="387" t="s">
        <v>1771</v>
      </c>
      <c r="M1085" s="387" t="s">
        <v>1772</v>
      </c>
      <c r="N1085" s="388">
        <v>41.92</v>
      </c>
      <c r="O1085" s="388">
        <v>14</v>
      </c>
      <c r="P1085" s="387" t="s">
        <v>538</v>
      </c>
      <c r="Q1085" s="387" t="s">
        <v>539</v>
      </c>
      <c r="R1085" s="387" t="s">
        <v>7612</v>
      </c>
      <c r="S1085" s="387" t="s">
        <v>171</v>
      </c>
      <c r="T1085" s="387" t="s">
        <v>757</v>
      </c>
      <c r="U1085" s="388">
        <v>45400</v>
      </c>
      <c r="V1085" s="387">
        <v>6008288002505</v>
      </c>
      <c r="W1085" s="387">
        <v>6008288002505</v>
      </c>
      <c r="X1085" s="387" t="s">
        <v>543</v>
      </c>
      <c r="Y1085" s="387">
        <v>16008288002557</v>
      </c>
      <c r="Z1085" s="387" t="s">
        <v>543</v>
      </c>
      <c r="AA1085" s="388" t="s">
        <v>543</v>
      </c>
      <c r="AB1085" s="388" t="s">
        <v>543</v>
      </c>
      <c r="AC1085" s="387">
        <v>708389001</v>
      </c>
      <c r="AD1085" s="389">
        <v>70</v>
      </c>
      <c r="AE1085" s="390">
        <v>45047</v>
      </c>
      <c r="AF1085" s="390">
        <v>46142</v>
      </c>
      <c r="AG1085" s="391" t="s">
        <v>545</v>
      </c>
      <c r="AH1085" s="391" t="s">
        <v>7613</v>
      </c>
      <c r="AI1085" s="391" t="s">
        <v>1776</v>
      </c>
      <c r="AJ1085" s="391">
        <v>0</v>
      </c>
      <c r="AK1085" s="390">
        <v>45047</v>
      </c>
      <c r="AL1085" s="389">
        <v>100</v>
      </c>
      <c r="AM1085" s="391" t="s">
        <v>548</v>
      </c>
      <c r="AN1085" s="391" t="s">
        <v>549</v>
      </c>
      <c r="AO1085" s="391" t="s">
        <v>7614</v>
      </c>
    </row>
    <row r="1086" spans="1:41" ht="16" thickBot="1">
      <c r="A1086" s="387" t="s">
        <v>1717</v>
      </c>
      <c r="B1086" s="387" t="s">
        <v>7615</v>
      </c>
      <c r="C1086" s="387" t="s">
        <v>7616</v>
      </c>
      <c r="D1086" s="387" t="s">
        <v>7617</v>
      </c>
      <c r="E1086" s="387">
        <v>60</v>
      </c>
      <c r="F1086" s="387" t="s">
        <v>559</v>
      </c>
      <c r="G1086" s="387">
        <v>60</v>
      </c>
      <c r="H1086" s="387" t="s">
        <v>559</v>
      </c>
      <c r="I1086" s="387" t="s">
        <v>560</v>
      </c>
      <c r="J1086" s="387" t="s">
        <v>7610</v>
      </c>
      <c r="K1086" s="387" t="s">
        <v>7618</v>
      </c>
      <c r="L1086" s="387" t="s">
        <v>1771</v>
      </c>
      <c r="M1086" s="387" t="s">
        <v>1772</v>
      </c>
      <c r="N1086" s="388">
        <v>21.51</v>
      </c>
      <c r="O1086" s="388">
        <v>14</v>
      </c>
      <c r="P1086" s="387" t="s">
        <v>538</v>
      </c>
      <c r="Q1086" s="387" t="s">
        <v>539</v>
      </c>
      <c r="R1086" s="387" t="s">
        <v>7612</v>
      </c>
      <c r="S1086" s="387" t="s">
        <v>171</v>
      </c>
      <c r="T1086" s="387" t="s">
        <v>757</v>
      </c>
      <c r="U1086" s="388">
        <v>77764</v>
      </c>
      <c r="V1086" s="387">
        <v>6008288002505</v>
      </c>
      <c r="W1086" s="387">
        <v>6008288002505</v>
      </c>
      <c r="X1086" s="387" t="s">
        <v>543</v>
      </c>
      <c r="Y1086" s="387">
        <v>16008288002557</v>
      </c>
      <c r="Z1086" s="387" t="s">
        <v>543</v>
      </c>
      <c r="AA1086" s="388" t="s">
        <v>543</v>
      </c>
      <c r="AB1086" s="388" t="s">
        <v>543</v>
      </c>
      <c r="AC1086" s="387">
        <v>708389001</v>
      </c>
      <c r="AD1086" s="389">
        <v>70</v>
      </c>
      <c r="AE1086" s="390">
        <v>45047</v>
      </c>
      <c r="AF1086" s="390">
        <v>46142</v>
      </c>
      <c r="AG1086" s="391" t="s">
        <v>545</v>
      </c>
      <c r="AH1086" s="391" t="s">
        <v>7619</v>
      </c>
      <c r="AI1086" s="391" t="s">
        <v>1776</v>
      </c>
      <c r="AJ1086" s="391">
        <v>0</v>
      </c>
      <c r="AK1086" s="390">
        <v>45047</v>
      </c>
      <c r="AL1086" s="389">
        <v>100</v>
      </c>
      <c r="AM1086" s="391" t="s">
        <v>548</v>
      </c>
      <c r="AN1086" s="391" t="s">
        <v>549</v>
      </c>
      <c r="AO1086" s="391" t="s">
        <v>7620</v>
      </c>
    </row>
    <row r="1087" spans="1:41" ht="16" thickBot="1">
      <c r="A1087" s="387" t="s">
        <v>1717</v>
      </c>
      <c r="B1087" s="387" t="s">
        <v>7621</v>
      </c>
      <c r="C1087" s="387" t="s">
        <v>7622</v>
      </c>
      <c r="D1087" s="387" t="s">
        <v>7623</v>
      </c>
      <c r="E1087" s="387">
        <v>60</v>
      </c>
      <c r="F1087" s="387" t="s">
        <v>559</v>
      </c>
      <c r="G1087" s="387">
        <v>60</v>
      </c>
      <c r="H1087" s="387" t="s">
        <v>559</v>
      </c>
      <c r="I1087" s="387" t="s">
        <v>560</v>
      </c>
      <c r="J1087" s="387" t="s">
        <v>7610</v>
      </c>
      <c r="K1087" s="387" t="s">
        <v>7624</v>
      </c>
      <c r="L1087" s="387" t="s">
        <v>1771</v>
      </c>
      <c r="M1087" s="387" t="s">
        <v>1772</v>
      </c>
      <c r="N1087" s="388">
        <v>26.17</v>
      </c>
      <c r="O1087" s="388">
        <v>14</v>
      </c>
      <c r="P1087" s="387" t="s">
        <v>538</v>
      </c>
      <c r="Q1087" s="387" t="s">
        <v>539</v>
      </c>
      <c r="R1087" s="387" t="s">
        <v>7612</v>
      </c>
      <c r="S1087" s="387" t="s">
        <v>171</v>
      </c>
      <c r="T1087" s="387" t="s">
        <v>757</v>
      </c>
      <c r="U1087" s="388">
        <v>72947</v>
      </c>
      <c r="V1087" s="387">
        <v>6008288002505</v>
      </c>
      <c r="W1087" s="387">
        <v>6008288002505</v>
      </c>
      <c r="X1087" s="387" t="s">
        <v>543</v>
      </c>
      <c r="Y1087" s="387">
        <v>16008288002557</v>
      </c>
      <c r="Z1087" s="387" t="s">
        <v>543</v>
      </c>
      <c r="AA1087" s="388" t="s">
        <v>543</v>
      </c>
      <c r="AB1087" s="388" t="s">
        <v>543</v>
      </c>
      <c r="AC1087" s="387">
        <v>708389001</v>
      </c>
      <c r="AD1087" s="389">
        <v>70</v>
      </c>
      <c r="AE1087" s="390">
        <v>45047</v>
      </c>
      <c r="AF1087" s="390">
        <v>46142</v>
      </c>
      <c r="AG1087" s="391" t="s">
        <v>545</v>
      </c>
      <c r="AH1087" s="391" t="s">
        <v>7625</v>
      </c>
      <c r="AI1087" s="391" t="s">
        <v>1776</v>
      </c>
      <c r="AJ1087" s="391">
        <v>0</v>
      </c>
      <c r="AK1087" s="390">
        <v>45047</v>
      </c>
      <c r="AL1087" s="389">
        <v>100</v>
      </c>
      <c r="AM1087" s="391" t="s">
        <v>548</v>
      </c>
      <c r="AN1087" s="391" t="s">
        <v>549</v>
      </c>
      <c r="AO1087" s="391" t="s">
        <v>7626</v>
      </c>
    </row>
    <row r="1088" spans="1:41" ht="16" thickBot="1">
      <c r="A1088" s="387" t="s">
        <v>2743</v>
      </c>
      <c r="B1088" s="387" t="s">
        <v>996</v>
      </c>
      <c r="C1088" s="387" t="s">
        <v>7627</v>
      </c>
      <c r="D1088" s="387" t="s">
        <v>7628</v>
      </c>
      <c r="E1088" s="387">
        <v>2</v>
      </c>
      <c r="F1088" s="387" t="s">
        <v>2746</v>
      </c>
      <c r="G1088" s="387">
        <v>2</v>
      </c>
      <c r="H1088" s="387" t="s">
        <v>2746</v>
      </c>
      <c r="I1088" s="387" t="s">
        <v>1838</v>
      </c>
      <c r="J1088" s="387" t="s">
        <v>7629</v>
      </c>
      <c r="K1088" s="387" t="s">
        <v>5955</v>
      </c>
      <c r="L1088" s="387" t="s">
        <v>3043</v>
      </c>
      <c r="M1088" s="387" t="s">
        <v>3044</v>
      </c>
      <c r="N1088" s="388">
        <v>802.13</v>
      </c>
      <c r="O1088" s="388">
        <v>14</v>
      </c>
      <c r="P1088" s="387" t="s">
        <v>538</v>
      </c>
      <c r="Q1088" s="387" t="s">
        <v>539</v>
      </c>
      <c r="R1088" s="387" t="s">
        <v>5984</v>
      </c>
      <c r="S1088" s="387" t="s">
        <v>171</v>
      </c>
      <c r="T1088" s="387" t="s">
        <v>757</v>
      </c>
      <c r="U1088" s="388">
        <v>700</v>
      </c>
      <c r="V1088" s="387">
        <v>4030539117944</v>
      </c>
      <c r="W1088" s="387">
        <v>4030539117937</v>
      </c>
      <c r="X1088" s="387" t="s">
        <v>543</v>
      </c>
      <c r="Y1088" s="387">
        <v>4046964915307</v>
      </c>
      <c r="Z1088" s="387" t="s">
        <v>543</v>
      </c>
      <c r="AA1088" s="388" t="s">
        <v>543</v>
      </c>
      <c r="AB1088" s="388" t="s">
        <v>543</v>
      </c>
      <c r="AC1088" s="387" t="s">
        <v>5956</v>
      </c>
      <c r="AD1088" s="389">
        <v>5</v>
      </c>
      <c r="AE1088" s="390">
        <v>44105</v>
      </c>
      <c r="AF1088" s="390">
        <v>45199</v>
      </c>
      <c r="AG1088" s="390">
        <v>45199</v>
      </c>
      <c r="AH1088" s="391" t="s">
        <v>545</v>
      </c>
      <c r="AI1088" s="391" t="s">
        <v>3047</v>
      </c>
      <c r="AJ1088" s="391">
        <v>9</v>
      </c>
      <c r="AK1088" s="390">
        <v>44791</v>
      </c>
      <c r="AL1088" s="389">
        <v>100</v>
      </c>
      <c r="AM1088" s="391" t="s">
        <v>548</v>
      </c>
      <c r="AN1088" s="391" t="s">
        <v>545</v>
      </c>
      <c r="AO1088" s="391" t="s">
        <v>7630</v>
      </c>
    </row>
    <row r="1089" spans="1:43" ht="16" thickBot="1">
      <c r="A1089" s="387" t="s">
        <v>2743</v>
      </c>
      <c r="B1089" s="387" t="s">
        <v>2671</v>
      </c>
      <c r="C1089" s="387" t="s">
        <v>7631</v>
      </c>
      <c r="D1089" s="387" t="s">
        <v>7632</v>
      </c>
      <c r="E1089" s="387">
        <v>1250</v>
      </c>
      <c r="F1089" s="387" t="s">
        <v>531</v>
      </c>
      <c r="G1089" s="387">
        <v>1250</v>
      </c>
      <c r="H1089" s="387" t="s">
        <v>531</v>
      </c>
      <c r="I1089" s="387" t="s">
        <v>1751</v>
      </c>
      <c r="J1089" s="387" t="s">
        <v>7633</v>
      </c>
      <c r="K1089" s="387" t="s">
        <v>7634</v>
      </c>
      <c r="L1089" s="387" t="s">
        <v>3043</v>
      </c>
      <c r="M1089" s="387" t="s">
        <v>3044</v>
      </c>
      <c r="N1089" s="388">
        <v>782.87</v>
      </c>
      <c r="O1089" s="388">
        <v>14</v>
      </c>
      <c r="P1089" s="387" t="s">
        <v>538</v>
      </c>
      <c r="Q1089" s="387" t="s">
        <v>539</v>
      </c>
      <c r="R1089" s="387" t="s">
        <v>5984</v>
      </c>
      <c r="S1089" s="387" t="s">
        <v>171</v>
      </c>
      <c r="T1089" s="387" t="s">
        <v>757</v>
      </c>
      <c r="U1089" s="388">
        <v>4060</v>
      </c>
      <c r="V1089" s="387" t="s">
        <v>543</v>
      </c>
      <c r="W1089" s="387" t="s">
        <v>543</v>
      </c>
      <c r="X1089" s="387" t="s">
        <v>543</v>
      </c>
      <c r="Y1089" s="387" t="s">
        <v>543</v>
      </c>
      <c r="Z1089" s="387" t="s">
        <v>543</v>
      </c>
      <c r="AA1089" s="388" t="s">
        <v>543</v>
      </c>
      <c r="AB1089" s="388" t="s">
        <v>543</v>
      </c>
      <c r="AC1089" s="387" t="s">
        <v>543</v>
      </c>
      <c r="AD1089" s="389">
        <v>5</v>
      </c>
      <c r="AE1089" s="390">
        <v>44105</v>
      </c>
      <c r="AF1089" s="390">
        <v>45199</v>
      </c>
      <c r="AG1089" s="390">
        <v>45199</v>
      </c>
      <c r="AH1089" s="391" t="s">
        <v>545</v>
      </c>
      <c r="AI1089" s="391" t="s">
        <v>3047</v>
      </c>
      <c r="AJ1089" s="391">
        <v>9</v>
      </c>
      <c r="AK1089" s="390">
        <v>44791</v>
      </c>
      <c r="AL1089" s="389">
        <v>100</v>
      </c>
      <c r="AM1089" s="391" t="s">
        <v>548</v>
      </c>
      <c r="AN1089" s="391" t="s">
        <v>545</v>
      </c>
      <c r="AO1089" s="391" t="s">
        <v>7635</v>
      </c>
    </row>
    <row r="1090" spans="1:43" ht="16" thickBot="1">
      <c r="A1090" s="387" t="s">
        <v>2743</v>
      </c>
      <c r="B1090" s="387" t="s">
        <v>1013</v>
      </c>
      <c r="C1090" s="387" t="s">
        <v>7636</v>
      </c>
      <c r="D1090" s="387" t="s">
        <v>7637</v>
      </c>
      <c r="E1090" s="387">
        <v>1</v>
      </c>
      <c r="F1090" s="387" t="s">
        <v>2746</v>
      </c>
      <c r="G1090" s="387">
        <v>1</v>
      </c>
      <c r="H1090" s="387" t="s">
        <v>2746</v>
      </c>
      <c r="I1090" s="387" t="s">
        <v>1838</v>
      </c>
      <c r="J1090" s="387" t="s">
        <v>7638</v>
      </c>
      <c r="K1090" s="387" t="s">
        <v>7639</v>
      </c>
      <c r="L1090" s="387" t="s">
        <v>1975</v>
      </c>
      <c r="M1090" s="387" t="s">
        <v>1976</v>
      </c>
      <c r="N1090" s="388">
        <v>843.04</v>
      </c>
      <c r="O1090" s="388">
        <v>14</v>
      </c>
      <c r="P1090" s="387" t="s">
        <v>538</v>
      </c>
      <c r="Q1090" s="387" t="s">
        <v>539</v>
      </c>
      <c r="R1090" s="387" t="s">
        <v>5984</v>
      </c>
      <c r="S1090" s="387" t="s">
        <v>171</v>
      </c>
      <c r="T1090" s="387" t="s">
        <v>757</v>
      </c>
      <c r="U1090" s="388">
        <v>700</v>
      </c>
      <c r="V1090" s="387">
        <v>85412586830</v>
      </c>
      <c r="W1090" s="387">
        <v>50085412586835</v>
      </c>
      <c r="X1090" s="387" t="s">
        <v>543</v>
      </c>
      <c r="Y1090" s="387" t="s">
        <v>543</v>
      </c>
      <c r="Z1090" s="387" t="s">
        <v>543</v>
      </c>
      <c r="AA1090" s="388" t="s">
        <v>543</v>
      </c>
      <c r="AB1090" s="388" t="s">
        <v>543</v>
      </c>
      <c r="AC1090" s="387">
        <v>723677001</v>
      </c>
      <c r="AD1090" s="389">
        <v>6</v>
      </c>
      <c r="AE1090" s="390">
        <v>44105</v>
      </c>
      <c r="AF1090" s="390">
        <v>45199</v>
      </c>
      <c r="AG1090" s="390">
        <v>45199</v>
      </c>
      <c r="AH1090" s="391" t="s">
        <v>545</v>
      </c>
      <c r="AI1090" s="391" t="s">
        <v>1979</v>
      </c>
      <c r="AJ1090" s="391">
        <v>0</v>
      </c>
      <c r="AK1090" s="390">
        <v>44105</v>
      </c>
      <c r="AL1090" s="389">
        <v>100</v>
      </c>
      <c r="AM1090" s="391" t="s">
        <v>548</v>
      </c>
      <c r="AN1090" s="391" t="s">
        <v>545</v>
      </c>
      <c r="AO1090" s="391" t="s">
        <v>7640</v>
      </c>
    </row>
    <row r="1091" spans="1:43" ht="16" thickBot="1">
      <c r="A1091" s="387" t="s">
        <v>2743</v>
      </c>
      <c r="B1091" s="387" t="s">
        <v>2776</v>
      </c>
      <c r="C1091" s="387" t="s">
        <v>7641</v>
      </c>
      <c r="D1091" s="387" t="s">
        <v>7642</v>
      </c>
      <c r="E1091" s="387">
        <v>10</v>
      </c>
      <c r="F1091" s="387" t="s">
        <v>531</v>
      </c>
      <c r="G1091" s="387">
        <v>10</v>
      </c>
      <c r="H1091" s="387" t="s">
        <v>531</v>
      </c>
      <c r="I1091" s="387" t="s">
        <v>1751</v>
      </c>
      <c r="J1091" s="387" t="s">
        <v>7643</v>
      </c>
      <c r="K1091" s="387" t="s">
        <v>7644</v>
      </c>
      <c r="L1091" s="387" t="s">
        <v>1955</v>
      </c>
      <c r="M1091" s="387" t="s">
        <v>1956</v>
      </c>
      <c r="N1091" s="388">
        <v>118.85</v>
      </c>
      <c r="O1091" s="388">
        <v>14</v>
      </c>
      <c r="P1091" s="387" t="s">
        <v>538</v>
      </c>
      <c r="Q1091" s="387" t="s">
        <v>539</v>
      </c>
      <c r="R1091" s="387" t="s">
        <v>7645</v>
      </c>
      <c r="S1091" s="387" t="s">
        <v>614</v>
      </c>
      <c r="T1091" s="387" t="s">
        <v>757</v>
      </c>
      <c r="U1091" s="388">
        <v>28310</v>
      </c>
      <c r="V1091" s="387">
        <v>7340022100221</v>
      </c>
      <c r="W1091" s="387">
        <v>7340022100221</v>
      </c>
      <c r="X1091" s="387" t="s">
        <v>543</v>
      </c>
      <c r="Y1091" s="387">
        <v>73400221002210</v>
      </c>
      <c r="Z1091" s="387" t="s">
        <v>543</v>
      </c>
      <c r="AA1091" s="388" t="s">
        <v>543</v>
      </c>
      <c r="AB1091" s="388" t="s">
        <v>543</v>
      </c>
      <c r="AC1091" s="387" t="s">
        <v>7646</v>
      </c>
      <c r="AD1091" s="389">
        <v>20</v>
      </c>
      <c r="AE1091" s="390">
        <v>44105</v>
      </c>
      <c r="AF1091" s="390">
        <v>45199</v>
      </c>
      <c r="AG1091" s="390">
        <v>45199</v>
      </c>
      <c r="AH1091" s="391" t="s">
        <v>7647</v>
      </c>
      <c r="AI1091" s="391" t="s">
        <v>1959</v>
      </c>
      <c r="AJ1091" s="391">
        <v>12</v>
      </c>
      <c r="AK1091" s="390">
        <v>45047</v>
      </c>
      <c r="AL1091" s="389">
        <v>100</v>
      </c>
      <c r="AM1091" s="391" t="s">
        <v>548</v>
      </c>
      <c r="AN1091" s="391" t="s">
        <v>545</v>
      </c>
      <c r="AO1091" s="391" t="s">
        <v>7648</v>
      </c>
    </row>
    <row r="1092" spans="1:43" ht="16" thickBot="1">
      <c r="A1092" s="387" t="s">
        <v>1922</v>
      </c>
      <c r="B1092" s="387" t="s">
        <v>4431</v>
      </c>
      <c r="C1092" s="387" t="s">
        <v>7649</v>
      </c>
      <c r="D1092" s="387" t="s">
        <v>7650</v>
      </c>
      <c r="E1092" s="387">
        <v>2</v>
      </c>
      <c r="F1092" s="387" t="s">
        <v>531</v>
      </c>
      <c r="G1092" s="387">
        <v>28</v>
      </c>
      <c r="H1092" s="387" t="s">
        <v>531</v>
      </c>
      <c r="I1092" s="387" t="s">
        <v>1751</v>
      </c>
      <c r="J1092" s="387" t="s">
        <v>7651</v>
      </c>
      <c r="K1092" s="387" t="s">
        <v>7652</v>
      </c>
      <c r="L1092" s="387" t="s">
        <v>7653</v>
      </c>
      <c r="M1092" s="387" t="s">
        <v>7654</v>
      </c>
      <c r="N1092" s="388">
        <v>4.1399999999999997</v>
      </c>
      <c r="O1092" s="388">
        <v>14</v>
      </c>
      <c r="P1092" s="387" t="s">
        <v>538</v>
      </c>
      <c r="Q1092" s="387" t="s">
        <v>539</v>
      </c>
      <c r="R1092" s="387" t="s">
        <v>7655</v>
      </c>
      <c r="S1092" s="387" t="s">
        <v>541</v>
      </c>
      <c r="T1092" s="387" t="s">
        <v>757</v>
      </c>
      <c r="U1092" s="388">
        <v>3207480</v>
      </c>
      <c r="V1092" s="387">
        <v>6009697620090</v>
      </c>
      <c r="W1092" s="387" t="s">
        <v>543</v>
      </c>
      <c r="X1092" s="387" t="s">
        <v>543</v>
      </c>
      <c r="Y1092" s="387" t="s">
        <v>543</v>
      </c>
      <c r="Z1092" s="387" t="s">
        <v>543</v>
      </c>
      <c r="AA1092" s="388" t="s">
        <v>543</v>
      </c>
      <c r="AB1092" s="388" t="s">
        <v>543</v>
      </c>
      <c r="AC1092" s="387">
        <v>707365001</v>
      </c>
      <c r="AD1092" s="389">
        <v>500</v>
      </c>
      <c r="AE1092" s="390">
        <v>44620</v>
      </c>
      <c r="AF1092" s="390">
        <v>45412</v>
      </c>
      <c r="AG1092" s="391" t="s">
        <v>545</v>
      </c>
      <c r="AH1092" s="391" t="s">
        <v>7656</v>
      </c>
      <c r="AI1092" s="391" t="s">
        <v>7657</v>
      </c>
      <c r="AJ1092" s="391">
        <v>0</v>
      </c>
      <c r="AK1092" s="390">
        <v>44620</v>
      </c>
      <c r="AL1092" s="389">
        <v>100</v>
      </c>
      <c r="AM1092" s="391" t="s">
        <v>548</v>
      </c>
      <c r="AN1092" s="391" t="s">
        <v>549</v>
      </c>
      <c r="AO1092" s="391" t="s">
        <v>7658</v>
      </c>
    </row>
    <row r="1093" spans="1:43" ht="16" thickBot="1">
      <c r="A1093" s="387" t="s">
        <v>1717</v>
      </c>
      <c r="B1093" s="387" t="s">
        <v>7659</v>
      </c>
      <c r="C1093" s="387" t="s">
        <v>7660</v>
      </c>
      <c r="D1093" s="387" t="s">
        <v>7661</v>
      </c>
      <c r="E1093" s="387">
        <v>60</v>
      </c>
      <c r="F1093" s="387" t="s">
        <v>559</v>
      </c>
      <c r="G1093" s="387">
        <v>60</v>
      </c>
      <c r="H1093" s="387" t="s">
        <v>559</v>
      </c>
      <c r="I1093" s="387" t="s">
        <v>5717</v>
      </c>
      <c r="J1093" s="387" t="s">
        <v>7651</v>
      </c>
      <c r="K1093" s="387" t="s">
        <v>7662</v>
      </c>
      <c r="L1093" s="387" t="s">
        <v>1886</v>
      </c>
      <c r="M1093" s="387" t="s">
        <v>1887</v>
      </c>
      <c r="N1093" s="388">
        <v>49.15</v>
      </c>
      <c r="O1093" s="388">
        <v>14</v>
      </c>
      <c r="P1093" s="387" t="s">
        <v>538</v>
      </c>
      <c r="Q1093" s="387" t="s">
        <v>539</v>
      </c>
      <c r="R1093" s="387" t="s">
        <v>7655</v>
      </c>
      <c r="S1093" s="387" t="s">
        <v>171</v>
      </c>
      <c r="T1093" s="387" t="s">
        <v>542</v>
      </c>
      <c r="U1093" s="388">
        <v>244568</v>
      </c>
      <c r="V1093" s="387" t="s">
        <v>543</v>
      </c>
      <c r="W1093" s="387" t="s">
        <v>543</v>
      </c>
      <c r="X1093" s="387" t="s">
        <v>543</v>
      </c>
      <c r="Y1093" s="387" t="s">
        <v>543</v>
      </c>
      <c r="Z1093" s="387" t="s">
        <v>543</v>
      </c>
      <c r="AA1093" s="388" t="s">
        <v>543</v>
      </c>
      <c r="AB1093" s="388" t="s">
        <v>543</v>
      </c>
      <c r="AC1093" s="387" t="s">
        <v>543</v>
      </c>
      <c r="AD1093" s="389">
        <v>6</v>
      </c>
      <c r="AE1093" s="390">
        <v>45047</v>
      </c>
      <c r="AF1093" s="390">
        <v>46142</v>
      </c>
      <c r="AG1093" s="391" t="s">
        <v>545</v>
      </c>
      <c r="AH1093" s="391" t="s">
        <v>7663</v>
      </c>
      <c r="AI1093" s="391" t="s">
        <v>1889</v>
      </c>
      <c r="AJ1093" s="391">
        <v>0</v>
      </c>
      <c r="AK1093" s="390">
        <v>45047</v>
      </c>
      <c r="AL1093" s="389">
        <v>100</v>
      </c>
      <c r="AM1093" s="391" t="s">
        <v>548</v>
      </c>
      <c r="AN1093" s="391" t="s">
        <v>549</v>
      </c>
      <c r="AO1093" s="391" t="s">
        <v>7664</v>
      </c>
    </row>
    <row r="1094" spans="1:43" ht="16" thickBot="1">
      <c r="A1094" s="387" t="s">
        <v>1717</v>
      </c>
      <c r="B1094" s="387" t="s">
        <v>7665</v>
      </c>
      <c r="C1094" s="387" t="s">
        <v>7666</v>
      </c>
      <c r="D1094" s="387" t="s">
        <v>7667</v>
      </c>
      <c r="E1094" s="387">
        <v>100</v>
      </c>
      <c r="F1094" s="387" t="s">
        <v>559</v>
      </c>
      <c r="G1094" s="387">
        <v>100</v>
      </c>
      <c r="H1094" s="387" t="s">
        <v>559</v>
      </c>
      <c r="I1094" s="387" t="s">
        <v>560</v>
      </c>
      <c r="J1094" s="387" t="s">
        <v>7651</v>
      </c>
      <c r="K1094" s="387" t="s">
        <v>7668</v>
      </c>
      <c r="L1094" s="387" t="s">
        <v>1886</v>
      </c>
      <c r="M1094" s="387" t="s">
        <v>1887</v>
      </c>
      <c r="N1094" s="388">
        <v>26.4</v>
      </c>
      <c r="O1094" s="388">
        <v>14</v>
      </c>
      <c r="P1094" s="387" t="s">
        <v>538</v>
      </c>
      <c r="Q1094" s="387" t="s">
        <v>539</v>
      </c>
      <c r="R1094" s="387" t="s">
        <v>7655</v>
      </c>
      <c r="S1094" s="387" t="s">
        <v>171</v>
      </c>
      <c r="T1094" s="387" t="s">
        <v>542</v>
      </c>
      <c r="U1094" s="388">
        <v>1062710</v>
      </c>
      <c r="V1094" s="387" t="s">
        <v>543</v>
      </c>
      <c r="W1094" s="387" t="s">
        <v>543</v>
      </c>
      <c r="X1094" s="387" t="s">
        <v>543</v>
      </c>
      <c r="Y1094" s="387" t="s">
        <v>543</v>
      </c>
      <c r="Z1094" s="387" t="s">
        <v>543</v>
      </c>
      <c r="AA1094" s="388" t="s">
        <v>543</v>
      </c>
      <c r="AB1094" s="388" t="s">
        <v>543</v>
      </c>
      <c r="AC1094" s="387" t="s">
        <v>543</v>
      </c>
      <c r="AD1094" s="389">
        <v>6</v>
      </c>
      <c r="AE1094" s="390">
        <v>45047</v>
      </c>
      <c r="AF1094" s="390">
        <v>46142</v>
      </c>
      <c r="AG1094" s="391" t="s">
        <v>545</v>
      </c>
      <c r="AH1094" s="391" t="s">
        <v>7669</v>
      </c>
      <c r="AI1094" s="391" t="s">
        <v>1889</v>
      </c>
      <c r="AJ1094" s="391">
        <v>0</v>
      </c>
      <c r="AK1094" s="390">
        <v>45047</v>
      </c>
      <c r="AL1094" s="389">
        <v>30</v>
      </c>
      <c r="AM1094" s="391" t="s">
        <v>548</v>
      </c>
      <c r="AN1094" s="391" t="s">
        <v>549</v>
      </c>
      <c r="AO1094" s="391" t="s">
        <v>7670</v>
      </c>
    </row>
    <row r="1095" spans="1:43" ht="16" thickBot="1">
      <c r="A1095" s="387" t="s">
        <v>1717</v>
      </c>
      <c r="B1095" s="387" t="s">
        <v>7665</v>
      </c>
      <c r="C1095" s="387" t="s">
        <v>7666</v>
      </c>
      <c r="D1095" s="387" t="s">
        <v>7667</v>
      </c>
      <c r="E1095" s="387">
        <v>100</v>
      </c>
      <c r="F1095" s="387" t="s">
        <v>559</v>
      </c>
      <c r="G1095" s="387">
        <v>100</v>
      </c>
      <c r="H1095" s="387" t="s">
        <v>559</v>
      </c>
      <c r="I1095" s="387" t="s">
        <v>560</v>
      </c>
      <c r="J1095" s="387" t="s">
        <v>7651</v>
      </c>
      <c r="K1095" s="387" t="s">
        <v>7671</v>
      </c>
      <c r="L1095" s="387" t="s">
        <v>2200</v>
      </c>
      <c r="M1095" s="387" t="s">
        <v>2201</v>
      </c>
      <c r="N1095" s="388">
        <v>23.09</v>
      </c>
      <c r="O1095" s="388">
        <v>14</v>
      </c>
      <c r="P1095" s="387" t="s">
        <v>538</v>
      </c>
      <c r="Q1095" s="387" t="s">
        <v>539</v>
      </c>
      <c r="R1095" s="387" t="s">
        <v>7655</v>
      </c>
      <c r="S1095" s="387" t="s">
        <v>171</v>
      </c>
      <c r="T1095" s="387" t="s">
        <v>542</v>
      </c>
      <c r="U1095" s="388">
        <v>2479656</v>
      </c>
      <c r="V1095" s="387" t="s">
        <v>543</v>
      </c>
      <c r="W1095" s="387" t="s">
        <v>543</v>
      </c>
      <c r="X1095" s="387" t="s">
        <v>543</v>
      </c>
      <c r="Y1095" s="387" t="s">
        <v>543</v>
      </c>
      <c r="Z1095" s="387" t="s">
        <v>543</v>
      </c>
      <c r="AA1095" s="388" t="s">
        <v>543</v>
      </c>
      <c r="AB1095" s="388" t="s">
        <v>543</v>
      </c>
      <c r="AC1095" s="387" t="s">
        <v>543</v>
      </c>
      <c r="AD1095" s="389" t="s">
        <v>7672</v>
      </c>
      <c r="AE1095" s="390">
        <v>45047</v>
      </c>
      <c r="AF1095" s="390">
        <v>46142</v>
      </c>
      <c r="AG1095" s="391" t="s">
        <v>545</v>
      </c>
      <c r="AH1095" s="391" t="s">
        <v>7669</v>
      </c>
      <c r="AI1095" s="391" t="s">
        <v>2203</v>
      </c>
      <c r="AJ1095" s="391">
        <v>0</v>
      </c>
      <c r="AK1095" s="390">
        <v>45047</v>
      </c>
      <c r="AL1095" s="389">
        <v>70</v>
      </c>
      <c r="AM1095" s="391" t="s">
        <v>548</v>
      </c>
      <c r="AN1095" s="391" t="s">
        <v>549</v>
      </c>
      <c r="AO1095" s="391" t="s">
        <v>7670</v>
      </c>
    </row>
    <row r="1096" spans="1:43" ht="16" thickBot="1">
      <c r="A1096" s="387" t="s">
        <v>1717</v>
      </c>
      <c r="B1096" s="387" t="s">
        <v>7673</v>
      </c>
      <c r="C1096" s="387" t="s">
        <v>7674</v>
      </c>
      <c r="D1096" s="387" t="s">
        <v>7675</v>
      </c>
      <c r="E1096" s="387">
        <v>20</v>
      </c>
      <c r="F1096" s="387" t="s">
        <v>559</v>
      </c>
      <c r="G1096" s="387">
        <v>20</v>
      </c>
      <c r="H1096" s="387" t="s">
        <v>559</v>
      </c>
      <c r="I1096" s="387" t="s">
        <v>560</v>
      </c>
      <c r="J1096" s="387" t="s">
        <v>7651</v>
      </c>
      <c r="K1096" s="387" t="s">
        <v>7671</v>
      </c>
      <c r="L1096" s="387" t="s">
        <v>2200</v>
      </c>
      <c r="M1096" s="387" t="s">
        <v>2201</v>
      </c>
      <c r="N1096" s="388">
        <v>5.47</v>
      </c>
      <c r="O1096" s="388">
        <v>14</v>
      </c>
      <c r="P1096" s="387" t="s">
        <v>538</v>
      </c>
      <c r="Q1096" s="387" t="s">
        <v>539</v>
      </c>
      <c r="R1096" s="387" t="s">
        <v>7655</v>
      </c>
      <c r="S1096" s="387" t="s">
        <v>171</v>
      </c>
      <c r="T1096" s="387" t="s">
        <v>542</v>
      </c>
      <c r="U1096" s="388">
        <v>6312832</v>
      </c>
      <c r="V1096" s="387" t="s">
        <v>543</v>
      </c>
      <c r="W1096" s="387" t="s">
        <v>543</v>
      </c>
      <c r="X1096" s="387" t="s">
        <v>543</v>
      </c>
      <c r="Y1096" s="387" t="s">
        <v>543</v>
      </c>
      <c r="Z1096" s="387" t="s">
        <v>543</v>
      </c>
      <c r="AA1096" s="388" t="s">
        <v>543</v>
      </c>
      <c r="AB1096" s="388" t="s">
        <v>543</v>
      </c>
      <c r="AC1096" s="387" t="s">
        <v>543</v>
      </c>
      <c r="AD1096" s="389" t="s">
        <v>7676</v>
      </c>
      <c r="AE1096" s="390">
        <v>45047</v>
      </c>
      <c r="AF1096" s="390">
        <v>46142</v>
      </c>
      <c r="AG1096" s="391" t="s">
        <v>545</v>
      </c>
      <c r="AH1096" s="391" t="s">
        <v>7677</v>
      </c>
      <c r="AI1096" s="391" t="s">
        <v>2203</v>
      </c>
      <c r="AJ1096" s="391">
        <v>0</v>
      </c>
      <c r="AK1096" s="390">
        <v>45047</v>
      </c>
      <c r="AL1096" s="389">
        <v>70</v>
      </c>
      <c r="AM1096" s="391" t="s">
        <v>548</v>
      </c>
      <c r="AN1096" s="391" t="s">
        <v>549</v>
      </c>
      <c r="AO1096" s="391" t="s">
        <v>7670</v>
      </c>
      <c r="AP1096" s="372">
        <f>N1096/G1096</f>
        <v>0.27349999999999997</v>
      </c>
      <c r="AQ1096" s="372">
        <f>SUMPRODUCT(AP1096:AP1097,U1096:U1097)/SUM(U1096:U1097)</f>
        <v>0.28550000177416396</v>
      </c>
    </row>
    <row r="1097" spans="1:43" ht="16" thickBot="1">
      <c r="A1097" s="387" t="s">
        <v>1717</v>
      </c>
      <c r="B1097" s="387" t="s">
        <v>7673</v>
      </c>
      <c r="C1097" s="387" t="s">
        <v>7674</v>
      </c>
      <c r="D1097" s="387" t="s">
        <v>7675</v>
      </c>
      <c r="E1097" s="387">
        <v>20</v>
      </c>
      <c r="F1097" s="387" t="s">
        <v>559</v>
      </c>
      <c r="G1097" s="387">
        <v>20</v>
      </c>
      <c r="H1097" s="387" t="s">
        <v>559</v>
      </c>
      <c r="I1097" s="387" t="s">
        <v>560</v>
      </c>
      <c r="J1097" s="387" t="s">
        <v>7651</v>
      </c>
      <c r="K1097" s="387" t="s">
        <v>7678</v>
      </c>
      <c r="L1097" s="387" t="s">
        <v>2062</v>
      </c>
      <c r="M1097" s="387" t="s">
        <v>2063</v>
      </c>
      <c r="N1097" s="388">
        <v>6.27</v>
      </c>
      <c r="O1097" s="388">
        <v>14</v>
      </c>
      <c r="P1097" s="387" t="s">
        <v>538</v>
      </c>
      <c r="Q1097" s="387" t="s">
        <v>539</v>
      </c>
      <c r="R1097" s="387" t="s">
        <v>7655</v>
      </c>
      <c r="S1097" s="387" t="s">
        <v>171</v>
      </c>
      <c r="T1097" s="387" t="s">
        <v>542</v>
      </c>
      <c r="U1097" s="388">
        <v>2705500</v>
      </c>
      <c r="V1097" s="387" t="s">
        <v>543</v>
      </c>
      <c r="W1097" s="387" t="s">
        <v>543</v>
      </c>
      <c r="X1097" s="387" t="s">
        <v>543</v>
      </c>
      <c r="Y1097" s="387" t="s">
        <v>543</v>
      </c>
      <c r="Z1097" s="387" t="s">
        <v>543</v>
      </c>
      <c r="AA1097" s="388" t="s">
        <v>543</v>
      </c>
      <c r="AB1097" s="388" t="s">
        <v>543</v>
      </c>
      <c r="AC1097" s="387" t="s">
        <v>543</v>
      </c>
      <c r="AD1097" s="389">
        <v>72</v>
      </c>
      <c r="AE1097" s="390">
        <v>45047</v>
      </c>
      <c r="AF1097" s="390">
        <v>46142</v>
      </c>
      <c r="AG1097" s="391" t="s">
        <v>545</v>
      </c>
      <c r="AH1097" s="391" t="s">
        <v>7677</v>
      </c>
      <c r="AI1097" s="391" t="s">
        <v>2064</v>
      </c>
      <c r="AJ1097" s="391">
        <v>0</v>
      </c>
      <c r="AK1097" s="390">
        <v>45047</v>
      </c>
      <c r="AL1097" s="389">
        <v>30</v>
      </c>
      <c r="AM1097" s="391" t="s">
        <v>548</v>
      </c>
      <c r="AN1097" s="391" t="s">
        <v>549</v>
      </c>
      <c r="AO1097" s="391" t="s">
        <v>7670</v>
      </c>
      <c r="AP1097" s="372">
        <f t="shared" ref="AP1097" si="34">N1097/G1097</f>
        <v>0.3135</v>
      </c>
    </row>
    <row r="1098" spans="1:43" ht="16" thickBot="1">
      <c r="A1098" s="387" t="s">
        <v>1748</v>
      </c>
      <c r="B1098" s="387" t="s">
        <v>4440</v>
      </c>
      <c r="C1098" s="387" t="s">
        <v>7679</v>
      </c>
      <c r="D1098" s="387" t="s">
        <v>7680</v>
      </c>
      <c r="E1098" s="387">
        <v>5</v>
      </c>
      <c r="F1098" s="387" t="s">
        <v>531</v>
      </c>
      <c r="G1098" s="387">
        <v>5</v>
      </c>
      <c r="H1098" s="387" t="s">
        <v>531</v>
      </c>
      <c r="I1098" s="387" t="s">
        <v>1751</v>
      </c>
      <c r="J1098" s="387" t="s">
        <v>7681</v>
      </c>
      <c r="K1098" s="387" t="s">
        <v>7682</v>
      </c>
      <c r="L1098" s="387" t="s">
        <v>1916</v>
      </c>
      <c r="M1098" s="387" t="s">
        <v>1917</v>
      </c>
      <c r="N1098" s="388">
        <v>37.6</v>
      </c>
      <c r="O1098" s="388">
        <v>14</v>
      </c>
      <c r="P1098" s="387" t="s">
        <v>538</v>
      </c>
      <c r="Q1098" s="387" t="s">
        <v>539</v>
      </c>
      <c r="R1098" s="387" t="s">
        <v>7683</v>
      </c>
      <c r="S1098" s="387" t="s">
        <v>614</v>
      </c>
      <c r="T1098" s="387" t="s">
        <v>757</v>
      </c>
      <c r="U1098" s="388">
        <v>1734980</v>
      </c>
      <c r="V1098" s="387">
        <v>6006673180111</v>
      </c>
      <c r="W1098" s="387" t="s">
        <v>543</v>
      </c>
      <c r="X1098" s="387" t="s">
        <v>543</v>
      </c>
      <c r="Y1098" s="387" t="s">
        <v>543</v>
      </c>
      <c r="Z1098" s="387" t="s">
        <v>543</v>
      </c>
      <c r="AA1098" s="388" t="s">
        <v>543</v>
      </c>
      <c r="AB1098" s="388" t="s">
        <v>543</v>
      </c>
      <c r="AC1098" s="387">
        <v>717150003</v>
      </c>
      <c r="AD1098" s="389">
        <v>5</v>
      </c>
      <c r="AE1098" s="390">
        <v>44317</v>
      </c>
      <c r="AF1098" s="390">
        <v>45412</v>
      </c>
      <c r="AG1098" s="391" t="s">
        <v>545</v>
      </c>
      <c r="AH1098" s="391" t="s">
        <v>7684</v>
      </c>
      <c r="AI1098" s="391" t="s">
        <v>1920</v>
      </c>
      <c r="AJ1098" s="391">
        <v>0</v>
      </c>
      <c r="AK1098" s="390">
        <v>44317</v>
      </c>
      <c r="AL1098" s="389">
        <v>100</v>
      </c>
      <c r="AM1098" s="391" t="s">
        <v>548</v>
      </c>
      <c r="AN1098" s="391" t="s">
        <v>549</v>
      </c>
      <c r="AO1098" s="391" t="s">
        <v>7685</v>
      </c>
    </row>
    <row r="1099" spans="1:43" ht="16" thickBot="1">
      <c r="A1099" s="387" t="s">
        <v>1717</v>
      </c>
      <c r="B1099" s="387" t="s">
        <v>7686</v>
      </c>
      <c r="C1099" s="387" t="s">
        <v>7687</v>
      </c>
      <c r="D1099" s="387" t="s">
        <v>7688</v>
      </c>
      <c r="E1099" s="387">
        <v>30</v>
      </c>
      <c r="F1099" s="387" t="s">
        <v>559</v>
      </c>
      <c r="G1099" s="387">
        <v>30</v>
      </c>
      <c r="H1099" s="387" t="s">
        <v>559</v>
      </c>
      <c r="I1099" s="387" t="s">
        <v>560</v>
      </c>
      <c r="J1099" s="387" t="s">
        <v>7681</v>
      </c>
      <c r="K1099" s="387" t="s">
        <v>7689</v>
      </c>
      <c r="L1099" s="387" t="s">
        <v>1905</v>
      </c>
      <c r="M1099" s="387" t="s">
        <v>1906</v>
      </c>
      <c r="N1099" s="388">
        <v>101.81</v>
      </c>
      <c r="O1099" s="388">
        <v>14</v>
      </c>
      <c r="P1099" s="387" t="s">
        <v>538</v>
      </c>
      <c r="Q1099" s="387" t="s">
        <v>539</v>
      </c>
      <c r="R1099" s="387" t="s">
        <v>7683</v>
      </c>
      <c r="S1099" s="387" t="s">
        <v>171</v>
      </c>
      <c r="T1099" s="387" t="s">
        <v>757</v>
      </c>
      <c r="U1099" s="388">
        <v>221410</v>
      </c>
      <c r="V1099" s="387" t="s">
        <v>543</v>
      </c>
      <c r="W1099" s="387" t="s">
        <v>543</v>
      </c>
      <c r="X1099" s="387" t="s">
        <v>543</v>
      </c>
      <c r="Y1099" s="387" t="s">
        <v>543</v>
      </c>
      <c r="Z1099" s="387" t="s">
        <v>543</v>
      </c>
      <c r="AA1099" s="388" t="s">
        <v>543</v>
      </c>
      <c r="AB1099" s="388" t="s">
        <v>543</v>
      </c>
      <c r="AC1099" s="387" t="s">
        <v>543</v>
      </c>
      <c r="AD1099" s="389">
        <v>10</v>
      </c>
      <c r="AE1099" s="390">
        <v>45047</v>
      </c>
      <c r="AF1099" s="390">
        <v>46142</v>
      </c>
      <c r="AG1099" s="391" t="s">
        <v>545</v>
      </c>
      <c r="AH1099" s="391" t="s">
        <v>7690</v>
      </c>
      <c r="AI1099" s="391" t="s">
        <v>1910</v>
      </c>
      <c r="AJ1099" s="391">
        <v>0</v>
      </c>
      <c r="AK1099" s="390">
        <v>45047</v>
      </c>
      <c r="AL1099" s="389">
        <v>100</v>
      </c>
      <c r="AM1099" s="391" t="s">
        <v>548</v>
      </c>
      <c r="AN1099" s="391" t="s">
        <v>549</v>
      </c>
      <c r="AO1099" s="391" t="s">
        <v>7691</v>
      </c>
    </row>
    <row r="1100" spans="1:43" ht="16" thickBot="1">
      <c r="A1100" s="387" t="s">
        <v>2166</v>
      </c>
      <c r="B1100" s="387" t="s">
        <v>3547</v>
      </c>
      <c r="C1100" s="387" t="s">
        <v>7692</v>
      </c>
      <c r="D1100" s="387" t="s">
        <v>7693</v>
      </c>
      <c r="E1100" s="387">
        <v>1</v>
      </c>
      <c r="F1100" s="387" t="s">
        <v>1780</v>
      </c>
      <c r="G1100" s="387">
        <v>1</v>
      </c>
      <c r="H1100" s="387" t="s">
        <v>1780</v>
      </c>
      <c r="I1100" s="387" t="s">
        <v>1751</v>
      </c>
      <c r="J1100" s="387" t="s">
        <v>7694</v>
      </c>
      <c r="K1100" s="387" t="s">
        <v>7695</v>
      </c>
      <c r="L1100" s="387" t="s">
        <v>675</v>
      </c>
      <c r="M1100" s="387" t="s">
        <v>676</v>
      </c>
      <c r="N1100" s="388">
        <v>4090.12</v>
      </c>
      <c r="O1100" s="388">
        <v>14</v>
      </c>
      <c r="P1100" s="387" t="s">
        <v>538</v>
      </c>
      <c r="Q1100" s="387" t="s">
        <v>539</v>
      </c>
      <c r="R1100" s="387" t="s">
        <v>7696</v>
      </c>
      <c r="S1100" s="387" t="s">
        <v>171</v>
      </c>
      <c r="T1100" s="387" t="s">
        <v>1908</v>
      </c>
      <c r="U1100" s="388">
        <v>4300</v>
      </c>
      <c r="V1100" s="387">
        <v>6006352031109</v>
      </c>
      <c r="W1100" s="387" t="s">
        <v>543</v>
      </c>
      <c r="X1100" s="387" t="s">
        <v>543</v>
      </c>
      <c r="Y1100" s="387" t="s">
        <v>543</v>
      </c>
      <c r="Z1100" s="387" t="s">
        <v>543</v>
      </c>
      <c r="AA1100" s="388" t="s">
        <v>543</v>
      </c>
      <c r="AB1100" s="388" t="s">
        <v>543</v>
      </c>
      <c r="AC1100" s="387">
        <v>3002658001</v>
      </c>
      <c r="AD1100" s="389">
        <v>2</v>
      </c>
      <c r="AE1100" s="390">
        <v>44743</v>
      </c>
      <c r="AF1100" s="390">
        <v>45473</v>
      </c>
      <c r="AG1100" s="390">
        <v>45473</v>
      </c>
      <c r="AH1100" s="391" t="s">
        <v>7697</v>
      </c>
      <c r="AI1100" s="391" t="s">
        <v>679</v>
      </c>
      <c r="AJ1100" s="391">
        <v>10</v>
      </c>
      <c r="AK1100" s="390">
        <v>45047</v>
      </c>
      <c r="AL1100" s="389">
        <v>100</v>
      </c>
      <c r="AM1100" s="391" t="s">
        <v>548</v>
      </c>
      <c r="AN1100" s="391" t="s">
        <v>549</v>
      </c>
      <c r="AO1100" s="391" t="s">
        <v>7698</v>
      </c>
    </row>
    <row r="1101" spans="1:43" ht="16" thickBot="1">
      <c r="A1101" s="387" t="s">
        <v>2177</v>
      </c>
      <c r="B1101" s="387" t="s">
        <v>3381</v>
      </c>
      <c r="C1101" s="387" t="s">
        <v>7699</v>
      </c>
      <c r="D1101" s="387" t="s">
        <v>7700</v>
      </c>
      <c r="E1101" s="387">
        <v>20</v>
      </c>
      <c r="F1101" s="387" t="s">
        <v>2180</v>
      </c>
      <c r="G1101" s="387">
        <v>20</v>
      </c>
      <c r="H1101" s="387" t="s">
        <v>2180</v>
      </c>
      <c r="I1101" s="387" t="s">
        <v>3829</v>
      </c>
      <c r="J1101" s="387" t="s">
        <v>7701</v>
      </c>
      <c r="K1101" s="387" t="s">
        <v>7702</v>
      </c>
      <c r="L1101" s="387" t="s">
        <v>535</v>
      </c>
      <c r="M1101" s="387" t="s">
        <v>536</v>
      </c>
      <c r="N1101" s="388">
        <v>45.94</v>
      </c>
      <c r="O1101" s="388">
        <v>14</v>
      </c>
      <c r="P1101" s="387" t="s">
        <v>538</v>
      </c>
      <c r="Q1101" s="387" t="s">
        <v>539</v>
      </c>
      <c r="R1101" s="387" t="s">
        <v>7703</v>
      </c>
      <c r="S1101" s="387" t="s">
        <v>171</v>
      </c>
      <c r="T1101" s="387" t="s">
        <v>542</v>
      </c>
      <c r="U1101" s="388">
        <v>27311</v>
      </c>
      <c r="V1101" s="387">
        <v>6006891004022</v>
      </c>
      <c r="W1101" s="387">
        <v>6006891004022</v>
      </c>
      <c r="X1101" s="387" t="s">
        <v>543</v>
      </c>
      <c r="Y1101" s="387">
        <v>16006891004022</v>
      </c>
      <c r="Z1101" s="387" t="s">
        <v>543</v>
      </c>
      <c r="AA1101" s="388" t="s">
        <v>543</v>
      </c>
      <c r="AB1101" s="388" t="s">
        <v>543</v>
      </c>
      <c r="AC1101" s="387">
        <v>842591001</v>
      </c>
      <c r="AD1101" s="389">
        <v>24</v>
      </c>
      <c r="AE1101" s="390">
        <v>44013</v>
      </c>
      <c r="AF1101" s="390">
        <v>45107</v>
      </c>
      <c r="AG1101" s="390">
        <v>45107</v>
      </c>
      <c r="AH1101" s="391" t="s">
        <v>7704</v>
      </c>
      <c r="AI1101" s="391" t="s">
        <v>547</v>
      </c>
      <c r="AJ1101" s="391">
        <v>57</v>
      </c>
      <c r="AK1101" s="390">
        <v>45047</v>
      </c>
      <c r="AL1101" s="389">
        <v>100</v>
      </c>
      <c r="AM1101" s="391" t="s">
        <v>548</v>
      </c>
      <c r="AN1101" s="391" t="s">
        <v>545</v>
      </c>
      <c r="AO1101" s="391" t="s">
        <v>7705</v>
      </c>
    </row>
    <row r="1102" spans="1:43" ht="16" thickBot="1">
      <c r="A1102" s="387" t="s">
        <v>2166</v>
      </c>
      <c r="B1102" s="387" t="s">
        <v>5787</v>
      </c>
      <c r="C1102" s="387" t="s">
        <v>7706</v>
      </c>
      <c r="D1102" s="387" t="s">
        <v>7707</v>
      </c>
      <c r="E1102" s="387">
        <v>100</v>
      </c>
      <c r="F1102" s="387" t="s">
        <v>584</v>
      </c>
      <c r="G1102" s="387">
        <v>2.5</v>
      </c>
      <c r="H1102" s="387" t="s">
        <v>584</v>
      </c>
      <c r="I1102" s="387" t="s">
        <v>585</v>
      </c>
      <c r="J1102" s="387" t="s">
        <v>7701</v>
      </c>
      <c r="K1102" s="387" t="s">
        <v>7708</v>
      </c>
      <c r="L1102" s="387" t="s">
        <v>2559</v>
      </c>
      <c r="M1102" s="387" t="s">
        <v>2560</v>
      </c>
      <c r="N1102" s="388">
        <v>4370</v>
      </c>
      <c r="O1102" s="388">
        <v>14</v>
      </c>
      <c r="P1102" s="387" t="s">
        <v>538</v>
      </c>
      <c r="Q1102" s="387" t="s">
        <v>539</v>
      </c>
      <c r="R1102" s="387" t="s">
        <v>7703</v>
      </c>
      <c r="S1102" s="387" t="s">
        <v>171</v>
      </c>
      <c r="T1102" s="387" t="s">
        <v>1908</v>
      </c>
      <c r="U1102" s="388">
        <v>1940</v>
      </c>
      <c r="V1102" s="387">
        <v>6009880416325</v>
      </c>
      <c r="W1102" s="387">
        <v>814247020659</v>
      </c>
      <c r="X1102" s="387" t="s">
        <v>543</v>
      </c>
      <c r="Y1102" s="387" t="s">
        <v>543</v>
      </c>
      <c r="Z1102" s="387" t="s">
        <v>543</v>
      </c>
      <c r="AA1102" s="388" t="s">
        <v>543</v>
      </c>
      <c r="AB1102" s="388" t="s">
        <v>543</v>
      </c>
      <c r="AC1102" s="387" t="s">
        <v>7709</v>
      </c>
      <c r="AD1102" s="389">
        <v>2</v>
      </c>
      <c r="AE1102" s="390">
        <v>44743</v>
      </c>
      <c r="AF1102" s="390">
        <v>45473</v>
      </c>
      <c r="AG1102" s="391" t="s">
        <v>545</v>
      </c>
      <c r="AH1102" s="391" t="s">
        <v>7710</v>
      </c>
      <c r="AI1102" s="391" t="s">
        <v>2563</v>
      </c>
      <c r="AJ1102" s="391">
        <v>0</v>
      </c>
      <c r="AK1102" s="390">
        <v>44743</v>
      </c>
      <c r="AL1102" s="389">
        <v>100</v>
      </c>
      <c r="AM1102" s="391" t="s">
        <v>548</v>
      </c>
      <c r="AN1102" s="391" t="s">
        <v>549</v>
      </c>
      <c r="AO1102" s="391" t="s">
        <v>7711</v>
      </c>
    </row>
    <row r="1103" spans="1:43" ht="16" thickBot="1">
      <c r="A1103" s="387" t="s">
        <v>2294</v>
      </c>
      <c r="B1103" s="387" t="s">
        <v>1013</v>
      </c>
      <c r="C1103" s="387" t="s">
        <v>7712</v>
      </c>
      <c r="D1103" s="387" t="s">
        <v>7713</v>
      </c>
      <c r="E1103" s="387">
        <v>15</v>
      </c>
      <c r="F1103" s="387" t="s">
        <v>531</v>
      </c>
      <c r="G1103" s="387">
        <v>300</v>
      </c>
      <c r="H1103" s="387" t="s">
        <v>2297</v>
      </c>
      <c r="I1103" s="387" t="s">
        <v>2298</v>
      </c>
      <c r="J1103" s="387" t="s">
        <v>7714</v>
      </c>
      <c r="K1103" s="387" t="s">
        <v>7715</v>
      </c>
      <c r="L1103" s="387" t="s">
        <v>2365</v>
      </c>
      <c r="M1103" s="387" t="s">
        <v>2366</v>
      </c>
      <c r="N1103" s="388">
        <v>54.2</v>
      </c>
      <c r="O1103" s="388">
        <v>14</v>
      </c>
      <c r="P1103" s="387" t="s">
        <v>538</v>
      </c>
      <c r="Q1103" s="387" t="s">
        <v>539</v>
      </c>
      <c r="R1103" s="387" t="s">
        <v>7716</v>
      </c>
      <c r="S1103" s="387" t="s">
        <v>171</v>
      </c>
      <c r="T1103" s="387" t="s">
        <v>757</v>
      </c>
      <c r="U1103" s="388">
        <v>23738</v>
      </c>
      <c r="V1103" s="387">
        <v>6005667003559</v>
      </c>
      <c r="W1103" s="387">
        <v>16005667003556</v>
      </c>
      <c r="X1103" s="387" t="s">
        <v>543</v>
      </c>
      <c r="Y1103" s="387" t="s">
        <v>543</v>
      </c>
      <c r="Z1103" s="387" t="s">
        <v>543</v>
      </c>
      <c r="AA1103" s="388" t="s">
        <v>543</v>
      </c>
      <c r="AB1103" s="388" t="s">
        <v>543</v>
      </c>
      <c r="AC1103" s="387" t="s">
        <v>543</v>
      </c>
      <c r="AD1103" s="389">
        <v>1</v>
      </c>
      <c r="AE1103" s="390">
        <v>44013</v>
      </c>
      <c r="AF1103" s="390">
        <v>45107</v>
      </c>
      <c r="AG1103" s="390">
        <v>45107</v>
      </c>
      <c r="AH1103" s="391" t="s">
        <v>7717</v>
      </c>
      <c r="AI1103" s="391" t="s">
        <v>2369</v>
      </c>
      <c r="AJ1103" s="391">
        <v>56</v>
      </c>
      <c r="AK1103" s="390">
        <v>44774</v>
      </c>
      <c r="AL1103" s="389">
        <v>100</v>
      </c>
      <c r="AM1103" s="391" t="s">
        <v>548</v>
      </c>
      <c r="AN1103" s="391" t="s">
        <v>545</v>
      </c>
      <c r="AO1103" s="391" t="s">
        <v>7718</v>
      </c>
    </row>
    <row r="1104" spans="1:43" ht="16" thickBot="1">
      <c r="A1104" s="387" t="s">
        <v>2177</v>
      </c>
      <c r="B1104" s="387" t="s">
        <v>3482</v>
      </c>
      <c r="C1104" s="387" t="s">
        <v>7719</v>
      </c>
      <c r="D1104" s="387" t="s">
        <v>7720</v>
      </c>
      <c r="E1104" s="387">
        <v>250</v>
      </c>
      <c r="F1104" s="387" t="s">
        <v>531</v>
      </c>
      <c r="G1104" s="387">
        <v>250</v>
      </c>
      <c r="H1104" s="387" t="s">
        <v>531</v>
      </c>
      <c r="I1104" s="387" t="s">
        <v>3829</v>
      </c>
      <c r="J1104" s="387" t="s">
        <v>7721</v>
      </c>
      <c r="K1104" s="387" t="s">
        <v>7722</v>
      </c>
      <c r="L1104" s="387" t="s">
        <v>3832</v>
      </c>
      <c r="M1104" s="387" t="s">
        <v>3833</v>
      </c>
      <c r="N1104" s="388">
        <v>13.36</v>
      </c>
      <c r="O1104" s="388">
        <v>14</v>
      </c>
      <c r="P1104" s="387" t="s">
        <v>379</v>
      </c>
      <c r="Q1104" s="387" t="s">
        <v>160</v>
      </c>
      <c r="R1104" s="387" t="s">
        <v>1745</v>
      </c>
      <c r="S1104" s="387" t="s">
        <v>160</v>
      </c>
      <c r="T1104" s="387" t="s">
        <v>160</v>
      </c>
      <c r="U1104" s="388">
        <v>154880</v>
      </c>
      <c r="V1104" s="387" t="s">
        <v>543</v>
      </c>
      <c r="W1104" s="387" t="s">
        <v>543</v>
      </c>
      <c r="X1104" s="387" t="s">
        <v>543</v>
      </c>
      <c r="Y1104" s="387" t="s">
        <v>543</v>
      </c>
      <c r="Z1104" s="387" t="s">
        <v>543</v>
      </c>
      <c r="AA1104" s="388" t="s">
        <v>543</v>
      </c>
      <c r="AB1104" s="388" t="s">
        <v>543</v>
      </c>
      <c r="AC1104" s="387" t="s">
        <v>543</v>
      </c>
      <c r="AD1104" s="389">
        <v>5</v>
      </c>
      <c r="AE1104" s="390">
        <v>44013</v>
      </c>
      <c r="AF1104" s="390">
        <v>45107</v>
      </c>
      <c r="AG1104" s="390">
        <v>45107</v>
      </c>
      <c r="AH1104" s="391" t="s">
        <v>7723</v>
      </c>
      <c r="AI1104" s="391" t="s">
        <v>3835</v>
      </c>
      <c r="AJ1104" s="391">
        <v>53</v>
      </c>
      <c r="AK1104" s="390">
        <v>44950</v>
      </c>
      <c r="AL1104" s="389">
        <v>100</v>
      </c>
      <c r="AM1104" s="391" t="s">
        <v>548</v>
      </c>
      <c r="AN1104" s="391" t="s">
        <v>545</v>
      </c>
      <c r="AO1104" s="391" t="s">
        <v>7724</v>
      </c>
    </row>
    <row r="1105" spans="1:43" ht="16" thickBot="1">
      <c r="A1105" s="387" t="s">
        <v>2177</v>
      </c>
      <c r="B1105" s="387" t="s">
        <v>3490</v>
      </c>
      <c r="C1105" s="387" t="s">
        <v>7725</v>
      </c>
      <c r="D1105" s="387" t="s">
        <v>7726</v>
      </c>
      <c r="E1105" s="387">
        <v>300</v>
      </c>
      <c r="F1105" s="387" t="s">
        <v>531</v>
      </c>
      <c r="G1105" s="387">
        <v>300</v>
      </c>
      <c r="H1105" s="387" t="s">
        <v>531</v>
      </c>
      <c r="I1105" s="387" t="s">
        <v>3829</v>
      </c>
      <c r="J1105" s="387" t="s">
        <v>7727</v>
      </c>
      <c r="K1105" s="387" t="s">
        <v>7728</v>
      </c>
      <c r="L1105" s="387" t="s">
        <v>5454</v>
      </c>
      <c r="M1105" s="387" t="s">
        <v>5455</v>
      </c>
      <c r="N1105" s="388">
        <v>12.3</v>
      </c>
      <c r="O1105" s="388">
        <v>14</v>
      </c>
      <c r="P1105" s="387" t="s">
        <v>379</v>
      </c>
      <c r="Q1105" s="387" t="s">
        <v>160</v>
      </c>
      <c r="R1105" s="387" t="s">
        <v>1745</v>
      </c>
      <c r="S1105" s="387" t="s">
        <v>160</v>
      </c>
      <c r="T1105" s="387" t="s">
        <v>160</v>
      </c>
      <c r="U1105" s="388">
        <v>154150</v>
      </c>
      <c r="V1105" s="387">
        <v>6009626860894</v>
      </c>
      <c r="W1105" s="387">
        <v>16009626860891</v>
      </c>
      <c r="X1105" s="387" t="s">
        <v>543</v>
      </c>
      <c r="Y1105" s="387" t="s">
        <v>543</v>
      </c>
      <c r="Z1105" s="387" t="s">
        <v>543</v>
      </c>
      <c r="AA1105" s="388" t="s">
        <v>543</v>
      </c>
      <c r="AB1105" s="388" t="s">
        <v>543</v>
      </c>
      <c r="AC1105" s="387" t="s">
        <v>543</v>
      </c>
      <c r="AD1105" s="389" t="s">
        <v>7729</v>
      </c>
      <c r="AE1105" s="390">
        <v>44013</v>
      </c>
      <c r="AF1105" s="390">
        <v>45107</v>
      </c>
      <c r="AG1105" s="390">
        <v>45107</v>
      </c>
      <c r="AH1105" s="391" t="s">
        <v>7730</v>
      </c>
      <c r="AI1105" s="391" t="s">
        <v>5458</v>
      </c>
      <c r="AJ1105" s="391">
        <v>0</v>
      </c>
      <c r="AK1105" s="390">
        <v>44013</v>
      </c>
      <c r="AL1105" s="389">
        <v>100</v>
      </c>
      <c r="AM1105" s="391" t="s">
        <v>548</v>
      </c>
      <c r="AN1105" s="391" t="s">
        <v>545</v>
      </c>
      <c r="AO1105" s="391" t="s">
        <v>7731</v>
      </c>
    </row>
    <row r="1106" spans="1:43" ht="16" thickBot="1">
      <c r="A1106" s="387" t="s">
        <v>7732</v>
      </c>
      <c r="B1106" s="387" t="s">
        <v>615</v>
      </c>
      <c r="C1106" s="387" t="s">
        <v>7733</v>
      </c>
      <c r="D1106" s="387" t="s">
        <v>7734</v>
      </c>
      <c r="E1106" s="387">
        <v>20</v>
      </c>
      <c r="F1106" s="387" t="s">
        <v>2405</v>
      </c>
      <c r="G1106" s="387">
        <v>20</v>
      </c>
      <c r="H1106" s="387" t="s">
        <v>2405</v>
      </c>
      <c r="I1106" s="387" t="s">
        <v>1751</v>
      </c>
      <c r="J1106" s="387" t="s">
        <v>7735</v>
      </c>
      <c r="K1106" s="387" t="s">
        <v>7736</v>
      </c>
      <c r="L1106" s="387" t="s">
        <v>7737</v>
      </c>
      <c r="M1106" s="387" t="s">
        <v>7738</v>
      </c>
      <c r="N1106" s="388">
        <v>91.05</v>
      </c>
      <c r="O1106" s="388">
        <v>14</v>
      </c>
      <c r="P1106" s="387" t="s">
        <v>538</v>
      </c>
      <c r="Q1106" s="387" t="s">
        <v>539</v>
      </c>
      <c r="R1106" s="387" t="s">
        <v>7739</v>
      </c>
      <c r="S1106" s="387" t="s">
        <v>541</v>
      </c>
      <c r="T1106" s="387" t="s">
        <v>542</v>
      </c>
      <c r="U1106" s="388">
        <v>1164560</v>
      </c>
      <c r="V1106" s="387">
        <v>6006750000462</v>
      </c>
      <c r="W1106" s="387" t="s">
        <v>543</v>
      </c>
      <c r="X1106" s="387" t="s">
        <v>543</v>
      </c>
      <c r="Y1106" s="387" t="s">
        <v>543</v>
      </c>
      <c r="Z1106" s="387" t="s">
        <v>543</v>
      </c>
      <c r="AA1106" s="388" t="s">
        <v>543</v>
      </c>
      <c r="AB1106" s="388" t="s">
        <v>543</v>
      </c>
      <c r="AC1106" s="387">
        <v>872962008</v>
      </c>
      <c r="AD1106" s="389">
        <v>10</v>
      </c>
      <c r="AE1106" s="390">
        <v>44013</v>
      </c>
      <c r="AF1106" s="390">
        <v>45291</v>
      </c>
      <c r="AG1106" s="390">
        <v>45291</v>
      </c>
      <c r="AH1106" s="391" t="s">
        <v>7740</v>
      </c>
      <c r="AI1106" s="391" t="s">
        <v>7741</v>
      </c>
      <c r="AJ1106" s="391">
        <v>21</v>
      </c>
      <c r="AK1106" s="390">
        <v>45017</v>
      </c>
      <c r="AL1106" s="389">
        <v>100</v>
      </c>
      <c r="AM1106" s="391" t="s">
        <v>548</v>
      </c>
      <c r="AN1106" s="391" t="s">
        <v>545</v>
      </c>
      <c r="AO1106" s="391" t="s">
        <v>7742</v>
      </c>
    </row>
    <row r="1107" spans="1:43" ht="16" thickBot="1">
      <c r="A1107" s="387" t="s">
        <v>7743</v>
      </c>
      <c r="B1107" s="387" t="s">
        <v>637</v>
      </c>
      <c r="C1107" s="387" t="s">
        <v>7744</v>
      </c>
      <c r="D1107" s="387" t="s">
        <v>7745</v>
      </c>
      <c r="E1107" s="387">
        <v>10</v>
      </c>
      <c r="F1107" s="387" t="s">
        <v>2405</v>
      </c>
      <c r="G1107" s="387">
        <v>10</v>
      </c>
      <c r="H1107" s="387" t="s">
        <v>2405</v>
      </c>
      <c r="I1107" s="387" t="s">
        <v>1751</v>
      </c>
      <c r="J1107" s="387" t="s">
        <v>7746</v>
      </c>
      <c r="K1107" s="387" t="s">
        <v>7747</v>
      </c>
      <c r="L1107" s="387" t="s">
        <v>1819</v>
      </c>
      <c r="M1107" s="387" t="s">
        <v>1820</v>
      </c>
      <c r="N1107" s="388">
        <v>179.56</v>
      </c>
      <c r="O1107" s="388">
        <v>14</v>
      </c>
      <c r="P1107" s="387" t="s">
        <v>538</v>
      </c>
      <c r="Q1107" s="387" t="s">
        <v>539</v>
      </c>
      <c r="R1107" s="387" t="s">
        <v>7748</v>
      </c>
      <c r="S1107" s="387" t="s">
        <v>541</v>
      </c>
      <c r="T1107" s="387" t="s">
        <v>542</v>
      </c>
      <c r="U1107" s="388">
        <v>1858650</v>
      </c>
      <c r="V1107" s="387">
        <v>8901213051266</v>
      </c>
      <c r="W1107" s="387">
        <v>28901213051260</v>
      </c>
      <c r="X1107" s="387" t="s">
        <v>543</v>
      </c>
      <c r="Y1107" s="387">
        <v>58901213051261</v>
      </c>
      <c r="Z1107" s="387" t="s">
        <v>543</v>
      </c>
      <c r="AA1107" s="388" t="s">
        <v>543</v>
      </c>
      <c r="AB1107" s="388" t="s">
        <v>543</v>
      </c>
      <c r="AC1107" s="387" t="s">
        <v>543</v>
      </c>
      <c r="AD1107" s="389">
        <v>10</v>
      </c>
      <c r="AE1107" s="390">
        <v>44013</v>
      </c>
      <c r="AF1107" s="390">
        <v>45291</v>
      </c>
      <c r="AG1107" s="390">
        <v>45291</v>
      </c>
      <c r="AH1107" s="391" t="s">
        <v>7749</v>
      </c>
      <c r="AI1107" s="391" t="s">
        <v>1823</v>
      </c>
      <c r="AJ1107" s="391">
        <v>10</v>
      </c>
      <c r="AK1107" s="390">
        <v>44743</v>
      </c>
      <c r="AL1107" s="389">
        <v>100</v>
      </c>
      <c r="AM1107" s="391" t="s">
        <v>548</v>
      </c>
      <c r="AN1107" s="391" t="s">
        <v>545</v>
      </c>
      <c r="AO1107" s="391" t="s">
        <v>7750</v>
      </c>
    </row>
    <row r="1108" spans="1:43" ht="16" thickBot="1">
      <c r="A1108" s="387" t="s">
        <v>7732</v>
      </c>
      <c r="B1108" s="387" t="s">
        <v>581</v>
      </c>
      <c r="C1108" s="387" t="s">
        <v>7751</v>
      </c>
      <c r="D1108" s="387" t="s">
        <v>7752</v>
      </c>
      <c r="E1108" s="387">
        <v>1</v>
      </c>
      <c r="F1108" s="387" t="s">
        <v>2405</v>
      </c>
      <c r="G1108" s="387">
        <v>1</v>
      </c>
      <c r="H1108" s="387" t="s">
        <v>2405</v>
      </c>
      <c r="I1108" s="387" t="s">
        <v>3734</v>
      </c>
      <c r="J1108" s="387" t="s">
        <v>7753</v>
      </c>
      <c r="K1108" s="387" t="s">
        <v>7754</v>
      </c>
      <c r="L1108" s="387" t="s">
        <v>7737</v>
      </c>
      <c r="M1108" s="387" t="s">
        <v>7738</v>
      </c>
      <c r="N1108" s="388">
        <v>362.48</v>
      </c>
      <c r="O1108" s="388">
        <v>14</v>
      </c>
      <c r="P1108" s="387" t="s">
        <v>538</v>
      </c>
      <c r="Q1108" s="387" t="s">
        <v>539</v>
      </c>
      <c r="R1108" s="387" t="s">
        <v>7755</v>
      </c>
      <c r="S1108" s="387" t="s">
        <v>541</v>
      </c>
      <c r="T1108" s="387" t="s">
        <v>542</v>
      </c>
      <c r="U1108" s="388">
        <v>19564650</v>
      </c>
      <c r="V1108" s="387">
        <v>6009609472533</v>
      </c>
      <c r="W1108" s="387">
        <v>6009609472533</v>
      </c>
      <c r="X1108" s="387" t="s">
        <v>543</v>
      </c>
      <c r="Y1108" s="387" t="s">
        <v>543</v>
      </c>
      <c r="Z1108" s="387" t="s">
        <v>543</v>
      </c>
      <c r="AA1108" s="388" t="s">
        <v>543</v>
      </c>
      <c r="AB1108" s="388" t="s">
        <v>543</v>
      </c>
      <c r="AC1108" s="387">
        <v>719637001</v>
      </c>
      <c r="AD1108" s="389">
        <v>10</v>
      </c>
      <c r="AE1108" s="390">
        <v>44013</v>
      </c>
      <c r="AF1108" s="390">
        <v>45291</v>
      </c>
      <c r="AG1108" s="390">
        <v>45291</v>
      </c>
      <c r="AH1108" s="391" t="s">
        <v>7756</v>
      </c>
      <c r="AI1108" s="391" t="s">
        <v>7741</v>
      </c>
      <c r="AJ1108" s="391">
        <v>21</v>
      </c>
      <c r="AK1108" s="390">
        <v>45017</v>
      </c>
      <c r="AL1108" s="389">
        <v>100</v>
      </c>
      <c r="AM1108" s="391" t="s">
        <v>548</v>
      </c>
      <c r="AN1108" s="391" t="s">
        <v>545</v>
      </c>
      <c r="AO1108" s="391" t="s">
        <v>7757</v>
      </c>
    </row>
    <row r="1109" spans="1:43" ht="16" thickBot="1">
      <c r="A1109" s="387" t="s">
        <v>2601</v>
      </c>
      <c r="B1109" s="387" t="s">
        <v>643</v>
      </c>
      <c r="C1109" s="387" t="s">
        <v>7758</v>
      </c>
      <c r="D1109" s="387" t="s">
        <v>7759</v>
      </c>
      <c r="E1109" s="387">
        <v>1</v>
      </c>
      <c r="F1109" s="387" t="s">
        <v>2405</v>
      </c>
      <c r="G1109" s="387">
        <v>1</v>
      </c>
      <c r="H1109" s="387" t="s">
        <v>2405</v>
      </c>
      <c r="I1109" s="387" t="s">
        <v>1751</v>
      </c>
      <c r="J1109" s="387" t="s">
        <v>7760</v>
      </c>
      <c r="K1109" s="387" t="s">
        <v>7761</v>
      </c>
      <c r="L1109" s="387" t="s">
        <v>675</v>
      </c>
      <c r="M1109" s="387" t="s">
        <v>676</v>
      </c>
      <c r="N1109" s="388">
        <v>67.55</v>
      </c>
      <c r="O1109" s="388">
        <v>14</v>
      </c>
      <c r="P1109" s="387" t="s">
        <v>538</v>
      </c>
      <c r="Q1109" s="387" t="s">
        <v>539</v>
      </c>
      <c r="R1109" s="387" t="s">
        <v>7762</v>
      </c>
      <c r="S1109" s="387" t="s">
        <v>541</v>
      </c>
      <c r="T1109" s="387" t="s">
        <v>542</v>
      </c>
      <c r="U1109" s="388">
        <v>165817</v>
      </c>
      <c r="V1109" s="387">
        <v>6006352037491</v>
      </c>
      <c r="W1109" s="387" t="s">
        <v>543</v>
      </c>
      <c r="X1109" s="387" t="s">
        <v>543</v>
      </c>
      <c r="Y1109" s="387" t="s">
        <v>543</v>
      </c>
      <c r="Z1109" s="387" t="s">
        <v>543</v>
      </c>
      <c r="AA1109" s="388" t="s">
        <v>543</v>
      </c>
      <c r="AB1109" s="388" t="s">
        <v>543</v>
      </c>
      <c r="AC1109" s="387" t="s">
        <v>543</v>
      </c>
      <c r="AD1109" s="389">
        <v>50</v>
      </c>
      <c r="AE1109" s="390">
        <v>44927</v>
      </c>
      <c r="AF1109" s="390">
        <v>45657</v>
      </c>
      <c r="AG1109" s="390">
        <v>45657</v>
      </c>
      <c r="AH1109" s="391" t="s">
        <v>7763</v>
      </c>
      <c r="AI1109" s="391" t="s">
        <v>679</v>
      </c>
      <c r="AJ1109" s="391">
        <v>1</v>
      </c>
      <c r="AK1109" s="390">
        <v>45047</v>
      </c>
      <c r="AL1109" s="389">
        <v>100</v>
      </c>
      <c r="AM1109" s="391" t="s">
        <v>548</v>
      </c>
      <c r="AN1109" s="391" t="s">
        <v>549</v>
      </c>
      <c r="AO1109" s="391" t="s">
        <v>7764</v>
      </c>
    </row>
    <row r="1110" spans="1:43" ht="16" thickBot="1">
      <c r="A1110" s="387" t="s">
        <v>7732</v>
      </c>
      <c r="B1110" s="387" t="s">
        <v>784</v>
      </c>
      <c r="C1110" s="387" t="s">
        <v>7765</v>
      </c>
      <c r="D1110" s="387" t="s">
        <v>7766</v>
      </c>
      <c r="E1110" s="387">
        <v>10</v>
      </c>
      <c r="F1110" s="387" t="s">
        <v>2405</v>
      </c>
      <c r="G1110" s="387">
        <v>1</v>
      </c>
      <c r="H1110" s="387" t="s">
        <v>2405</v>
      </c>
      <c r="I1110" s="387" t="s">
        <v>1751</v>
      </c>
      <c r="J1110" s="387" t="s">
        <v>7767</v>
      </c>
      <c r="K1110" s="387" t="s">
        <v>7768</v>
      </c>
      <c r="L1110" s="387" t="s">
        <v>7737</v>
      </c>
      <c r="M1110" s="387" t="s">
        <v>7738</v>
      </c>
      <c r="N1110" s="388">
        <v>113.11</v>
      </c>
      <c r="O1110" s="388">
        <v>14</v>
      </c>
      <c r="P1110" s="387" t="s">
        <v>538</v>
      </c>
      <c r="Q1110" s="387" t="s">
        <v>539</v>
      </c>
      <c r="R1110" s="387" t="s">
        <v>7762</v>
      </c>
      <c r="S1110" s="387" t="s">
        <v>541</v>
      </c>
      <c r="T1110" s="387" t="s">
        <v>542</v>
      </c>
      <c r="U1110" s="388">
        <v>619550</v>
      </c>
      <c r="V1110" s="387">
        <v>6006750001452</v>
      </c>
      <c r="W1110" s="387">
        <v>6006750001452</v>
      </c>
      <c r="X1110" s="387" t="s">
        <v>543</v>
      </c>
      <c r="Y1110" s="387" t="s">
        <v>543</v>
      </c>
      <c r="Z1110" s="387" t="s">
        <v>543</v>
      </c>
      <c r="AA1110" s="388" t="s">
        <v>543</v>
      </c>
      <c r="AB1110" s="388" t="s">
        <v>543</v>
      </c>
      <c r="AC1110" s="387">
        <v>7016580001</v>
      </c>
      <c r="AD1110" s="389">
        <v>10</v>
      </c>
      <c r="AE1110" s="390">
        <v>44013</v>
      </c>
      <c r="AF1110" s="390">
        <v>45291</v>
      </c>
      <c r="AG1110" s="390">
        <v>45291</v>
      </c>
      <c r="AH1110" s="391" t="s">
        <v>7769</v>
      </c>
      <c r="AI1110" s="391" t="s">
        <v>7741</v>
      </c>
      <c r="AJ1110" s="391">
        <v>21</v>
      </c>
      <c r="AK1110" s="390">
        <v>45017</v>
      </c>
      <c r="AL1110" s="389">
        <v>100</v>
      </c>
      <c r="AM1110" s="391" t="s">
        <v>548</v>
      </c>
      <c r="AN1110" s="391" t="s">
        <v>545</v>
      </c>
      <c r="AO1110" s="391" t="s">
        <v>7770</v>
      </c>
    </row>
    <row r="1111" spans="1:43" ht="16" thickBot="1">
      <c r="A1111" s="387" t="s">
        <v>7732</v>
      </c>
      <c r="B1111" s="387" t="s">
        <v>556</v>
      </c>
      <c r="C1111" s="387" t="s">
        <v>7771</v>
      </c>
      <c r="D1111" s="387" t="s">
        <v>7772</v>
      </c>
      <c r="E1111" s="387">
        <v>2</v>
      </c>
      <c r="F1111" s="387" t="s">
        <v>2405</v>
      </c>
      <c r="G1111" s="387">
        <v>2</v>
      </c>
      <c r="H1111" s="387" t="s">
        <v>2405</v>
      </c>
      <c r="I1111" s="387" t="s">
        <v>1751</v>
      </c>
      <c r="J1111" s="387" t="s">
        <v>7773</v>
      </c>
      <c r="K1111" s="387" t="s">
        <v>7774</v>
      </c>
      <c r="L1111" s="387" t="s">
        <v>7775</v>
      </c>
      <c r="M1111" s="387" t="s">
        <v>7776</v>
      </c>
      <c r="N1111" s="388">
        <v>359.54</v>
      </c>
      <c r="O1111" s="388">
        <v>14</v>
      </c>
      <c r="P1111" s="387" t="s">
        <v>538</v>
      </c>
      <c r="Q1111" s="387" t="s">
        <v>539</v>
      </c>
      <c r="R1111" s="387" t="s">
        <v>7777</v>
      </c>
      <c r="S1111" s="387" t="s">
        <v>541</v>
      </c>
      <c r="T1111" s="387" t="s">
        <v>542</v>
      </c>
      <c r="U1111" s="388">
        <v>3405900</v>
      </c>
      <c r="V1111" s="387" t="s">
        <v>543</v>
      </c>
      <c r="W1111" s="387" t="s">
        <v>543</v>
      </c>
      <c r="X1111" s="387" t="s">
        <v>543</v>
      </c>
      <c r="Y1111" s="387" t="s">
        <v>543</v>
      </c>
      <c r="Z1111" s="387" t="s">
        <v>543</v>
      </c>
      <c r="AA1111" s="388" t="s">
        <v>543</v>
      </c>
      <c r="AB1111" s="388" t="s">
        <v>543</v>
      </c>
      <c r="AC1111" s="387" t="s">
        <v>543</v>
      </c>
      <c r="AD1111" s="389">
        <v>100</v>
      </c>
      <c r="AE1111" s="390">
        <v>44013</v>
      </c>
      <c r="AF1111" s="390">
        <v>45291</v>
      </c>
      <c r="AG1111" s="390">
        <v>45291</v>
      </c>
      <c r="AH1111" s="391" t="s">
        <v>7778</v>
      </c>
      <c r="AI1111" s="391" t="s">
        <v>7779</v>
      </c>
      <c r="AJ1111" s="391">
        <v>20</v>
      </c>
      <c r="AK1111" s="390">
        <v>45017</v>
      </c>
      <c r="AL1111" s="389">
        <v>100</v>
      </c>
      <c r="AM1111" s="391" t="s">
        <v>548</v>
      </c>
      <c r="AN1111" s="391" t="s">
        <v>545</v>
      </c>
      <c r="AO1111" s="391" t="s">
        <v>7780</v>
      </c>
    </row>
    <row r="1112" spans="1:43" ht="16" thickBot="1">
      <c r="A1112" s="387" t="s">
        <v>2601</v>
      </c>
      <c r="B1112" s="387" t="s">
        <v>970</v>
      </c>
      <c r="C1112" s="387" t="s">
        <v>7781</v>
      </c>
      <c r="D1112" s="387" t="s">
        <v>7782</v>
      </c>
      <c r="E1112" s="387">
        <v>1</v>
      </c>
      <c r="F1112" s="387" t="s">
        <v>2405</v>
      </c>
      <c r="G1112" s="387">
        <v>1</v>
      </c>
      <c r="H1112" s="387" t="s">
        <v>2405</v>
      </c>
      <c r="I1112" s="387" t="s">
        <v>3734</v>
      </c>
      <c r="J1112" s="387" t="s">
        <v>7783</v>
      </c>
      <c r="K1112" s="387" t="s">
        <v>7784</v>
      </c>
      <c r="L1112" s="387" t="s">
        <v>4782</v>
      </c>
      <c r="M1112" s="387" t="s">
        <v>4783</v>
      </c>
      <c r="N1112" s="388">
        <v>59.67</v>
      </c>
      <c r="O1112" s="388">
        <v>14</v>
      </c>
      <c r="P1112" s="387" t="s">
        <v>538</v>
      </c>
      <c r="Q1112" s="387" t="s">
        <v>539</v>
      </c>
      <c r="R1112" s="387" t="s">
        <v>7785</v>
      </c>
      <c r="S1112" s="387" t="s">
        <v>541</v>
      </c>
      <c r="T1112" s="387" t="s">
        <v>542</v>
      </c>
      <c r="U1112" s="388">
        <v>2015110</v>
      </c>
      <c r="V1112" s="387">
        <v>6005944000127</v>
      </c>
      <c r="W1112" s="387">
        <v>6005944000127</v>
      </c>
      <c r="X1112" s="387" t="s">
        <v>543</v>
      </c>
      <c r="Y1112" s="387">
        <v>6005944000127</v>
      </c>
      <c r="Z1112" s="387" t="s">
        <v>543</v>
      </c>
      <c r="AA1112" s="388" t="s">
        <v>543</v>
      </c>
      <c r="AB1112" s="388" t="s">
        <v>543</v>
      </c>
      <c r="AC1112" s="387">
        <v>732826004</v>
      </c>
      <c r="AD1112" s="389">
        <v>5</v>
      </c>
      <c r="AE1112" s="390">
        <v>44927</v>
      </c>
      <c r="AF1112" s="390">
        <v>45657</v>
      </c>
      <c r="AG1112" s="391" t="s">
        <v>545</v>
      </c>
      <c r="AH1112" s="391" t="s">
        <v>7786</v>
      </c>
      <c r="AI1112" s="391" t="s">
        <v>4786</v>
      </c>
      <c r="AJ1112" s="391">
        <v>0</v>
      </c>
      <c r="AK1112" s="390">
        <v>44927</v>
      </c>
      <c r="AL1112" s="389">
        <v>100</v>
      </c>
      <c r="AM1112" s="391" t="s">
        <v>548</v>
      </c>
      <c r="AN1112" s="391" t="s">
        <v>549</v>
      </c>
      <c r="AO1112" s="391" t="s">
        <v>7787</v>
      </c>
      <c r="AP1112" s="372">
        <f>N1112</f>
        <v>59.67</v>
      </c>
      <c r="AQ1112" s="372">
        <f>AP1112</f>
        <v>59.67</v>
      </c>
    </row>
    <row r="1113" spans="1:43" ht="16" thickBot="1">
      <c r="A1113" s="387" t="s">
        <v>7732</v>
      </c>
      <c r="B1113" s="387" t="s">
        <v>1027</v>
      </c>
      <c r="C1113" s="387" t="s">
        <v>7788</v>
      </c>
      <c r="D1113" s="387" t="s">
        <v>7789</v>
      </c>
      <c r="E1113" s="387">
        <v>10</v>
      </c>
      <c r="F1113" s="387" t="s">
        <v>2405</v>
      </c>
      <c r="G1113" s="387">
        <v>10</v>
      </c>
      <c r="H1113" s="387" t="s">
        <v>2405</v>
      </c>
      <c r="I1113" s="387" t="s">
        <v>1751</v>
      </c>
      <c r="J1113" s="387" t="s">
        <v>7790</v>
      </c>
      <c r="K1113" s="387" t="s">
        <v>7791</v>
      </c>
      <c r="L1113" s="387" t="s">
        <v>7737</v>
      </c>
      <c r="M1113" s="387" t="s">
        <v>7738</v>
      </c>
      <c r="N1113" s="388">
        <v>149.49</v>
      </c>
      <c r="O1113" s="388">
        <v>14</v>
      </c>
      <c r="P1113" s="387" t="s">
        <v>538</v>
      </c>
      <c r="Q1113" s="387" t="s">
        <v>539</v>
      </c>
      <c r="R1113" s="387" t="s">
        <v>7792</v>
      </c>
      <c r="S1113" s="387" t="s">
        <v>541</v>
      </c>
      <c r="T1113" s="387" t="s">
        <v>542</v>
      </c>
      <c r="U1113" s="388">
        <v>2068260</v>
      </c>
      <c r="V1113" s="387">
        <v>6009704780045</v>
      </c>
      <c r="W1113" s="387">
        <v>6009704780045</v>
      </c>
      <c r="X1113" s="387" t="s">
        <v>543</v>
      </c>
      <c r="Y1113" s="387" t="s">
        <v>543</v>
      </c>
      <c r="Z1113" s="387" t="s">
        <v>543</v>
      </c>
      <c r="AA1113" s="388" t="s">
        <v>543</v>
      </c>
      <c r="AB1113" s="388" t="s">
        <v>543</v>
      </c>
      <c r="AC1113" s="387">
        <v>722290001</v>
      </c>
      <c r="AD1113" s="389">
        <v>10</v>
      </c>
      <c r="AE1113" s="390">
        <v>44013</v>
      </c>
      <c r="AF1113" s="390">
        <v>45291</v>
      </c>
      <c r="AG1113" s="390">
        <v>45291</v>
      </c>
      <c r="AH1113" s="391" t="s">
        <v>7793</v>
      </c>
      <c r="AI1113" s="391" t="s">
        <v>7741</v>
      </c>
      <c r="AJ1113" s="391">
        <v>21</v>
      </c>
      <c r="AK1113" s="390">
        <v>45017</v>
      </c>
      <c r="AL1113" s="389">
        <v>100</v>
      </c>
      <c r="AM1113" s="391" t="s">
        <v>548</v>
      </c>
      <c r="AN1113" s="391" t="s">
        <v>545</v>
      </c>
      <c r="AO1113" s="391" t="s">
        <v>7794</v>
      </c>
    </row>
    <row r="1114" spans="1:43" ht="16" thickBot="1">
      <c r="A1114" s="387" t="s">
        <v>2601</v>
      </c>
      <c r="B1114" s="387" t="s">
        <v>1001</v>
      </c>
      <c r="C1114" s="387" t="s">
        <v>7795</v>
      </c>
      <c r="D1114" s="387" t="s">
        <v>7796</v>
      </c>
      <c r="E1114" s="387">
        <v>1</v>
      </c>
      <c r="F1114" s="387" t="s">
        <v>2405</v>
      </c>
      <c r="G1114" s="387">
        <v>1</v>
      </c>
      <c r="H1114" s="387" t="s">
        <v>2405</v>
      </c>
      <c r="I1114" s="387" t="s">
        <v>1751</v>
      </c>
      <c r="J1114" s="387" t="s">
        <v>7797</v>
      </c>
      <c r="K1114" s="387" t="s">
        <v>7798</v>
      </c>
      <c r="L1114" s="387" t="s">
        <v>1819</v>
      </c>
      <c r="M1114" s="387" t="s">
        <v>1820</v>
      </c>
      <c r="N1114" s="388">
        <v>445.19</v>
      </c>
      <c r="O1114" s="388">
        <v>14</v>
      </c>
      <c r="P1114" s="387" t="s">
        <v>538</v>
      </c>
      <c r="Q1114" s="387" t="s">
        <v>539</v>
      </c>
      <c r="R1114" s="387" t="s">
        <v>7799</v>
      </c>
      <c r="S1114" s="387" t="s">
        <v>541</v>
      </c>
      <c r="T1114" s="387" t="s">
        <v>757</v>
      </c>
      <c r="U1114" s="388">
        <v>21535</v>
      </c>
      <c r="V1114" s="387" t="s">
        <v>543</v>
      </c>
      <c r="W1114" s="387" t="s">
        <v>543</v>
      </c>
      <c r="X1114" s="387" t="s">
        <v>543</v>
      </c>
      <c r="Y1114" s="387" t="s">
        <v>543</v>
      </c>
      <c r="Z1114" s="387" t="s">
        <v>543</v>
      </c>
      <c r="AA1114" s="388" t="s">
        <v>543</v>
      </c>
      <c r="AB1114" s="388" t="s">
        <v>543</v>
      </c>
      <c r="AC1114" s="387">
        <v>720708001</v>
      </c>
      <c r="AD1114" s="389">
        <v>1</v>
      </c>
      <c r="AE1114" s="390">
        <v>44927</v>
      </c>
      <c r="AF1114" s="390">
        <v>45657</v>
      </c>
      <c r="AG1114" s="391" t="s">
        <v>545</v>
      </c>
      <c r="AH1114" s="391" t="s">
        <v>7800</v>
      </c>
      <c r="AI1114" s="391" t="s">
        <v>1823</v>
      </c>
      <c r="AJ1114" s="391">
        <v>0</v>
      </c>
      <c r="AK1114" s="390">
        <v>44927</v>
      </c>
      <c r="AL1114" s="389">
        <v>100</v>
      </c>
      <c r="AM1114" s="391" t="s">
        <v>548</v>
      </c>
      <c r="AN1114" s="391" t="s">
        <v>549</v>
      </c>
      <c r="AO1114" s="391" t="s">
        <v>7801</v>
      </c>
    </row>
    <row r="1115" spans="1:43" ht="16" thickBot="1">
      <c r="A1115" s="387" t="s">
        <v>1835</v>
      </c>
      <c r="B1115" s="387" t="s">
        <v>967</v>
      </c>
      <c r="C1115" s="387" t="s">
        <v>7802</v>
      </c>
      <c r="D1115" s="387" t="s">
        <v>7803</v>
      </c>
      <c r="E1115" s="387">
        <v>1</v>
      </c>
      <c r="F1115" s="387" t="s">
        <v>2405</v>
      </c>
      <c r="G1115" s="387">
        <v>1</v>
      </c>
      <c r="H1115" s="387" t="s">
        <v>2405</v>
      </c>
      <c r="I1115" s="387" t="s">
        <v>1751</v>
      </c>
      <c r="J1115" s="387" t="s">
        <v>7804</v>
      </c>
      <c r="K1115" s="387" t="s">
        <v>7805</v>
      </c>
      <c r="L1115" s="387" t="s">
        <v>754</v>
      </c>
      <c r="M1115" s="387" t="s">
        <v>755</v>
      </c>
      <c r="N1115" s="388">
        <v>210.02</v>
      </c>
      <c r="O1115" s="388">
        <v>14</v>
      </c>
      <c r="P1115" s="387" t="s">
        <v>538</v>
      </c>
      <c r="Q1115" s="387" t="s">
        <v>539</v>
      </c>
      <c r="R1115" s="387" t="s">
        <v>7806</v>
      </c>
      <c r="S1115" s="387" t="s">
        <v>541</v>
      </c>
      <c r="T1115" s="387" t="s">
        <v>542</v>
      </c>
      <c r="U1115" s="388">
        <v>9410</v>
      </c>
      <c r="V1115" s="387" t="s">
        <v>543</v>
      </c>
      <c r="W1115" s="387" t="s">
        <v>543</v>
      </c>
      <c r="X1115" s="387" t="s">
        <v>543</v>
      </c>
      <c r="Y1115" s="387" t="s">
        <v>543</v>
      </c>
      <c r="Z1115" s="387" t="s">
        <v>543</v>
      </c>
      <c r="AA1115" s="388" t="s">
        <v>543</v>
      </c>
      <c r="AB1115" s="388" t="s">
        <v>543</v>
      </c>
      <c r="AC1115" s="387">
        <v>755826027</v>
      </c>
      <c r="AD1115" s="389">
        <v>1</v>
      </c>
      <c r="AE1115" s="390">
        <v>44974</v>
      </c>
      <c r="AF1115" s="390">
        <v>45657</v>
      </c>
      <c r="AG1115" s="391" t="s">
        <v>545</v>
      </c>
      <c r="AH1115" s="391" t="s">
        <v>7807</v>
      </c>
      <c r="AI1115" s="391" t="s">
        <v>759</v>
      </c>
      <c r="AJ1115" s="391">
        <v>0</v>
      </c>
      <c r="AK1115" s="390">
        <v>44974</v>
      </c>
      <c r="AL1115" s="389">
        <v>100</v>
      </c>
      <c r="AM1115" s="391" t="s">
        <v>548</v>
      </c>
      <c r="AN1115" s="391" t="s">
        <v>549</v>
      </c>
      <c r="AO1115" s="391" t="s">
        <v>7808</v>
      </c>
    </row>
    <row r="1116" spans="1:43" ht="16" thickBot="1">
      <c r="A1116" s="387" t="s">
        <v>7732</v>
      </c>
      <c r="B1116" s="387" t="s">
        <v>680</v>
      </c>
      <c r="C1116" s="387" t="s">
        <v>7809</v>
      </c>
      <c r="D1116" s="387" t="s">
        <v>7810</v>
      </c>
      <c r="E1116" s="387">
        <v>1</v>
      </c>
      <c r="F1116" s="387" t="s">
        <v>2405</v>
      </c>
      <c r="G1116" s="387">
        <v>1</v>
      </c>
      <c r="H1116" s="387" t="s">
        <v>2405</v>
      </c>
      <c r="I1116" s="387" t="s">
        <v>3734</v>
      </c>
      <c r="J1116" s="387" t="s">
        <v>7811</v>
      </c>
      <c r="K1116" s="387" t="s">
        <v>7812</v>
      </c>
      <c r="L1116" s="387" t="s">
        <v>7737</v>
      </c>
      <c r="M1116" s="387" t="s">
        <v>7738</v>
      </c>
      <c r="N1116" s="388">
        <v>288.32</v>
      </c>
      <c r="O1116" s="388">
        <v>14</v>
      </c>
      <c r="P1116" s="387" t="s">
        <v>538</v>
      </c>
      <c r="Q1116" s="387" t="s">
        <v>539</v>
      </c>
      <c r="R1116" s="387" t="s">
        <v>7813</v>
      </c>
      <c r="S1116" s="387" t="s">
        <v>541</v>
      </c>
      <c r="T1116" s="387" t="s">
        <v>542</v>
      </c>
      <c r="U1116" s="388">
        <v>14673480</v>
      </c>
      <c r="V1116" s="387" t="s">
        <v>543</v>
      </c>
      <c r="W1116" s="387" t="s">
        <v>543</v>
      </c>
      <c r="X1116" s="387" t="s">
        <v>543</v>
      </c>
      <c r="Y1116" s="387" t="s">
        <v>543</v>
      </c>
      <c r="Z1116" s="387" t="s">
        <v>543</v>
      </c>
      <c r="AA1116" s="388" t="s">
        <v>543</v>
      </c>
      <c r="AB1116" s="388" t="s">
        <v>543</v>
      </c>
      <c r="AC1116" s="387">
        <v>715858001</v>
      </c>
      <c r="AD1116" s="389">
        <v>10</v>
      </c>
      <c r="AE1116" s="390">
        <v>44013</v>
      </c>
      <c r="AF1116" s="390">
        <v>45291</v>
      </c>
      <c r="AG1116" s="390">
        <v>45291</v>
      </c>
      <c r="AH1116" s="391" t="s">
        <v>7814</v>
      </c>
      <c r="AI1116" s="391" t="s">
        <v>7741</v>
      </c>
      <c r="AJ1116" s="391">
        <v>21</v>
      </c>
      <c r="AK1116" s="390">
        <v>45017</v>
      </c>
      <c r="AL1116" s="389">
        <v>100</v>
      </c>
      <c r="AM1116" s="391" t="s">
        <v>548</v>
      </c>
      <c r="AN1116" s="391" t="s">
        <v>545</v>
      </c>
      <c r="AO1116" s="391" t="s">
        <v>7815</v>
      </c>
    </row>
    <row r="1117" spans="1:43" ht="16" thickBot="1">
      <c r="A1117" s="387" t="s">
        <v>2601</v>
      </c>
      <c r="B1117" s="387" t="s">
        <v>2252</v>
      </c>
      <c r="C1117" s="387" t="s">
        <v>7816</v>
      </c>
      <c r="D1117" s="387" t="s">
        <v>7817</v>
      </c>
      <c r="E1117" s="387">
        <v>1</v>
      </c>
      <c r="F1117" s="387" t="s">
        <v>2405</v>
      </c>
      <c r="G1117" s="387">
        <v>1</v>
      </c>
      <c r="H1117" s="387" t="s">
        <v>2405</v>
      </c>
      <c r="I1117" s="387" t="s">
        <v>1751</v>
      </c>
      <c r="J1117" s="387" t="s">
        <v>7818</v>
      </c>
      <c r="K1117" s="387" t="s">
        <v>7819</v>
      </c>
      <c r="L1117" s="387" t="s">
        <v>1819</v>
      </c>
      <c r="M1117" s="387" t="s">
        <v>1820</v>
      </c>
      <c r="N1117" s="388">
        <v>163.72</v>
      </c>
      <c r="O1117" s="388">
        <v>14</v>
      </c>
      <c r="P1117" s="387" t="s">
        <v>538</v>
      </c>
      <c r="Q1117" s="387" t="s">
        <v>539</v>
      </c>
      <c r="R1117" s="387" t="s">
        <v>7820</v>
      </c>
      <c r="S1117" s="387" t="s">
        <v>541</v>
      </c>
      <c r="T1117" s="387" t="s">
        <v>542</v>
      </c>
      <c r="U1117" s="388">
        <v>889930</v>
      </c>
      <c r="V1117" s="387" t="s">
        <v>543</v>
      </c>
      <c r="W1117" s="387" t="s">
        <v>543</v>
      </c>
      <c r="X1117" s="387" t="s">
        <v>543</v>
      </c>
      <c r="Y1117" s="387" t="s">
        <v>543</v>
      </c>
      <c r="Z1117" s="387" t="s">
        <v>543</v>
      </c>
      <c r="AA1117" s="388" t="s">
        <v>543</v>
      </c>
      <c r="AB1117" s="388" t="s">
        <v>543</v>
      </c>
      <c r="AC1117" s="387">
        <v>814970001</v>
      </c>
      <c r="AD1117" s="389">
        <v>1</v>
      </c>
      <c r="AE1117" s="390">
        <v>44927</v>
      </c>
      <c r="AF1117" s="390">
        <v>45657</v>
      </c>
      <c r="AG1117" s="391" t="s">
        <v>545</v>
      </c>
      <c r="AH1117" s="391" t="s">
        <v>7821</v>
      </c>
      <c r="AI1117" s="391" t="s">
        <v>1823</v>
      </c>
      <c r="AJ1117" s="391">
        <v>0</v>
      </c>
      <c r="AK1117" s="390">
        <v>44927</v>
      </c>
      <c r="AL1117" s="389">
        <v>100</v>
      </c>
      <c r="AM1117" s="391" t="s">
        <v>548</v>
      </c>
      <c r="AN1117" s="391" t="s">
        <v>549</v>
      </c>
      <c r="AO1117" s="391" t="s">
        <v>7822</v>
      </c>
    </row>
    <row r="1118" spans="1:43" ht="16" thickBot="1">
      <c r="A1118" s="387" t="s">
        <v>7732</v>
      </c>
      <c r="B1118" s="387" t="s">
        <v>686</v>
      </c>
      <c r="C1118" s="387" t="s">
        <v>7823</v>
      </c>
      <c r="D1118" s="387" t="s">
        <v>7824</v>
      </c>
      <c r="E1118" s="387">
        <v>1</v>
      </c>
      <c r="F1118" s="387" t="s">
        <v>2405</v>
      </c>
      <c r="G1118" s="387">
        <v>1</v>
      </c>
      <c r="H1118" s="387" t="s">
        <v>2405</v>
      </c>
      <c r="I1118" s="387" t="s">
        <v>6127</v>
      </c>
      <c r="J1118" s="387" t="s">
        <v>7825</v>
      </c>
      <c r="K1118" s="387" t="s">
        <v>7826</v>
      </c>
      <c r="L1118" s="387" t="s">
        <v>7775</v>
      </c>
      <c r="M1118" s="387" t="s">
        <v>7776</v>
      </c>
      <c r="N1118" s="388">
        <v>131.58000000000001</v>
      </c>
      <c r="O1118" s="388">
        <v>14</v>
      </c>
      <c r="P1118" s="387" t="s">
        <v>538</v>
      </c>
      <c r="Q1118" s="387" t="s">
        <v>539</v>
      </c>
      <c r="R1118" s="387" t="s">
        <v>7827</v>
      </c>
      <c r="S1118" s="387" t="s">
        <v>541</v>
      </c>
      <c r="T1118" s="387" t="s">
        <v>542</v>
      </c>
      <c r="U1118" s="388">
        <v>9782320</v>
      </c>
      <c r="V1118" s="387">
        <v>6006298001068</v>
      </c>
      <c r="W1118" s="387" t="s">
        <v>543</v>
      </c>
      <c r="X1118" s="387" t="s">
        <v>543</v>
      </c>
      <c r="Y1118" s="387" t="s">
        <v>543</v>
      </c>
      <c r="Z1118" s="387" t="s">
        <v>543</v>
      </c>
      <c r="AA1118" s="388" t="s">
        <v>543</v>
      </c>
      <c r="AB1118" s="388" t="s">
        <v>543</v>
      </c>
      <c r="AC1118" s="387">
        <v>714113001</v>
      </c>
      <c r="AD1118" s="389">
        <v>10</v>
      </c>
      <c r="AE1118" s="390">
        <v>44013</v>
      </c>
      <c r="AF1118" s="390">
        <v>45291</v>
      </c>
      <c r="AG1118" s="390">
        <v>45291</v>
      </c>
      <c r="AH1118" s="391" t="s">
        <v>7828</v>
      </c>
      <c r="AI1118" s="391" t="s">
        <v>7779</v>
      </c>
      <c r="AJ1118" s="391">
        <v>20</v>
      </c>
      <c r="AK1118" s="390">
        <v>45017</v>
      </c>
      <c r="AL1118" s="389">
        <v>100</v>
      </c>
      <c r="AM1118" s="391" t="s">
        <v>548</v>
      </c>
      <c r="AN1118" s="391" t="s">
        <v>545</v>
      </c>
      <c r="AO1118" s="391" t="s">
        <v>7829</v>
      </c>
    </row>
    <row r="1119" spans="1:43" ht="16" thickBot="1">
      <c r="A1119" s="387" t="s">
        <v>7743</v>
      </c>
      <c r="B1119" s="387" t="s">
        <v>593</v>
      </c>
      <c r="C1119" s="387" t="s">
        <v>7830</v>
      </c>
      <c r="D1119" s="387" t="s">
        <v>7831</v>
      </c>
      <c r="E1119" s="387">
        <v>10</v>
      </c>
      <c r="F1119" s="387" t="s">
        <v>2405</v>
      </c>
      <c r="G1119" s="387">
        <v>10</v>
      </c>
      <c r="H1119" s="387" t="s">
        <v>2405</v>
      </c>
      <c r="I1119" s="387" t="s">
        <v>1751</v>
      </c>
      <c r="J1119" s="387" t="s">
        <v>7832</v>
      </c>
      <c r="K1119" s="387" t="s">
        <v>7833</v>
      </c>
      <c r="L1119" s="387" t="s">
        <v>675</v>
      </c>
      <c r="M1119" s="387" t="s">
        <v>676</v>
      </c>
      <c r="N1119" s="388">
        <v>84.57</v>
      </c>
      <c r="O1119" s="388">
        <v>14</v>
      </c>
      <c r="P1119" s="387" t="s">
        <v>538</v>
      </c>
      <c r="Q1119" s="387" t="s">
        <v>539</v>
      </c>
      <c r="R1119" s="387" t="s">
        <v>7834</v>
      </c>
      <c r="S1119" s="387" t="s">
        <v>541</v>
      </c>
      <c r="T1119" s="387" t="s">
        <v>542</v>
      </c>
      <c r="U1119" s="388">
        <v>1858650</v>
      </c>
      <c r="V1119" s="387">
        <v>6005317014157</v>
      </c>
      <c r="W1119" s="387" t="s">
        <v>543</v>
      </c>
      <c r="X1119" s="387" t="s">
        <v>543</v>
      </c>
      <c r="Y1119" s="387" t="s">
        <v>543</v>
      </c>
      <c r="Z1119" s="387" t="s">
        <v>543</v>
      </c>
      <c r="AA1119" s="388" t="s">
        <v>543</v>
      </c>
      <c r="AB1119" s="388" t="s">
        <v>543</v>
      </c>
      <c r="AC1119" s="387" t="s">
        <v>543</v>
      </c>
      <c r="AD1119" s="389">
        <v>20</v>
      </c>
      <c r="AE1119" s="390">
        <v>44013</v>
      </c>
      <c r="AF1119" s="390">
        <v>45291</v>
      </c>
      <c r="AG1119" s="390">
        <v>45291</v>
      </c>
      <c r="AH1119" s="391" t="s">
        <v>7835</v>
      </c>
      <c r="AI1119" s="391" t="s">
        <v>679</v>
      </c>
      <c r="AJ1119" s="391">
        <v>14</v>
      </c>
      <c r="AK1119" s="390">
        <v>45017</v>
      </c>
      <c r="AL1119" s="389">
        <v>100</v>
      </c>
      <c r="AM1119" s="391" t="s">
        <v>548</v>
      </c>
      <c r="AN1119" s="391" t="s">
        <v>545</v>
      </c>
      <c r="AO1119" s="391" t="s">
        <v>7836</v>
      </c>
      <c r="AP1119" s="372">
        <f>N1119</f>
        <v>84.57</v>
      </c>
      <c r="AQ1119" s="372">
        <f>AP1119</f>
        <v>84.57</v>
      </c>
    </row>
    <row r="1120" spans="1:43" ht="16" thickBot="1">
      <c r="A1120" s="387" t="s">
        <v>2601</v>
      </c>
      <c r="B1120" s="387" t="s">
        <v>1009</v>
      </c>
      <c r="C1120" s="387" t="s">
        <v>7837</v>
      </c>
      <c r="D1120" s="387" t="s">
        <v>7838</v>
      </c>
      <c r="E1120" s="387">
        <v>1</v>
      </c>
      <c r="F1120" s="387" t="s">
        <v>2405</v>
      </c>
      <c r="G1120" s="387">
        <v>1</v>
      </c>
      <c r="H1120" s="387" t="s">
        <v>2405</v>
      </c>
      <c r="I1120" s="387" t="s">
        <v>1751</v>
      </c>
      <c r="J1120" s="387" t="s">
        <v>7839</v>
      </c>
      <c r="K1120" s="387" t="s">
        <v>7840</v>
      </c>
      <c r="L1120" s="387" t="s">
        <v>1819</v>
      </c>
      <c r="M1120" s="387" t="s">
        <v>1820</v>
      </c>
      <c r="N1120" s="388">
        <v>313.12</v>
      </c>
      <c r="O1120" s="388">
        <v>14</v>
      </c>
      <c r="P1120" s="387" t="s">
        <v>611</v>
      </c>
      <c r="Q1120" s="387" t="s">
        <v>612</v>
      </c>
      <c r="R1120" s="387" t="s">
        <v>7841</v>
      </c>
      <c r="S1120" s="387" t="s">
        <v>614</v>
      </c>
      <c r="T1120" s="387" t="s">
        <v>160</v>
      </c>
      <c r="U1120" s="388">
        <v>6610</v>
      </c>
      <c r="V1120" s="387" t="s">
        <v>543</v>
      </c>
      <c r="W1120" s="387" t="s">
        <v>543</v>
      </c>
      <c r="X1120" s="387" t="s">
        <v>543</v>
      </c>
      <c r="Y1120" s="387" t="s">
        <v>543</v>
      </c>
      <c r="Z1120" s="387" t="s">
        <v>543</v>
      </c>
      <c r="AA1120" s="388" t="s">
        <v>543</v>
      </c>
      <c r="AB1120" s="388" t="s">
        <v>543</v>
      </c>
      <c r="AC1120" s="387">
        <v>814989004</v>
      </c>
      <c r="AD1120" s="389">
        <v>1</v>
      </c>
      <c r="AE1120" s="390">
        <v>44927</v>
      </c>
      <c r="AF1120" s="390">
        <v>45657</v>
      </c>
      <c r="AG1120" s="391" t="s">
        <v>545</v>
      </c>
      <c r="AH1120" s="391" t="s">
        <v>7842</v>
      </c>
      <c r="AI1120" s="391" t="s">
        <v>1823</v>
      </c>
      <c r="AJ1120" s="391">
        <v>0</v>
      </c>
      <c r="AK1120" s="390">
        <v>44927</v>
      </c>
      <c r="AL1120" s="389">
        <v>100</v>
      </c>
      <c r="AM1120" s="391" t="s">
        <v>548</v>
      </c>
      <c r="AN1120" s="391" t="s">
        <v>549</v>
      </c>
      <c r="AO1120" s="391" t="s">
        <v>7843</v>
      </c>
    </row>
    <row r="1121" spans="1:41" ht="16" thickBot="1">
      <c r="A1121" s="387" t="s">
        <v>1766</v>
      </c>
      <c r="B1121" s="387" t="s">
        <v>4423</v>
      </c>
      <c r="C1121" s="387" t="s">
        <v>7844</v>
      </c>
      <c r="D1121" s="387" t="s">
        <v>7845</v>
      </c>
      <c r="E1121" s="387">
        <v>60</v>
      </c>
      <c r="F1121" s="387" t="s">
        <v>559</v>
      </c>
      <c r="G1121" s="387">
        <v>60</v>
      </c>
      <c r="H1121" s="387" t="s">
        <v>559</v>
      </c>
      <c r="I1121" s="387" t="s">
        <v>560</v>
      </c>
      <c r="J1121" s="387" t="s">
        <v>7846</v>
      </c>
      <c r="K1121" s="387" t="s">
        <v>7847</v>
      </c>
      <c r="L1121" s="387" t="s">
        <v>552</v>
      </c>
      <c r="M1121" s="387" t="s">
        <v>553</v>
      </c>
      <c r="N1121" s="388">
        <v>5157.6899999999996</v>
      </c>
      <c r="O1121" s="388">
        <v>14</v>
      </c>
      <c r="P1121" s="387" t="s">
        <v>538</v>
      </c>
      <c r="Q1121" s="387" t="s">
        <v>539</v>
      </c>
      <c r="R1121" s="387" t="s">
        <v>7848</v>
      </c>
      <c r="S1121" s="387" t="s">
        <v>171</v>
      </c>
      <c r="T1121" s="387" t="s">
        <v>757</v>
      </c>
      <c r="U1121" s="388">
        <v>2669</v>
      </c>
      <c r="V1121" s="387">
        <v>8903726226308</v>
      </c>
      <c r="W1121" s="387">
        <v>8903726226308</v>
      </c>
      <c r="X1121" s="387" t="s">
        <v>543</v>
      </c>
      <c r="Y1121" s="387">
        <v>8903726226308</v>
      </c>
      <c r="Z1121" s="387" t="s">
        <v>543</v>
      </c>
      <c r="AA1121" s="388" t="s">
        <v>543</v>
      </c>
      <c r="AB1121" s="388" t="s">
        <v>543</v>
      </c>
      <c r="AC1121" s="387" t="s">
        <v>543</v>
      </c>
      <c r="AD1121" s="389">
        <v>1</v>
      </c>
      <c r="AE1121" s="390">
        <v>44470</v>
      </c>
      <c r="AF1121" s="390">
        <v>45199</v>
      </c>
      <c r="AG1121" s="390">
        <v>45199</v>
      </c>
      <c r="AH1121" s="391" t="s">
        <v>7849</v>
      </c>
      <c r="AI1121" s="391" t="s">
        <v>555</v>
      </c>
      <c r="AJ1121" s="391">
        <v>17</v>
      </c>
      <c r="AK1121" s="390">
        <v>45047</v>
      </c>
      <c r="AL1121" s="389">
        <v>100</v>
      </c>
      <c r="AM1121" s="391" t="s">
        <v>548</v>
      </c>
      <c r="AN1121" s="391" t="s">
        <v>549</v>
      </c>
      <c r="AO1121" s="391" t="s">
        <v>7850</v>
      </c>
    </row>
    <row r="1122" spans="1:41" ht="16" thickBot="1">
      <c r="A1122" s="387" t="s">
        <v>1717</v>
      </c>
      <c r="B1122" s="387" t="s">
        <v>7851</v>
      </c>
      <c r="C1122" s="387" t="s">
        <v>7852</v>
      </c>
      <c r="D1122" s="387" t="s">
        <v>7853</v>
      </c>
      <c r="E1122" s="387">
        <v>100</v>
      </c>
      <c r="F1122" s="387" t="s">
        <v>559</v>
      </c>
      <c r="G1122" s="387">
        <v>100</v>
      </c>
      <c r="H1122" s="387" t="s">
        <v>559</v>
      </c>
      <c r="I1122" s="387" t="s">
        <v>568</v>
      </c>
      <c r="J1122" s="387" t="s">
        <v>7854</v>
      </c>
      <c r="K1122" s="387" t="s">
        <v>7855</v>
      </c>
      <c r="L1122" s="387" t="s">
        <v>1819</v>
      </c>
      <c r="M1122" s="387" t="s">
        <v>1820</v>
      </c>
      <c r="N1122" s="388">
        <v>134.31</v>
      </c>
      <c r="O1122" s="388">
        <v>14</v>
      </c>
      <c r="P1122" s="387" t="s">
        <v>538</v>
      </c>
      <c r="Q1122" s="387" t="s">
        <v>539</v>
      </c>
      <c r="R1122" s="387" t="s">
        <v>7856</v>
      </c>
      <c r="S1122" s="387" t="s">
        <v>171</v>
      </c>
      <c r="T1122" s="387" t="s">
        <v>542</v>
      </c>
      <c r="U1122" s="388">
        <v>66896</v>
      </c>
      <c r="V1122" s="387">
        <v>6009637910694</v>
      </c>
      <c r="W1122" s="387" t="s">
        <v>543</v>
      </c>
      <c r="X1122" s="387" t="s">
        <v>543</v>
      </c>
      <c r="Y1122" s="387" t="s">
        <v>7857</v>
      </c>
      <c r="Z1122" s="387" t="s">
        <v>543</v>
      </c>
      <c r="AA1122" s="388" t="s">
        <v>543</v>
      </c>
      <c r="AB1122" s="388" t="s">
        <v>543</v>
      </c>
      <c r="AC1122" s="387">
        <v>821578006</v>
      </c>
      <c r="AD1122" s="389">
        <v>56</v>
      </c>
      <c r="AE1122" s="390">
        <v>45047</v>
      </c>
      <c r="AF1122" s="390">
        <v>46142</v>
      </c>
      <c r="AG1122" s="391" t="s">
        <v>545</v>
      </c>
      <c r="AH1122" s="391" t="s">
        <v>7858</v>
      </c>
      <c r="AI1122" s="391" t="s">
        <v>1823</v>
      </c>
      <c r="AJ1122" s="391">
        <v>0</v>
      </c>
      <c r="AK1122" s="390">
        <v>45047</v>
      </c>
      <c r="AL1122" s="389">
        <v>100</v>
      </c>
      <c r="AM1122" s="391" t="s">
        <v>548</v>
      </c>
      <c r="AN1122" s="391" t="s">
        <v>549</v>
      </c>
      <c r="AO1122" s="391" t="s">
        <v>7859</v>
      </c>
    </row>
    <row r="1123" spans="1:41" ht="16" thickBot="1">
      <c r="A1123" s="387" t="s">
        <v>1717</v>
      </c>
      <c r="B1123" s="387" t="s">
        <v>7860</v>
      </c>
      <c r="C1123" s="387" t="s">
        <v>7861</v>
      </c>
      <c r="D1123" s="387" t="s">
        <v>7862</v>
      </c>
      <c r="E1123" s="387">
        <v>100</v>
      </c>
      <c r="F1123" s="387" t="s">
        <v>559</v>
      </c>
      <c r="G1123" s="387">
        <v>100</v>
      </c>
      <c r="H1123" s="387" t="s">
        <v>559</v>
      </c>
      <c r="I1123" s="387" t="s">
        <v>5717</v>
      </c>
      <c r="J1123" s="387" t="s">
        <v>7863</v>
      </c>
      <c r="K1123" s="387" t="s">
        <v>7864</v>
      </c>
      <c r="L1123" s="387" t="s">
        <v>1819</v>
      </c>
      <c r="M1123" s="387" t="s">
        <v>1820</v>
      </c>
      <c r="N1123" s="388">
        <v>122.58</v>
      </c>
      <c r="O1123" s="388">
        <v>14</v>
      </c>
      <c r="P1123" s="387" t="s">
        <v>538</v>
      </c>
      <c r="Q1123" s="387" t="s">
        <v>539</v>
      </c>
      <c r="R1123" s="387" t="s">
        <v>7856</v>
      </c>
      <c r="S1123" s="387" t="s">
        <v>171</v>
      </c>
      <c r="T1123" s="387" t="s">
        <v>757</v>
      </c>
      <c r="U1123" s="388">
        <v>1212866</v>
      </c>
      <c r="V1123" s="387">
        <v>6009637910519</v>
      </c>
      <c r="W1123" s="387" t="s">
        <v>543</v>
      </c>
      <c r="X1123" s="387" t="s">
        <v>543</v>
      </c>
      <c r="Y1123" s="387" t="s">
        <v>543</v>
      </c>
      <c r="Z1123" s="387" t="s">
        <v>543</v>
      </c>
      <c r="AA1123" s="388" t="s">
        <v>543</v>
      </c>
      <c r="AB1123" s="388" t="s">
        <v>543</v>
      </c>
      <c r="AC1123" s="387">
        <v>818682019</v>
      </c>
      <c r="AD1123" s="389">
        <v>24</v>
      </c>
      <c r="AE1123" s="390">
        <v>45047</v>
      </c>
      <c r="AF1123" s="390">
        <v>46142</v>
      </c>
      <c r="AG1123" s="391" t="s">
        <v>545</v>
      </c>
      <c r="AH1123" s="391" t="s">
        <v>7865</v>
      </c>
      <c r="AI1123" s="391" t="s">
        <v>1823</v>
      </c>
      <c r="AJ1123" s="391">
        <v>0</v>
      </c>
      <c r="AK1123" s="390">
        <v>45047</v>
      </c>
      <c r="AL1123" s="389">
        <v>100</v>
      </c>
      <c r="AM1123" s="391" t="s">
        <v>548</v>
      </c>
      <c r="AN1123" s="391" t="s">
        <v>549</v>
      </c>
      <c r="AO1123" s="391" t="s">
        <v>7866</v>
      </c>
    </row>
    <row r="1124" spans="1:41" ht="16" thickBot="1">
      <c r="A1124" s="387" t="s">
        <v>1717</v>
      </c>
      <c r="B1124" s="387" t="s">
        <v>7867</v>
      </c>
      <c r="C1124" s="387" t="s">
        <v>7868</v>
      </c>
      <c r="D1124" s="387" t="s">
        <v>7869</v>
      </c>
      <c r="E1124" s="387">
        <v>56</v>
      </c>
      <c r="F1124" s="387" t="s">
        <v>559</v>
      </c>
      <c r="G1124" s="387">
        <v>56</v>
      </c>
      <c r="H1124" s="387" t="s">
        <v>559</v>
      </c>
      <c r="I1124" s="387" t="s">
        <v>5717</v>
      </c>
      <c r="J1124" s="387" t="s">
        <v>7863</v>
      </c>
      <c r="K1124" s="387" t="s">
        <v>7870</v>
      </c>
      <c r="L1124" s="387" t="s">
        <v>1819</v>
      </c>
      <c r="M1124" s="387" t="s">
        <v>1820</v>
      </c>
      <c r="N1124" s="388">
        <v>76.45</v>
      </c>
      <c r="O1124" s="388">
        <v>14</v>
      </c>
      <c r="P1124" s="387" t="s">
        <v>538</v>
      </c>
      <c r="Q1124" s="387" t="s">
        <v>539</v>
      </c>
      <c r="R1124" s="387" t="s">
        <v>7856</v>
      </c>
      <c r="S1124" s="387" t="s">
        <v>171</v>
      </c>
      <c r="T1124" s="387" t="s">
        <v>757</v>
      </c>
      <c r="U1124" s="388">
        <v>4639144</v>
      </c>
      <c r="V1124" s="387">
        <v>6009609472229</v>
      </c>
      <c r="W1124" s="387" t="s">
        <v>543</v>
      </c>
      <c r="X1124" s="387" t="s">
        <v>543</v>
      </c>
      <c r="Y1124" s="387" t="s">
        <v>543</v>
      </c>
      <c r="Z1124" s="387" t="s">
        <v>543</v>
      </c>
      <c r="AA1124" s="388" t="s">
        <v>543</v>
      </c>
      <c r="AB1124" s="388" t="s">
        <v>543</v>
      </c>
      <c r="AC1124" s="387" t="s">
        <v>543</v>
      </c>
      <c r="AD1124" s="389">
        <v>42</v>
      </c>
      <c r="AE1124" s="390">
        <v>45047</v>
      </c>
      <c r="AF1124" s="390">
        <v>46142</v>
      </c>
      <c r="AG1124" s="391" t="s">
        <v>545</v>
      </c>
      <c r="AH1124" s="391" t="s">
        <v>7871</v>
      </c>
      <c r="AI1124" s="391" t="s">
        <v>1823</v>
      </c>
      <c r="AJ1124" s="391">
        <v>0</v>
      </c>
      <c r="AK1124" s="390">
        <v>45047</v>
      </c>
      <c r="AL1124" s="389">
        <v>100</v>
      </c>
      <c r="AM1124" s="391" t="s">
        <v>548</v>
      </c>
      <c r="AN1124" s="391" t="s">
        <v>549</v>
      </c>
      <c r="AO1124" s="391" t="s">
        <v>7866</v>
      </c>
    </row>
    <row r="1125" spans="1:41" ht="16" thickBot="1">
      <c r="A1125" s="387" t="s">
        <v>1717</v>
      </c>
      <c r="B1125" s="387" t="s">
        <v>7872</v>
      </c>
      <c r="C1125" s="387" t="s">
        <v>7873</v>
      </c>
      <c r="D1125" s="387" t="s">
        <v>7874</v>
      </c>
      <c r="E1125" s="387">
        <v>100</v>
      </c>
      <c r="F1125" s="387" t="s">
        <v>559</v>
      </c>
      <c r="G1125" s="387">
        <v>100</v>
      </c>
      <c r="H1125" s="387" t="s">
        <v>559</v>
      </c>
      <c r="I1125" s="387" t="s">
        <v>5717</v>
      </c>
      <c r="J1125" s="387" t="s">
        <v>7863</v>
      </c>
      <c r="K1125" s="387" t="s">
        <v>7875</v>
      </c>
      <c r="L1125" s="387" t="s">
        <v>1819</v>
      </c>
      <c r="M1125" s="387" t="s">
        <v>1820</v>
      </c>
      <c r="N1125" s="388">
        <v>63.09</v>
      </c>
      <c r="O1125" s="388">
        <v>14</v>
      </c>
      <c r="P1125" s="387" t="s">
        <v>538</v>
      </c>
      <c r="Q1125" s="387" t="s">
        <v>539</v>
      </c>
      <c r="R1125" s="387" t="s">
        <v>7856</v>
      </c>
      <c r="S1125" s="387" t="s">
        <v>171</v>
      </c>
      <c r="T1125" s="387" t="s">
        <v>542</v>
      </c>
      <c r="U1125" s="388">
        <v>1096388</v>
      </c>
      <c r="V1125" s="387">
        <v>6009637910496</v>
      </c>
      <c r="W1125" s="387" t="s">
        <v>543</v>
      </c>
      <c r="X1125" s="387" t="s">
        <v>543</v>
      </c>
      <c r="Y1125" s="387" t="s">
        <v>543</v>
      </c>
      <c r="Z1125" s="387" t="s">
        <v>543</v>
      </c>
      <c r="AA1125" s="388" t="s">
        <v>543</v>
      </c>
      <c r="AB1125" s="388" t="s">
        <v>543</v>
      </c>
      <c r="AC1125" s="387">
        <v>8168666005</v>
      </c>
      <c r="AD1125" s="389">
        <v>50</v>
      </c>
      <c r="AE1125" s="390">
        <v>45047</v>
      </c>
      <c r="AF1125" s="390">
        <v>46142</v>
      </c>
      <c r="AG1125" s="391" t="s">
        <v>545</v>
      </c>
      <c r="AH1125" s="391" t="s">
        <v>7876</v>
      </c>
      <c r="AI1125" s="391" t="s">
        <v>1823</v>
      </c>
      <c r="AJ1125" s="391">
        <v>0</v>
      </c>
      <c r="AK1125" s="390">
        <v>45047</v>
      </c>
      <c r="AL1125" s="389">
        <v>100</v>
      </c>
      <c r="AM1125" s="391" t="s">
        <v>548</v>
      </c>
      <c r="AN1125" s="391" t="s">
        <v>549</v>
      </c>
      <c r="AO1125" s="391" t="s">
        <v>7877</v>
      </c>
    </row>
    <row r="1126" spans="1:41" ht="16" thickBot="1">
      <c r="A1126" s="387" t="s">
        <v>1717</v>
      </c>
      <c r="B1126" s="387" t="s">
        <v>7878</v>
      </c>
      <c r="C1126" s="387" t="s">
        <v>7879</v>
      </c>
      <c r="D1126" s="387" t="s">
        <v>7880</v>
      </c>
      <c r="E1126" s="387">
        <v>56</v>
      </c>
      <c r="F1126" s="387" t="s">
        <v>559</v>
      </c>
      <c r="G1126" s="387">
        <v>56</v>
      </c>
      <c r="H1126" s="387" t="s">
        <v>559</v>
      </c>
      <c r="I1126" s="387" t="s">
        <v>5717</v>
      </c>
      <c r="J1126" s="387" t="s">
        <v>7863</v>
      </c>
      <c r="K1126" s="387" t="s">
        <v>7881</v>
      </c>
      <c r="L1126" s="387" t="s">
        <v>1819</v>
      </c>
      <c r="M1126" s="387" t="s">
        <v>1820</v>
      </c>
      <c r="N1126" s="388">
        <v>40.24</v>
      </c>
      <c r="O1126" s="388">
        <v>14</v>
      </c>
      <c r="P1126" s="387" t="s">
        <v>538</v>
      </c>
      <c r="Q1126" s="387" t="s">
        <v>539</v>
      </c>
      <c r="R1126" s="387" t="s">
        <v>7856</v>
      </c>
      <c r="S1126" s="387" t="s">
        <v>171</v>
      </c>
      <c r="T1126" s="387" t="s">
        <v>542</v>
      </c>
      <c r="U1126" s="388">
        <v>3275628</v>
      </c>
      <c r="V1126" s="387">
        <v>6009609472205</v>
      </c>
      <c r="W1126" s="387" t="s">
        <v>543</v>
      </c>
      <c r="X1126" s="387" t="s">
        <v>543</v>
      </c>
      <c r="Y1126" s="387" t="s">
        <v>543</v>
      </c>
      <c r="Z1126" s="387" t="s">
        <v>543</v>
      </c>
      <c r="AA1126" s="388" t="s">
        <v>543</v>
      </c>
      <c r="AB1126" s="388" t="s">
        <v>543</v>
      </c>
      <c r="AC1126" s="387" t="s">
        <v>543</v>
      </c>
      <c r="AD1126" s="389">
        <v>72</v>
      </c>
      <c r="AE1126" s="390">
        <v>45047</v>
      </c>
      <c r="AF1126" s="390">
        <v>46142</v>
      </c>
      <c r="AG1126" s="391" t="s">
        <v>545</v>
      </c>
      <c r="AH1126" s="391" t="s">
        <v>7882</v>
      </c>
      <c r="AI1126" s="391" t="s">
        <v>1823</v>
      </c>
      <c r="AJ1126" s="391">
        <v>0</v>
      </c>
      <c r="AK1126" s="390">
        <v>45047</v>
      </c>
      <c r="AL1126" s="389">
        <v>100</v>
      </c>
      <c r="AM1126" s="391" t="s">
        <v>548</v>
      </c>
      <c r="AN1126" s="391" t="s">
        <v>549</v>
      </c>
      <c r="AO1126" s="391" t="s">
        <v>7877</v>
      </c>
    </row>
    <row r="1127" spans="1:41" ht="16" thickBot="1">
      <c r="A1127" s="387" t="s">
        <v>1717</v>
      </c>
      <c r="B1127" s="387" t="s">
        <v>7883</v>
      </c>
      <c r="C1127" s="387" t="s">
        <v>7884</v>
      </c>
      <c r="D1127" s="387" t="s">
        <v>7885</v>
      </c>
      <c r="E1127" s="387">
        <v>100</v>
      </c>
      <c r="F1127" s="387" t="s">
        <v>559</v>
      </c>
      <c r="G1127" s="387">
        <v>100</v>
      </c>
      <c r="H1127" s="387" t="s">
        <v>559</v>
      </c>
      <c r="I1127" s="387" t="s">
        <v>5717</v>
      </c>
      <c r="J1127" s="387" t="s">
        <v>7863</v>
      </c>
      <c r="K1127" s="387" t="s">
        <v>7886</v>
      </c>
      <c r="L1127" s="387" t="s">
        <v>1819</v>
      </c>
      <c r="M1127" s="387" t="s">
        <v>1820</v>
      </c>
      <c r="N1127" s="388">
        <v>81.5</v>
      </c>
      <c r="O1127" s="388">
        <v>14</v>
      </c>
      <c r="P1127" s="387" t="s">
        <v>538</v>
      </c>
      <c r="Q1127" s="387" t="s">
        <v>539</v>
      </c>
      <c r="R1127" s="387" t="s">
        <v>7856</v>
      </c>
      <c r="S1127" s="387" t="s">
        <v>171</v>
      </c>
      <c r="T1127" s="387" t="s">
        <v>542</v>
      </c>
      <c r="U1127" s="388">
        <v>1022756</v>
      </c>
      <c r="V1127" s="387">
        <v>6009637910502</v>
      </c>
      <c r="W1127" s="387" t="s">
        <v>543</v>
      </c>
      <c r="X1127" s="387" t="s">
        <v>543</v>
      </c>
      <c r="Y1127" s="387">
        <v>26009637910506</v>
      </c>
      <c r="Z1127" s="387" t="s">
        <v>543</v>
      </c>
      <c r="AA1127" s="388" t="s">
        <v>543</v>
      </c>
      <c r="AB1127" s="388" t="s">
        <v>543</v>
      </c>
      <c r="AC1127" s="387">
        <v>818674008</v>
      </c>
      <c r="AD1127" s="389">
        <v>24</v>
      </c>
      <c r="AE1127" s="390">
        <v>45047</v>
      </c>
      <c r="AF1127" s="390">
        <v>46142</v>
      </c>
      <c r="AG1127" s="391" t="s">
        <v>545</v>
      </c>
      <c r="AH1127" s="391" t="s">
        <v>7887</v>
      </c>
      <c r="AI1127" s="391" t="s">
        <v>1823</v>
      </c>
      <c r="AJ1127" s="391">
        <v>0</v>
      </c>
      <c r="AK1127" s="390">
        <v>45047</v>
      </c>
      <c r="AL1127" s="389">
        <v>100</v>
      </c>
      <c r="AM1127" s="391" t="s">
        <v>548</v>
      </c>
      <c r="AN1127" s="391" t="s">
        <v>549</v>
      </c>
      <c r="AO1127" s="391" t="s">
        <v>7888</v>
      </c>
    </row>
    <row r="1128" spans="1:41" ht="16" thickBot="1">
      <c r="A1128" s="387" t="s">
        <v>1717</v>
      </c>
      <c r="B1128" s="387" t="s">
        <v>7889</v>
      </c>
      <c r="C1128" s="387" t="s">
        <v>7890</v>
      </c>
      <c r="D1128" s="387" t="s">
        <v>7891</v>
      </c>
      <c r="E1128" s="387">
        <v>56</v>
      </c>
      <c r="F1128" s="387" t="s">
        <v>559</v>
      </c>
      <c r="G1128" s="387">
        <v>56</v>
      </c>
      <c r="H1128" s="387" t="s">
        <v>559</v>
      </c>
      <c r="I1128" s="387" t="s">
        <v>5717</v>
      </c>
      <c r="J1128" s="387" t="s">
        <v>7863</v>
      </c>
      <c r="K1128" s="387" t="s">
        <v>7892</v>
      </c>
      <c r="L1128" s="387" t="s">
        <v>1819</v>
      </c>
      <c r="M1128" s="387" t="s">
        <v>1820</v>
      </c>
      <c r="N1128" s="388">
        <v>51.04</v>
      </c>
      <c r="O1128" s="388">
        <v>14</v>
      </c>
      <c r="P1128" s="387" t="s">
        <v>538</v>
      </c>
      <c r="Q1128" s="387" t="s">
        <v>539</v>
      </c>
      <c r="R1128" s="387" t="s">
        <v>7856</v>
      </c>
      <c r="S1128" s="387" t="s">
        <v>171</v>
      </c>
      <c r="T1128" s="387" t="s">
        <v>542</v>
      </c>
      <c r="U1128" s="388">
        <v>3785888</v>
      </c>
      <c r="V1128" s="387">
        <v>6009609472212</v>
      </c>
      <c r="W1128" s="387" t="s">
        <v>543</v>
      </c>
      <c r="X1128" s="387" t="s">
        <v>543</v>
      </c>
      <c r="Y1128" s="387" t="s">
        <v>543</v>
      </c>
      <c r="Z1128" s="387" t="s">
        <v>543</v>
      </c>
      <c r="AA1128" s="388" t="s">
        <v>543</v>
      </c>
      <c r="AB1128" s="388" t="s">
        <v>543</v>
      </c>
      <c r="AC1128" s="387" t="s">
        <v>543</v>
      </c>
      <c r="AD1128" s="389">
        <v>42</v>
      </c>
      <c r="AE1128" s="390">
        <v>45047</v>
      </c>
      <c r="AF1128" s="390">
        <v>46142</v>
      </c>
      <c r="AG1128" s="391" t="s">
        <v>545</v>
      </c>
      <c r="AH1128" s="391" t="s">
        <v>7893</v>
      </c>
      <c r="AI1128" s="391" t="s">
        <v>1823</v>
      </c>
      <c r="AJ1128" s="391">
        <v>0</v>
      </c>
      <c r="AK1128" s="390">
        <v>45047</v>
      </c>
      <c r="AL1128" s="389">
        <v>100</v>
      </c>
      <c r="AM1128" s="391" t="s">
        <v>548</v>
      </c>
      <c r="AN1128" s="391" t="s">
        <v>549</v>
      </c>
      <c r="AO1128" s="391" t="s">
        <v>7888</v>
      </c>
    </row>
    <row r="1129" spans="1:41" ht="16" thickBot="1">
      <c r="A1129" s="387" t="s">
        <v>1729</v>
      </c>
      <c r="B1129" s="387" t="s">
        <v>2879</v>
      </c>
      <c r="C1129" s="387" t="s">
        <v>7894</v>
      </c>
      <c r="D1129" s="387" t="s">
        <v>7895</v>
      </c>
      <c r="E1129" s="387">
        <v>300</v>
      </c>
      <c r="F1129" s="387" t="s">
        <v>531</v>
      </c>
      <c r="G1129" s="387">
        <v>300</v>
      </c>
      <c r="H1129" s="387" t="s">
        <v>531</v>
      </c>
      <c r="I1129" s="387" t="s">
        <v>848</v>
      </c>
      <c r="J1129" s="387" t="s">
        <v>7896</v>
      </c>
      <c r="K1129" s="387" t="s">
        <v>7897</v>
      </c>
      <c r="L1129" s="387" t="s">
        <v>1819</v>
      </c>
      <c r="M1129" s="387" t="s">
        <v>1820</v>
      </c>
      <c r="N1129" s="388">
        <v>155.15</v>
      </c>
      <c r="O1129" s="388">
        <v>14</v>
      </c>
      <c r="P1129" s="387" t="s">
        <v>538</v>
      </c>
      <c r="Q1129" s="387" t="s">
        <v>539</v>
      </c>
      <c r="R1129" s="387" t="s">
        <v>7856</v>
      </c>
      <c r="S1129" s="387" t="s">
        <v>171</v>
      </c>
      <c r="T1129" s="387" t="s">
        <v>542</v>
      </c>
      <c r="U1129" s="388">
        <v>781408</v>
      </c>
      <c r="V1129" s="387">
        <v>6009637910540</v>
      </c>
      <c r="W1129" s="387">
        <v>24132283810501</v>
      </c>
      <c r="X1129" s="387" t="s">
        <v>543</v>
      </c>
      <c r="Y1129" s="387" t="s">
        <v>543</v>
      </c>
      <c r="Z1129" s="387" t="s">
        <v>543</v>
      </c>
      <c r="AA1129" s="388" t="s">
        <v>543</v>
      </c>
      <c r="AB1129" s="388" t="s">
        <v>543</v>
      </c>
      <c r="AC1129" s="387">
        <v>780545001</v>
      </c>
      <c r="AD1129" s="389">
        <v>24</v>
      </c>
      <c r="AE1129" s="390">
        <v>44105</v>
      </c>
      <c r="AF1129" s="390">
        <v>45199</v>
      </c>
      <c r="AG1129" s="390">
        <v>45199</v>
      </c>
      <c r="AH1129" s="391" t="s">
        <v>7898</v>
      </c>
      <c r="AI1129" s="391" t="s">
        <v>1823</v>
      </c>
      <c r="AJ1129" s="391">
        <v>21</v>
      </c>
      <c r="AK1129" s="390">
        <v>45047</v>
      </c>
      <c r="AL1129" s="389">
        <v>100</v>
      </c>
      <c r="AM1129" s="391" t="s">
        <v>548</v>
      </c>
      <c r="AN1129" s="391" t="s">
        <v>545</v>
      </c>
      <c r="AO1129" s="391" t="s">
        <v>7899</v>
      </c>
    </row>
    <row r="1130" spans="1:41" ht="16" thickBot="1">
      <c r="A1130" s="387" t="s">
        <v>1729</v>
      </c>
      <c r="B1130" s="387" t="s">
        <v>2424</v>
      </c>
      <c r="C1130" s="387" t="s">
        <v>7900</v>
      </c>
      <c r="D1130" s="387" t="s">
        <v>7901</v>
      </c>
      <c r="E1130" s="387">
        <v>100</v>
      </c>
      <c r="F1130" s="387" t="s">
        <v>531</v>
      </c>
      <c r="G1130" s="387">
        <v>100</v>
      </c>
      <c r="H1130" s="387" t="s">
        <v>531</v>
      </c>
      <c r="I1130" s="387" t="s">
        <v>848</v>
      </c>
      <c r="J1130" s="387" t="s">
        <v>7896</v>
      </c>
      <c r="K1130" s="387" t="s">
        <v>7902</v>
      </c>
      <c r="L1130" s="387" t="s">
        <v>7903</v>
      </c>
      <c r="M1130" s="387" t="s">
        <v>7904</v>
      </c>
      <c r="N1130" s="388">
        <v>99.67</v>
      </c>
      <c r="O1130" s="388">
        <v>7</v>
      </c>
      <c r="P1130" s="387" t="s">
        <v>538</v>
      </c>
      <c r="Q1130" s="387" t="s">
        <v>539</v>
      </c>
      <c r="R1130" s="387" t="s">
        <v>7856</v>
      </c>
      <c r="S1130" s="387" t="s">
        <v>171</v>
      </c>
      <c r="T1130" s="387" t="s">
        <v>542</v>
      </c>
      <c r="U1130" s="388">
        <v>17120</v>
      </c>
      <c r="V1130" s="387">
        <v>6004397000548</v>
      </c>
      <c r="W1130" s="387">
        <v>6004397000548</v>
      </c>
      <c r="X1130" s="387" t="s">
        <v>543</v>
      </c>
      <c r="Y1130" s="387" t="s">
        <v>543</v>
      </c>
      <c r="Z1130" s="387" t="s">
        <v>543</v>
      </c>
      <c r="AA1130" s="388" t="s">
        <v>543</v>
      </c>
      <c r="AB1130" s="388" t="s">
        <v>543</v>
      </c>
      <c r="AC1130" s="387">
        <v>781541018</v>
      </c>
      <c r="AD1130" s="389">
        <v>10</v>
      </c>
      <c r="AE1130" s="390">
        <v>44105</v>
      </c>
      <c r="AF1130" s="390">
        <v>45199</v>
      </c>
      <c r="AG1130" s="390">
        <v>45199</v>
      </c>
      <c r="AH1130" s="391" t="s">
        <v>7905</v>
      </c>
      <c r="AI1130" s="391" t="s">
        <v>7906</v>
      </c>
      <c r="AJ1130" s="391">
        <v>0</v>
      </c>
      <c r="AK1130" s="390">
        <v>44105</v>
      </c>
      <c r="AL1130" s="389">
        <v>100</v>
      </c>
      <c r="AM1130" s="391" t="s">
        <v>548</v>
      </c>
      <c r="AN1130" s="391" t="s">
        <v>545</v>
      </c>
      <c r="AO1130" s="391" t="s">
        <v>7907</v>
      </c>
    </row>
    <row r="1131" spans="1:41" ht="16" thickBot="1">
      <c r="A1131" s="387" t="s">
        <v>3010</v>
      </c>
      <c r="B1131" s="387" t="s">
        <v>7908</v>
      </c>
      <c r="C1131" s="387" t="s">
        <v>7909</v>
      </c>
      <c r="D1131" s="387" t="s">
        <v>7910</v>
      </c>
      <c r="E1131" s="387">
        <v>1</v>
      </c>
      <c r="F1131" s="387" t="s">
        <v>1780</v>
      </c>
      <c r="G1131" s="387">
        <v>1</v>
      </c>
      <c r="H1131" s="387" t="s">
        <v>1780</v>
      </c>
      <c r="I1131" s="387" t="s">
        <v>1751</v>
      </c>
      <c r="J1131" s="387" t="s">
        <v>7911</v>
      </c>
      <c r="K1131" s="387" t="s">
        <v>7912</v>
      </c>
      <c r="L1131" s="387" t="s">
        <v>2031</v>
      </c>
      <c r="M1131" s="387" t="s">
        <v>2032</v>
      </c>
      <c r="N1131" s="388">
        <v>65.56</v>
      </c>
      <c r="O1131" s="388">
        <v>14</v>
      </c>
      <c r="P1131" s="387" t="s">
        <v>538</v>
      </c>
      <c r="Q1131" s="387" t="s">
        <v>539</v>
      </c>
      <c r="R1131" s="387" t="s">
        <v>7913</v>
      </c>
      <c r="S1131" s="387" t="s">
        <v>171</v>
      </c>
      <c r="T1131" s="387" t="s">
        <v>757</v>
      </c>
      <c r="U1131" s="388">
        <v>181590</v>
      </c>
      <c r="V1131" s="387">
        <v>6001331021645</v>
      </c>
      <c r="W1131" s="387" t="s">
        <v>543</v>
      </c>
      <c r="X1131" s="387" t="s">
        <v>543</v>
      </c>
      <c r="Y1131" s="387">
        <v>6001331011226</v>
      </c>
      <c r="Z1131" s="387" t="s">
        <v>543</v>
      </c>
      <c r="AA1131" s="388" t="s">
        <v>543</v>
      </c>
      <c r="AB1131" s="388" t="s">
        <v>543</v>
      </c>
      <c r="AC1131" s="387" t="s">
        <v>7914</v>
      </c>
      <c r="AD1131" s="389">
        <v>320</v>
      </c>
      <c r="AE1131" s="390">
        <v>44620</v>
      </c>
      <c r="AF1131" s="390">
        <v>45199</v>
      </c>
      <c r="AG1131" s="390">
        <v>45199</v>
      </c>
      <c r="AH1131" s="391" t="s">
        <v>7915</v>
      </c>
      <c r="AI1131" s="391" t="s">
        <v>2033</v>
      </c>
      <c r="AJ1131" s="391">
        <v>3</v>
      </c>
      <c r="AK1131" s="390">
        <v>45047</v>
      </c>
      <c r="AL1131" s="389">
        <v>100</v>
      </c>
      <c r="AM1131" s="391" t="s">
        <v>548</v>
      </c>
      <c r="AN1131" s="391" t="s">
        <v>549</v>
      </c>
      <c r="AO1131" s="391" t="s">
        <v>7916</v>
      </c>
    </row>
    <row r="1132" spans="1:41" ht="16" thickBot="1">
      <c r="A1132" s="387" t="s">
        <v>3010</v>
      </c>
      <c r="B1132" s="387" t="s">
        <v>4431</v>
      </c>
      <c r="C1132" s="387" t="s">
        <v>7917</v>
      </c>
      <c r="D1132" s="387" t="s">
        <v>7918</v>
      </c>
      <c r="E1132" s="387">
        <v>1</v>
      </c>
      <c r="F1132" s="387" t="s">
        <v>1780</v>
      </c>
      <c r="G1132" s="387">
        <v>1</v>
      </c>
      <c r="H1132" s="387" t="s">
        <v>1780</v>
      </c>
      <c r="I1132" s="387" t="s">
        <v>1751</v>
      </c>
      <c r="J1132" s="387" t="s">
        <v>7911</v>
      </c>
      <c r="K1132" s="387" t="s">
        <v>7919</v>
      </c>
      <c r="L1132" s="387" t="s">
        <v>2031</v>
      </c>
      <c r="M1132" s="387" t="s">
        <v>2032</v>
      </c>
      <c r="N1132" s="388">
        <v>45.72</v>
      </c>
      <c r="O1132" s="388">
        <v>14</v>
      </c>
      <c r="P1132" s="387" t="s">
        <v>538</v>
      </c>
      <c r="Q1132" s="387" t="s">
        <v>539</v>
      </c>
      <c r="R1132" s="387" t="s">
        <v>7913</v>
      </c>
      <c r="S1132" s="387" t="s">
        <v>171</v>
      </c>
      <c r="T1132" s="387" t="s">
        <v>757</v>
      </c>
      <c r="U1132" s="388">
        <v>241830</v>
      </c>
      <c r="V1132" s="387">
        <v>6001331021638</v>
      </c>
      <c r="W1132" s="387" t="s">
        <v>543</v>
      </c>
      <c r="X1132" s="387" t="s">
        <v>543</v>
      </c>
      <c r="Y1132" s="387">
        <v>6001331011219</v>
      </c>
      <c r="Z1132" s="387" t="s">
        <v>543</v>
      </c>
      <c r="AA1132" s="388" t="s">
        <v>543</v>
      </c>
      <c r="AB1132" s="388" t="s">
        <v>543</v>
      </c>
      <c r="AC1132" s="387" t="s">
        <v>7920</v>
      </c>
      <c r="AD1132" s="389">
        <v>400</v>
      </c>
      <c r="AE1132" s="390">
        <v>44620</v>
      </c>
      <c r="AF1132" s="390">
        <v>45199</v>
      </c>
      <c r="AG1132" s="390">
        <v>45199</v>
      </c>
      <c r="AH1132" s="391" t="s">
        <v>7921</v>
      </c>
      <c r="AI1132" s="391" t="s">
        <v>2033</v>
      </c>
      <c r="AJ1132" s="391">
        <v>3</v>
      </c>
      <c r="AK1132" s="390">
        <v>45047</v>
      </c>
      <c r="AL1132" s="389">
        <v>100</v>
      </c>
      <c r="AM1132" s="391" t="s">
        <v>548</v>
      </c>
      <c r="AN1132" s="391" t="s">
        <v>549</v>
      </c>
      <c r="AO1132" s="391" t="s">
        <v>7922</v>
      </c>
    </row>
    <row r="1133" spans="1:41" ht="16" thickBot="1">
      <c r="A1133" s="387" t="s">
        <v>1748</v>
      </c>
      <c r="B1133" s="387" t="s">
        <v>4447</v>
      </c>
      <c r="C1133" s="387" t="s">
        <v>7923</v>
      </c>
      <c r="D1133" s="387" t="s">
        <v>7924</v>
      </c>
      <c r="E1133" s="387">
        <v>2</v>
      </c>
      <c r="F1133" s="387" t="s">
        <v>531</v>
      </c>
      <c r="G1133" s="387">
        <v>2</v>
      </c>
      <c r="H1133" s="387" t="s">
        <v>531</v>
      </c>
      <c r="I1133" s="387" t="s">
        <v>1751</v>
      </c>
      <c r="J1133" s="387" t="s">
        <v>7925</v>
      </c>
      <c r="K1133" s="387" t="s">
        <v>7926</v>
      </c>
      <c r="L1133" s="387" t="s">
        <v>1771</v>
      </c>
      <c r="M1133" s="387" t="s">
        <v>1772</v>
      </c>
      <c r="N1133" s="388">
        <v>45.94</v>
      </c>
      <c r="O1133" s="388">
        <v>14</v>
      </c>
      <c r="P1133" s="387" t="s">
        <v>538</v>
      </c>
      <c r="Q1133" s="387" t="s">
        <v>539</v>
      </c>
      <c r="R1133" s="387" t="s">
        <v>7927</v>
      </c>
      <c r="S1133" s="387" t="s">
        <v>614</v>
      </c>
      <c r="T1133" s="387" t="s">
        <v>757</v>
      </c>
      <c r="U1133" s="388">
        <v>53840</v>
      </c>
      <c r="V1133" s="387" t="s">
        <v>543</v>
      </c>
      <c r="W1133" s="387" t="s">
        <v>543</v>
      </c>
      <c r="X1133" s="387" t="s">
        <v>543</v>
      </c>
      <c r="Y1133" s="387" t="s">
        <v>543</v>
      </c>
      <c r="Z1133" s="387" t="s">
        <v>543</v>
      </c>
      <c r="AA1133" s="388" t="s">
        <v>543</v>
      </c>
      <c r="AB1133" s="388" t="s">
        <v>543</v>
      </c>
      <c r="AC1133" s="387" t="s">
        <v>543</v>
      </c>
      <c r="AD1133" s="389">
        <v>5</v>
      </c>
      <c r="AE1133" s="390">
        <v>44317</v>
      </c>
      <c r="AF1133" s="390">
        <v>45412</v>
      </c>
      <c r="AG1133" s="391" t="s">
        <v>545</v>
      </c>
      <c r="AH1133" s="391" t="s">
        <v>7928</v>
      </c>
      <c r="AI1133" s="391" t="s">
        <v>1776</v>
      </c>
      <c r="AJ1133" s="391">
        <v>0</v>
      </c>
      <c r="AK1133" s="390">
        <v>44317</v>
      </c>
      <c r="AL1133" s="389">
        <v>100</v>
      </c>
      <c r="AM1133" s="391" t="s">
        <v>548</v>
      </c>
      <c r="AN1133" s="391" t="s">
        <v>549</v>
      </c>
      <c r="AO1133" s="391" t="s">
        <v>7929</v>
      </c>
    </row>
    <row r="1134" spans="1:41" ht="16" thickBot="1">
      <c r="A1134" s="387" t="s">
        <v>1717</v>
      </c>
      <c r="B1134" s="387" t="s">
        <v>7930</v>
      </c>
      <c r="C1134" s="387" t="s">
        <v>7931</v>
      </c>
      <c r="D1134" s="387" t="s">
        <v>7932</v>
      </c>
      <c r="E1134" s="387">
        <v>28</v>
      </c>
      <c r="F1134" s="387" t="s">
        <v>559</v>
      </c>
      <c r="G1134" s="387">
        <v>28</v>
      </c>
      <c r="H1134" s="387" t="s">
        <v>559</v>
      </c>
      <c r="I1134" s="387" t="s">
        <v>560</v>
      </c>
      <c r="J1134" s="387" t="s">
        <v>7933</v>
      </c>
      <c r="K1134" s="387" t="s">
        <v>7934</v>
      </c>
      <c r="L1134" s="387" t="s">
        <v>2200</v>
      </c>
      <c r="M1134" s="387" t="s">
        <v>2201</v>
      </c>
      <c r="N1134" s="388">
        <v>60.85</v>
      </c>
      <c r="O1134" s="388">
        <v>14</v>
      </c>
      <c r="P1134" s="387" t="s">
        <v>538</v>
      </c>
      <c r="Q1134" s="387" t="s">
        <v>539</v>
      </c>
      <c r="R1134" s="387" t="s">
        <v>7935</v>
      </c>
      <c r="S1134" s="387" t="s">
        <v>171</v>
      </c>
      <c r="T1134" s="387" t="s">
        <v>1908</v>
      </c>
      <c r="U1134" s="388">
        <v>219058</v>
      </c>
      <c r="V1134" s="387" t="s">
        <v>543</v>
      </c>
      <c r="W1134" s="387" t="s">
        <v>543</v>
      </c>
      <c r="X1134" s="387" t="s">
        <v>543</v>
      </c>
      <c r="Y1134" s="387" t="s">
        <v>543</v>
      </c>
      <c r="Z1134" s="387" t="s">
        <v>543</v>
      </c>
      <c r="AA1134" s="388" t="s">
        <v>543</v>
      </c>
      <c r="AB1134" s="388" t="s">
        <v>543</v>
      </c>
      <c r="AC1134" s="387" t="s">
        <v>543</v>
      </c>
      <c r="AD1134" s="389" t="s">
        <v>7936</v>
      </c>
      <c r="AE1134" s="390">
        <v>45047</v>
      </c>
      <c r="AF1134" s="390">
        <v>46142</v>
      </c>
      <c r="AG1134" s="391" t="s">
        <v>545</v>
      </c>
      <c r="AH1134" s="391" t="s">
        <v>7937</v>
      </c>
      <c r="AI1134" s="391" t="s">
        <v>2203</v>
      </c>
      <c r="AJ1134" s="391">
        <v>0</v>
      </c>
      <c r="AK1134" s="390">
        <v>45047</v>
      </c>
      <c r="AL1134" s="389">
        <v>100</v>
      </c>
      <c r="AM1134" s="391" t="s">
        <v>548</v>
      </c>
      <c r="AN1134" s="391" t="s">
        <v>549</v>
      </c>
      <c r="AO1134" s="391" t="s">
        <v>7938</v>
      </c>
    </row>
    <row r="1135" spans="1:41" ht="16" thickBot="1">
      <c r="A1135" s="387" t="s">
        <v>1717</v>
      </c>
      <c r="B1135" s="387" t="s">
        <v>7939</v>
      </c>
      <c r="C1135" s="387" t="s">
        <v>7940</v>
      </c>
      <c r="D1135" s="387" t="s">
        <v>7941</v>
      </c>
      <c r="E1135" s="387">
        <v>30</v>
      </c>
      <c r="F1135" s="387" t="s">
        <v>584</v>
      </c>
      <c r="G1135" s="387">
        <v>30</v>
      </c>
      <c r="H1135" s="387" t="s">
        <v>559</v>
      </c>
      <c r="I1135" s="387" t="s">
        <v>560</v>
      </c>
      <c r="J1135" s="387" t="s">
        <v>7933</v>
      </c>
      <c r="K1135" s="387" t="s">
        <v>7942</v>
      </c>
      <c r="L1135" s="387" t="s">
        <v>654</v>
      </c>
      <c r="M1135" s="387" t="s">
        <v>655</v>
      </c>
      <c r="N1135" s="388">
        <v>23.62</v>
      </c>
      <c r="O1135" s="388">
        <v>14</v>
      </c>
      <c r="P1135" s="387" t="s">
        <v>538</v>
      </c>
      <c r="Q1135" s="387" t="s">
        <v>539</v>
      </c>
      <c r="R1135" s="387" t="s">
        <v>7935</v>
      </c>
      <c r="S1135" s="387" t="s">
        <v>171</v>
      </c>
      <c r="T1135" s="387" t="s">
        <v>1908</v>
      </c>
      <c r="U1135" s="388">
        <v>17384</v>
      </c>
      <c r="V1135" s="387" t="s">
        <v>543</v>
      </c>
      <c r="W1135" s="387" t="s">
        <v>543</v>
      </c>
      <c r="X1135" s="387" t="s">
        <v>543</v>
      </c>
      <c r="Y1135" s="387" t="s">
        <v>543</v>
      </c>
      <c r="Z1135" s="387" t="s">
        <v>543</v>
      </c>
      <c r="AA1135" s="388" t="s">
        <v>543</v>
      </c>
      <c r="AB1135" s="388" t="s">
        <v>543</v>
      </c>
      <c r="AC1135" s="387" t="s">
        <v>543</v>
      </c>
      <c r="AD1135" s="389">
        <v>126</v>
      </c>
      <c r="AE1135" s="390">
        <v>45047</v>
      </c>
      <c r="AF1135" s="390">
        <v>46142</v>
      </c>
      <c r="AG1135" s="391" t="s">
        <v>545</v>
      </c>
      <c r="AH1135" s="391" t="s">
        <v>7943</v>
      </c>
      <c r="AI1135" s="391" t="s">
        <v>658</v>
      </c>
      <c r="AJ1135" s="391">
        <v>0</v>
      </c>
      <c r="AK1135" s="390">
        <v>45047</v>
      </c>
      <c r="AL1135" s="389">
        <v>100</v>
      </c>
      <c r="AM1135" s="391" t="s">
        <v>548</v>
      </c>
      <c r="AN1135" s="391" t="s">
        <v>549</v>
      </c>
      <c r="AO1135" s="391" t="s">
        <v>7944</v>
      </c>
    </row>
    <row r="1136" spans="1:41" ht="16" thickBot="1">
      <c r="A1136" s="387" t="s">
        <v>1717</v>
      </c>
      <c r="B1136" s="387" t="s">
        <v>7945</v>
      </c>
      <c r="C1136" s="387" t="s">
        <v>7946</v>
      </c>
      <c r="D1136" s="387" t="s">
        <v>7947</v>
      </c>
      <c r="E1136" s="387">
        <v>28</v>
      </c>
      <c r="F1136" s="387" t="s">
        <v>559</v>
      </c>
      <c r="G1136" s="387">
        <v>28</v>
      </c>
      <c r="H1136" s="387" t="s">
        <v>559</v>
      </c>
      <c r="I1136" s="387" t="s">
        <v>560</v>
      </c>
      <c r="J1136" s="387" t="s">
        <v>7933</v>
      </c>
      <c r="K1136" s="387" t="s">
        <v>7948</v>
      </c>
      <c r="L1136" s="387" t="s">
        <v>2200</v>
      </c>
      <c r="M1136" s="387" t="s">
        <v>2201</v>
      </c>
      <c r="N1136" s="388">
        <v>31.63</v>
      </c>
      <c r="O1136" s="388">
        <v>14</v>
      </c>
      <c r="P1136" s="387" t="s">
        <v>538</v>
      </c>
      <c r="Q1136" s="387" t="s">
        <v>539</v>
      </c>
      <c r="R1136" s="387" t="s">
        <v>7935</v>
      </c>
      <c r="S1136" s="387" t="s">
        <v>171</v>
      </c>
      <c r="T1136" s="387" t="s">
        <v>1908</v>
      </c>
      <c r="U1136" s="388">
        <v>130273</v>
      </c>
      <c r="V1136" s="387" t="s">
        <v>543</v>
      </c>
      <c r="W1136" s="387" t="s">
        <v>543</v>
      </c>
      <c r="X1136" s="387" t="s">
        <v>543</v>
      </c>
      <c r="Y1136" s="387" t="s">
        <v>543</v>
      </c>
      <c r="Z1136" s="387" t="s">
        <v>543</v>
      </c>
      <c r="AA1136" s="388" t="s">
        <v>543</v>
      </c>
      <c r="AB1136" s="388" t="s">
        <v>543</v>
      </c>
      <c r="AC1136" s="387" t="s">
        <v>543</v>
      </c>
      <c r="AD1136" s="389">
        <v>50</v>
      </c>
      <c r="AE1136" s="390">
        <v>45047</v>
      </c>
      <c r="AF1136" s="390">
        <v>46142</v>
      </c>
      <c r="AG1136" s="391" t="s">
        <v>545</v>
      </c>
      <c r="AH1136" s="391" t="s">
        <v>7949</v>
      </c>
      <c r="AI1136" s="391" t="s">
        <v>2203</v>
      </c>
      <c r="AJ1136" s="391">
        <v>0</v>
      </c>
      <c r="AK1136" s="390">
        <v>45047</v>
      </c>
      <c r="AL1136" s="389">
        <v>100</v>
      </c>
      <c r="AM1136" s="391" t="s">
        <v>548</v>
      </c>
      <c r="AN1136" s="391" t="s">
        <v>549</v>
      </c>
      <c r="AO1136" s="391" t="s">
        <v>7950</v>
      </c>
    </row>
    <row r="1137" spans="1:41" ht="16" thickBot="1">
      <c r="A1137" s="387" t="s">
        <v>1717</v>
      </c>
      <c r="B1137" s="387" t="s">
        <v>7951</v>
      </c>
      <c r="C1137" s="387" t="s">
        <v>7952</v>
      </c>
      <c r="D1137" s="387" t="s">
        <v>7953</v>
      </c>
      <c r="E1137" s="387">
        <v>30</v>
      </c>
      <c r="F1137" s="387" t="s">
        <v>559</v>
      </c>
      <c r="G1137" s="387">
        <v>30</v>
      </c>
      <c r="H1137" s="387" t="s">
        <v>559</v>
      </c>
      <c r="I1137" s="387" t="s">
        <v>5717</v>
      </c>
      <c r="J1137" s="387" t="s">
        <v>7954</v>
      </c>
      <c r="K1137" s="387" t="s">
        <v>7955</v>
      </c>
      <c r="L1137" s="387" t="s">
        <v>1761</v>
      </c>
      <c r="M1137" s="387" t="s">
        <v>1762</v>
      </c>
      <c r="N1137" s="388">
        <v>68.62</v>
      </c>
      <c r="O1137" s="388">
        <v>14</v>
      </c>
      <c r="P1137" s="387" t="s">
        <v>538</v>
      </c>
      <c r="Q1137" s="387" t="s">
        <v>539</v>
      </c>
      <c r="R1137" s="387" t="s">
        <v>7956</v>
      </c>
      <c r="S1137" s="387" t="s">
        <v>171</v>
      </c>
      <c r="T1137" s="387" t="s">
        <v>757</v>
      </c>
      <c r="U1137" s="388">
        <v>62438</v>
      </c>
      <c r="V1137" s="387" t="s">
        <v>543</v>
      </c>
      <c r="W1137" s="387" t="s">
        <v>543</v>
      </c>
      <c r="X1137" s="387" t="s">
        <v>543</v>
      </c>
      <c r="Y1137" s="387" t="s">
        <v>543</v>
      </c>
      <c r="Z1137" s="387" t="s">
        <v>543</v>
      </c>
      <c r="AA1137" s="388" t="s">
        <v>543</v>
      </c>
      <c r="AB1137" s="388" t="s">
        <v>543</v>
      </c>
      <c r="AC1137" s="387">
        <v>700071003</v>
      </c>
      <c r="AD1137" s="389">
        <v>50</v>
      </c>
      <c r="AE1137" s="390">
        <v>45047</v>
      </c>
      <c r="AF1137" s="390">
        <v>46142</v>
      </c>
      <c r="AG1137" s="391" t="s">
        <v>545</v>
      </c>
      <c r="AH1137" s="391" t="s">
        <v>7957</v>
      </c>
      <c r="AI1137" s="391" t="s">
        <v>1764</v>
      </c>
      <c r="AJ1137" s="391">
        <v>0</v>
      </c>
      <c r="AK1137" s="390">
        <v>45047</v>
      </c>
      <c r="AL1137" s="389">
        <v>100</v>
      </c>
      <c r="AM1137" s="391" t="s">
        <v>548</v>
      </c>
      <c r="AN1137" s="391" t="s">
        <v>549</v>
      </c>
      <c r="AO1137" s="391" t="s">
        <v>7958</v>
      </c>
    </row>
    <row r="1138" spans="1:41" ht="16" thickBot="1">
      <c r="A1138" s="387" t="s">
        <v>1717</v>
      </c>
      <c r="B1138" s="387" t="s">
        <v>7959</v>
      </c>
      <c r="C1138" s="387" t="s">
        <v>7960</v>
      </c>
      <c r="D1138" s="387" t="s">
        <v>7961</v>
      </c>
      <c r="E1138" s="387">
        <v>84</v>
      </c>
      <c r="F1138" s="387" t="s">
        <v>559</v>
      </c>
      <c r="G1138" s="387">
        <v>84</v>
      </c>
      <c r="H1138" s="387" t="s">
        <v>559</v>
      </c>
      <c r="I1138" s="387" t="s">
        <v>560</v>
      </c>
      <c r="J1138" s="387" t="s">
        <v>7954</v>
      </c>
      <c r="K1138" s="387" t="s">
        <v>7962</v>
      </c>
      <c r="L1138" s="387" t="s">
        <v>2141</v>
      </c>
      <c r="M1138" s="387" t="s">
        <v>2142</v>
      </c>
      <c r="N1138" s="388">
        <v>21.85</v>
      </c>
      <c r="O1138" s="388">
        <v>14</v>
      </c>
      <c r="P1138" s="387" t="s">
        <v>538</v>
      </c>
      <c r="Q1138" s="387" t="s">
        <v>539</v>
      </c>
      <c r="R1138" s="387" t="s">
        <v>7956</v>
      </c>
      <c r="S1138" s="387" t="s">
        <v>171</v>
      </c>
      <c r="T1138" s="387" t="s">
        <v>757</v>
      </c>
      <c r="U1138" s="388">
        <v>141986</v>
      </c>
      <c r="V1138" s="387">
        <v>614143105692</v>
      </c>
      <c r="W1138" s="387">
        <v>614143105692</v>
      </c>
      <c r="X1138" s="387" t="s">
        <v>543</v>
      </c>
      <c r="Y1138" s="387">
        <v>10614143105699</v>
      </c>
      <c r="Z1138" s="387" t="s">
        <v>543</v>
      </c>
      <c r="AA1138" s="388" t="s">
        <v>543</v>
      </c>
      <c r="AB1138" s="388" t="s">
        <v>543</v>
      </c>
      <c r="AC1138" s="387">
        <v>775789039</v>
      </c>
      <c r="AD1138" s="389">
        <v>50</v>
      </c>
      <c r="AE1138" s="390">
        <v>45047</v>
      </c>
      <c r="AF1138" s="390">
        <v>46142</v>
      </c>
      <c r="AG1138" s="391" t="s">
        <v>545</v>
      </c>
      <c r="AH1138" s="391" t="s">
        <v>7963</v>
      </c>
      <c r="AI1138" s="391" t="s">
        <v>2144</v>
      </c>
      <c r="AJ1138" s="391">
        <v>0</v>
      </c>
      <c r="AK1138" s="390">
        <v>45047</v>
      </c>
      <c r="AL1138" s="389">
        <v>100</v>
      </c>
      <c r="AM1138" s="391" t="s">
        <v>548</v>
      </c>
      <c r="AN1138" s="391" t="s">
        <v>549</v>
      </c>
      <c r="AO1138" s="391" t="s">
        <v>7964</v>
      </c>
    </row>
    <row r="1139" spans="1:41" ht="16" thickBot="1">
      <c r="A1139" s="387" t="s">
        <v>1748</v>
      </c>
      <c r="B1139" s="387" t="s">
        <v>7965</v>
      </c>
      <c r="C1139" s="387" t="s">
        <v>7966</v>
      </c>
      <c r="D1139" s="387" t="s">
        <v>7967</v>
      </c>
      <c r="E1139" s="387">
        <v>2</v>
      </c>
      <c r="F1139" s="387" t="s">
        <v>531</v>
      </c>
      <c r="G1139" s="387">
        <v>2</v>
      </c>
      <c r="H1139" s="387" t="s">
        <v>531</v>
      </c>
      <c r="I1139" s="387" t="s">
        <v>1751</v>
      </c>
      <c r="J1139" s="387" t="s">
        <v>7954</v>
      </c>
      <c r="K1139" s="387" t="s">
        <v>7968</v>
      </c>
      <c r="L1139" s="387" t="s">
        <v>2312</v>
      </c>
      <c r="M1139" s="387" t="s">
        <v>2313</v>
      </c>
      <c r="N1139" s="388">
        <v>7.2</v>
      </c>
      <c r="O1139" s="388">
        <v>14</v>
      </c>
      <c r="P1139" s="387" t="s">
        <v>611</v>
      </c>
      <c r="Q1139" s="387" t="s">
        <v>3396</v>
      </c>
      <c r="R1139" s="387" t="s">
        <v>7956</v>
      </c>
      <c r="S1139" s="387" t="s">
        <v>614</v>
      </c>
      <c r="T1139" s="387" t="s">
        <v>160</v>
      </c>
      <c r="U1139" s="388">
        <v>17910</v>
      </c>
      <c r="V1139" s="387">
        <v>6009802416617</v>
      </c>
      <c r="W1139" s="387">
        <v>6009802416617</v>
      </c>
      <c r="X1139" s="387" t="s">
        <v>543</v>
      </c>
      <c r="Y1139" s="387">
        <v>16009802416614</v>
      </c>
      <c r="Z1139" s="387" t="s">
        <v>543</v>
      </c>
      <c r="AA1139" s="388" t="s">
        <v>543</v>
      </c>
      <c r="AB1139" s="388" t="s">
        <v>543</v>
      </c>
      <c r="AC1139" s="387">
        <v>703896001</v>
      </c>
      <c r="AD1139" s="389">
        <v>100</v>
      </c>
      <c r="AE1139" s="390">
        <v>44317</v>
      </c>
      <c r="AF1139" s="390">
        <v>45412</v>
      </c>
      <c r="AG1139" s="391" t="s">
        <v>545</v>
      </c>
      <c r="AH1139" s="391" t="s">
        <v>7969</v>
      </c>
      <c r="AI1139" s="391" t="s">
        <v>2314</v>
      </c>
      <c r="AJ1139" s="391">
        <v>0</v>
      </c>
      <c r="AK1139" s="390">
        <v>44317</v>
      </c>
      <c r="AL1139" s="389">
        <v>100</v>
      </c>
      <c r="AM1139" s="391" t="s">
        <v>548</v>
      </c>
      <c r="AN1139" s="391" t="s">
        <v>549</v>
      </c>
      <c r="AO1139" s="391" t="s">
        <v>7970</v>
      </c>
    </row>
    <row r="1140" spans="1:41" ht="16" thickBot="1">
      <c r="A1140" s="387" t="s">
        <v>2583</v>
      </c>
      <c r="B1140" s="387" t="s">
        <v>3680</v>
      </c>
      <c r="C1140" s="387" t="s">
        <v>7971</v>
      </c>
      <c r="D1140" s="387" t="s">
        <v>7972</v>
      </c>
      <c r="E1140" s="387">
        <v>1</v>
      </c>
      <c r="F1140" s="387" t="s">
        <v>1780</v>
      </c>
      <c r="G1140" s="387">
        <v>1</v>
      </c>
      <c r="H1140" s="387" t="s">
        <v>1780</v>
      </c>
      <c r="I1140" s="387" t="s">
        <v>1751</v>
      </c>
      <c r="J1140" s="387" t="s">
        <v>7973</v>
      </c>
      <c r="K1140" s="387" t="s">
        <v>7974</v>
      </c>
      <c r="L1140" s="387" t="s">
        <v>1793</v>
      </c>
      <c r="M1140" s="387" t="s">
        <v>1794</v>
      </c>
      <c r="N1140" s="388">
        <v>250.47</v>
      </c>
      <c r="O1140" s="388">
        <v>14</v>
      </c>
      <c r="P1140" s="387" t="s">
        <v>538</v>
      </c>
      <c r="Q1140" s="387" t="s">
        <v>539</v>
      </c>
      <c r="R1140" s="387" t="s">
        <v>7975</v>
      </c>
      <c r="S1140" s="387" t="s">
        <v>541</v>
      </c>
      <c r="T1140" s="387" t="s">
        <v>1908</v>
      </c>
      <c r="U1140" s="388">
        <v>10400</v>
      </c>
      <c r="V1140" s="387">
        <v>6009646070716</v>
      </c>
      <c r="W1140" s="387">
        <v>6009646070716</v>
      </c>
      <c r="X1140" s="387" t="s">
        <v>543</v>
      </c>
      <c r="Y1140" s="387">
        <v>6009646070716</v>
      </c>
      <c r="Z1140" s="387" t="s">
        <v>543</v>
      </c>
      <c r="AA1140" s="388" t="s">
        <v>543</v>
      </c>
      <c r="AB1140" s="388" t="s">
        <v>543</v>
      </c>
      <c r="AC1140" s="387">
        <v>827851007</v>
      </c>
      <c r="AD1140" s="389">
        <v>5</v>
      </c>
      <c r="AE1140" s="390">
        <v>44949</v>
      </c>
      <c r="AF1140" s="390">
        <v>45473</v>
      </c>
      <c r="AG1140" s="391" t="s">
        <v>545</v>
      </c>
      <c r="AH1140" s="391" t="s">
        <v>7976</v>
      </c>
      <c r="AI1140" s="391" t="s">
        <v>1797</v>
      </c>
      <c r="AJ1140" s="391">
        <v>0</v>
      </c>
      <c r="AK1140" s="390">
        <v>44949</v>
      </c>
      <c r="AL1140" s="389">
        <v>100</v>
      </c>
      <c r="AM1140" s="391" t="s">
        <v>548</v>
      </c>
      <c r="AN1140" s="391" t="s">
        <v>549</v>
      </c>
      <c r="AO1140" s="391" t="s">
        <v>7977</v>
      </c>
    </row>
    <row r="1141" spans="1:41" ht="16" thickBot="1">
      <c r="A1141" s="387" t="s">
        <v>2166</v>
      </c>
      <c r="B1141" s="387" t="s">
        <v>3693</v>
      </c>
      <c r="C1141" s="387" t="s">
        <v>7978</v>
      </c>
      <c r="D1141" s="387" t="s">
        <v>7979</v>
      </c>
      <c r="E1141" s="387">
        <v>2</v>
      </c>
      <c r="F1141" s="387" t="s">
        <v>531</v>
      </c>
      <c r="G1141" s="387">
        <v>2</v>
      </c>
      <c r="H1141" s="387" t="s">
        <v>531</v>
      </c>
      <c r="I1141" s="387" t="s">
        <v>1751</v>
      </c>
      <c r="J1141" s="387" t="s">
        <v>7980</v>
      </c>
      <c r="K1141" s="387" t="s">
        <v>7981</v>
      </c>
      <c r="L1141" s="387" t="s">
        <v>2595</v>
      </c>
      <c r="M1141" s="387" t="s">
        <v>2596</v>
      </c>
      <c r="N1141" s="388">
        <v>81.650000000000006</v>
      </c>
      <c r="O1141" s="388">
        <v>14</v>
      </c>
      <c r="P1141" s="387" t="s">
        <v>538</v>
      </c>
      <c r="Q1141" s="387" t="s">
        <v>539</v>
      </c>
      <c r="R1141" s="387" t="s">
        <v>7982</v>
      </c>
      <c r="S1141" s="387" t="s">
        <v>541</v>
      </c>
      <c r="T1141" s="387" t="s">
        <v>1908</v>
      </c>
      <c r="U1141" s="388">
        <v>32767</v>
      </c>
      <c r="V1141" s="387">
        <v>6009801985954</v>
      </c>
      <c r="W1141" s="387" t="s">
        <v>543</v>
      </c>
      <c r="X1141" s="387" t="s">
        <v>543</v>
      </c>
      <c r="Y1141" s="387" t="s">
        <v>543</v>
      </c>
      <c r="Z1141" s="387" t="s">
        <v>543</v>
      </c>
      <c r="AA1141" s="388" t="s">
        <v>543</v>
      </c>
      <c r="AB1141" s="388" t="s">
        <v>543</v>
      </c>
      <c r="AC1141" s="387" t="s">
        <v>7983</v>
      </c>
      <c r="AD1141" s="389">
        <v>20</v>
      </c>
      <c r="AE1141" s="390">
        <v>44743</v>
      </c>
      <c r="AF1141" s="390">
        <v>45473</v>
      </c>
      <c r="AG1141" s="391" t="s">
        <v>545</v>
      </c>
      <c r="AH1141" s="391" t="s">
        <v>7984</v>
      </c>
      <c r="AI1141" s="391" t="s">
        <v>2599</v>
      </c>
      <c r="AJ1141" s="391">
        <v>0</v>
      </c>
      <c r="AK1141" s="390">
        <v>44743</v>
      </c>
      <c r="AL1141" s="389">
        <v>100</v>
      </c>
      <c r="AM1141" s="391" t="s">
        <v>548</v>
      </c>
      <c r="AN1141" s="391" t="s">
        <v>549</v>
      </c>
      <c r="AO1141" s="391" t="s">
        <v>7985</v>
      </c>
    </row>
    <row r="1142" spans="1:41" ht="16" thickBot="1">
      <c r="A1142" s="387" t="s">
        <v>1717</v>
      </c>
      <c r="B1142" s="387" t="s">
        <v>7986</v>
      </c>
      <c r="C1142" s="387" t="s">
        <v>7987</v>
      </c>
      <c r="D1142" s="387" t="s">
        <v>7988</v>
      </c>
      <c r="E1142" s="387">
        <v>50</v>
      </c>
      <c r="F1142" s="387" t="s">
        <v>584</v>
      </c>
      <c r="G1142" s="387">
        <v>50</v>
      </c>
      <c r="H1142" s="387" t="s">
        <v>584</v>
      </c>
      <c r="I1142" s="387" t="s">
        <v>585</v>
      </c>
      <c r="J1142" s="387" t="s">
        <v>7989</v>
      </c>
      <c r="K1142" s="387" t="s">
        <v>7990</v>
      </c>
      <c r="L1142" s="387" t="s">
        <v>1905</v>
      </c>
      <c r="M1142" s="387" t="s">
        <v>1906</v>
      </c>
      <c r="N1142" s="388">
        <v>65.19</v>
      </c>
      <c r="O1142" s="388">
        <v>14</v>
      </c>
      <c r="P1142" s="387" t="s">
        <v>538</v>
      </c>
      <c r="Q1142" s="387" t="s">
        <v>539</v>
      </c>
      <c r="R1142" s="387" t="s">
        <v>7991</v>
      </c>
      <c r="S1142" s="387" t="s">
        <v>541</v>
      </c>
      <c r="T1142" s="387" t="s">
        <v>542</v>
      </c>
      <c r="U1142" s="388">
        <v>225042</v>
      </c>
      <c r="V1142" s="387" t="s">
        <v>543</v>
      </c>
      <c r="W1142" s="387" t="s">
        <v>543</v>
      </c>
      <c r="X1142" s="387" t="s">
        <v>543</v>
      </c>
      <c r="Y1142" s="387">
        <v>6002570977502</v>
      </c>
      <c r="Z1142" s="387" t="s">
        <v>543</v>
      </c>
      <c r="AA1142" s="388" t="s">
        <v>543</v>
      </c>
      <c r="AB1142" s="388" t="s">
        <v>543</v>
      </c>
      <c r="AC1142" s="387" t="s">
        <v>543</v>
      </c>
      <c r="AD1142" s="389">
        <v>10</v>
      </c>
      <c r="AE1142" s="390">
        <v>45047</v>
      </c>
      <c r="AF1142" s="390">
        <v>46142</v>
      </c>
      <c r="AG1142" s="390">
        <v>46142</v>
      </c>
      <c r="AH1142" s="391" t="s">
        <v>7992</v>
      </c>
      <c r="AI1142" s="391" t="s">
        <v>1910</v>
      </c>
      <c r="AJ1142" s="391">
        <v>0</v>
      </c>
      <c r="AK1142" s="390">
        <v>45047</v>
      </c>
      <c r="AL1142" s="389">
        <v>100</v>
      </c>
      <c r="AM1142" s="391" t="s">
        <v>548</v>
      </c>
      <c r="AN1142" s="391" t="s">
        <v>549</v>
      </c>
      <c r="AO1142" s="391" t="s">
        <v>7993</v>
      </c>
    </row>
    <row r="1143" spans="1:41" ht="16" thickBot="1">
      <c r="A1143" s="387" t="s">
        <v>1717</v>
      </c>
      <c r="B1143" s="387" t="s">
        <v>7994</v>
      </c>
      <c r="C1143" s="387" t="s">
        <v>7995</v>
      </c>
      <c r="D1143" s="387" t="s">
        <v>7996</v>
      </c>
      <c r="E1143" s="387">
        <v>50</v>
      </c>
      <c r="F1143" s="387" t="s">
        <v>584</v>
      </c>
      <c r="G1143" s="387">
        <v>50</v>
      </c>
      <c r="H1143" s="387" t="s">
        <v>584</v>
      </c>
      <c r="I1143" s="387" t="s">
        <v>585</v>
      </c>
      <c r="J1143" s="387" t="s">
        <v>7989</v>
      </c>
      <c r="K1143" s="387" t="s">
        <v>7997</v>
      </c>
      <c r="L1143" s="387" t="s">
        <v>1905</v>
      </c>
      <c r="M1143" s="387" t="s">
        <v>1906</v>
      </c>
      <c r="N1143" s="388">
        <v>99.94</v>
      </c>
      <c r="O1143" s="388">
        <v>14</v>
      </c>
      <c r="P1143" s="387" t="s">
        <v>538</v>
      </c>
      <c r="Q1143" s="387" t="s">
        <v>539</v>
      </c>
      <c r="R1143" s="387" t="s">
        <v>7991</v>
      </c>
      <c r="S1143" s="387" t="s">
        <v>541</v>
      </c>
      <c r="T1143" s="387" t="s">
        <v>542</v>
      </c>
      <c r="U1143" s="388">
        <v>364041</v>
      </c>
      <c r="V1143" s="387">
        <v>6002570977540</v>
      </c>
      <c r="W1143" s="387">
        <v>6002570977540</v>
      </c>
      <c r="X1143" s="387" t="s">
        <v>543</v>
      </c>
      <c r="Y1143" s="387">
        <v>6002570977502</v>
      </c>
      <c r="Z1143" s="387" t="s">
        <v>543</v>
      </c>
      <c r="AA1143" s="388" t="s">
        <v>543</v>
      </c>
      <c r="AB1143" s="388" t="s">
        <v>543</v>
      </c>
      <c r="AC1143" s="387" t="s">
        <v>543</v>
      </c>
      <c r="AD1143" s="389">
        <v>10</v>
      </c>
      <c r="AE1143" s="390">
        <v>45047</v>
      </c>
      <c r="AF1143" s="390">
        <v>46142</v>
      </c>
      <c r="AG1143" s="391" t="s">
        <v>545</v>
      </c>
      <c r="AH1143" s="391" t="s">
        <v>7998</v>
      </c>
      <c r="AI1143" s="391" t="s">
        <v>1910</v>
      </c>
      <c r="AJ1143" s="391">
        <v>0</v>
      </c>
      <c r="AK1143" s="390">
        <v>45047</v>
      </c>
      <c r="AL1143" s="389">
        <v>100</v>
      </c>
      <c r="AM1143" s="391" t="s">
        <v>548</v>
      </c>
      <c r="AN1143" s="391" t="s">
        <v>549</v>
      </c>
      <c r="AO1143" s="391" t="s">
        <v>7999</v>
      </c>
    </row>
    <row r="1144" spans="1:41" ht="16" thickBot="1">
      <c r="A1144" s="387" t="s">
        <v>1717</v>
      </c>
      <c r="B1144" s="387" t="s">
        <v>8000</v>
      </c>
      <c r="C1144" s="387" t="s">
        <v>8001</v>
      </c>
      <c r="D1144" s="387" t="s">
        <v>8002</v>
      </c>
      <c r="E1144" s="387">
        <v>50</v>
      </c>
      <c r="F1144" s="387" t="s">
        <v>584</v>
      </c>
      <c r="G1144" s="387">
        <v>50</v>
      </c>
      <c r="H1144" s="387" t="s">
        <v>584</v>
      </c>
      <c r="I1144" s="387" t="s">
        <v>585</v>
      </c>
      <c r="J1144" s="387" t="s">
        <v>7989</v>
      </c>
      <c r="K1144" s="387" t="s">
        <v>8003</v>
      </c>
      <c r="L1144" s="387" t="s">
        <v>1905</v>
      </c>
      <c r="M1144" s="387" t="s">
        <v>1906</v>
      </c>
      <c r="N1144" s="388">
        <v>52.19</v>
      </c>
      <c r="O1144" s="388">
        <v>14</v>
      </c>
      <c r="P1144" s="387" t="s">
        <v>538</v>
      </c>
      <c r="Q1144" s="387" t="s">
        <v>539</v>
      </c>
      <c r="R1144" s="387" t="s">
        <v>7991</v>
      </c>
      <c r="S1144" s="387" t="s">
        <v>541</v>
      </c>
      <c r="T1144" s="387" t="s">
        <v>542</v>
      </c>
      <c r="U1144" s="388">
        <v>75362</v>
      </c>
      <c r="V1144" s="387">
        <v>6002570977748</v>
      </c>
      <c r="W1144" s="387">
        <v>6002570977748</v>
      </c>
      <c r="X1144" s="387" t="s">
        <v>543</v>
      </c>
      <c r="Y1144" s="387">
        <v>6002570977700</v>
      </c>
      <c r="Z1144" s="387" t="s">
        <v>543</v>
      </c>
      <c r="AA1144" s="388" t="s">
        <v>543</v>
      </c>
      <c r="AB1144" s="388" t="s">
        <v>543</v>
      </c>
      <c r="AC1144" s="387" t="s">
        <v>543</v>
      </c>
      <c r="AD1144" s="389">
        <v>10</v>
      </c>
      <c r="AE1144" s="390">
        <v>45047</v>
      </c>
      <c r="AF1144" s="390">
        <v>46142</v>
      </c>
      <c r="AG1144" s="391" t="s">
        <v>545</v>
      </c>
      <c r="AH1144" s="391" t="s">
        <v>8004</v>
      </c>
      <c r="AI1144" s="391" t="s">
        <v>1910</v>
      </c>
      <c r="AJ1144" s="391">
        <v>0</v>
      </c>
      <c r="AK1144" s="390">
        <v>45047</v>
      </c>
      <c r="AL1144" s="389">
        <v>100</v>
      </c>
      <c r="AM1144" s="391" t="s">
        <v>548</v>
      </c>
      <c r="AN1144" s="391" t="s">
        <v>549</v>
      </c>
      <c r="AO1144" s="391" t="s">
        <v>8005</v>
      </c>
    </row>
    <row r="1145" spans="1:41" ht="16" thickBot="1">
      <c r="A1145" s="387" t="s">
        <v>1748</v>
      </c>
      <c r="B1145" s="387" t="s">
        <v>4560</v>
      </c>
      <c r="C1145" s="387" t="s">
        <v>8006</v>
      </c>
      <c r="D1145" s="387" t="s">
        <v>8007</v>
      </c>
      <c r="E1145" s="387">
        <v>10</v>
      </c>
      <c r="F1145" s="387" t="s">
        <v>531</v>
      </c>
      <c r="G1145" s="387">
        <v>10</v>
      </c>
      <c r="H1145" s="387" t="s">
        <v>531</v>
      </c>
      <c r="I1145" s="387" t="s">
        <v>1751</v>
      </c>
      <c r="J1145" s="387" t="s">
        <v>8008</v>
      </c>
      <c r="K1145" s="387" t="s">
        <v>8009</v>
      </c>
      <c r="L1145" s="387" t="s">
        <v>2326</v>
      </c>
      <c r="M1145" s="387" t="s">
        <v>2327</v>
      </c>
      <c r="N1145" s="388">
        <v>37.56</v>
      </c>
      <c r="O1145" s="388">
        <v>14</v>
      </c>
      <c r="P1145" s="387" t="s">
        <v>538</v>
      </c>
      <c r="Q1145" s="387" t="s">
        <v>539</v>
      </c>
      <c r="R1145" s="387" t="s">
        <v>8010</v>
      </c>
      <c r="S1145" s="387" t="s">
        <v>541</v>
      </c>
      <c r="T1145" s="387" t="s">
        <v>542</v>
      </c>
      <c r="U1145" s="388">
        <v>412200</v>
      </c>
      <c r="V1145" s="387" t="s">
        <v>543</v>
      </c>
      <c r="W1145" s="387" t="s">
        <v>543</v>
      </c>
      <c r="X1145" s="387" t="s">
        <v>543</v>
      </c>
      <c r="Y1145" s="387" t="s">
        <v>543</v>
      </c>
      <c r="Z1145" s="387" t="s">
        <v>543</v>
      </c>
      <c r="AA1145" s="388" t="s">
        <v>543</v>
      </c>
      <c r="AB1145" s="388" t="s">
        <v>543</v>
      </c>
      <c r="AC1145" s="387" t="s">
        <v>543</v>
      </c>
      <c r="AD1145" s="389" t="s">
        <v>3507</v>
      </c>
      <c r="AE1145" s="390">
        <v>44317</v>
      </c>
      <c r="AF1145" s="390">
        <v>45412</v>
      </c>
      <c r="AG1145" s="391" t="s">
        <v>545</v>
      </c>
      <c r="AH1145" s="391" t="s">
        <v>8011</v>
      </c>
      <c r="AI1145" s="391" t="s">
        <v>2330</v>
      </c>
      <c r="AJ1145" s="391">
        <v>0</v>
      </c>
      <c r="AK1145" s="390">
        <v>44317</v>
      </c>
      <c r="AL1145" s="389">
        <v>100</v>
      </c>
      <c r="AM1145" s="391" t="s">
        <v>548</v>
      </c>
      <c r="AN1145" s="391" t="s">
        <v>549</v>
      </c>
      <c r="AO1145" s="391" t="s">
        <v>8012</v>
      </c>
    </row>
    <row r="1146" spans="1:41" ht="16" thickBot="1">
      <c r="A1146" s="387" t="s">
        <v>1717</v>
      </c>
      <c r="B1146" s="387" t="s">
        <v>8013</v>
      </c>
      <c r="C1146" s="387" t="s">
        <v>8014</v>
      </c>
      <c r="D1146" s="387" t="s">
        <v>8015</v>
      </c>
      <c r="E1146" s="387">
        <v>28</v>
      </c>
      <c r="F1146" s="387" t="s">
        <v>559</v>
      </c>
      <c r="G1146" s="387">
        <v>28</v>
      </c>
      <c r="H1146" s="387" t="s">
        <v>559</v>
      </c>
      <c r="I1146" s="387" t="s">
        <v>560</v>
      </c>
      <c r="J1146" s="387" t="s">
        <v>8008</v>
      </c>
      <c r="K1146" s="387" t="s">
        <v>8016</v>
      </c>
      <c r="L1146" s="387" t="s">
        <v>654</v>
      </c>
      <c r="M1146" s="387" t="s">
        <v>655</v>
      </c>
      <c r="N1146" s="388">
        <v>6.97</v>
      </c>
      <c r="O1146" s="388">
        <v>14</v>
      </c>
      <c r="P1146" s="387" t="s">
        <v>538</v>
      </c>
      <c r="Q1146" s="387" t="s">
        <v>539</v>
      </c>
      <c r="R1146" s="387" t="s">
        <v>8010</v>
      </c>
      <c r="S1146" s="387" t="s">
        <v>171</v>
      </c>
      <c r="T1146" s="387" t="s">
        <v>542</v>
      </c>
      <c r="U1146" s="388">
        <v>1155581</v>
      </c>
      <c r="V1146" s="387">
        <v>6004405007118</v>
      </c>
      <c r="W1146" s="387">
        <v>6004405007118</v>
      </c>
      <c r="X1146" s="387" t="s">
        <v>543</v>
      </c>
      <c r="Y1146" s="387">
        <v>16004405007119</v>
      </c>
      <c r="Z1146" s="387" t="s">
        <v>543</v>
      </c>
      <c r="AA1146" s="388" t="s">
        <v>543</v>
      </c>
      <c r="AB1146" s="388" t="s">
        <v>543</v>
      </c>
      <c r="AC1146" s="387" t="s">
        <v>543</v>
      </c>
      <c r="AD1146" s="389">
        <v>192</v>
      </c>
      <c r="AE1146" s="390">
        <v>45047</v>
      </c>
      <c r="AF1146" s="390">
        <v>46142</v>
      </c>
      <c r="AG1146" s="391" t="s">
        <v>545</v>
      </c>
      <c r="AH1146" s="391" t="s">
        <v>8017</v>
      </c>
      <c r="AI1146" s="391" t="s">
        <v>658</v>
      </c>
      <c r="AJ1146" s="391">
        <v>0</v>
      </c>
      <c r="AK1146" s="390">
        <v>45047</v>
      </c>
      <c r="AL1146" s="389">
        <v>20</v>
      </c>
      <c r="AM1146" s="391" t="s">
        <v>548</v>
      </c>
      <c r="AN1146" s="391" t="s">
        <v>549</v>
      </c>
      <c r="AO1146" s="391" t="s">
        <v>8018</v>
      </c>
    </row>
    <row r="1147" spans="1:41" ht="16" thickBot="1">
      <c r="A1147" s="387" t="s">
        <v>1717</v>
      </c>
      <c r="B1147" s="387" t="s">
        <v>8013</v>
      </c>
      <c r="C1147" s="387" t="s">
        <v>8014</v>
      </c>
      <c r="D1147" s="387" t="s">
        <v>8015</v>
      </c>
      <c r="E1147" s="387">
        <v>28</v>
      </c>
      <c r="F1147" s="387" t="s">
        <v>559</v>
      </c>
      <c r="G1147" s="387">
        <v>28</v>
      </c>
      <c r="H1147" s="387" t="s">
        <v>559</v>
      </c>
      <c r="I1147" s="387" t="s">
        <v>560</v>
      </c>
      <c r="J1147" s="387" t="s">
        <v>8008</v>
      </c>
      <c r="K1147" s="387" t="s">
        <v>8019</v>
      </c>
      <c r="L1147" s="387" t="s">
        <v>1809</v>
      </c>
      <c r="M1147" s="387" t="s">
        <v>1810</v>
      </c>
      <c r="N1147" s="388">
        <v>6.3</v>
      </c>
      <c r="O1147" s="388">
        <v>14</v>
      </c>
      <c r="P1147" s="387" t="s">
        <v>538</v>
      </c>
      <c r="Q1147" s="387" t="s">
        <v>539</v>
      </c>
      <c r="R1147" s="387" t="s">
        <v>8010</v>
      </c>
      <c r="S1147" s="387" t="s">
        <v>171</v>
      </c>
      <c r="T1147" s="387" t="s">
        <v>542</v>
      </c>
      <c r="U1147" s="388">
        <v>4622322</v>
      </c>
      <c r="V1147" s="387" t="s">
        <v>543</v>
      </c>
      <c r="W1147" s="387" t="s">
        <v>543</v>
      </c>
      <c r="X1147" s="387" t="s">
        <v>543</v>
      </c>
      <c r="Y1147" s="387" t="s">
        <v>543</v>
      </c>
      <c r="Z1147" s="387" t="s">
        <v>543</v>
      </c>
      <c r="AA1147" s="388" t="s">
        <v>543</v>
      </c>
      <c r="AB1147" s="388" t="s">
        <v>543</v>
      </c>
      <c r="AC1147" s="387" t="s">
        <v>543</v>
      </c>
      <c r="AD1147" s="389">
        <v>100</v>
      </c>
      <c r="AE1147" s="390">
        <v>45047</v>
      </c>
      <c r="AF1147" s="390">
        <v>46142</v>
      </c>
      <c r="AG1147" s="391" t="s">
        <v>545</v>
      </c>
      <c r="AH1147" s="391" t="s">
        <v>8017</v>
      </c>
      <c r="AI1147" s="391" t="s">
        <v>1813</v>
      </c>
      <c r="AJ1147" s="391">
        <v>0</v>
      </c>
      <c r="AK1147" s="390">
        <v>45047</v>
      </c>
      <c r="AL1147" s="389">
        <v>80</v>
      </c>
      <c r="AM1147" s="391" t="s">
        <v>548</v>
      </c>
      <c r="AN1147" s="391" t="s">
        <v>549</v>
      </c>
      <c r="AO1147" s="391" t="s">
        <v>8018</v>
      </c>
    </row>
    <row r="1148" spans="1:41" ht="16" thickBot="1">
      <c r="A1148" s="387" t="s">
        <v>1717</v>
      </c>
      <c r="B1148" s="387" t="s">
        <v>8020</v>
      </c>
      <c r="C1148" s="387" t="s">
        <v>8021</v>
      </c>
      <c r="D1148" s="387" t="s">
        <v>8022</v>
      </c>
      <c r="E1148" s="387">
        <v>84</v>
      </c>
      <c r="F1148" s="387" t="s">
        <v>559</v>
      </c>
      <c r="G1148" s="387">
        <v>84</v>
      </c>
      <c r="H1148" s="387" t="s">
        <v>559</v>
      </c>
      <c r="I1148" s="387" t="s">
        <v>560</v>
      </c>
      <c r="J1148" s="387" t="s">
        <v>8008</v>
      </c>
      <c r="K1148" s="387" t="s">
        <v>8023</v>
      </c>
      <c r="L1148" s="387" t="s">
        <v>654</v>
      </c>
      <c r="M1148" s="387" t="s">
        <v>655</v>
      </c>
      <c r="N1148" s="388">
        <v>21.96</v>
      </c>
      <c r="O1148" s="388">
        <v>14</v>
      </c>
      <c r="P1148" s="387" t="s">
        <v>538</v>
      </c>
      <c r="Q1148" s="387" t="s">
        <v>539</v>
      </c>
      <c r="R1148" s="387" t="s">
        <v>8010</v>
      </c>
      <c r="S1148" s="387" t="s">
        <v>171</v>
      </c>
      <c r="T1148" s="387" t="s">
        <v>542</v>
      </c>
      <c r="U1148" s="388">
        <v>84822</v>
      </c>
      <c r="V1148" s="387" t="s">
        <v>543</v>
      </c>
      <c r="W1148" s="387" t="s">
        <v>543</v>
      </c>
      <c r="X1148" s="387" t="s">
        <v>543</v>
      </c>
      <c r="Y1148" s="387" t="s">
        <v>543</v>
      </c>
      <c r="Z1148" s="387" t="s">
        <v>543</v>
      </c>
      <c r="AA1148" s="388" t="s">
        <v>543</v>
      </c>
      <c r="AB1148" s="388" t="s">
        <v>543</v>
      </c>
      <c r="AC1148" s="387" t="s">
        <v>543</v>
      </c>
      <c r="AD1148" s="389">
        <v>144</v>
      </c>
      <c r="AE1148" s="390">
        <v>45047</v>
      </c>
      <c r="AF1148" s="390">
        <v>46142</v>
      </c>
      <c r="AG1148" s="391" t="s">
        <v>545</v>
      </c>
      <c r="AH1148" s="391" t="s">
        <v>8024</v>
      </c>
      <c r="AI1148" s="391" t="s">
        <v>658</v>
      </c>
      <c r="AJ1148" s="391">
        <v>0</v>
      </c>
      <c r="AK1148" s="390">
        <v>45047</v>
      </c>
      <c r="AL1148" s="389">
        <v>100</v>
      </c>
      <c r="AM1148" s="391" t="s">
        <v>548</v>
      </c>
      <c r="AN1148" s="391" t="s">
        <v>549</v>
      </c>
      <c r="AO1148" s="391" t="s">
        <v>8018</v>
      </c>
    </row>
    <row r="1149" spans="1:41" ht="16" thickBot="1">
      <c r="A1149" s="387" t="s">
        <v>1748</v>
      </c>
      <c r="B1149" s="387" t="s">
        <v>4566</v>
      </c>
      <c r="C1149" s="387" t="s">
        <v>8025</v>
      </c>
      <c r="D1149" s="387" t="s">
        <v>8026</v>
      </c>
      <c r="E1149" s="387">
        <v>1</v>
      </c>
      <c r="F1149" s="387" t="s">
        <v>531</v>
      </c>
      <c r="G1149" s="387">
        <v>1</v>
      </c>
      <c r="H1149" s="387" t="s">
        <v>531</v>
      </c>
      <c r="I1149" s="387" t="s">
        <v>1751</v>
      </c>
      <c r="J1149" s="387" t="s">
        <v>8027</v>
      </c>
      <c r="K1149" s="387" t="s">
        <v>8028</v>
      </c>
      <c r="L1149" s="387" t="s">
        <v>6311</v>
      </c>
      <c r="M1149" s="387" t="s">
        <v>6312</v>
      </c>
      <c r="N1149" s="388">
        <v>48.84</v>
      </c>
      <c r="O1149" s="388">
        <v>14</v>
      </c>
      <c r="P1149" s="387" t="s">
        <v>538</v>
      </c>
      <c r="Q1149" s="387" t="s">
        <v>539</v>
      </c>
      <c r="R1149" s="387" t="s">
        <v>8029</v>
      </c>
      <c r="S1149" s="387" t="s">
        <v>541</v>
      </c>
      <c r="T1149" s="387" t="s">
        <v>757</v>
      </c>
      <c r="U1149" s="388">
        <v>487350</v>
      </c>
      <c r="V1149" s="387" t="s">
        <v>543</v>
      </c>
      <c r="W1149" s="387" t="s">
        <v>543</v>
      </c>
      <c r="X1149" s="387" t="s">
        <v>543</v>
      </c>
      <c r="Y1149" s="387" t="s">
        <v>543</v>
      </c>
      <c r="Z1149" s="387" t="s">
        <v>543</v>
      </c>
      <c r="AA1149" s="388" t="s">
        <v>543</v>
      </c>
      <c r="AB1149" s="388" t="s">
        <v>543</v>
      </c>
      <c r="AC1149" s="387" t="s">
        <v>543</v>
      </c>
      <c r="AD1149" s="389">
        <v>30</v>
      </c>
      <c r="AE1149" s="390">
        <v>44317</v>
      </c>
      <c r="AF1149" s="390">
        <v>45412</v>
      </c>
      <c r="AG1149" s="391" t="s">
        <v>545</v>
      </c>
      <c r="AH1149" s="391" t="s">
        <v>8030</v>
      </c>
      <c r="AI1149" s="391" t="s">
        <v>6316</v>
      </c>
      <c r="AJ1149" s="391">
        <v>0</v>
      </c>
      <c r="AK1149" s="390">
        <v>44317</v>
      </c>
      <c r="AL1149" s="389">
        <v>100</v>
      </c>
      <c r="AM1149" s="391" t="s">
        <v>548</v>
      </c>
      <c r="AN1149" s="391" t="s">
        <v>549</v>
      </c>
      <c r="AO1149" s="391" t="s">
        <v>8031</v>
      </c>
    </row>
    <row r="1150" spans="1:41" ht="16" thickBot="1">
      <c r="A1150" s="387" t="s">
        <v>1717</v>
      </c>
      <c r="B1150" s="387" t="s">
        <v>8032</v>
      </c>
      <c r="C1150" s="387" t="s">
        <v>8033</v>
      </c>
      <c r="D1150" s="387" t="s">
        <v>8034</v>
      </c>
      <c r="E1150" s="387">
        <v>28</v>
      </c>
      <c r="F1150" s="387" t="s">
        <v>559</v>
      </c>
      <c r="G1150" s="387" t="s">
        <v>543</v>
      </c>
      <c r="H1150" s="387" t="s">
        <v>559</v>
      </c>
      <c r="I1150" s="387" t="s">
        <v>560</v>
      </c>
      <c r="J1150" s="387" t="s">
        <v>8035</v>
      </c>
      <c r="K1150" s="387" t="s">
        <v>8036</v>
      </c>
      <c r="L1150" s="387" t="s">
        <v>2062</v>
      </c>
      <c r="M1150" s="387" t="s">
        <v>2063</v>
      </c>
      <c r="N1150" s="388">
        <v>7.23</v>
      </c>
      <c r="O1150" s="388">
        <v>14</v>
      </c>
      <c r="P1150" s="387" t="s">
        <v>538</v>
      </c>
      <c r="Q1150" s="387" t="s">
        <v>539</v>
      </c>
      <c r="R1150" s="387" t="s">
        <v>8037</v>
      </c>
      <c r="S1150" s="387" t="s">
        <v>541</v>
      </c>
      <c r="T1150" s="387" t="s">
        <v>542</v>
      </c>
      <c r="U1150" s="388">
        <v>408760</v>
      </c>
      <c r="V1150" s="387" t="s">
        <v>543</v>
      </c>
      <c r="W1150" s="387" t="s">
        <v>543</v>
      </c>
      <c r="X1150" s="387" t="s">
        <v>543</v>
      </c>
      <c r="Y1150" s="387" t="s">
        <v>543</v>
      </c>
      <c r="Z1150" s="387" t="s">
        <v>543</v>
      </c>
      <c r="AA1150" s="388" t="s">
        <v>543</v>
      </c>
      <c r="AB1150" s="388" t="s">
        <v>543</v>
      </c>
      <c r="AC1150" s="387" t="s">
        <v>543</v>
      </c>
      <c r="AD1150" s="389">
        <v>400</v>
      </c>
      <c r="AE1150" s="390">
        <v>45047</v>
      </c>
      <c r="AF1150" s="390">
        <v>46142</v>
      </c>
      <c r="AG1150" s="391" t="s">
        <v>545</v>
      </c>
      <c r="AH1150" s="391" t="s">
        <v>8038</v>
      </c>
      <c r="AI1150" s="391" t="s">
        <v>2064</v>
      </c>
      <c r="AJ1150" s="391">
        <v>0</v>
      </c>
      <c r="AK1150" s="390">
        <v>45047</v>
      </c>
      <c r="AL1150" s="389">
        <v>100</v>
      </c>
      <c r="AM1150" s="391" t="s">
        <v>548</v>
      </c>
      <c r="AN1150" s="391" t="s">
        <v>549</v>
      </c>
      <c r="AO1150" s="391" t="s">
        <v>8039</v>
      </c>
    </row>
    <row r="1151" spans="1:41" ht="16" thickBot="1">
      <c r="A1151" s="387" t="s">
        <v>1717</v>
      </c>
      <c r="B1151" s="387" t="s">
        <v>8040</v>
      </c>
      <c r="C1151" s="387" t="s">
        <v>8041</v>
      </c>
      <c r="D1151" s="387" t="s">
        <v>8042</v>
      </c>
      <c r="E1151" s="387">
        <v>84</v>
      </c>
      <c r="F1151" s="387" t="s">
        <v>559</v>
      </c>
      <c r="G1151" s="387" t="s">
        <v>543</v>
      </c>
      <c r="H1151" s="387" t="s">
        <v>559</v>
      </c>
      <c r="I1151" s="387" t="s">
        <v>560</v>
      </c>
      <c r="J1151" s="387" t="s">
        <v>8035</v>
      </c>
      <c r="K1151" s="387" t="s">
        <v>8036</v>
      </c>
      <c r="L1151" s="387" t="s">
        <v>2062</v>
      </c>
      <c r="M1151" s="387" t="s">
        <v>2063</v>
      </c>
      <c r="N1151" s="388">
        <v>17.7</v>
      </c>
      <c r="O1151" s="388">
        <v>14</v>
      </c>
      <c r="P1151" s="387" t="s">
        <v>538</v>
      </c>
      <c r="Q1151" s="387" t="s">
        <v>539</v>
      </c>
      <c r="R1151" s="387" t="s">
        <v>8037</v>
      </c>
      <c r="S1151" s="387" t="s">
        <v>541</v>
      </c>
      <c r="T1151" s="387" t="s">
        <v>542</v>
      </c>
      <c r="U1151" s="388">
        <v>39310</v>
      </c>
      <c r="V1151" s="387" t="s">
        <v>543</v>
      </c>
      <c r="W1151" s="387" t="s">
        <v>543</v>
      </c>
      <c r="X1151" s="387" t="s">
        <v>543</v>
      </c>
      <c r="Y1151" s="387" t="s">
        <v>543</v>
      </c>
      <c r="Z1151" s="387" t="s">
        <v>543</v>
      </c>
      <c r="AA1151" s="388" t="s">
        <v>543</v>
      </c>
      <c r="AB1151" s="388" t="s">
        <v>543</v>
      </c>
      <c r="AC1151" s="387" t="s">
        <v>543</v>
      </c>
      <c r="AD1151" s="389">
        <v>400</v>
      </c>
      <c r="AE1151" s="390">
        <v>45047</v>
      </c>
      <c r="AF1151" s="390">
        <v>46142</v>
      </c>
      <c r="AG1151" s="391" t="s">
        <v>545</v>
      </c>
      <c r="AH1151" s="391" t="s">
        <v>8043</v>
      </c>
      <c r="AI1151" s="391" t="s">
        <v>2064</v>
      </c>
      <c r="AJ1151" s="391">
        <v>0</v>
      </c>
      <c r="AK1151" s="390">
        <v>45047</v>
      </c>
      <c r="AL1151" s="389">
        <v>100</v>
      </c>
      <c r="AM1151" s="391" t="s">
        <v>548</v>
      </c>
      <c r="AN1151" s="391" t="s">
        <v>549</v>
      </c>
      <c r="AO1151" s="391" t="s">
        <v>8039</v>
      </c>
    </row>
    <row r="1152" spans="1:41" ht="16" thickBot="1">
      <c r="A1152" s="387" t="s">
        <v>1717</v>
      </c>
      <c r="B1152" s="387" t="s">
        <v>8044</v>
      </c>
      <c r="C1152" s="387" t="s">
        <v>8045</v>
      </c>
      <c r="D1152" s="387" t="s">
        <v>8046</v>
      </c>
      <c r="E1152" s="387">
        <v>100</v>
      </c>
      <c r="F1152" s="387" t="s">
        <v>559</v>
      </c>
      <c r="G1152" s="387" t="s">
        <v>543</v>
      </c>
      <c r="H1152" s="387" t="s">
        <v>559</v>
      </c>
      <c r="I1152" s="387" t="s">
        <v>560</v>
      </c>
      <c r="J1152" s="387" t="s">
        <v>8047</v>
      </c>
      <c r="K1152" s="387" t="s">
        <v>8048</v>
      </c>
      <c r="L1152" s="387" t="s">
        <v>1809</v>
      </c>
      <c r="M1152" s="387" t="s">
        <v>1810</v>
      </c>
      <c r="N1152" s="388">
        <v>7.75</v>
      </c>
      <c r="O1152" s="388">
        <v>14</v>
      </c>
      <c r="P1152" s="387" t="s">
        <v>538</v>
      </c>
      <c r="Q1152" s="387" t="s">
        <v>539</v>
      </c>
      <c r="R1152" s="387" t="s">
        <v>8049</v>
      </c>
      <c r="S1152" s="387" t="s">
        <v>171</v>
      </c>
      <c r="T1152" s="387" t="s">
        <v>542</v>
      </c>
      <c r="U1152" s="388">
        <v>252430</v>
      </c>
      <c r="V1152" s="387" t="s">
        <v>543</v>
      </c>
      <c r="W1152" s="387" t="s">
        <v>543</v>
      </c>
      <c r="X1152" s="387" t="s">
        <v>543</v>
      </c>
      <c r="Y1152" s="387" t="s">
        <v>543</v>
      </c>
      <c r="Z1152" s="387" t="s">
        <v>543</v>
      </c>
      <c r="AA1152" s="388" t="s">
        <v>543</v>
      </c>
      <c r="AB1152" s="388" t="s">
        <v>543</v>
      </c>
      <c r="AC1152" s="387" t="s">
        <v>543</v>
      </c>
      <c r="AD1152" s="389">
        <v>50</v>
      </c>
      <c r="AE1152" s="390">
        <v>45047</v>
      </c>
      <c r="AF1152" s="390">
        <v>46142</v>
      </c>
      <c r="AG1152" s="391" t="s">
        <v>545</v>
      </c>
      <c r="AH1152" s="391" t="s">
        <v>8050</v>
      </c>
      <c r="AI1152" s="391" t="s">
        <v>1813</v>
      </c>
      <c r="AJ1152" s="391">
        <v>0</v>
      </c>
      <c r="AK1152" s="390">
        <v>45047</v>
      </c>
      <c r="AL1152" s="389">
        <v>100</v>
      </c>
      <c r="AM1152" s="391" t="s">
        <v>548</v>
      </c>
      <c r="AN1152" s="391" t="s">
        <v>549</v>
      </c>
      <c r="AO1152" s="391" t="s">
        <v>8051</v>
      </c>
    </row>
    <row r="1153" spans="1:43" ht="16" thickBot="1">
      <c r="A1153" s="387" t="s">
        <v>1717</v>
      </c>
      <c r="B1153" s="387" t="s">
        <v>8052</v>
      </c>
      <c r="C1153" s="387" t="s">
        <v>8053</v>
      </c>
      <c r="D1153" s="387" t="s">
        <v>8054</v>
      </c>
      <c r="E1153" s="387">
        <v>28</v>
      </c>
      <c r="F1153" s="387" t="s">
        <v>559</v>
      </c>
      <c r="G1153" s="387" t="s">
        <v>543</v>
      </c>
      <c r="H1153" s="387" t="s">
        <v>559</v>
      </c>
      <c r="I1153" s="387" t="s">
        <v>560</v>
      </c>
      <c r="J1153" s="387" t="s">
        <v>8047</v>
      </c>
      <c r="K1153" s="387" t="s">
        <v>8055</v>
      </c>
      <c r="L1153" s="387" t="s">
        <v>2735</v>
      </c>
      <c r="M1153" s="387" t="s">
        <v>2736</v>
      </c>
      <c r="N1153" s="388">
        <v>2.99</v>
      </c>
      <c r="O1153" s="388">
        <v>14</v>
      </c>
      <c r="P1153" s="387" t="s">
        <v>538</v>
      </c>
      <c r="Q1153" s="387" t="s">
        <v>539</v>
      </c>
      <c r="R1153" s="387" t="s">
        <v>8049</v>
      </c>
      <c r="S1153" s="387" t="s">
        <v>171</v>
      </c>
      <c r="T1153" s="387" t="s">
        <v>542</v>
      </c>
      <c r="U1153" s="388">
        <v>10111193</v>
      </c>
      <c r="V1153" s="387">
        <v>6009900435602</v>
      </c>
      <c r="W1153" s="387">
        <v>6009900435602</v>
      </c>
      <c r="X1153" s="387" t="s">
        <v>543</v>
      </c>
      <c r="Y1153" s="387">
        <v>16009900435609</v>
      </c>
      <c r="Z1153" s="387" t="s">
        <v>543</v>
      </c>
      <c r="AA1153" s="388" t="s">
        <v>543</v>
      </c>
      <c r="AB1153" s="388" t="s">
        <v>543</v>
      </c>
      <c r="AC1153" s="387">
        <v>3000406001</v>
      </c>
      <c r="AD1153" s="389">
        <v>600</v>
      </c>
      <c r="AE1153" s="390">
        <v>45047</v>
      </c>
      <c r="AF1153" s="390">
        <v>46142</v>
      </c>
      <c r="AG1153" s="391" t="s">
        <v>545</v>
      </c>
      <c r="AH1153" s="391" t="s">
        <v>8056</v>
      </c>
      <c r="AI1153" s="391" t="s">
        <v>2737</v>
      </c>
      <c r="AJ1153" s="391">
        <v>0</v>
      </c>
      <c r="AK1153" s="390">
        <v>45047</v>
      </c>
      <c r="AL1153" s="389">
        <v>32.340000000000003</v>
      </c>
      <c r="AM1153" s="391" t="s">
        <v>548</v>
      </c>
      <c r="AN1153" s="391" t="s">
        <v>549</v>
      </c>
      <c r="AO1153" s="391" t="s">
        <v>8051</v>
      </c>
      <c r="AP1153" s="372">
        <f>N1153/E1153</f>
        <v>0.10678571428571429</v>
      </c>
      <c r="AQ1153" s="372">
        <f>SUMPRODUCT(AP1153:AP1155,U1153:U1155)/SUM(U1153:U1155)</f>
        <v>0.10354499389265867</v>
      </c>
    </row>
    <row r="1154" spans="1:43" ht="16" thickBot="1">
      <c r="A1154" s="387" t="s">
        <v>1717</v>
      </c>
      <c r="B1154" s="387" t="s">
        <v>8052</v>
      </c>
      <c r="C1154" s="387" t="s">
        <v>8053</v>
      </c>
      <c r="D1154" s="387" t="s">
        <v>8054</v>
      </c>
      <c r="E1154" s="387">
        <v>28</v>
      </c>
      <c r="F1154" s="387" t="s">
        <v>559</v>
      </c>
      <c r="G1154" s="387" t="s">
        <v>543</v>
      </c>
      <c r="H1154" s="387" t="s">
        <v>559</v>
      </c>
      <c r="I1154" s="387" t="s">
        <v>560</v>
      </c>
      <c r="J1154" s="387" t="s">
        <v>8047</v>
      </c>
      <c r="K1154" s="387" t="s">
        <v>1700</v>
      </c>
      <c r="L1154" s="387" t="s">
        <v>1809</v>
      </c>
      <c r="M1154" s="387" t="s">
        <v>1810</v>
      </c>
      <c r="N1154" s="388">
        <v>2.75</v>
      </c>
      <c r="O1154" s="388">
        <v>14</v>
      </c>
      <c r="P1154" s="387" t="s">
        <v>538</v>
      </c>
      <c r="Q1154" s="387" t="s">
        <v>539</v>
      </c>
      <c r="R1154" s="387" t="s">
        <v>8049</v>
      </c>
      <c r="S1154" s="387" t="s">
        <v>171</v>
      </c>
      <c r="T1154" s="387" t="s">
        <v>542</v>
      </c>
      <c r="U1154" s="388">
        <v>10973078</v>
      </c>
      <c r="V1154" s="387" t="s">
        <v>543</v>
      </c>
      <c r="W1154" s="387" t="s">
        <v>543</v>
      </c>
      <c r="X1154" s="387" t="s">
        <v>543</v>
      </c>
      <c r="Y1154" s="387" t="s">
        <v>543</v>
      </c>
      <c r="Z1154" s="387" t="s">
        <v>543</v>
      </c>
      <c r="AA1154" s="388" t="s">
        <v>543</v>
      </c>
      <c r="AB1154" s="388" t="s">
        <v>543</v>
      </c>
      <c r="AC1154" s="387" t="s">
        <v>543</v>
      </c>
      <c r="AD1154" s="389">
        <v>100</v>
      </c>
      <c r="AE1154" s="390">
        <v>45047</v>
      </c>
      <c r="AF1154" s="390">
        <v>46142</v>
      </c>
      <c r="AG1154" s="391" t="s">
        <v>545</v>
      </c>
      <c r="AH1154" s="391" t="s">
        <v>8056</v>
      </c>
      <c r="AI1154" s="391" t="s">
        <v>1813</v>
      </c>
      <c r="AJ1154" s="391">
        <v>0</v>
      </c>
      <c r="AK1154" s="390">
        <v>45047</v>
      </c>
      <c r="AL1154" s="389">
        <v>35.090000000000003</v>
      </c>
      <c r="AM1154" s="391" t="s">
        <v>548</v>
      </c>
      <c r="AN1154" s="391" t="s">
        <v>549</v>
      </c>
      <c r="AO1154" s="391" t="s">
        <v>8051</v>
      </c>
      <c r="AP1154" s="372">
        <f t="shared" ref="AP1154:AP1155" si="35">N1154/E1154</f>
        <v>9.8214285714285712E-2</v>
      </c>
    </row>
    <row r="1155" spans="1:43" ht="16" thickBot="1">
      <c r="A1155" s="387" t="s">
        <v>1717</v>
      </c>
      <c r="B1155" s="387" t="s">
        <v>8052</v>
      </c>
      <c r="C1155" s="387" t="s">
        <v>8053</v>
      </c>
      <c r="D1155" s="387" t="s">
        <v>8054</v>
      </c>
      <c r="E1155" s="387">
        <v>28</v>
      </c>
      <c r="F1155" s="387" t="s">
        <v>559</v>
      </c>
      <c r="G1155" s="387" t="s">
        <v>543</v>
      </c>
      <c r="H1155" s="387" t="s">
        <v>559</v>
      </c>
      <c r="I1155" s="387" t="s">
        <v>560</v>
      </c>
      <c r="J1155" s="387" t="s">
        <v>8047</v>
      </c>
      <c r="K1155" s="387" t="s">
        <v>8057</v>
      </c>
      <c r="L1155" s="387" t="s">
        <v>2062</v>
      </c>
      <c r="M1155" s="387" t="s">
        <v>2063</v>
      </c>
      <c r="N1155" s="388">
        <v>2.97</v>
      </c>
      <c r="O1155" s="388">
        <v>14</v>
      </c>
      <c r="P1155" s="387" t="s">
        <v>538</v>
      </c>
      <c r="Q1155" s="387" t="s">
        <v>539</v>
      </c>
      <c r="R1155" s="387" t="s">
        <v>8049</v>
      </c>
      <c r="S1155" s="387" t="s">
        <v>171</v>
      </c>
      <c r="T1155" s="387" t="s">
        <v>542</v>
      </c>
      <c r="U1155" s="388">
        <v>10183017</v>
      </c>
      <c r="V1155" s="387">
        <v>6009880832736</v>
      </c>
      <c r="W1155" s="387" t="s">
        <v>543</v>
      </c>
      <c r="X1155" s="387" t="s">
        <v>543</v>
      </c>
      <c r="Y1155" s="387">
        <v>16009880832733</v>
      </c>
      <c r="Z1155" s="387" t="s">
        <v>543</v>
      </c>
      <c r="AA1155" s="388" t="s">
        <v>543</v>
      </c>
      <c r="AB1155" s="388" t="s">
        <v>543</v>
      </c>
      <c r="AC1155" s="387" t="s">
        <v>543</v>
      </c>
      <c r="AD1155" s="389">
        <v>500</v>
      </c>
      <c r="AE1155" s="390">
        <v>45047</v>
      </c>
      <c r="AF1155" s="390">
        <v>46142</v>
      </c>
      <c r="AG1155" s="391" t="s">
        <v>545</v>
      </c>
      <c r="AH1155" s="391" t="s">
        <v>8056</v>
      </c>
      <c r="AI1155" s="391" t="s">
        <v>2064</v>
      </c>
      <c r="AJ1155" s="391">
        <v>0</v>
      </c>
      <c r="AK1155" s="390">
        <v>45047</v>
      </c>
      <c r="AL1155" s="389">
        <v>32.57</v>
      </c>
      <c r="AM1155" s="391" t="s">
        <v>548</v>
      </c>
      <c r="AN1155" s="391" t="s">
        <v>549</v>
      </c>
      <c r="AO1155" s="391" t="s">
        <v>8051</v>
      </c>
      <c r="AP1155" s="372">
        <f t="shared" si="35"/>
        <v>0.10607142857142858</v>
      </c>
    </row>
    <row r="1156" spans="1:43" ht="16" thickBot="1">
      <c r="A1156" s="387" t="s">
        <v>1717</v>
      </c>
      <c r="B1156" s="387" t="s">
        <v>784</v>
      </c>
      <c r="C1156" s="387" t="s">
        <v>8058</v>
      </c>
      <c r="D1156" s="387" t="s">
        <v>8059</v>
      </c>
      <c r="E1156" s="387">
        <v>30</v>
      </c>
      <c r="F1156" s="387" t="s">
        <v>584</v>
      </c>
      <c r="G1156" s="387">
        <v>30</v>
      </c>
      <c r="H1156" s="387" t="s">
        <v>584</v>
      </c>
      <c r="I1156" s="387" t="s">
        <v>585</v>
      </c>
      <c r="J1156" s="387" t="s">
        <v>8060</v>
      </c>
      <c r="K1156" s="387" t="s">
        <v>8061</v>
      </c>
      <c r="L1156" s="387" t="s">
        <v>5222</v>
      </c>
      <c r="M1156" s="387" t="s">
        <v>5223</v>
      </c>
      <c r="N1156" s="388">
        <v>64.290000000000006</v>
      </c>
      <c r="O1156" s="388">
        <v>14</v>
      </c>
      <c r="P1156" s="387" t="s">
        <v>538</v>
      </c>
      <c r="Q1156" s="387" t="s">
        <v>539</v>
      </c>
      <c r="R1156" s="387" t="s">
        <v>8062</v>
      </c>
      <c r="S1156" s="387" t="s">
        <v>171</v>
      </c>
      <c r="T1156" s="387" t="s">
        <v>757</v>
      </c>
      <c r="U1156" s="388">
        <v>196790</v>
      </c>
      <c r="V1156" s="387">
        <v>6009880904044</v>
      </c>
      <c r="W1156" s="387">
        <v>6009880904044</v>
      </c>
      <c r="X1156" s="387" t="s">
        <v>543</v>
      </c>
      <c r="Y1156" s="387" t="s">
        <v>543</v>
      </c>
      <c r="Z1156" s="387" t="s">
        <v>543</v>
      </c>
      <c r="AA1156" s="388" t="s">
        <v>543</v>
      </c>
      <c r="AB1156" s="388" t="s">
        <v>543</v>
      </c>
      <c r="AC1156" s="387">
        <v>3003368001</v>
      </c>
      <c r="AD1156" s="389">
        <v>50</v>
      </c>
      <c r="AE1156" s="390">
        <v>45047</v>
      </c>
      <c r="AF1156" s="390">
        <v>46142</v>
      </c>
      <c r="AG1156" s="391" t="s">
        <v>545</v>
      </c>
      <c r="AH1156" s="391" t="s">
        <v>8063</v>
      </c>
      <c r="AI1156" s="391" t="s">
        <v>5226</v>
      </c>
      <c r="AJ1156" s="391">
        <v>0</v>
      </c>
      <c r="AK1156" s="390">
        <v>45047</v>
      </c>
      <c r="AL1156" s="389">
        <v>100</v>
      </c>
      <c r="AM1156" s="391" t="s">
        <v>548</v>
      </c>
      <c r="AN1156" s="391" t="s">
        <v>549</v>
      </c>
      <c r="AO1156" s="391" t="s">
        <v>8064</v>
      </c>
    </row>
    <row r="1157" spans="1:43" ht="16" thickBot="1">
      <c r="A1157" s="387" t="s">
        <v>1717</v>
      </c>
      <c r="B1157" s="387" t="s">
        <v>2127</v>
      </c>
      <c r="C1157" s="387" t="s">
        <v>8065</v>
      </c>
      <c r="D1157" s="387" t="s">
        <v>8066</v>
      </c>
      <c r="E1157" s="387">
        <v>30</v>
      </c>
      <c r="F1157" s="387" t="s">
        <v>584</v>
      </c>
      <c r="G1157" s="387">
        <v>30</v>
      </c>
      <c r="H1157" s="387" t="s">
        <v>584</v>
      </c>
      <c r="I1157" s="387" t="s">
        <v>585</v>
      </c>
      <c r="J1157" s="387" t="s">
        <v>8060</v>
      </c>
      <c r="K1157" s="387" t="s">
        <v>8067</v>
      </c>
      <c r="L1157" s="387" t="s">
        <v>5222</v>
      </c>
      <c r="M1157" s="387" t="s">
        <v>5223</v>
      </c>
      <c r="N1157" s="388">
        <v>211.6</v>
      </c>
      <c r="O1157" s="388">
        <v>14</v>
      </c>
      <c r="P1157" s="387" t="s">
        <v>538</v>
      </c>
      <c r="Q1157" s="387" t="s">
        <v>539</v>
      </c>
      <c r="R1157" s="387" t="s">
        <v>8062</v>
      </c>
      <c r="S1157" s="387" t="s">
        <v>171</v>
      </c>
      <c r="T1157" s="387" t="s">
        <v>757</v>
      </c>
      <c r="U1157" s="388">
        <v>61255</v>
      </c>
      <c r="V1157" s="387">
        <v>6009880904068</v>
      </c>
      <c r="W1157" s="387">
        <v>6009880904068</v>
      </c>
      <c r="X1157" s="387" t="s">
        <v>543</v>
      </c>
      <c r="Y1157" s="387" t="s">
        <v>543</v>
      </c>
      <c r="Z1157" s="387" t="s">
        <v>543</v>
      </c>
      <c r="AA1157" s="388" t="s">
        <v>543</v>
      </c>
      <c r="AB1157" s="388" t="s">
        <v>543</v>
      </c>
      <c r="AC1157" s="387">
        <v>3003367001</v>
      </c>
      <c r="AD1157" s="389">
        <v>50</v>
      </c>
      <c r="AE1157" s="390">
        <v>45047</v>
      </c>
      <c r="AF1157" s="390">
        <v>46142</v>
      </c>
      <c r="AG1157" s="391" t="s">
        <v>545</v>
      </c>
      <c r="AH1157" s="391" t="s">
        <v>8068</v>
      </c>
      <c r="AI1157" s="391" t="s">
        <v>5226</v>
      </c>
      <c r="AJ1157" s="391">
        <v>0</v>
      </c>
      <c r="AK1157" s="390">
        <v>45047</v>
      </c>
      <c r="AL1157" s="389">
        <v>100</v>
      </c>
      <c r="AM1157" s="391" t="s">
        <v>548</v>
      </c>
      <c r="AN1157" s="391" t="s">
        <v>549</v>
      </c>
      <c r="AO1157" s="391" t="s">
        <v>8069</v>
      </c>
    </row>
    <row r="1158" spans="1:43" ht="16" thickBot="1">
      <c r="A1158" s="387" t="s">
        <v>1729</v>
      </c>
      <c r="B1158" s="387" t="s">
        <v>1004</v>
      </c>
      <c r="C1158" s="387" t="s">
        <v>8070</v>
      </c>
      <c r="D1158" s="387" t="s">
        <v>8071</v>
      </c>
      <c r="E1158" s="387">
        <v>15</v>
      </c>
      <c r="F1158" s="387" t="s">
        <v>531</v>
      </c>
      <c r="G1158" s="387">
        <v>300</v>
      </c>
      <c r="H1158" s="387" t="s">
        <v>2297</v>
      </c>
      <c r="I1158" s="387" t="s">
        <v>6127</v>
      </c>
      <c r="J1158" s="387" t="s">
        <v>8072</v>
      </c>
      <c r="K1158" s="387" t="s">
        <v>8073</v>
      </c>
      <c r="L1158" s="387" t="s">
        <v>535</v>
      </c>
      <c r="M1158" s="387" t="s">
        <v>536</v>
      </c>
      <c r="N1158" s="388">
        <v>64.680000000000007</v>
      </c>
      <c r="O1158" s="388">
        <v>14</v>
      </c>
      <c r="P1158" s="387" t="s">
        <v>538</v>
      </c>
      <c r="Q1158" s="387" t="s">
        <v>539</v>
      </c>
      <c r="R1158" s="387" t="s">
        <v>8074</v>
      </c>
      <c r="S1158" s="387" t="s">
        <v>171</v>
      </c>
      <c r="T1158" s="387" t="s">
        <v>757</v>
      </c>
      <c r="U1158" s="388">
        <v>248690</v>
      </c>
      <c r="V1158" s="387">
        <v>6001390968196</v>
      </c>
      <c r="W1158" s="387">
        <v>6001390968202</v>
      </c>
      <c r="X1158" s="387" t="s">
        <v>543</v>
      </c>
      <c r="Y1158" s="387">
        <v>16001390968209</v>
      </c>
      <c r="Z1158" s="387" t="s">
        <v>543</v>
      </c>
      <c r="AA1158" s="388" t="s">
        <v>543</v>
      </c>
      <c r="AB1158" s="388" t="s">
        <v>543</v>
      </c>
      <c r="AC1158" s="387">
        <v>711853010</v>
      </c>
      <c r="AD1158" s="389">
        <v>6</v>
      </c>
      <c r="AE1158" s="390">
        <v>44105</v>
      </c>
      <c r="AF1158" s="390">
        <v>45199</v>
      </c>
      <c r="AG1158" s="390">
        <v>45199</v>
      </c>
      <c r="AH1158" s="391" t="s">
        <v>8075</v>
      </c>
      <c r="AI1158" s="391" t="s">
        <v>547</v>
      </c>
      <c r="AJ1158" s="391">
        <v>20</v>
      </c>
      <c r="AK1158" s="390">
        <v>45047</v>
      </c>
      <c r="AL1158" s="389">
        <v>100</v>
      </c>
      <c r="AM1158" s="391" t="s">
        <v>548</v>
      </c>
      <c r="AN1158" s="391" t="s">
        <v>545</v>
      </c>
      <c r="AO1158" s="391" t="s">
        <v>8076</v>
      </c>
    </row>
    <row r="1159" spans="1:43" ht="16" thickBot="1">
      <c r="A1159" s="387" t="s">
        <v>1717</v>
      </c>
      <c r="B1159" s="387" t="s">
        <v>3559</v>
      </c>
      <c r="C1159" s="387" t="s">
        <v>8077</v>
      </c>
      <c r="D1159" s="387" t="s">
        <v>8078</v>
      </c>
      <c r="E1159" s="387">
        <v>100</v>
      </c>
      <c r="F1159" s="387" t="s">
        <v>559</v>
      </c>
      <c r="G1159" s="387">
        <v>100</v>
      </c>
      <c r="H1159" s="387" t="s">
        <v>559</v>
      </c>
      <c r="I1159" s="387" t="s">
        <v>560</v>
      </c>
      <c r="J1159" s="387" t="s">
        <v>8072</v>
      </c>
      <c r="K1159" s="387" t="s">
        <v>8079</v>
      </c>
      <c r="L1159" s="387" t="s">
        <v>535</v>
      </c>
      <c r="M1159" s="387" t="s">
        <v>536</v>
      </c>
      <c r="N1159" s="388">
        <v>263.18</v>
      </c>
      <c r="O1159" s="388">
        <v>14</v>
      </c>
      <c r="P1159" s="387" t="s">
        <v>538</v>
      </c>
      <c r="Q1159" s="387" t="s">
        <v>539</v>
      </c>
      <c r="R1159" s="387" t="s">
        <v>8074</v>
      </c>
      <c r="S1159" s="387" t="s">
        <v>171</v>
      </c>
      <c r="T1159" s="387" t="s">
        <v>757</v>
      </c>
      <c r="U1159" s="388">
        <v>62677</v>
      </c>
      <c r="V1159" s="387" t="s">
        <v>543</v>
      </c>
      <c r="W1159" s="387" t="s">
        <v>543</v>
      </c>
      <c r="X1159" s="387" t="s">
        <v>543</v>
      </c>
      <c r="Y1159" s="387" t="s">
        <v>543</v>
      </c>
      <c r="Z1159" s="387" t="s">
        <v>543</v>
      </c>
      <c r="AA1159" s="388" t="s">
        <v>543</v>
      </c>
      <c r="AB1159" s="388" t="s">
        <v>543</v>
      </c>
      <c r="AC1159" s="387" t="s">
        <v>543</v>
      </c>
      <c r="AD1159" s="389">
        <v>5</v>
      </c>
      <c r="AE1159" s="390">
        <v>45047</v>
      </c>
      <c r="AF1159" s="390">
        <v>46142</v>
      </c>
      <c r="AG1159" s="391" t="s">
        <v>545</v>
      </c>
      <c r="AH1159" s="391" t="s">
        <v>8080</v>
      </c>
      <c r="AI1159" s="391" t="s">
        <v>547</v>
      </c>
      <c r="AJ1159" s="391">
        <v>0</v>
      </c>
      <c r="AK1159" s="390">
        <v>45047</v>
      </c>
      <c r="AL1159" s="389">
        <v>100</v>
      </c>
      <c r="AM1159" s="391" t="s">
        <v>548</v>
      </c>
      <c r="AN1159" s="391" t="s">
        <v>549</v>
      </c>
      <c r="AO1159" s="391" t="s">
        <v>8081</v>
      </c>
    </row>
    <row r="1160" spans="1:43" ht="16" thickBot="1">
      <c r="A1160" s="387" t="s">
        <v>1748</v>
      </c>
      <c r="B1160" s="387" t="s">
        <v>4570</v>
      </c>
      <c r="C1160" s="387" t="s">
        <v>8082</v>
      </c>
      <c r="D1160" s="387" t="s">
        <v>8083</v>
      </c>
      <c r="E1160" s="387">
        <v>1</v>
      </c>
      <c r="F1160" s="387" t="s">
        <v>531</v>
      </c>
      <c r="G1160" s="387" t="s">
        <v>543</v>
      </c>
      <c r="H1160" s="387" t="s">
        <v>531</v>
      </c>
      <c r="I1160" s="387" t="s">
        <v>1751</v>
      </c>
      <c r="J1160" s="387" t="s">
        <v>8084</v>
      </c>
      <c r="K1160" s="387" t="s">
        <v>8085</v>
      </c>
      <c r="L1160" s="387" t="s">
        <v>2559</v>
      </c>
      <c r="M1160" s="387" t="s">
        <v>2560</v>
      </c>
      <c r="N1160" s="388">
        <v>22.35</v>
      </c>
      <c r="O1160" s="388">
        <v>14</v>
      </c>
      <c r="P1160" s="387" t="s">
        <v>538</v>
      </c>
      <c r="Q1160" s="387" t="s">
        <v>539</v>
      </c>
      <c r="R1160" s="387" t="s">
        <v>8086</v>
      </c>
      <c r="S1160" s="387" t="s">
        <v>541</v>
      </c>
      <c r="T1160" s="387" t="s">
        <v>757</v>
      </c>
      <c r="U1160" s="388">
        <v>773990</v>
      </c>
      <c r="V1160" s="387" t="s">
        <v>543</v>
      </c>
      <c r="W1160" s="387" t="s">
        <v>543</v>
      </c>
      <c r="X1160" s="387" t="s">
        <v>543</v>
      </c>
      <c r="Y1160" s="387" t="s">
        <v>543</v>
      </c>
      <c r="Z1160" s="387" t="s">
        <v>543</v>
      </c>
      <c r="AA1160" s="388" t="s">
        <v>543</v>
      </c>
      <c r="AB1160" s="388" t="s">
        <v>543</v>
      </c>
      <c r="AC1160" s="387" t="s">
        <v>543</v>
      </c>
      <c r="AD1160" s="389">
        <v>10</v>
      </c>
      <c r="AE1160" s="390">
        <v>44317</v>
      </c>
      <c r="AF1160" s="390">
        <v>45412</v>
      </c>
      <c r="AG1160" s="391" t="s">
        <v>545</v>
      </c>
      <c r="AH1160" s="391" t="s">
        <v>8087</v>
      </c>
      <c r="AI1160" s="391" t="s">
        <v>2563</v>
      </c>
      <c r="AJ1160" s="391">
        <v>0</v>
      </c>
      <c r="AK1160" s="390">
        <v>44317</v>
      </c>
      <c r="AL1160" s="389">
        <v>100</v>
      </c>
      <c r="AM1160" s="391" t="s">
        <v>548</v>
      </c>
      <c r="AN1160" s="391" t="s">
        <v>549</v>
      </c>
      <c r="AO1160" s="391" t="s">
        <v>8088</v>
      </c>
    </row>
    <row r="1161" spans="1:43" ht="16" thickBot="1">
      <c r="A1161" s="387" t="s">
        <v>1748</v>
      </c>
      <c r="B1161" s="387" t="s">
        <v>4676</v>
      </c>
      <c r="C1161" s="387" t="s">
        <v>8089</v>
      </c>
      <c r="D1161" s="387" t="s">
        <v>8090</v>
      </c>
      <c r="E1161" s="387">
        <v>0.2</v>
      </c>
      <c r="F1161" s="387" t="s">
        <v>531</v>
      </c>
      <c r="G1161" s="387">
        <v>0.2</v>
      </c>
      <c r="H1161" s="387" t="s">
        <v>531</v>
      </c>
      <c r="I1161" s="387" t="s">
        <v>1751</v>
      </c>
      <c r="J1161" s="387" t="s">
        <v>8084</v>
      </c>
      <c r="K1161" s="387" t="s">
        <v>8085</v>
      </c>
      <c r="L1161" s="387" t="s">
        <v>2559</v>
      </c>
      <c r="M1161" s="387" t="s">
        <v>2560</v>
      </c>
      <c r="N1161" s="388">
        <v>13.04</v>
      </c>
      <c r="O1161" s="388">
        <v>14</v>
      </c>
      <c r="P1161" s="387" t="s">
        <v>538</v>
      </c>
      <c r="Q1161" s="387" t="s">
        <v>539</v>
      </c>
      <c r="R1161" s="387" t="s">
        <v>8086</v>
      </c>
      <c r="S1161" s="387" t="s">
        <v>541</v>
      </c>
      <c r="T1161" s="387" t="s">
        <v>542</v>
      </c>
      <c r="U1161" s="388">
        <v>3500390</v>
      </c>
      <c r="V1161" s="387" t="s">
        <v>543</v>
      </c>
      <c r="W1161" s="387" t="s">
        <v>543</v>
      </c>
      <c r="X1161" s="387" t="s">
        <v>543</v>
      </c>
      <c r="Y1161" s="387" t="s">
        <v>543</v>
      </c>
      <c r="Z1161" s="387" t="s">
        <v>543</v>
      </c>
      <c r="AA1161" s="388" t="s">
        <v>543</v>
      </c>
      <c r="AB1161" s="388" t="s">
        <v>543</v>
      </c>
      <c r="AC1161" s="387" t="s">
        <v>543</v>
      </c>
      <c r="AD1161" s="389">
        <v>5</v>
      </c>
      <c r="AE1161" s="390">
        <v>44317</v>
      </c>
      <c r="AF1161" s="390">
        <v>45412</v>
      </c>
      <c r="AG1161" s="391" t="s">
        <v>545</v>
      </c>
      <c r="AH1161" s="391" t="s">
        <v>8091</v>
      </c>
      <c r="AI1161" s="391" t="s">
        <v>2563</v>
      </c>
      <c r="AJ1161" s="391">
        <v>0</v>
      </c>
      <c r="AK1161" s="390">
        <v>44317</v>
      </c>
      <c r="AL1161" s="389">
        <v>100</v>
      </c>
      <c r="AM1161" s="391" t="s">
        <v>548</v>
      </c>
      <c r="AN1161" s="391" t="s">
        <v>549</v>
      </c>
      <c r="AO1161" s="391" t="s">
        <v>8092</v>
      </c>
    </row>
    <row r="1162" spans="1:43" ht="16" thickBot="1">
      <c r="A1162" s="387" t="s">
        <v>2743</v>
      </c>
      <c r="B1162" s="387" t="s">
        <v>2726</v>
      </c>
      <c r="C1162" s="387" t="s">
        <v>8093</v>
      </c>
      <c r="D1162" s="387" t="s">
        <v>8094</v>
      </c>
      <c r="E1162" s="387">
        <v>10</v>
      </c>
      <c r="F1162" s="387" t="s">
        <v>531</v>
      </c>
      <c r="G1162" s="387">
        <v>10</v>
      </c>
      <c r="H1162" s="387" t="s">
        <v>531</v>
      </c>
      <c r="I1162" s="387" t="s">
        <v>1751</v>
      </c>
      <c r="J1162" s="387" t="s">
        <v>8095</v>
      </c>
      <c r="K1162" s="387" t="s">
        <v>8096</v>
      </c>
      <c r="L1162" s="387" t="s">
        <v>1955</v>
      </c>
      <c r="M1162" s="387" t="s">
        <v>1956</v>
      </c>
      <c r="N1162" s="388">
        <v>92.7</v>
      </c>
      <c r="O1162" s="388">
        <v>14</v>
      </c>
      <c r="P1162" s="387" t="s">
        <v>611</v>
      </c>
      <c r="Q1162" s="387" t="s">
        <v>612</v>
      </c>
      <c r="R1162" s="387" t="s">
        <v>8097</v>
      </c>
      <c r="S1162" s="387" t="s">
        <v>614</v>
      </c>
      <c r="T1162" s="387" t="s">
        <v>160</v>
      </c>
      <c r="U1162" s="388">
        <v>1540</v>
      </c>
      <c r="V1162" s="387">
        <v>6006673701859</v>
      </c>
      <c r="W1162" s="387">
        <v>6006673701859</v>
      </c>
      <c r="X1162" s="387" t="s">
        <v>543</v>
      </c>
      <c r="Y1162" s="387">
        <v>60066737018590</v>
      </c>
      <c r="Z1162" s="387" t="s">
        <v>543</v>
      </c>
      <c r="AA1162" s="388" t="s">
        <v>543</v>
      </c>
      <c r="AB1162" s="388" t="s">
        <v>543</v>
      </c>
      <c r="AC1162" s="387" t="s">
        <v>8098</v>
      </c>
      <c r="AD1162" s="389">
        <v>10</v>
      </c>
      <c r="AE1162" s="390">
        <v>44105</v>
      </c>
      <c r="AF1162" s="390">
        <v>45199</v>
      </c>
      <c r="AG1162" s="390">
        <v>45199</v>
      </c>
      <c r="AH1162" s="391" t="s">
        <v>8099</v>
      </c>
      <c r="AI1162" s="391" t="s">
        <v>1959</v>
      </c>
      <c r="AJ1162" s="391">
        <v>12</v>
      </c>
      <c r="AK1162" s="390">
        <v>45047</v>
      </c>
      <c r="AL1162" s="389">
        <v>100</v>
      </c>
      <c r="AM1162" s="391" t="s">
        <v>548</v>
      </c>
      <c r="AN1162" s="391" t="s">
        <v>545</v>
      </c>
      <c r="AO1162" s="391" t="s">
        <v>8100</v>
      </c>
    </row>
    <row r="1163" spans="1:43" ht="16" thickBot="1">
      <c r="A1163" s="387" t="s">
        <v>1729</v>
      </c>
      <c r="B1163" s="387" t="s">
        <v>2434</v>
      </c>
      <c r="C1163" s="387" t="s">
        <v>8101</v>
      </c>
      <c r="D1163" s="387" t="s">
        <v>8102</v>
      </c>
      <c r="E1163" s="387">
        <v>25</v>
      </c>
      <c r="F1163" s="387" t="s">
        <v>531</v>
      </c>
      <c r="G1163" s="387">
        <v>500</v>
      </c>
      <c r="H1163" s="387" t="s">
        <v>2297</v>
      </c>
      <c r="I1163" s="387" t="s">
        <v>6127</v>
      </c>
      <c r="J1163" s="387" t="s">
        <v>8103</v>
      </c>
      <c r="K1163" s="387" t="s">
        <v>8104</v>
      </c>
      <c r="L1163" s="387" t="s">
        <v>1855</v>
      </c>
      <c r="M1163" s="387" t="s">
        <v>1856</v>
      </c>
      <c r="N1163" s="388">
        <v>9.4600000000000009</v>
      </c>
      <c r="O1163" s="388">
        <v>14</v>
      </c>
      <c r="P1163" s="387" t="s">
        <v>538</v>
      </c>
      <c r="Q1163" s="387" t="s">
        <v>539</v>
      </c>
      <c r="R1163" s="387" t="s">
        <v>8105</v>
      </c>
      <c r="S1163" s="387" t="s">
        <v>171</v>
      </c>
      <c r="T1163" s="387" t="s">
        <v>542</v>
      </c>
      <c r="U1163" s="388">
        <v>823411</v>
      </c>
      <c r="V1163" s="387">
        <v>6001668008357</v>
      </c>
      <c r="W1163" s="387" t="s">
        <v>543</v>
      </c>
      <c r="X1163" s="387" t="s">
        <v>543</v>
      </c>
      <c r="Y1163" s="387">
        <v>16001668008361</v>
      </c>
      <c r="Z1163" s="387" t="s">
        <v>543</v>
      </c>
      <c r="AA1163" s="388" t="s">
        <v>543</v>
      </c>
      <c r="AB1163" s="388" t="s">
        <v>543</v>
      </c>
      <c r="AC1163" s="387" t="s">
        <v>543</v>
      </c>
      <c r="AD1163" s="389">
        <v>50</v>
      </c>
      <c r="AE1163" s="390">
        <v>44105</v>
      </c>
      <c r="AF1163" s="390">
        <v>45199</v>
      </c>
      <c r="AG1163" s="390">
        <v>45199</v>
      </c>
      <c r="AH1163" s="391" t="s">
        <v>8106</v>
      </c>
      <c r="AI1163" s="391" t="s">
        <v>1859</v>
      </c>
      <c r="AJ1163" s="391">
        <v>6</v>
      </c>
      <c r="AK1163" s="390">
        <v>44317</v>
      </c>
      <c r="AL1163" s="389">
        <v>100</v>
      </c>
      <c r="AM1163" s="391" t="s">
        <v>548</v>
      </c>
      <c r="AN1163" s="391" t="s">
        <v>545</v>
      </c>
      <c r="AO1163" s="391" t="s">
        <v>8107</v>
      </c>
    </row>
    <row r="1164" spans="1:43" ht="16" thickBot="1">
      <c r="A1164" s="387" t="s">
        <v>2743</v>
      </c>
      <c r="B1164" s="387" t="s">
        <v>2738</v>
      </c>
      <c r="C1164" s="387" t="s">
        <v>8108</v>
      </c>
      <c r="D1164" s="387" t="s">
        <v>8109</v>
      </c>
      <c r="E1164" s="387">
        <v>10</v>
      </c>
      <c r="F1164" s="387" t="s">
        <v>531</v>
      </c>
      <c r="G1164" s="387">
        <v>10</v>
      </c>
      <c r="H1164" s="387" t="s">
        <v>531</v>
      </c>
      <c r="I1164" s="387" t="s">
        <v>1751</v>
      </c>
      <c r="J1164" s="387" t="s">
        <v>8103</v>
      </c>
      <c r="K1164" s="387" t="s">
        <v>8110</v>
      </c>
      <c r="L1164" s="387" t="s">
        <v>1975</v>
      </c>
      <c r="M1164" s="387" t="s">
        <v>1976</v>
      </c>
      <c r="N1164" s="388">
        <v>108.61</v>
      </c>
      <c r="O1164" s="388">
        <v>14</v>
      </c>
      <c r="P1164" s="387" t="s">
        <v>538</v>
      </c>
      <c r="Q1164" s="387" t="s">
        <v>160</v>
      </c>
      <c r="R1164" s="387" t="s">
        <v>8105</v>
      </c>
      <c r="S1164" s="387" t="s">
        <v>614</v>
      </c>
      <c r="T1164" s="387" t="s">
        <v>160</v>
      </c>
      <c r="U1164" s="388">
        <v>31720</v>
      </c>
      <c r="V1164" s="387">
        <v>6003252094197</v>
      </c>
      <c r="W1164" s="387">
        <v>6003252094197</v>
      </c>
      <c r="X1164" s="387" t="s">
        <v>543</v>
      </c>
      <c r="Y1164" s="387">
        <v>26003252094191</v>
      </c>
      <c r="Z1164" s="387" t="s">
        <v>543</v>
      </c>
      <c r="AA1164" s="388" t="s">
        <v>543</v>
      </c>
      <c r="AB1164" s="388" t="s">
        <v>543</v>
      </c>
      <c r="AC1164" s="387">
        <v>707037002</v>
      </c>
      <c r="AD1164" s="389">
        <v>10</v>
      </c>
      <c r="AE1164" s="390">
        <v>44105</v>
      </c>
      <c r="AF1164" s="390">
        <v>45199</v>
      </c>
      <c r="AG1164" s="390">
        <v>45199</v>
      </c>
      <c r="AH1164" s="391" t="s">
        <v>8111</v>
      </c>
      <c r="AI1164" s="391" t="s">
        <v>1979</v>
      </c>
      <c r="AJ1164" s="391">
        <v>0</v>
      </c>
      <c r="AK1164" s="390">
        <v>44105</v>
      </c>
      <c r="AL1164" s="389">
        <v>100</v>
      </c>
      <c r="AM1164" s="391" t="s">
        <v>548</v>
      </c>
      <c r="AN1164" s="391" t="s">
        <v>545</v>
      </c>
      <c r="AO1164" s="391" t="s">
        <v>8112</v>
      </c>
    </row>
    <row r="1165" spans="1:43" ht="16" thickBot="1">
      <c r="A1165" s="387" t="s">
        <v>1729</v>
      </c>
      <c r="B1165" s="387" t="s">
        <v>2630</v>
      </c>
      <c r="C1165" s="387" t="s">
        <v>8113</v>
      </c>
      <c r="D1165" s="387" t="s">
        <v>8114</v>
      </c>
      <c r="E1165" s="387">
        <v>100</v>
      </c>
      <c r="F1165" s="387" t="s">
        <v>531</v>
      </c>
      <c r="G1165" s="387" t="s">
        <v>543</v>
      </c>
      <c r="H1165" s="387" t="s">
        <v>531</v>
      </c>
      <c r="I1165" s="387" t="s">
        <v>848</v>
      </c>
      <c r="J1165" s="387" t="s">
        <v>8103</v>
      </c>
      <c r="K1165" s="387" t="s">
        <v>8115</v>
      </c>
      <c r="L1165" s="387" t="s">
        <v>2031</v>
      </c>
      <c r="M1165" s="387" t="s">
        <v>2032</v>
      </c>
      <c r="N1165" s="388">
        <v>4.2699999999999996</v>
      </c>
      <c r="O1165" s="388">
        <v>14</v>
      </c>
      <c r="P1165" s="387" t="s">
        <v>538</v>
      </c>
      <c r="Q1165" s="387" t="s">
        <v>539</v>
      </c>
      <c r="R1165" s="387" t="s">
        <v>8105</v>
      </c>
      <c r="S1165" s="387" t="s">
        <v>614</v>
      </c>
      <c r="T1165" s="387" t="s">
        <v>542</v>
      </c>
      <c r="U1165" s="388">
        <v>6000000</v>
      </c>
      <c r="V1165" s="387">
        <v>6001331020983</v>
      </c>
      <c r="W1165" s="387">
        <v>6001331020983</v>
      </c>
      <c r="X1165" s="387" t="s">
        <v>543</v>
      </c>
      <c r="Y1165" s="387">
        <v>6001331010663</v>
      </c>
      <c r="Z1165" s="387" t="s">
        <v>543</v>
      </c>
      <c r="AA1165" s="388" t="s">
        <v>543</v>
      </c>
      <c r="AB1165" s="388" t="s">
        <v>543</v>
      </c>
      <c r="AC1165" s="387" t="s">
        <v>543</v>
      </c>
      <c r="AD1165" s="389">
        <v>150</v>
      </c>
      <c r="AE1165" s="390">
        <v>44105</v>
      </c>
      <c r="AF1165" s="390">
        <v>45199</v>
      </c>
      <c r="AG1165" s="390">
        <v>45199</v>
      </c>
      <c r="AH1165" s="391" t="s">
        <v>8116</v>
      </c>
      <c r="AI1165" s="391" t="s">
        <v>2033</v>
      </c>
      <c r="AJ1165" s="391">
        <v>12</v>
      </c>
      <c r="AK1165" s="390">
        <v>44866</v>
      </c>
      <c r="AL1165" s="389">
        <v>67</v>
      </c>
      <c r="AM1165" s="391" t="s">
        <v>548</v>
      </c>
      <c r="AN1165" s="391" t="s">
        <v>545</v>
      </c>
      <c r="AO1165" s="391" t="s">
        <v>8117</v>
      </c>
      <c r="AP1165" s="372">
        <f>N1165/E1165</f>
        <v>4.2699999999999995E-2</v>
      </c>
      <c r="AQ1165" s="372">
        <f>AP1165</f>
        <v>4.2699999999999995E-2</v>
      </c>
    </row>
    <row r="1166" spans="1:43" ht="16" thickBot="1">
      <c r="A1166" s="387" t="s">
        <v>2743</v>
      </c>
      <c r="B1166" s="387" t="s">
        <v>3117</v>
      </c>
      <c r="C1166" s="387" t="s">
        <v>8118</v>
      </c>
      <c r="D1166" s="387" t="s">
        <v>8119</v>
      </c>
      <c r="E1166" s="387">
        <v>10</v>
      </c>
      <c r="F1166" s="387" t="s">
        <v>531</v>
      </c>
      <c r="G1166" s="387">
        <v>10</v>
      </c>
      <c r="H1166" s="387" t="s">
        <v>531</v>
      </c>
      <c r="I1166" s="387" t="s">
        <v>1751</v>
      </c>
      <c r="J1166" s="387" t="s">
        <v>8120</v>
      </c>
      <c r="K1166" s="387" t="s">
        <v>8121</v>
      </c>
      <c r="L1166" s="387" t="s">
        <v>1955</v>
      </c>
      <c r="M1166" s="387" t="s">
        <v>1956</v>
      </c>
      <c r="N1166" s="388">
        <v>108.12</v>
      </c>
      <c r="O1166" s="388">
        <v>14</v>
      </c>
      <c r="P1166" s="387" t="s">
        <v>611</v>
      </c>
      <c r="Q1166" s="387" t="s">
        <v>160</v>
      </c>
      <c r="R1166" s="387" t="s">
        <v>8105</v>
      </c>
      <c r="S1166" s="387" t="s">
        <v>614</v>
      </c>
      <c r="T1166" s="387" t="s">
        <v>160</v>
      </c>
      <c r="U1166" s="388">
        <v>5195</v>
      </c>
      <c r="V1166" s="387">
        <v>6009607271787</v>
      </c>
      <c r="W1166" s="387">
        <v>6009607271787</v>
      </c>
      <c r="X1166" s="387" t="s">
        <v>543</v>
      </c>
      <c r="Y1166" s="387">
        <v>6009607271787</v>
      </c>
      <c r="Z1166" s="387" t="s">
        <v>543</v>
      </c>
      <c r="AA1166" s="388" t="s">
        <v>543</v>
      </c>
      <c r="AB1166" s="388" t="s">
        <v>543</v>
      </c>
      <c r="AC1166" s="387" t="s">
        <v>8122</v>
      </c>
      <c r="AD1166" s="389">
        <v>10</v>
      </c>
      <c r="AE1166" s="390">
        <v>44105</v>
      </c>
      <c r="AF1166" s="390">
        <v>45199</v>
      </c>
      <c r="AG1166" s="390">
        <v>45199</v>
      </c>
      <c r="AH1166" s="391" t="s">
        <v>8123</v>
      </c>
      <c r="AI1166" s="391" t="s">
        <v>1959</v>
      </c>
      <c r="AJ1166" s="391">
        <v>12</v>
      </c>
      <c r="AK1166" s="390">
        <v>45047</v>
      </c>
      <c r="AL1166" s="389">
        <v>100</v>
      </c>
      <c r="AM1166" s="391" t="s">
        <v>548</v>
      </c>
      <c r="AN1166" s="391" t="s">
        <v>545</v>
      </c>
      <c r="AO1166" s="391" t="s">
        <v>8124</v>
      </c>
    </row>
    <row r="1167" spans="1:43" ht="16" thickBot="1">
      <c r="A1167" s="387" t="s">
        <v>1717</v>
      </c>
      <c r="B1167" s="387" t="s">
        <v>8125</v>
      </c>
      <c r="C1167" s="387" t="s">
        <v>8126</v>
      </c>
      <c r="D1167" s="387" t="s">
        <v>8127</v>
      </c>
      <c r="E1167" s="387">
        <v>100</v>
      </c>
      <c r="F1167" s="387" t="s">
        <v>559</v>
      </c>
      <c r="G1167" s="387" t="s">
        <v>543</v>
      </c>
      <c r="H1167" s="387" t="s">
        <v>559</v>
      </c>
      <c r="I1167" s="387" t="s">
        <v>560</v>
      </c>
      <c r="J1167" s="387" t="s">
        <v>8128</v>
      </c>
      <c r="K1167" s="387" t="s">
        <v>8129</v>
      </c>
      <c r="L1167" s="387" t="s">
        <v>5222</v>
      </c>
      <c r="M1167" s="387" t="s">
        <v>5223</v>
      </c>
      <c r="N1167" s="388">
        <v>32.659999999999997</v>
      </c>
      <c r="O1167" s="388">
        <v>14</v>
      </c>
      <c r="P1167" s="387" t="s">
        <v>538</v>
      </c>
      <c r="Q1167" s="387" t="s">
        <v>539</v>
      </c>
      <c r="R1167" s="387" t="s">
        <v>8130</v>
      </c>
      <c r="S1167" s="387" t="s">
        <v>541</v>
      </c>
      <c r="T1167" s="387" t="s">
        <v>757</v>
      </c>
      <c r="U1167" s="388">
        <v>558352</v>
      </c>
      <c r="V1167" s="387" t="s">
        <v>543</v>
      </c>
      <c r="W1167" s="387" t="s">
        <v>543</v>
      </c>
      <c r="X1167" s="387" t="s">
        <v>543</v>
      </c>
      <c r="Y1167" s="387" t="s">
        <v>543</v>
      </c>
      <c r="Z1167" s="387" t="s">
        <v>543</v>
      </c>
      <c r="AA1167" s="388" t="s">
        <v>543</v>
      </c>
      <c r="AB1167" s="388" t="s">
        <v>543</v>
      </c>
      <c r="AC1167" s="387" t="s">
        <v>543</v>
      </c>
      <c r="AD1167" s="389">
        <v>22</v>
      </c>
      <c r="AE1167" s="390">
        <v>45047</v>
      </c>
      <c r="AF1167" s="390">
        <v>46142</v>
      </c>
      <c r="AG1167" s="391" t="s">
        <v>545</v>
      </c>
      <c r="AH1167" s="391" t="s">
        <v>8131</v>
      </c>
      <c r="AI1167" s="391" t="s">
        <v>5226</v>
      </c>
      <c r="AJ1167" s="391">
        <v>0</v>
      </c>
      <c r="AK1167" s="390">
        <v>45047</v>
      </c>
      <c r="AL1167" s="389">
        <v>100</v>
      </c>
      <c r="AM1167" s="391" t="s">
        <v>548</v>
      </c>
      <c r="AN1167" s="391" t="s">
        <v>549</v>
      </c>
      <c r="AO1167" s="391" t="s">
        <v>8132</v>
      </c>
    </row>
    <row r="1168" spans="1:43" ht="16" thickBot="1">
      <c r="A1168" s="387" t="s">
        <v>1748</v>
      </c>
      <c r="B1168" s="387" t="s">
        <v>4684</v>
      </c>
      <c r="C1168" s="387" t="s">
        <v>8133</v>
      </c>
      <c r="D1168" s="387" t="s">
        <v>8134</v>
      </c>
      <c r="E1168" s="387">
        <v>10</v>
      </c>
      <c r="F1168" s="387" t="s">
        <v>531</v>
      </c>
      <c r="G1168" s="387">
        <v>10</v>
      </c>
      <c r="H1168" s="387" t="s">
        <v>531</v>
      </c>
      <c r="I1168" s="387" t="s">
        <v>1751</v>
      </c>
      <c r="J1168" s="387" t="s">
        <v>8135</v>
      </c>
      <c r="K1168" s="387" t="s">
        <v>8136</v>
      </c>
      <c r="L1168" s="387" t="s">
        <v>3043</v>
      </c>
      <c r="M1168" s="387" t="s">
        <v>3044</v>
      </c>
      <c r="N1168" s="388">
        <v>1.27</v>
      </c>
      <c r="O1168" s="388">
        <v>14</v>
      </c>
      <c r="P1168" s="387" t="s">
        <v>538</v>
      </c>
      <c r="Q1168" s="387" t="s">
        <v>539</v>
      </c>
      <c r="R1168" s="387" t="s">
        <v>4278</v>
      </c>
      <c r="S1168" s="387" t="s">
        <v>541</v>
      </c>
      <c r="T1168" s="387" t="s">
        <v>542</v>
      </c>
      <c r="U1168" s="388">
        <v>37241680</v>
      </c>
      <c r="V1168" s="387">
        <v>4030539121088</v>
      </c>
      <c r="W1168" s="387">
        <v>4030539121095</v>
      </c>
      <c r="X1168" s="387" t="s">
        <v>543</v>
      </c>
      <c r="Y1168" s="387">
        <v>4046964925764</v>
      </c>
      <c r="Z1168" s="387" t="s">
        <v>543</v>
      </c>
      <c r="AA1168" s="388" t="s">
        <v>543</v>
      </c>
      <c r="AB1168" s="388" t="s">
        <v>543</v>
      </c>
      <c r="AC1168" s="387">
        <v>709442</v>
      </c>
      <c r="AD1168" s="389">
        <v>100</v>
      </c>
      <c r="AE1168" s="390">
        <v>44317</v>
      </c>
      <c r="AF1168" s="390">
        <v>45412</v>
      </c>
      <c r="AG1168" s="391" t="s">
        <v>545</v>
      </c>
      <c r="AH1168" s="391" t="s">
        <v>8137</v>
      </c>
      <c r="AI1168" s="391" t="s">
        <v>3047</v>
      </c>
      <c r="AJ1168" s="391">
        <v>0</v>
      </c>
      <c r="AK1168" s="390">
        <v>44317</v>
      </c>
      <c r="AL1168" s="389">
        <v>100</v>
      </c>
      <c r="AM1168" s="391" t="s">
        <v>548</v>
      </c>
      <c r="AN1168" s="391" t="s">
        <v>549</v>
      </c>
      <c r="AO1168" s="391" t="s">
        <v>8138</v>
      </c>
    </row>
    <row r="1169" spans="1:43" ht="16" thickBot="1">
      <c r="A1169" s="387" t="s">
        <v>1748</v>
      </c>
      <c r="B1169" s="387" t="s">
        <v>4688</v>
      </c>
      <c r="C1169" s="387" t="s">
        <v>8139</v>
      </c>
      <c r="D1169" s="387" t="s">
        <v>8140</v>
      </c>
      <c r="E1169" s="387">
        <v>20</v>
      </c>
      <c r="F1169" s="387" t="s">
        <v>531</v>
      </c>
      <c r="G1169" s="387">
        <v>20</v>
      </c>
      <c r="H1169" s="387" t="s">
        <v>531</v>
      </c>
      <c r="I1169" s="387" t="s">
        <v>1751</v>
      </c>
      <c r="J1169" s="387" t="s">
        <v>8135</v>
      </c>
      <c r="K1169" s="387" t="s">
        <v>8141</v>
      </c>
      <c r="L1169" s="387" t="s">
        <v>1955</v>
      </c>
      <c r="M1169" s="387" t="s">
        <v>1956</v>
      </c>
      <c r="N1169" s="388">
        <v>2.67</v>
      </c>
      <c r="O1169" s="388">
        <v>14</v>
      </c>
      <c r="P1169" s="387" t="s">
        <v>538</v>
      </c>
      <c r="Q1169" s="387" t="s">
        <v>539</v>
      </c>
      <c r="R1169" s="387" t="s">
        <v>4278</v>
      </c>
      <c r="S1169" s="387" t="s">
        <v>541</v>
      </c>
      <c r="T1169" s="387" t="s">
        <v>542</v>
      </c>
      <c r="U1169" s="388">
        <v>4112500</v>
      </c>
      <c r="V1169" s="387">
        <v>6006267005127</v>
      </c>
      <c r="W1169" s="387">
        <v>6006267005127</v>
      </c>
      <c r="X1169" s="387" t="s">
        <v>543</v>
      </c>
      <c r="Y1169" s="387">
        <v>16006267005127</v>
      </c>
      <c r="Z1169" s="387" t="s">
        <v>543</v>
      </c>
      <c r="AA1169" s="388" t="s">
        <v>543</v>
      </c>
      <c r="AB1169" s="388" t="s">
        <v>543</v>
      </c>
      <c r="AC1169" s="387">
        <v>704349002</v>
      </c>
      <c r="AD1169" s="389" t="s">
        <v>6587</v>
      </c>
      <c r="AE1169" s="390">
        <v>44317</v>
      </c>
      <c r="AF1169" s="390">
        <v>45412</v>
      </c>
      <c r="AG1169" s="391" t="s">
        <v>545</v>
      </c>
      <c r="AH1169" s="391" t="s">
        <v>8142</v>
      </c>
      <c r="AI1169" s="391" t="s">
        <v>1959</v>
      </c>
      <c r="AJ1169" s="391">
        <v>0</v>
      </c>
      <c r="AK1169" s="390">
        <v>44317</v>
      </c>
      <c r="AL1169" s="389">
        <v>100</v>
      </c>
      <c r="AM1169" s="391" t="s">
        <v>548</v>
      </c>
      <c r="AN1169" s="391" t="s">
        <v>549</v>
      </c>
      <c r="AO1169" s="391" t="s">
        <v>8138</v>
      </c>
    </row>
    <row r="1170" spans="1:43" ht="16" thickBot="1">
      <c r="A1170" s="387" t="s">
        <v>2743</v>
      </c>
      <c r="B1170" s="387" t="s">
        <v>1024</v>
      </c>
      <c r="C1170" s="387" t="s">
        <v>8143</v>
      </c>
      <c r="D1170" s="387" t="s">
        <v>8144</v>
      </c>
      <c r="E1170" s="387">
        <v>1</v>
      </c>
      <c r="F1170" s="387" t="s">
        <v>2746</v>
      </c>
      <c r="G1170" s="387">
        <v>1000</v>
      </c>
      <c r="H1170" s="387" t="s">
        <v>531</v>
      </c>
      <c r="I1170" s="387" t="s">
        <v>1732</v>
      </c>
      <c r="J1170" s="387" t="s">
        <v>8145</v>
      </c>
      <c r="K1170" s="387" t="s">
        <v>8146</v>
      </c>
      <c r="L1170" s="387" t="s">
        <v>3043</v>
      </c>
      <c r="M1170" s="387" t="s">
        <v>3044</v>
      </c>
      <c r="N1170" s="388">
        <v>12.67</v>
      </c>
      <c r="O1170" s="388">
        <v>14</v>
      </c>
      <c r="P1170" s="387" t="s">
        <v>538</v>
      </c>
      <c r="Q1170" s="387" t="s">
        <v>539</v>
      </c>
      <c r="R1170" s="387" t="s">
        <v>4278</v>
      </c>
      <c r="S1170" s="387" t="s">
        <v>541</v>
      </c>
      <c r="T1170" s="387" t="s">
        <v>542</v>
      </c>
      <c r="U1170" s="388">
        <v>6910994</v>
      </c>
      <c r="V1170" s="387">
        <v>4046964964237</v>
      </c>
      <c r="W1170" s="387">
        <v>4046964964244</v>
      </c>
      <c r="X1170" s="387" t="s">
        <v>543</v>
      </c>
      <c r="Y1170" s="387" t="s">
        <v>543</v>
      </c>
      <c r="Z1170" s="387" t="s">
        <v>543</v>
      </c>
      <c r="AA1170" s="388" t="s">
        <v>543</v>
      </c>
      <c r="AB1170" s="388" t="s">
        <v>543</v>
      </c>
      <c r="AC1170" s="387" t="s">
        <v>8147</v>
      </c>
      <c r="AD1170" s="389">
        <v>10</v>
      </c>
      <c r="AE1170" s="390">
        <v>44105</v>
      </c>
      <c r="AF1170" s="390">
        <v>45199</v>
      </c>
      <c r="AG1170" s="390">
        <v>45199</v>
      </c>
      <c r="AH1170" s="391" t="s">
        <v>8148</v>
      </c>
      <c r="AI1170" s="391" t="s">
        <v>3047</v>
      </c>
      <c r="AJ1170" s="391">
        <v>9</v>
      </c>
      <c r="AK1170" s="390">
        <v>44791</v>
      </c>
      <c r="AL1170" s="389">
        <v>100</v>
      </c>
      <c r="AM1170" s="391" t="s">
        <v>548</v>
      </c>
      <c r="AN1170" s="391" t="s">
        <v>545</v>
      </c>
      <c r="AO1170" s="391" t="s">
        <v>8149</v>
      </c>
    </row>
    <row r="1171" spans="1:43" ht="16" thickBot="1">
      <c r="A1171" s="387" t="s">
        <v>2743</v>
      </c>
      <c r="B1171" s="387" t="s">
        <v>2252</v>
      </c>
      <c r="C1171" s="387" t="s">
        <v>8150</v>
      </c>
      <c r="D1171" s="387" t="s">
        <v>8151</v>
      </c>
      <c r="E1171" s="387">
        <v>1</v>
      </c>
      <c r="F1171" s="387" t="s">
        <v>2746</v>
      </c>
      <c r="G1171" s="387">
        <v>1</v>
      </c>
      <c r="H1171" s="387" t="s">
        <v>2746</v>
      </c>
      <c r="I1171" s="387" t="s">
        <v>1732</v>
      </c>
      <c r="J1171" s="387" t="s">
        <v>8145</v>
      </c>
      <c r="K1171" s="387" t="s">
        <v>8152</v>
      </c>
      <c r="L1171" s="387" t="s">
        <v>1975</v>
      </c>
      <c r="M1171" s="387" t="s">
        <v>1976</v>
      </c>
      <c r="N1171" s="388">
        <v>15.41</v>
      </c>
      <c r="O1171" s="388">
        <v>14</v>
      </c>
      <c r="P1171" s="387" t="s">
        <v>538</v>
      </c>
      <c r="Q1171" s="387" t="s">
        <v>539</v>
      </c>
      <c r="R1171" s="387" t="s">
        <v>4278</v>
      </c>
      <c r="S1171" s="387" t="s">
        <v>541</v>
      </c>
      <c r="T1171" s="387" t="s">
        <v>542</v>
      </c>
      <c r="U1171" s="388">
        <v>400900</v>
      </c>
      <c r="V1171" s="387">
        <v>6003252001133</v>
      </c>
      <c r="W1171" s="387">
        <v>6003252001133</v>
      </c>
      <c r="X1171" s="387" t="s">
        <v>543</v>
      </c>
      <c r="Y1171" s="387">
        <v>16003252001130</v>
      </c>
      <c r="Z1171" s="387" t="s">
        <v>543</v>
      </c>
      <c r="AA1171" s="388" t="s">
        <v>543</v>
      </c>
      <c r="AB1171" s="388" t="s">
        <v>543</v>
      </c>
      <c r="AC1171" s="387">
        <v>802344003</v>
      </c>
      <c r="AD1171" s="389">
        <v>12</v>
      </c>
      <c r="AE1171" s="390">
        <v>44105</v>
      </c>
      <c r="AF1171" s="390">
        <v>45199</v>
      </c>
      <c r="AG1171" s="390">
        <v>45199</v>
      </c>
      <c r="AH1171" s="391" t="s">
        <v>8153</v>
      </c>
      <c r="AI1171" s="391" t="s">
        <v>1979</v>
      </c>
      <c r="AJ1171" s="391">
        <v>10</v>
      </c>
      <c r="AK1171" s="390">
        <v>44866</v>
      </c>
      <c r="AL1171" s="389">
        <v>100</v>
      </c>
      <c r="AM1171" s="391" t="s">
        <v>548</v>
      </c>
      <c r="AN1171" s="391" t="s">
        <v>545</v>
      </c>
      <c r="AO1171" s="391" t="s">
        <v>8154</v>
      </c>
    </row>
    <row r="1172" spans="1:43" ht="16" thickBot="1">
      <c r="A1172" s="387" t="s">
        <v>2743</v>
      </c>
      <c r="B1172" s="387" t="s">
        <v>1009</v>
      </c>
      <c r="C1172" s="387" t="s">
        <v>8155</v>
      </c>
      <c r="D1172" s="387" t="s">
        <v>8156</v>
      </c>
      <c r="E1172" s="387">
        <v>3</v>
      </c>
      <c r="F1172" s="387" t="s">
        <v>2746</v>
      </c>
      <c r="G1172" s="387">
        <v>3</v>
      </c>
      <c r="H1172" s="387" t="s">
        <v>2746</v>
      </c>
      <c r="I1172" s="387" t="s">
        <v>1732</v>
      </c>
      <c r="J1172" s="387" t="s">
        <v>8145</v>
      </c>
      <c r="K1172" s="387" t="s">
        <v>8157</v>
      </c>
      <c r="L1172" s="387" t="s">
        <v>1975</v>
      </c>
      <c r="M1172" s="387" t="s">
        <v>1976</v>
      </c>
      <c r="N1172" s="388">
        <v>93.81</v>
      </c>
      <c r="O1172" s="388">
        <v>14</v>
      </c>
      <c r="P1172" s="387" t="s">
        <v>538</v>
      </c>
      <c r="Q1172" s="387" t="s">
        <v>539</v>
      </c>
      <c r="R1172" s="387" t="s">
        <v>4278</v>
      </c>
      <c r="S1172" s="387" t="s">
        <v>541</v>
      </c>
      <c r="T1172" s="387" t="s">
        <v>542</v>
      </c>
      <c r="U1172" s="388">
        <v>43480</v>
      </c>
      <c r="V1172" s="387">
        <v>6003252001140</v>
      </c>
      <c r="W1172" s="387">
        <v>6003252001140</v>
      </c>
      <c r="X1172" s="387" t="s">
        <v>543</v>
      </c>
      <c r="Y1172" s="387">
        <v>16003252001147</v>
      </c>
      <c r="Z1172" s="387" t="s">
        <v>543</v>
      </c>
      <c r="AA1172" s="388" t="s">
        <v>543</v>
      </c>
      <c r="AB1172" s="388" t="s">
        <v>543</v>
      </c>
      <c r="AC1172" s="387">
        <v>802352006</v>
      </c>
      <c r="AD1172" s="389">
        <v>4</v>
      </c>
      <c r="AE1172" s="390">
        <v>44105</v>
      </c>
      <c r="AF1172" s="390">
        <v>45199</v>
      </c>
      <c r="AG1172" s="390">
        <v>45199</v>
      </c>
      <c r="AH1172" s="391" t="s">
        <v>8158</v>
      </c>
      <c r="AI1172" s="391" t="s">
        <v>1979</v>
      </c>
      <c r="AJ1172" s="391">
        <v>10</v>
      </c>
      <c r="AK1172" s="390">
        <v>44866</v>
      </c>
      <c r="AL1172" s="389">
        <v>100</v>
      </c>
      <c r="AM1172" s="391" t="s">
        <v>548</v>
      </c>
      <c r="AN1172" s="391" t="s">
        <v>545</v>
      </c>
      <c r="AO1172" s="391" t="s">
        <v>8154</v>
      </c>
    </row>
    <row r="1173" spans="1:43" ht="16" thickBot="1">
      <c r="A1173" s="387" t="s">
        <v>529</v>
      </c>
      <c r="B1173" s="387" t="s">
        <v>996</v>
      </c>
      <c r="C1173" s="387" t="s">
        <v>997</v>
      </c>
      <c r="D1173" s="387" t="s">
        <v>828</v>
      </c>
      <c r="E1173" s="387">
        <v>56</v>
      </c>
      <c r="F1173" s="387" t="s">
        <v>559</v>
      </c>
      <c r="G1173" s="387">
        <v>56</v>
      </c>
      <c r="H1173" s="387" t="s">
        <v>559</v>
      </c>
      <c r="I1173" s="387" t="s">
        <v>560</v>
      </c>
      <c r="J1173" s="387" t="s">
        <v>829</v>
      </c>
      <c r="K1173" s="387" t="s">
        <v>830</v>
      </c>
      <c r="L1173" s="387" t="s">
        <v>562</v>
      </c>
      <c r="M1173" s="387" t="s">
        <v>563</v>
      </c>
      <c r="N1173" s="388">
        <v>92.09</v>
      </c>
      <c r="O1173" s="388">
        <v>14</v>
      </c>
      <c r="P1173" s="387" t="s">
        <v>538</v>
      </c>
      <c r="Q1173" s="387" t="s">
        <v>539</v>
      </c>
      <c r="R1173" s="387" t="s">
        <v>831</v>
      </c>
      <c r="S1173" s="387" t="s">
        <v>541</v>
      </c>
      <c r="T1173" s="387" t="s">
        <v>542</v>
      </c>
      <c r="U1173" s="388">
        <v>2728707</v>
      </c>
      <c r="V1173" s="387">
        <v>6009628333426</v>
      </c>
      <c r="W1173" s="387">
        <v>6009628333426</v>
      </c>
      <c r="X1173" s="387" t="s">
        <v>543</v>
      </c>
      <c r="Y1173" s="387">
        <v>16009628333423</v>
      </c>
      <c r="Z1173" s="387" t="s">
        <v>543</v>
      </c>
      <c r="AA1173" s="388" t="s">
        <v>543</v>
      </c>
      <c r="AB1173" s="388" t="s">
        <v>543</v>
      </c>
      <c r="AC1173" s="387">
        <v>720618001</v>
      </c>
      <c r="AD1173" s="389">
        <v>144</v>
      </c>
      <c r="AE1173" s="390">
        <v>44743</v>
      </c>
      <c r="AF1173" s="390">
        <v>45838</v>
      </c>
      <c r="AG1173" s="390">
        <v>45838</v>
      </c>
      <c r="AH1173" s="391" t="s">
        <v>832</v>
      </c>
      <c r="AI1173" s="391" t="s">
        <v>565</v>
      </c>
      <c r="AJ1173" s="391">
        <v>23</v>
      </c>
      <c r="AK1173" s="390">
        <v>45047</v>
      </c>
      <c r="AL1173" s="389">
        <v>30</v>
      </c>
      <c r="AM1173" s="391" t="s">
        <v>548</v>
      </c>
      <c r="AN1173" s="391" t="s">
        <v>549</v>
      </c>
      <c r="AO1173" s="391" t="s">
        <v>833</v>
      </c>
    </row>
    <row r="1174" spans="1:43" ht="16" thickBot="1">
      <c r="A1174" s="387" t="s">
        <v>529</v>
      </c>
      <c r="B1174" s="387" t="s">
        <v>996</v>
      </c>
      <c r="C1174" s="387" t="s">
        <v>997</v>
      </c>
      <c r="D1174" s="387" t="s">
        <v>828</v>
      </c>
      <c r="E1174" s="387">
        <v>56</v>
      </c>
      <c r="F1174" s="387" t="s">
        <v>559</v>
      </c>
      <c r="G1174" s="387">
        <v>56</v>
      </c>
      <c r="H1174" s="387" t="s">
        <v>559</v>
      </c>
      <c r="I1174" s="387" t="s">
        <v>560</v>
      </c>
      <c r="J1174" s="387" t="s">
        <v>829</v>
      </c>
      <c r="K1174" s="387" t="s">
        <v>834</v>
      </c>
      <c r="L1174" s="387" t="s">
        <v>552</v>
      </c>
      <c r="M1174" s="387" t="s">
        <v>553</v>
      </c>
      <c r="N1174" s="388">
        <v>93.59</v>
      </c>
      <c r="O1174" s="388">
        <v>14</v>
      </c>
      <c r="P1174" s="387" t="s">
        <v>538</v>
      </c>
      <c r="Q1174" s="387" t="s">
        <v>539</v>
      </c>
      <c r="R1174" s="387" t="s">
        <v>831</v>
      </c>
      <c r="S1174" s="387" t="s">
        <v>541</v>
      </c>
      <c r="T1174" s="387" t="s">
        <v>542</v>
      </c>
      <c r="U1174" s="388">
        <v>6366983</v>
      </c>
      <c r="V1174" s="387">
        <v>8903726111512</v>
      </c>
      <c r="W1174" s="387">
        <v>8903726111512</v>
      </c>
      <c r="X1174" s="387" t="s">
        <v>543</v>
      </c>
      <c r="Y1174" s="387">
        <v>18903726111519</v>
      </c>
      <c r="Z1174" s="387" t="s">
        <v>543</v>
      </c>
      <c r="AA1174" s="388" t="s">
        <v>543</v>
      </c>
      <c r="AB1174" s="388" t="s">
        <v>543</v>
      </c>
      <c r="AC1174" s="387" t="s">
        <v>543</v>
      </c>
      <c r="AD1174" s="389">
        <v>96</v>
      </c>
      <c r="AE1174" s="390">
        <v>44743</v>
      </c>
      <c r="AF1174" s="390">
        <v>45838</v>
      </c>
      <c r="AG1174" s="390">
        <v>45838</v>
      </c>
      <c r="AH1174" s="391" t="s">
        <v>832</v>
      </c>
      <c r="AI1174" s="391" t="s">
        <v>555</v>
      </c>
      <c r="AJ1174" s="391">
        <v>19</v>
      </c>
      <c r="AK1174" s="390">
        <v>45047</v>
      </c>
      <c r="AL1174" s="389">
        <v>70</v>
      </c>
      <c r="AM1174" s="391" t="s">
        <v>548</v>
      </c>
      <c r="AN1174" s="391" t="s">
        <v>549</v>
      </c>
      <c r="AO1174" s="391" t="s">
        <v>833</v>
      </c>
    </row>
    <row r="1175" spans="1:43" ht="16" thickBot="1">
      <c r="A1175" s="387" t="s">
        <v>529</v>
      </c>
      <c r="B1175" s="387" t="s">
        <v>1013</v>
      </c>
      <c r="C1175" s="387" t="s">
        <v>1014</v>
      </c>
      <c r="D1175" s="387" t="s">
        <v>835</v>
      </c>
      <c r="E1175" s="387">
        <v>100</v>
      </c>
      <c r="F1175" s="387" t="s">
        <v>584</v>
      </c>
      <c r="G1175" s="387">
        <v>100</v>
      </c>
      <c r="H1175" s="387" t="s">
        <v>584</v>
      </c>
      <c r="I1175" s="387" t="s">
        <v>585</v>
      </c>
      <c r="J1175" s="387" t="s">
        <v>836</v>
      </c>
      <c r="K1175" s="387" t="s">
        <v>837</v>
      </c>
      <c r="L1175" s="387" t="s">
        <v>562</v>
      </c>
      <c r="M1175" s="387" t="s">
        <v>563</v>
      </c>
      <c r="N1175" s="388">
        <v>59.23</v>
      </c>
      <c r="O1175" s="388">
        <v>14</v>
      </c>
      <c r="P1175" s="387" t="s">
        <v>538</v>
      </c>
      <c r="Q1175" s="387" t="s">
        <v>539</v>
      </c>
      <c r="R1175" s="387" t="s">
        <v>838</v>
      </c>
      <c r="S1175" s="387" t="s">
        <v>541</v>
      </c>
      <c r="T1175" s="387" t="s">
        <v>542</v>
      </c>
      <c r="U1175" s="388">
        <v>113334</v>
      </c>
      <c r="V1175" s="387">
        <v>6009628332658</v>
      </c>
      <c r="W1175" s="387" t="s">
        <v>543</v>
      </c>
      <c r="X1175" s="387" t="s">
        <v>543</v>
      </c>
      <c r="Y1175" s="387">
        <v>16009628332655</v>
      </c>
      <c r="Z1175" s="387" t="s">
        <v>543</v>
      </c>
      <c r="AA1175" s="388" t="s">
        <v>543</v>
      </c>
      <c r="AB1175" s="388" t="s">
        <v>543</v>
      </c>
      <c r="AC1175" s="387">
        <v>717981001</v>
      </c>
      <c r="AD1175" s="389">
        <v>72</v>
      </c>
      <c r="AE1175" s="390">
        <v>44743</v>
      </c>
      <c r="AF1175" s="390">
        <v>45838</v>
      </c>
      <c r="AG1175" s="390">
        <v>45838</v>
      </c>
      <c r="AH1175" s="391" t="s">
        <v>839</v>
      </c>
      <c r="AI1175" s="391" t="s">
        <v>565</v>
      </c>
      <c r="AJ1175" s="391">
        <v>23</v>
      </c>
      <c r="AK1175" s="390">
        <v>45047</v>
      </c>
      <c r="AL1175" s="389">
        <v>100</v>
      </c>
      <c r="AM1175" s="391" t="s">
        <v>548</v>
      </c>
      <c r="AN1175" s="391" t="s">
        <v>549</v>
      </c>
      <c r="AO1175" s="391" t="s">
        <v>840</v>
      </c>
    </row>
    <row r="1176" spans="1:43" ht="16" thickBot="1">
      <c r="A1176" s="387" t="s">
        <v>529</v>
      </c>
      <c r="B1176" s="387" t="s">
        <v>1026</v>
      </c>
      <c r="C1176" s="387" t="s">
        <v>843</v>
      </c>
      <c r="D1176" s="387" t="s">
        <v>841</v>
      </c>
      <c r="E1176" s="387">
        <v>56</v>
      </c>
      <c r="F1176" s="387" t="s">
        <v>584</v>
      </c>
      <c r="G1176" s="387">
        <v>56</v>
      </c>
      <c r="H1176" s="387" t="s">
        <v>584</v>
      </c>
      <c r="I1176" s="387" t="s">
        <v>585</v>
      </c>
      <c r="J1176" s="387" t="s">
        <v>836</v>
      </c>
      <c r="K1176" s="387" t="s">
        <v>842</v>
      </c>
      <c r="L1176" s="387" t="s">
        <v>654</v>
      </c>
      <c r="M1176" s="387" t="s">
        <v>655</v>
      </c>
      <c r="N1176" s="388">
        <v>84.62</v>
      </c>
      <c r="O1176" s="388">
        <v>14</v>
      </c>
      <c r="P1176" s="387" t="s">
        <v>538</v>
      </c>
      <c r="Q1176" s="387" t="s">
        <v>539</v>
      </c>
      <c r="R1176" s="387" t="s">
        <v>838</v>
      </c>
      <c r="S1176" s="387" t="s">
        <v>541</v>
      </c>
      <c r="T1176" s="387" t="s">
        <v>542</v>
      </c>
      <c r="U1176" s="388">
        <v>466985</v>
      </c>
      <c r="V1176" s="387">
        <v>6004405009365</v>
      </c>
      <c r="W1176" s="387">
        <v>6004405009365</v>
      </c>
      <c r="X1176" s="387" t="s">
        <v>543</v>
      </c>
      <c r="Y1176" s="387">
        <v>16004405009362</v>
      </c>
      <c r="Z1176" s="387" t="s">
        <v>543</v>
      </c>
      <c r="AA1176" s="388">
        <v>26004405009369</v>
      </c>
      <c r="AB1176" s="388" t="s">
        <v>543</v>
      </c>
      <c r="AC1176" s="387">
        <v>181896243</v>
      </c>
      <c r="AD1176" s="389" t="s">
        <v>844</v>
      </c>
      <c r="AE1176" s="390">
        <v>44743</v>
      </c>
      <c r="AF1176" s="390">
        <v>45838</v>
      </c>
      <c r="AG1176" s="390">
        <v>45838</v>
      </c>
      <c r="AH1176" s="391" t="s">
        <v>845</v>
      </c>
      <c r="AI1176" s="391" t="s">
        <v>658</v>
      </c>
      <c r="AJ1176" s="391">
        <v>16</v>
      </c>
      <c r="AK1176" s="390">
        <v>45047</v>
      </c>
      <c r="AL1176" s="389">
        <v>100</v>
      </c>
      <c r="AM1176" s="391" t="s">
        <v>548</v>
      </c>
      <c r="AN1176" s="391" t="s">
        <v>549</v>
      </c>
      <c r="AO1176" s="391" t="s">
        <v>846</v>
      </c>
      <c r="AP1176" s="372">
        <f>N1176/E1176</f>
        <v>1.5110714285714286</v>
      </c>
      <c r="AQ1176" s="372">
        <f>AP1176</f>
        <v>1.5110714285714286</v>
      </c>
    </row>
    <row r="1177" spans="1:43" ht="16" thickBot="1">
      <c r="A1177" s="387" t="s">
        <v>529</v>
      </c>
      <c r="B1177" s="387" t="s">
        <v>590</v>
      </c>
      <c r="C1177" s="387" t="s">
        <v>850</v>
      </c>
      <c r="D1177" s="387" t="s">
        <v>847</v>
      </c>
      <c r="E1177" s="387">
        <v>200</v>
      </c>
      <c r="F1177" s="387" t="s">
        <v>531</v>
      </c>
      <c r="G1177" s="387">
        <v>200</v>
      </c>
      <c r="H1177" s="387" t="s">
        <v>531</v>
      </c>
      <c r="I1177" s="387" t="s">
        <v>848</v>
      </c>
      <c r="J1177" s="387" t="s">
        <v>836</v>
      </c>
      <c r="K1177" s="387" t="s">
        <v>849</v>
      </c>
      <c r="L1177" s="387" t="s">
        <v>654</v>
      </c>
      <c r="M1177" s="387" t="s">
        <v>655</v>
      </c>
      <c r="N1177" s="388">
        <v>32.93</v>
      </c>
      <c r="O1177" s="388">
        <v>14</v>
      </c>
      <c r="P1177" s="387" t="s">
        <v>538</v>
      </c>
      <c r="Q1177" s="387" t="s">
        <v>539</v>
      </c>
      <c r="R1177" s="387" t="s">
        <v>838</v>
      </c>
      <c r="S1177" s="387" t="s">
        <v>541</v>
      </c>
      <c r="T1177" s="387" t="s">
        <v>542</v>
      </c>
      <c r="U1177" s="388">
        <v>532279</v>
      </c>
      <c r="V1177" s="387">
        <v>6004405009525</v>
      </c>
      <c r="W1177" s="387">
        <v>6004405009525</v>
      </c>
      <c r="X1177" s="387" t="s">
        <v>543</v>
      </c>
      <c r="Y1177" s="387">
        <v>16004405009525</v>
      </c>
      <c r="Z1177" s="387" t="s">
        <v>543</v>
      </c>
      <c r="AA1177" s="388">
        <v>26004405009529</v>
      </c>
      <c r="AB1177" s="388" t="s">
        <v>543</v>
      </c>
      <c r="AC1177" s="387">
        <v>180165395</v>
      </c>
      <c r="AD1177" s="389" t="s">
        <v>851</v>
      </c>
      <c r="AE1177" s="390">
        <v>44743</v>
      </c>
      <c r="AF1177" s="390">
        <v>45838</v>
      </c>
      <c r="AG1177" s="390">
        <v>45838</v>
      </c>
      <c r="AH1177" s="391" t="s">
        <v>852</v>
      </c>
      <c r="AI1177" s="391" t="s">
        <v>658</v>
      </c>
      <c r="AJ1177" s="391">
        <v>16</v>
      </c>
      <c r="AK1177" s="390">
        <v>45047</v>
      </c>
      <c r="AL1177" s="389">
        <v>100</v>
      </c>
      <c r="AM1177" s="391" t="s">
        <v>548</v>
      </c>
      <c r="AN1177" s="391" t="s">
        <v>549</v>
      </c>
      <c r="AO1177" s="391" t="s">
        <v>853</v>
      </c>
    </row>
    <row r="1178" spans="1:43" ht="16" thickBot="1">
      <c r="A1178" s="387" t="s">
        <v>2177</v>
      </c>
      <c r="B1178" s="387" t="s">
        <v>5499</v>
      </c>
      <c r="C1178" s="387" t="s">
        <v>8159</v>
      </c>
      <c r="D1178" s="387" t="s">
        <v>8160</v>
      </c>
      <c r="E1178" s="387">
        <v>25</v>
      </c>
      <c r="F1178" s="387" t="s">
        <v>2180</v>
      </c>
      <c r="G1178" s="387">
        <v>25</v>
      </c>
      <c r="H1178" s="387" t="s">
        <v>2180</v>
      </c>
      <c r="I1178" s="387" t="s">
        <v>2720</v>
      </c>
      <c r="J1178" s="387" t="s">
        <v>8161</v>
      </c>
      <c r="K1178" s="387" t="s">
        <v>8162</v>
      </c>
      <c r="L1178" s="387" t="s">
        <v>1855</v>
      </c>
      <c r="M1178" s="387" t="s">
        <v>1856</v>
      </c>
      <c r="N1178" s="388">
        <v>3.7</v>
      </c>
      <c r="O1178" s="388">
        <v>14</v>
      </c>
      <c r="P1178" s="387" t="s">
        <v>538</v>
      </c>
      <c r="Q1178" s="387" t="s">
        <v>539</v>
      </c>
      <c r="R1178" s="387" t="s">
        <v>8163</v>
      </c>
      <c r="S1178" s="387" t="s">
        <v>614</v>
      </c>
      <c r="T1178" s="387" t="s">
        <v>542</v>
      </c>
      <c r="U1178" s="388">
        <v>3226065</v>
      </c>
      <c r="V1178" s="387">
        <v>6001668004786</v>
      </c>
      <c r="W1178" s="387" t="s">
        <v>543</v>
      </c>
      <c r="X1178" s="387" t="s">
        <v>543</v>
      </c>
      <c r="Y1178" s="387">
        <v>16001668004783</v>
      </c>
      <c r="Z1178" s="387" t="s">
        <v>543</v>
      </c>
      <c r="AA1178" s="388" t="s">
        <v>543</v>
      </c>
      <c r="AB1178" s="388" t="s">
        <v>543</v>
      </c>
      <c r="AC1178" s="387" t="s">
        <v>543</v>
      </c>
      <c r="AD1178" s="389">
        <v>294</v>
      </c>
      <c r="AE1178" s="390">
        <v>44013</v>
      </c>
      <c r="AF1178" s="390">
        <v>45107</v>
      </c>
      <c r="AG1178" s="390">
        <v>45107</v>
      </c>
      <c r="AH1178" s="391" t="s">
        <v>8164</v>
      </c>
      <c r="AI1178" s="391" t="s">
        <v>1859</v>
      </c>
      <c r="AJ1178" s="391">
        <v>51</v>
      </c>
      <c r="AK1178" s="390">
        <v>44958</v>
      </c>
      <c r="AL1178" s="389">
        <v>100</v>
      </c>
      <c r="AM1178" s="391" t="s">
        <v>548</v>
      </c>
      <c r="AN1178" s="391" t="s">
        <v>545</v>
      </c>
      <c r="AO1178" s="391" t="s">
        <v>8165</v>
      </c>
    </row>
    <row r="1179" spans="1:43" ht="16" thickBot="1">
      <c r="A1179" s="387" t="s">
        <v>1729</v>
      </c>
      <c r="B1179" s="387" t="s">
        <v>2857</v>
      </c>
      <c r="C1179" s="387" t="s">
        <v>8166</v>
      </c>
      <c r="D1179" s="387" t="s">
        <v>8167</v>
      </c>
      <c r="E1179" s="387">
        <v>150</v>
      </c>
      <c r="F1179" s="387" t="s">
        <v>531</v>
      </c>
      <c r="G1179" s="387" t="s">
        <v>543</v>
      </c>
      <c r="H1179" s="387" t="s">
        <v>531</v>
      </c>
      <c r="I1179" s="387" t="s">
        <v>848</v>
      </c>
      <c r="J1179" s="387" t="s">
        <v>8168</v>
      </c>
      <c r="K1179" s="387" t="s">
        <v>8169</v>
      </c>
      <c r="L1179" s="387" t="s">
        <v>1809</v>
      </c>
      <c r="M1179" s="387" t="s">
        <v>1810</v>
      </c>
      <c r="N1179" s="388">
        <v>3.98</v>
      </c>
      <c r="O1179" s="388">
        <v>14</v>
      </c>
      <c r="P1179" s="387" t="s">
        <v>538</v>
      </c>
      <c r="Q1179" s="387" t="s">
        <v>539</v>
      </c>
      <c r="R1179" s="387" t="s">
        <v>8170</v>
      </c>
      <c r="S1179" s="387" t="s">
        <v>171</v>
      </c>
      <c r="T1179" s="387" t="s">
        <v>542</v>
      </c>
      <c r="U1179" s="388">
        <v>2432650</v>
      </c>
      <c r="V1179" s="387">
        <v>6006845002227</v>
      </c>
      <c r="W1179" s="387">
        <v>6006845002227</v>
      </c>
      <c r="X1179" s="387" t="s">
        <v>543</v>
      </c>
      <c r="Y1179" s="387">
        <v>16006845002224</v>
      </c>
      <c r="Z1179" s="387" t="s">
        <v>543</v>
      </c>
      <c r="AA1179" s="388" t="s">
        <v>543</v>
      </c>
      <c r="AB1179" s="388" t="s">
        <v>543</v>
      </c>
      <c r="AC1179" s="387" t="s">
        <v>543</v>
      </c>
      <c r="AD1179" s="389">
        <v>80</v>
      </c>
      <c r="AE1179" s="390">
        <v>44105</v>
      </c>
      <c r="AF1179" s="390">
        <v>45199</v>
      </c>
      <c r="AG1179" s="390">
        <v>45199</v>
      </c>
      <c r="AH1179" s="391" t="s">
        <v>8171</v>
      </c>
      <c r="AI1179" s="391" t="s">
        <v>1813</v>
      </c>
      <c r="AJ1179" s="391">
        <v>0</v>
      </c>
      <c r="AK1179" s="390">
        <v>44105</v>
      </c>
      <c r="AL1179" s="389">
        <v>100</v>
      </c>
      <c r="AM1179" s="391" t="s">
        <v>548</v>
      </c>
      <c r="AN1179" s="391" t="s">
        <v>545</v>
      </c>
      <c r="AO1179" s="391" t="s">
        <v>8172</v>
      </c>
    </row>
    <row r="1180" spans="1:43" ht="16" thickBot="1">
      <c r="A1180" s="387" t="s">
        <v>1717</v>
      </c>
      <c r="B1180" s="387" t="s">
        <v>8173</v>
      </c>
      <c r="C1180" s="387" t="s">
        <v>8174</v>
      </c>
      <c r="D1180" s="387" t="s">
        <v>8175</v>
      </c>
      <c r="E1180" s="387">
        <v>10</v>
      </c>
      <c r="F1180" s="387" t="s">
        <v>559</v>
      </c>
      <c r="G1180" s="387" t="s">
        <v>543</v>
      </c>
      <c r="H1180" s="387" t="s">
        <v>559</v>
      </c>
      <c r="I1180" s="387" t="s">
        <v>560</v>
      </c>
      <c r="J1180" s="387" t="s">
        <v>8168</v>
      </c>
      <c r="K1180" s="387" t="s">
        <v>8176</v>
      </c>
      <c r="L1180" s="387" t="s">
        <v>2735</v>
      </c>
      <c r="M1180" s="387" t="s">
        <v>2736</v>
      </c>
      <c r="N1180" s="388">
        <v>3.9</v>
      </c>
      <c r="O1180" s="388">
        <v>14</v>
      </c>
      <c r="P1180" s="387" t="s">
        <v>538</v>
      </c>
      <c r="Q1180" s="387" t="s">
        <v>539</v>
      </c>
      <c r="R1180" s="387" t="s">
        <v>8170</v>
      </c>
      <c r="S1180" s="387" t="s">
        <v>171</v>
      </c>
      <c r="T1180" s="387" t="s">
        <v>542</v>
      </c>
      <c r="U1180" s="388">
        <v>123070</v>
      </c>
      <c r="V1180" s="387">
        <v>6001331022185</v>
      </c>
      <c r="W1180" s="387">
        <v>6001331022185</v>
      </c>
      <c r="X1180" s="387" t="s">
        <v>543</v>
      </c>
      <c r="Y1180" s="387">
        <v>6001331022186</v>
      </c>
      <c r="Z1180" s="387" t="s">
        <v>543</v>
      </c>
      <c r="AA1180" s="388" t="s">
        <v>543</v>
      </c>
      <c r="AB1180" s="388" t="s">
        <v>543</v>
      </c>
      <c r="AC1180" s="387" t="s">
        <v>543</v>
      </c>
      <c r="AD1180" s="389">
        <v>200</v>
      </c>
      <c r="AE1180" s="390">
        <v>45047</v>
      </c>
      <c r="AF1180" s="390">
        <v>46142</v>
      </c>
      <c r="AG1180" s="391" t="s">
        <v>545</v>
      </c>
      <c r="AH1180" s="391" t="s">
        <v>8177</v>
      </c>
      <c r="AI1180" s="391" t="s">
        <v>2737</v>
      </c>
      <c r="AJ1180" s="391">
        <v>0</v>
      </c>
      <c r="AK1180" s="390">
        <v>45047</v>
      </c>
      <c r="AL1180" s="389">
        <v>100</v>
      </c>
      <c r="AM1180" s="391" t="s">
        <v>548</v>
      </c>
      <c r="AN1180" s="391" t="s">
        <v>549</v>
      </c>
      <c r="AO1180" s="391" t="s">
        <v>8178</v>
      </c>
    </row>
    <row r="1181" spans="1:43" ht="16" thickBot="1">
      <c r="A1181" s="387" t="s">
        <v>1717</v>
      </c>
      <c r="B1181" s="387" t="s">
        <v>8179</v>
      </c>
      <c r="C1181" s="387" t="s">
        <v>8180</v>
      </c>
      <c r="D1181" s="387" t="s">
        <v>8181</v>
      </c>
      <c r="E1181" s="387">
        <v>100</v>
      </c>
      <c r="F1181" s="387" t="s">
        <v>559</v>
      </c>
      <c r="G1181" s="387" t="s">
        <v>543</v>
      </c>
      <c r="H1181" s="387" t="s">
        <v>559</v>
      </c>
      <c r="I1181" s="387" t="s">
        <v>560</v>
      </c>
      <c r="J1181" s="387" t="s">
        <v>8168</v>
      </c>
      <c r="K1181" s="387" t="s">
        <v>8182</v>
      </c>
      <c r="L1181" s="387" t="s">
        <v>2062</v>
      </c>
      <c r="M1181" s="387" t="s">
        <v>2063</v>
      </c>
      <c r="N1181" s="388">
        <v>10.58</v>
      </c>
      <c r="O1181" s="388">
        <v>14</v>
      </c>
      <c r="P1181" s="387" t="s">
        <v>538</v>
      </c>
      <c r="Q1181" s="387" t="s">
        <v>539</v>
      </c>
      <c r="R1181" s="387" t="s">
        <v>8170</v>
      </c>
      <c r="S1181" s="387" t="s">
        <v>171</v>
      </c>
      <c r="T1181" s="387" t="s">
        <v>542</v>
      </c>
      <c r="U1181" s="388">
        <v>186776</v>
      </c>
      <c r="V1181" s="387" t="s">
        <v>543</v>
      </c>
      <c r="W1181" s="387" t="s">
        <v>543</v>
      </c>
      <c r="X1181" s="387" t="s">
        <v>543</v>
      </c>
      <c r="Y1181" s="387" t="s">
        <v>543</v>
      </c>
      <c r="Z1181" s="387" t="s">
        <v>543</v>
      </c>
      <c r="AA1181" s="388" t="s">
        <v>543</v>
      </c>
      <c r="AB1181" s="388" t="s">
        <v>543</v>
      </c>
      <c r="AC1181" s="387" t="s">
        <v>543</v>
      </c>
      <c r="AD1181" s="389">
        <v>50</v>
      </c>
      <c r="AE1181" s="390">
        <v>45047</v>
      </c>
      <c r="AF1181" s="390">
        <v>46142</v>
      </c>
      <c r="AG1181" s="390">
        <v>46142</v>
      </c>
      <c r="AH1181" s="391" t="s">
        <v>8183</v>
      </c>
      <c r="AI1181" s="391" t="s">
        <v>2064</v>
      </c>
      <c r="AJ1181" s="391">
        <v>0</v>
      </c>
      <c r="AK1181" s="390">
        <v>45047</v>
      </c>
      <c r="AL1181" s="389">
        <v>100</v>
      </c>
      <c r="AM1181" s="391" t="s">
        <v>548</v>
      </c>
      <c r="AN1181" s="391" t="s">
        <v>549</v>
      </c>
      <c r="AO1181" s="391" t="s">
        <v>8178</v>
      </c>
    </row>
    <row r="1182" spans="1:43" ht="16" thickBot="1">
      <c r="A1182" s="387" t="s">
        <v>1748</v>
      </c>
      <c r="B1182" s="387" t="s">
        <v>4696</v>
      </c>
      <c r="C1182" s="387" t="s">
        <v>8184</v>
      </c>
      <c r="D1182" s="387" t="s">
        <v>8185</v>
      </c>
      <c r="E1182" s="387">
        <v>1</v>
      </c>
      <c r="F1182" s="387" t="s">
        <v>531</v>
      </c>
      <c r="G1182" s="387">
        <v>1</v>
      </c>
      <c r="H1182" s="387" t="s">
        <v>531</v>
      </c>
      <c r="I1182" s="387" t="s">
        <v>1751</v>
      </c>
      <c r="J1182" s="387" t="s">
        <v>8186</v>
      </c>
      <c r="K1182" s="387" t="s">
        <v>8187</v>
      </c>
      <c r="L1182" s="387" t="s">
        <v>4248</v>
      </c>
      <c r="M1182" s="387" t="s">
        <v>4249</v>
      </c>
      <c r="N1182" s="388">
        <v>94.9</v>
      </c>
      <c r="O1182" s="388">
        <v>14</v>
      </c>
      <c r="P1182" s="387" t="s">
        <v>538</v>
      </c>
      <c r="Q1182" s="387" t="s">
        <v>539</v>
      </c>
      <c r="R1182" s="387" t="s">
        <v>8188</v>
      </c>
      <c r="S1182" s="387" t="s">
        <v>171</v>
      </c>
      <c r="T1182" s="387" t="s">
        <v>757</v>
      </c>
      <c r="U1182" s="388">
        <v>228680</v>
      </c>
      <c r="V1182" s="387">
        <v>6006102108228</v>
      </c>
      <c r="W1182" s="387" t="s">
        <v>543</v>
      </c>
      <c r="X1182" s="387" t="s">
        <v>543</v>
      </c>
      <c r="Y1182" s="387">
        <v>16006102120005</v>
      </c>
      <c r="Z1182" s="387" t="s">
        <v>543</v>
      </c>
      <c r="AA1182" s="388" t="s">
        <v>543</v>
      </c>
      <c r="AB1182" s="388" t="s">
        <v>543</v>
      </c>
      <c r="AC1182" s="387">
        <v>786934018</v>
      </c>
      <c r="AD1182" s="389">
        <v>5</v>
      </c>
      <c r="AE1182" s="390">
        <v>44317</v>
      </c>
      <c r="AF1182" s="390">
        <v>45412</v>
      </c>
      <c r="AG1182" s="391" t="s">
        <v>545</v>
      </c>
      <c r="AH1182" s="391" t="s">
        <v>8189</v>
      </c>
      <c r="AI1182" s="391" t="s">
        <v>4252</v>
      </c>
      <c r="AJ1182" s="391">
        <v>0</v>
      </c>
      <c r="AK1182" s="390">
        <v>44317</v>
      </c>
      <c r="AL1182" s="389">
        <v>100</v>
      </c>
      <c r="AM1182" s="391" t="s">
        <v>548</v>
      </c>
      <c r="AN1182" s="391" t="s">
        <v>549</v>
      </c>
      <c r="AO1182" s="391" t="s">
        <v>8190</v>
      </c>
    </row>
    <row r="1183" spans="1:43" ht="16" thickBot="1">
      <c r="A1183" s="387" t="s">
        <v>1748</v>
      </c>
      <c r="B1183" s="387" t="s">
        <v>4723</v>
      </c>
      <c r="C1183" s="387" t="s">
        <v>8191</v>
      </c>
      <c r="D1183" s="387" t="s">
        <v>8192</v>
      </c>
      <c r="E1183" s="387">
        <v>1</v>
      </c>
      <c r="F1183" s="387" t="s">
        <v>531</v>
      </c>
      <c r="G1183" s="387">
        <v>1</v>
      </c>
      <c r="H1183" s="387" t="s">
        <v>531</v>
      </c>
      <c r="I1183" s="387" t="s">
        <v>1751</v>
      </c>
      <c r="J1183" s="387" t="s">
        <v>8193</v>
      </c>
      <c r="K1183" s="387" t="s">
        <v>8194</v>
      </c>
      <c r="L1183" s="387" t="s">
        <v>4248</v>
      </c>
      <c r="M1183" s="387" t="s">
        <v>4249</v>
      </c>
      <c r="N1183" s="388">
        <v>49.82</v>
      </c>
      <c r="O1183" s="388">
        <v>14</v>
      </c>
      <c r="P1183" s="387" t="s">
        <v>538</v>
      </c>
      <c r="Q1183" s="387" t="s">
        <v>539</v>
      </c>
      <c r="R1183" s="387" t="s">
        <v>8188</v>
      </c>
      <c r="S1183" s="387" t="s">
        <v>171</v>
      </c>
      <c r="T1183" s="387" t="s">
        <v>542</v>
      </c>
      <c r="U1183" s="388">
        <v>2142750</v>
      </c>
      <c r="V1183" s="387">
        <v>6006102109157</v>
      </c>
      <c r="W1183" s="387" t="s">
        <v>543</v>
      </c>
      <c r="X1183" s="387" t="s">
        <v>543</v>
      </c>
      <c r="Y1183" s="387">
        <v>16006102109154</v>
      </c>
      <c r="Z1183" s="387" t="s">
        <v>543</v>
      </c>
      <c r="AA1183" s="388" t="s">
        <v>543</v>
      </c>
      <c r="AB1183" s="388" t="s">
        <v>543</v>
      </c>
      <c r="AC1183" s="387">
        <v>714852007</v>
      </c>
      <c r="AD1183" s="389">
        <v>5</v>
      </c>
      <c r="AE1183" s="390">
        <v>44317</v>
      </c>
      <c r="AF1183" s="390">
        <v>45412</v>
      </c>
      <c r="AG1183" s="391" t="s">
        <v>545</v>
      </c>
      <c r="AH1183" s="391" t="s">
        <v>8195</v>
      </c>
      <c r="AI1183" s="391" t="s">
        <v>4252</v>
      </c>
      <c r="AJ1183" s="391">
        <v>0</v>
      </c>
      <c r="AK1183" s="390">
        <v>44317</v>
      </c>
      <c r="AL1183" s="389">
        <v>100</v>
      </c>
      <c r="AM1183" s="391" t="s">
        <v>548</v>
      </c>
      <c r="AN1183" s="391" t="s">
        <v>549</v>
      </c>
      <c r="AO1183" s="391" t="s">
        <v>8196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4"/>
  <dimension ref="A1:R102"/>
  <sheetViews>
    <sheetView topLeftCell="A79" zoomScale="70" zoomScaleNormal="70" zoomScalePageLayoutView="85" workbookViewId="0">
      <selection activeCell="H66" sqref="H66"/>
    </sheetView>
  </sheetViews>
  <sheetFormatPr baseColWidth="10" defaultColWidth="8.83203125" defaultRowHeight="15"/>
  <cols>
    <col min="1" max="1" width="32" customWidth="1"/>
    <col min="2" max="2" width="17.6640625" customWidth="1"/>
    <col min="3" max="3" width="18.1640625" customWidth="1"/>
    <col min="4" max="4" width="42.5" customWidth="1"/>
    <col min="5" max="5" width="16.33203125" customWidth="1"/>
    <col min="6" max="6" width="19.5" customWidth="1"/>
    <col min="7" max="7" width="16.6640625" customWidth="1"/>
    <col min="8" max="8" width="17.6640625" customWidth="1"/>
    <col min="9" max="9" width="11.83203125" customWidth="1"/>
    <col min="10" max="10" width="10.1640625" customWidth="1"/>
    <col min="11" max="11" width="11.6640625" customWidth="1"/>
    <col min="12" max="12" width="12.83203125" customWidth="1"/>
    <col min="13" max="13" width="15" customWidth="1"/>
    <col min="14" max="14" width="12.83203125" customWidth="1"/>
    <col min="15" max="15" width="11.33203125" customWidth="1"/>
    <col min="16" max="16" width="12.5" customWidth="1"/>
    <col min="17" max="17" width="18.33203125" customWidth="1"/>
    <col min="18" max="18" width="13.5" customWidth="1"/>
  </cols>
  <sheetData>
    <row r="1" spans="1:13" ht="19">
      <c r="A1" s="26" t="s">
        <v>150</v>
      </c>
      <c r="I1" s="1"/>
      <c r="J1" s="1"/>
    </row>
    <row r="2" spans="1:13" ht="19">
      <c r="A2" s="26"/>
    </row>
    <row r="3" spans="1:13">
      <c r="A3" s="453" t="s">
        <v>151</v>
      </c>
      <c r="B3" s="453"/>
      <c r="C3" s="453"/>
      <c r="D3" s="453"/>
      <c r="E3" s="453"/>
      <c r="F3" s="453"/>
      <c r="G3" s="453"/>
      <c r="H3" s="453"/>
      <c r="I3" s="453"/>
      <c r="J3" s="453"/>
      <c r="K3" s="453"/>
      <c r="L3" s="453"/>
      <c r="M3" s="453"/>
    </row>
    <row r="4" spans="1:13">
      <c r="A4" s="453"/>
      <c r="B4" s="453"/>
      <c r="C4" s="453"/>
      <c r="D4" s="453"/>
      <c r="E4" s="453"/>
      <c r="F4" s="453"/>
      <c r="G4" s="453"/>
      <c r="H4" s="453"/>
      <c r="I4" s="453"/>
      <c r="J4" s="453"/>
      <c r="K4" s="453"/>
      <c r="L4" s="453"/>
      <c r="M4" s="453"/>
    </row>
    <row r="6" spans="1:13">
      <c r="A6" s="27" t="s">
        <v>152</v>
      </c>
      <c r="C6" s="3"/>
    </row>
    <row r="7" spans="1:13" ht="48">
      <c r="A7" s="2" t="s">
        <v>153</v>
      </c>
      <c r="B7" s="2" t="s">
        <v>154</v>
      </c>
      <c r="C7" s="2" t="s">
        <v>155</v>
      </c>
      <c r="D7" s="28" t="s">
        <v>156</v>
      </c>
      <c r="E7" s="28" t="s">
        <v>157</v>
      </c>
      <c r="F7" s="28" t="s">
        <v>156</v>
      </c>
      <c r="G7" s="2" t="s">
        <v>25</v>
      </c>
    </row>
    <row r="8" spans="1:13" ht="15" customHeight="1">
      <c r="A8" s="29" t="s">
        <v>158</v>
      </c>
      <c r="B8" s="29" t="s">
        <v>159</v>
      </c>
      <c r="C8" s="29">
        <v>52</v>
      </c>
      <c r="D8" s="30"/>
      <c r="E8" s="31"/>
      <c r="F8" s="30"/>
      <c r="G8" s="29" t="s">
        <v>160</v>
      </c>
      <c r="I8" s="32"/>
    </row>
    <row r="9" spans="1:13" ht="15" customHeight="1">
      <c r="A9" s="29" t="s">
        <v>161</v>
      </c>
      <c r="B9" s="29"/>
      <c r="C9" s="33">
        <f>C8/12</f>
        <v>4.333333333333333</v>
      </c>
      <c r="D9" s="34" t="s">
        <v>162</v>
      </c>
      <c r="E9" s="31"/>
      <c r="F9" s="34"/>
      <c r="G9" s="29"/>
      <c r="I9" s="32"/>
    </row>
    <row r="10" spans="1:13">
      <c r="A10" s="29" t="s">
        <v>163</v>
      </c>
      <c r="B10" s="29" t="s">
        <v>164</v>
      </c>
      <c r="C10" s="29">
        <v>12</v>
      </c>
      <c r="D10" s="30"/>
      <c r="E10" s="31"/>
      <c r="F10" s="30"/>
      <c r="G10" s="29"/>
      <c r="I10" s="32"/>
    </row>
    <row r="11" spans="1:13" ht="32">
      <c r="A11" s="29" t="s">
        <v>165</v>
      </c>
      <c r="B11" s="29" t="s">
        <v>166</v>
      </c>
      <c r="C11" s="29">
        <v>15</v>
      </c>
      <c r="D11" s="30"/>
      <c r="E11" s="31"/>
      <c r="F11" s="30"/>
      <c r="G11" s="35" t="s">
        <v>167</v>
      </c>
      <c r="I11" s="32"/>
    </row>
    <row r="12" spans="1:13" ht="32">
      <c r="A12" s="29" t="s">
        <v>168</v>
      </c>
      <c r="B12" s="29" t="s">
        <v>169</v>
      </c>
      <c r="C12" s="29">
        <v>10</v>
      </c>
      <c r="D12" s="30"/>
      <c r="E12" s="31"/>
      <c r="F12" s="30"/>
      <c r="G12" s="35" t="s">
        <v>167</v>
      </c>
      <c r="I12" s="32"/>
    </row>
    <row r="13" spans="1:13">
      <c r="A13" s="29" t="s">
        <v>170</v>
      </c>
      <c r="B13" s="29" t="s">
        <v>171</v>
      </c>
      <c r="C13" s="29">
        <v>5</v>
      </c>
      <c r="D13" s="30"/>
      <c r="E13" s="29">
        <v>4</v>
      </c>
      <c r="F13" s="30"/>
      <c r="G13" s="36" t="s">
        <v>172</v>
      </c>
      <c r="I13" s="32"/>
    </row>
    <row r="14" spans="1:13" ht="15.75" customHeight="1">
      <c r="A14" s="29" t="s">
        <v>173</v>
      </c>
      <c r="B14" s="29" t="s">
        <v>174</v>
      </c>
      <c r="C14" s="29">
        <v>8</v>
      </c>
      <c r="D14" s="34" t="s">
        <v>175</v>
      </c>
      <c r="E14" s="31"/>
      <c r="F14" s="34"/>
      <c r="G14" s="36" t="s">
        <v>172</v>
      </c>
      <c r="I14" s="32"/>
    </row>
    <row r="15" spans="1:13" ht="32.25" customHeight="1">
      <c r="A15" s="2" t="s">
        <v>176</v>
      </c>
      <c r="B15" s="28" t="s">
        <v>177</v>
      </c>
      <c r="C15" s="60">
        <f>(C8*C13)-(C10+C11+C12)</f>
        <v>223</v>
      </c>
      <c r="D15" s="38" t="s">
        <v>178</v>
      </c>
      <c r="E15" s="37">
        <f>C15*(E13/C13)</f>
        <v>178.4</v>
      </c>
      <c r="F15" s="38" t="s">
        <v>179</v>
      </c>
      <c r="G15" s="29"/>
    </row>
    <row r="16" spans="1:13">
      <c r="A16" s="2" t="s">
        <v>180</v>
      </c>
      <c r="B16" s="2" t="s">
        <v>181</v>
      </c>
      <c r="C16" s="39">
        <f>C15/12</f>
        <v>18.583333333333332</v>
      </c>
      <c r="D16" s="38" t="s">
        <v>182</v>
      </c>
      <c r="E16" s="40">
        <f>C16*(E13/C13)</f>
        <v>14.866666666666667</v>
      </c>
      <c r="F16" s="38" t="s">
        <v>183</v>
      </c>
      <c r="G16" s="29"/>
    </row>
    <row r="17" spans="1:7">
      <c r="A17" s="2" t="s">
        <v>184</v>
      </c>
      <c r="B17" s="2" t="s">
        <v>185</v>
      </c>
      <c r="C17" s="39">
        <f>C15/52</f>
        <v>4.2884615384615383</v>
      </c>
      <c r="D17" s="41" t="s">
        <v>186</v>
      </c>
      <c r="E17" s="40">
        <f>C17*(E13/C13)</f>
        <v>3.430769230769231</v>
      </c>
      <c r="F17" s="38" t="s">
        <v>187</v>
      </c>
      <c r="G17" s="29"/>
    </row>
    <row r="18" spans="1:7">
      <c r="A18" s="2" t="s">
        <v>188</v>
      </c>
      <c r="B18" s="2" t="s">
        <v>189</v>
      </c>
      <c r="C18" s="42">
        <f>C15*C14*60</f>
        <v>107040</v>
      </c>
      <c r="D18" s="38" t="s">
        <v>225</v>
      </c>
      <c r="E18" s="43">
        <f>C18*(E13/C13)</f>
        <v>85632</v>
      </c>
      <c r="F18" s="29"/>
      <c r="G18" s="29"/>
    </row>
    <row r="20" spans="1:7">
      <c r="A20" s="27" t="s">
        <v>190</v>
      </c>
      <c r="C20" s="1" t="s">
        <v>191</v>
      </c>
      <c r="D20" s="1" t="s">
        <v>142</v>
      </c>
      <c r="E20" s="3"/>
    </row>
    <row r="21" spans="1:7" s="47" customFormat="1" ht="45" customHeight="1">
      <c r="A21" s="44" t="s">
        <v>192</v>
      </c>
      <c r="B21" s="45" t="s">
        <v>193</v>
      </c>
      <c r="C21" s="45" t="s">
        <v>194</v>
      </c>
      <c r="D21" s="46" t="s">
        <v>195</v>
      </c>
    </row>
    <row r="22" spans="1:7" s="47" customFormat="1" ht="16">
      <c r="A22" s="48" t="s">
        <v>52</v>
      </c>
      <c r="B22" s="259">
        <f>$M$89</f>
        <v>16073.378333333334</v>
      </c>
      <c r="C22" s="49">
        <f>(12*staffcosts[[#This Row],[Total monthly cost (average of grades below)]])/$C$18</f>
        <v>1.8019482436472347</v>
      </c>
      <c r="D22" s="50"/>
      <c r="G22" s="67"/>
    </row>
    <row r="23" spans="1:7" ht="14.25" customHeight="1">
      <c r="A23" s="48" t="s">
        <v>54</v>
      </c>
      <c r="B23" s="259">
        <f>$M$84</f>
        <v>11100.375</v>
      </c>
      <c r="C23" s="49">
        <f>(12*staffcosts[[#This Row],[Total monthly cost (average of grades below)]])/$C$18</f>
        <v>1.2444366591928251</v>
      </c>
      <c r="D23" s="50"/>
    </row>
    <row r="24" spans="1:7" ht="16">
      <c r="A24" s="48" t="s">
        <v>55</v>
      </c>
      <c r="B24" s="260">
        <f>$M$90</f>
        <v>16546.020833333332</v>
      </c>
      <c r="C24" s="49">
        <f>(12*staffcosts[[#This Row],[Total monthly cost (average of grades below)]])/$C$18</f>
        <v>1.8549350710014947</v>
      </c>
      <c r="D24" s="50"/>
    </row>
    <row r="25" spans="1:7" ht="15" customHeight="1">
      <c r="A25" s="48" t="s">
        <v>58</v>
      </c>
      <c r="B25" s="261">
        <f>AVERAGE($M$73:$M$74)</f>
        <v>53200.165000000001</v>
      </c>
      <c r="C25" s="49">
        <f>(12*staffcosts[[#This Row],[Total monthly cost (average of grades below)]])/$C$18</f>
        <v>5.9641440582959637</v>
      </c>
      <c r="D25" s="50"/>
    </row>
    <row r="26" spans="1:7" ht="15" customHeight="1">
      <c r="A26" s="48" t="s">
        <v>60</v>
      </c>
      <c r="B26" s="262">
        <f>AVERAGE(M57:M59)</f>
        <v>81343.979166666672</v>
      </c>
      <c r="C26" s="49">
        <f>(12*staffcosts[[#This Row],[Total monthly cost (average of grades below)]])/$C$18</f>
        <v>9.1192801756352768</v>
      </c>
      <c r="D26" s="50"/>
    </row>
    <row r="27" spans="1:7" ht="15" customHeight="1">
      <c r="A27" s="48" t="s">
        <v>1077</v>
      </c>
      <c r="B27" s="263">
        <f>N60</f>
        <v>19041.795138888887</v>
      </c>
      <c r="C27" s="258">
        <f>(12*staffcosts[[#This Row],[Total monthly cost (average of grades below)]])/$C$18</f>
        <v>2.1347303967364222</v>
      </c>
      <c r="D27" s="50"/>
    </row>
    <row r="28" spans="1:7" ht="15" customHeight="1">
      <c r="A28" s="48" t="s">
        <v>1078</v>
      </c>
      <c r="B28" s="263">
        <f>N77</f>
        <v>120448.76055555553</v>
      </c>
      <c r="C28" s="258">
        <f>(12*staffcosts[[#This Row],[Total monthly cost (average of grades below)]])/$C$18</f>
        <v>13.503224277528648</v>
      </c>
      <c r="D28" s="50"/>
    </row>
    <row r="29" spans="1:7" ht="16">
      <c r="A29" s="48" t="s">
        <v>61</v>
      </c>
      <c r="B29" s="259">
        <f>N75</f>
        <v>64325.066666666666</v>
      </c>
      <c r="C29" s="49">
        <f>(12*staffcosts[[#This Row],[Total monthly cost (average of grades below)]])/$C$18</f>
        <v>7.2113303437967122</v>
      </c>
      <c r="D29" s="50"/>
    </row>
    <row r="30" spans="1:7" ht="16">
      <c r="A30" s="48" t="s">
        <v>62</v>
      </c>
      <c r="B30" s="261">
        <f>N70</f>
        <v>43704.972222222226</v>
      </c>
      <c r="C30" s="49">
        <f>(12*staffcosts[[#This Row],[Total monthly cost (average of grades below)]])/$C$18</f>
        <v>4.8996605630293981</v>
      </c>
      <c r="D30" s="50"/>
    </row>
    <row r="31" spans="1:7" ht="16">
      <c r="A31" s="48" t="s">
        <v>368</v>
      </c>
      <c r="B31" s="264">
        <f>N73</f>
        <v>53200.165000000001</v>
      </c>
      <c r="C31" s="106">
        <f>(12*staffcosts[[#This Row],[Total monthly cost (average of grades below)]])/$C$18</f>
        <v>5.9641440582959637</v>
      </c>
      <c r="D31" s="50"/>
    </row>
    <row r="32" spans="1:7" ht="16">
      <c r="A32" s="48" t="s">
        <v>64</v>
      </c>
      <c r="B32" s="259">
        <f>AVERAGE($M$80:$M$83)</f>
        <v>48142.536666666667</v>
      </c>
      <c r="C32" s="49">
        <f>(12*staffcosts[[#This Row],[Total monthly cost (average of grades below)]])/$C$18</f>
        <v>5.3971453662182354</v>
      </c>
      <c r="D32" s="50"/>
    </row>
    <row r="33" spans="1:12">
      <c r="A33" s="51" t="s">
        <v>65</v>
      </c>
      <c r="B33" s="259">
        <f>AVERAGE($M$63:$M$65)</f>
        <v>28893.91333333333</v>
      </c>
      <c r="C33" s="49">
        <f>(12*staffcosts[[#This Row],[Total monthly cost (average of grades below)]])/$C$18</f>
        <v>3.2392279521674139</v>
      </c>
      <c r="D33" s="50" t="s">
        <v>196</v>
      </c>
    </row>
    <row r="34" spans="1:12" ht="16">
      <c r="A34" s="48" t="s">
        <v>1072</v>
      </c>
      <c r="B34" s="265">
        <f>N66</f>
        <v>22773.20277777778</v>
      </c>
      <c r="C34" s="258">
        <f>(12*staffcosts[[#This Row],[Total monthly cost (average of grades below)]])/$C$18</f>
        <v>2.5530496387643251</v>
      </c>
      <c r="D34" s="50"/>
    </row>
    <row r="35" spans="1:12" ht="16">
      <c r="A35" s="48" t="s">
        <v>366</v>
      </c>
      <c r="B35" s="264">
        <f>N69</f>
        <v>34361.648333333331</v>
      </c>
      <c r="C35" s="106">
        <f>(12*staffcosts[[#This Row],[Total monthly cost (average of grades below)]])/$C$18</f>
        <v>3.8522027279521671</v>
      </c>
      <c r="D35" s="50"/>
    </row>
    <row r="36" spans="1:12" ht="16">
      <c r="A36" s="107" t="s">
        <v>363</v>
      </c>
      <c r="B36" s="266">
        <f>N96</f>
        <v>4100.2266666666665</v>
      </c>
      <c r="C36" s="108">
        <f>(12*staffcosts[[#This Row],[Total monthly cost (average of grades below)]])/$C$18</f>
        <v>0.45966666666666667</v>
      </c>
      <c r="D36" s="109"/>
    </row>
    <row r="37" spans="1:12" ht="16">
      <c r="A37" s="107" t="s">
        <v>243</v>
      </c>
      <c r="B37" s="266">
        <f>N97</f>
        <v>11731.166666666666</v>
      </c>
      <c r="C37" s="108">
        <f>(12*staffcosts[[#This Row],[Total monthly cost (average of grades below)]])/$C$18</f>
        <v>1.3151532137518684</v>
      </c>
      <c r="D37" s="109"/>
    </row>
    <row r="38" spans="1:12" ht="16">
      <c r="A38" s="107" t="s">
        <v>287</v>
      </c>
      <c r="B38" s="266">
        <f>N91</f>
        <v>21800.311666666668</v>
      </c>
      <c r="C38" s="108">
        <f>(12*staffcosts[[#This Row],[Total monthly cost (average of grades below)]])/$C$18</f>
        <v>2.443981128550075</v>
      </c>
      <c r="D38" s="109"/>
    </row>
    <row r="39" spans="1:12" ht="16">
      <c r="A39" s="107" t="s">
        <v>288</v>
      </c>
      <c r="B39" s="266">
        <f>N92</f>
        <v>62408.151666666665</v>
      </c>
      <c r="C39" s="108">
        <f>(12*staffcosts[[#This Row],[Total monthly cost (average of grades below)]])/$C$18</f>
        <v>6.9964295590433476</v>
      </c>
      <c r="D39" s="109"/>
    </row>
    <row r="40" spans="1:12" ht="16">
      <c r="A40" s="107" t="s">
        <v>290</v>
      </c>
      <c r="B40" s="266">
        <f>N94</f>
        <v>25449.108333333334</v>
      </c>
      <c r="C40" s="116">
        <f>(12*staffcosts[[#This Row],[Total monthly cost (average of grades below)]])/$C$18</f>
        <v>2.8530390508221224</v>
      </c>
      <c r="D40" s="117"/>
      <c r="E40" s="52"/>
      <c r="F40" s="52"/>
      <c r="G40" s="52"/>
      <c r="H40" s="52"/>
      <c r="I40" s="52"/>
      <c r="J40" s="52"/>
      <c r="K40" s="52"/>
      <c r="L40" s="52"/>
    </row>
    <row r="41" spans="1:12" ht="16">
      <c r="A41" s="107" t="s">
        <v>56</v>
      </c>
      <c r="B41" s="266">
        <f>N95</f>
        <v>23181.75</v>
      </c>
      <c r="C41" s="116">
        <f>(12*staffcosts[[#This Row],[Total monthly cost (average of grades below)]])/$C$18</f>
        <v>2.5988508968609865</v>
      </c>
      <c r="D41" s="117"/>
      <c r="E41" s="52"/>
      <c r="F41" s="52"/>
      <c r="G41" s="52"/>
      <c r="H41" s="52"/>
      <c r="I41" s="52"/>
      <c r="J41" s="52"/>
      <c r="K41" s="52"/>
      <c r="L41" s="52"/>
    </row>
    <row r="42" spans="1:12" ht="16">
      <c r="A42" s="107" t="s">
        <v>1070</v>
      </c>
      <c r="B42" s="266">
        <f>N86</f>
        <v>21800.311666666668</v>
      </c>
      <c r="C42" s="116">
        <f>(12*staffcosts[[#This Row],[Total monthly cost (average of grades below)]])/$C$18</f>
        <v>2.443981128550075</v>
      </c>
      <c r="D42" s="117"/>
      <c r="E42" s="52"/>
      <c r="F42" s="52"/>
      <c r="G42" s="52"/>
      <c r="H42" s="52"/>
      <c r="I42" s="52"/>
      <c r="J42" s="52"/>
      <c r="K42" s="52"/>
      <c r="L42" s="52"/>
    </row>
    <row r="43" spans="1:12" ht="16">
      <c r="A43" s="107" t="s">
        <v>943</v>
      </c>
      <c r="B43" s="266">
        <f>N87</f>
        <v>21800.311666666668</v>
      </c>
      <c r="C43" s="116">
        <f>(12*staffcosts[[#This Row],[Total monthly cost (average of grades below)]])/$C$18</f>
        <v>2.443981128550075</v>
      </c>
      <c r="D43" s="117"/>
      <c r="E43" s="52"/>
      <c r="F43" s="52"/>
      <c r="G43" s="52"/>
      <c r="H43" s="52"/>
      <c r="I43" s="52"/>
      <c r="J43" s="52"/>
      <c r="K43" s="52"/>
      <c r="L43" s="52"/>
    </row>
    <row r="44" spans="1:12">
      <c r="A44" s="242" t="s">
        <v>53</v>
      </c>
      <c r="B44" s="264">
        <f>N88</f>
        <v>4100.2266666666665</v>
      </c>
      <c r="C44" s="310">
        <f>(12*staffcosts[[#This Row],[Total monthly cost (average of grades below)]])/$C$18</f>
        <v>0.45966666666666667</v>
      </c>
      <c r="D44" s="311"/>
      <c r="E44" s="52"/>
      <c r="F44" s="52"/>
      <c r="G44" s="52"/>
      <c r="H44" s="52"/>
      <c r="I44" s="52"/>
      <c r="J44" s="52"/>
      <c r="K44" s="52"/>
      <c r="L44" s="52"/>
    </row>
    <row r="45" spans="1:12" ht="16">
      <c r="A45" s="107" t="s">
        <v>1105</v>
      </c>
      <c r="B45" s="266">
        <f>N85</f>
        <v>89313.818333333329</v>
      </c>
      <c r="C45" s="116">
        <f>(12*staffcosts[[#This Row],[Total monthly cost (average of grades below)]])/$C$18</f>
        <v>10.012759902840058</v>
      </c>
      <c r="D45" s="117"/>
      <c r="E45" s="52"/>
      <c r="F45" s="52"/>
      <c r="G45" s="52"/>
      <c r="H45" s="52"/>
      <c r="I45" s="52"/>
      <c r="J45" s="52"/>
      <c r="K45" s="52"/>
      <c r="L45" s="52"/>
    </row>
    <row r="46" spans="1:12" ht="16">
      <c r="A46" s="107" t="s">
        <v>235</v>
      </c>
      <c r="B46" s="266">
        <f>N93</f>
        <v>105442.65833333333</v>
      </c>
      <c r="C46" s="116">
        <f>(12*staffcosts[[#This Row],[Total monthly cost (average of grades below)]])/$C$18</f>
        <v>11.82092582212257</v>
      </c>
      <c r="D46" s="117"/>
      <c r="E46" s="52"/>
      <c r="F46" s="52"/>
      <c r="G46" s="52"/>
      <c r="H46" s="52"/>
      <c r="I46" s="52"/>
      <c r="J46" s="52"/>
      <c r="K46" s="52"/>
      <c r="L46" s="52"/>
    </row>
    <row r="47" spans="1:12" ht="16">
      <c r="A47" s="107" t="s">
        <v>1074</v>
      </c>
      <c r="B47" s="266">
        <f>N101</f>
        <v>2076.8733333333334</v>
      </c>
      <c r="C47" s="116">
        <f>(12*staffcosts[[#This Row],[Total monthly cost (average of grades below)]])/$C$18</f>
        <v>0.23283333333333336</v>
      </c>
      <c r="D47" s="117"/>
      <c r="E47" s="52"/>
      <c r="F47" s="52"/>
      <c r="G47" s="52"/>
      <c r="H47" s="52"/>
      <c r="I47" s="52"/>
      <c r="J47" s="52"/>
      <c r="K47" s="52"/>
      <c r="L47" s="52"/>
    </row>
    <row r="48" spans="1:12" ht="16">
      <c r="A48" s="107" t="s">
        <v>944</v>
      </c>
      <c r="B48" s="266">
        <f>N100</f>
        <v>13752.916666666666</v>
      </c>
      <c r="C48" s="116">
        <f>(12*staffcosts[[#This Row],[Total monthly cost (average of grades below)]])/$C$18</f>
        <v>1.5418068011958146</v>
      </c>
      <c r="D48" s="117"/>
      <c r="E48" s="52"/>
      <c r="F48" s="52"/>
      <c r="G48" s="52"/>
      <c r="H48" s="52"/>
      <c r="I48" s="52"/>
      <c r="J48" s="52"/>
      <c r="K48" s="52"/>
      <c r="L48" s="52"/>
    </row>
    <row r="49" spans="1:18" ht="16">
      <c r="A49" s="107" t="s">
        <v>1343</v>
      </c>
      <c r="B49" s="266">
        <f>N102</f>
        <v>4100.2266666666665</v>
      </c>
      <c r="C49" s="116">
        <f>(12*staffcosts[[#This Row],[Total monthly cost (average of grades below)]])/$C$18</f>
        <v>0.45966666666666667</v>
      </c>
      <c r="D49" s="117"/>
      <c r="E49" s="52"/>
      <c r="F49" s="52"/>
      <c r="G49" s="52"/>
      <c r="H49" s="52"/>
      <c r="I49" s="52"/>
      <c r="J49" s="52"/>
      <c r="K49" s="52"/>
      <c r="L49" s="52"/>
    </row>
    <row r="50" spans="1:18">
      <c r="A50" s="47"/>
      <c r="B50" s="315"/>
      <c r="C50" s="317"/>
      <c r="D50" s="52"/>
      <c r="E50" s="52"/>
      <c r="F50" s="52"/>
      <c r="G50" s="52"/>
      <c r="H50" s="52"/>
      <c r="I50" s="52"/>
      <c r="J50" s="52"/>
      <c r="K50" s="52"/>
      <c r="L50" s="52"/>
    </row>
    <row r="51" spans="1:18">
      <c r="A51" s="47"/>
      <c r="B51" s="315"/>
      <c r="C51" s="317"/>
      <c r="D51" s="52"/>
      <c r="E51" s="52"/>
      <c r="F51" s="52"/>
      <c r="G51" s="52"/>
      <c r="H51" s="52"/>
      <c r="I51" s="52"/>
      <c r="J51" s="52"/>
      <c r="K51" s="52"/>
      <c r="L51" s="52"/>
    </row>
    <row r="52" spans="1:18">
      <c r="A52" s="27"/>
      <c r="C52" s="52"/>
      <c r="D52" s="52"/>
      <c r="E52" s="52"/>
      <c r="F52" s="52"/>
      <c r="G52" s="52"/>
      <c r="H52" s="52"/>
      <c r="I52" s="52"/>
      <c r="J52" s="52"/>
      <c r="K52" s="52"/>
      <c r="L52" s="52"/>
    </row>
    <row r="53" spans="1:18">
      <c r="A53" s="1" t="s">
        <v>197</v>
      </c>
      <c r="C53" s="1" t="s">
        <v>198</v>
      </c>
      <c r="D53" s="1"/>
      <c r="E53" s="1" t="s">
        <v>142</v>
      </c>
    </row>
    <row r="54" spans="1:18" ht="15" customHeight="1">
      <c r="A54" s="454" t="s">
        <v>199</v>
      </c>
      <c r="B54" s="457" t="s">
        <v>200</v>
      </c>
      <c r="C54" s="454" t="s">
        <v>201</v>
      </c>
      <c r="D54" s="454" t="s">
        <v>25</v>
      </c>
      <c r="E54" s="460" t="s">
        <v>373</v>
      </c>
      <c r="F54" s="461"/>
      <c r="G54" s="462"/>
      <c r="H54" s="29"/>
      <c r="I54" s="72" t="s">
        <v>202</v>
      </c>
      <c r="J54" s="73"/>
      <c r="K54" s="73"/>
      <c r="L54" s="73"/>
      <c r="M54" s="74"/>
      <c r="N54" s="457" t="s">
        <v>272</v>
      </c>
      <c r="O54" s="53"/>
      <c r="P54" s="53"/>
    </row>
    <row r="55" spans="1:18" ht="28">
      <c r="A55" s="455"/>
      <c r="B55" s="458"/>
      <c r="C55" s="455"/>
      <c r="D55" s="455"/>
      <c r="E55" s="457" t="s">
        <v>203</v>
      </c>
      <c r="F55" s="457" t="s">
        <v>204</v>
      </c>
      <c r="G55" s="457" t="s">
        <v>205</v>
      </c>
      <c r="H55" s="454" t="s">
        <v>206</v>
      </c>
      <c r="I55" s="54" t="s">
        <v>207</v>
      </c>
      <c r="J55" s="54" t="s">
        <v>208</v>
      </c>
      <c r="K55" s="55" t="s">
        <v>209</v>
      </c>
      <c r="L55" s="54" t="s">
        <v>210</v>
      </c>
      <c r="M55" s="457" t="s">
        <v>211</v>
      </c>
      <c r="N55" s="458"/>
    </row>
    <row r="56" spans="1:18" ht="52.75" customHeight="1">
      <c r="A56" s="456"/>
      <c r="B56" s="459"/>
      <c r="C56" s="456"/>
      <c r="D56" s="456"/>
      <c r="E56" s="459"/>
      <c r="F56" s="459"/>
      <c r="G56" s="459"/>
      <c r="H56" s="456"/>
      <c r="I56" s="56">
        <v>0.13</v>
      </c>
      <c r="J56" s="57">
        <v>720</v>
      </c>
      <c r="K56" s="57">
        <v>900</v>
      </c>
      <c r="L56" s="58" t="s">
        <v>212</v>
      </c>
      <c r="M56" s="459"/>
      <c r="N56" s="459"/>
    </row>
    <row r="57" spans="1:18">
      <c r="A57" s="29" t="s">
        <v>60</v>
      </c>
      <c r="B57" s="29" t="s">
        <v>213</v>
      </c>
      <c r="C57" s="29" t="s">
        <v>269</v>
      </c>
      <c r="D57" s="272" t="s">
        <v>1282</v>
      </c>
      <c r="E57" s="257">
        <v>804609</v>
      </c>
      <c r="F57" s="257">
        <v>853980</v>
      </c>
      <c r="G57" s="112">
        <f t="shared" ref="G57:G62" si="0">AVERAGE(E57:F57)</f>
        <v>829294.5</v>
      </c>
      <c r="H57" s="113">
        <f t="shared" ref="H57:H86" si="1">G57/12</f>
        <v>69107.875</v>
      </c>
      <c r="I57" s="113">
        <f t="shared" ref="I57:I84" si="2">IF(B57="Notch",$I$56*H57,0)</f>
        <v>0</v>
      </c>
      <c r="J57" s="113">
        <f t="shared" ref="J57:J84" si="3">IF(B57="Notch",$J$56,0)</f>
        <v>0</v>
      </c>
      <c r="K57" s="113">
        <f t="shared" ref="K57:K84" si="4">IF(B57="Notch",$K$56,0)</f>
        <v>0</v>
      </c>
      <c r="L57" s="113">
        <f>H57/12</f>
        <v>5758.989583333333</v>
      </c>
      <c r="M57" s="114">
        <f t="shared" ref="M57:M63" si="5">SUM(H57:L57)</f>
        <v>74866.864583333328</v>
      </c>
      <c r="N57" s="448">
        <f>SUM(M57:M59)/3</f>
        <v>81343.979166666672</v>
      </c>
      <c r="O57" s="75"/>
      <c r="Q57" s="271"/>
      <c r="R57" s="271"/>
    </row>
    <row r="58" spans="1:18">
      <c r="A58" s="29" t="s">
        <v>60</v>
      </c>
      <c r="B58" s="29" t="s">
        <v>213</v>
      </c>
      <c r="C58" s="29" t="s">
        <v>270</v>
      </c>
      <c r="D58" s="272" t="s">
        <v>1282</v>
      </c>
      <c r="E58" s="257">
        <v>869796</v>
      </c>
      <c r="F58" s="257">
        <v>921906</v>
      </c>
      <c r="G58" s="112">
        <f t="shared" si="0"/>
        <v>895851</v>
      </c>
      <c r="H58" s="113">
        <f t="shared" si="1"/>
        <v>74654.25</v>
      </c>
      <c r="I58" s="113">
        <f t="shared" si="2"/>
        <v>0</v>
      </c>
      <c r="J58" s="113">
        <f t="shared" si="3"/>
        <v>0</v>
      </c>
      <c r="K58" s="113">
        <f t="shared" si="4"/>
        <v>0</v>
      </c>
      <c r="L58" s="113">
        <f t="shared" ref="L58:L94" si="6">H58/12</f>
        <v>6221.1875</v>
      </c>
      <c r="M58" s="114">
        <f t="shared" si="5"/>
        <v>80875.4375</v>
      </c>
      <c r="N58" s="448"/>
      <c r="Q58" s="271"/>
      <c r="R58" s="271"/>
    </row>
    <row r="59" spans="1:18">
      <c r="A59" s="29" t="s">
        <v>60</v>
      </c>
      <c r="B59" s="29" t="s">
        <v>213</v>
      </c>
      <c r="C59" s="29" t="s">
        <v>271</v>
      </c>
      <c r="D59" s="272" t="s">
        <v>1282</v>
      </c>
      <c r="E59" s="257">
        <v>949146</v>
      </c>
      <c r="F59" s="257">
        <v>1006809</v>
      </c>
      <c r="G59" s="112">
        <f t="shared" si="0"/>
        <v>977977.5</v>
      </c>
      <c r="H59" s="115">
        <f t="shared" si="1"/>
        <v>81498.125</v>
      </c>
      <c r="I59" s="113">
        <f t="shared" si="2"/>
        <v>0</v>
      </c>
      <c r="J59" s="113">
        <f t="shared" si="3"/>
        <v>0</v>
      </c>
      <c r="K59" s="113">
        <f t="shared" si="4"/>
        <v>0</v>
      </c>
      <c r="L59" s="113">
        <f t="shared" si="6"/>
        <v>6791.510416666667</v>
      </c>
      <c r="M59" s="115">
        <f t="shared" si="5"/>
        <v>88289.635416666672</v>
      </c>
      <c r="N59" s="448"/>
      <c r="Q59" s="271"/>
      <c r="R59" s="271"/>
    </row>
    <row r="60" spans="1:18">
      <c r="A60" s="242" t="s">
        <v>1076</v>
      </c>
      <c r="B60" s="29" t="s">
        <v>213</v>
      </c>
      <c r="C60" s="29" t="s">
        <v>269</v>
      </c>
      <c r="D60" s="272" t="s">
        <v>1282</v>
      </c>
      <c r="E60" s="257">
        <v>154401</v>
      </c>
      <c r="F60" s="257">
        <v>163875</v>
      </c>
      <c r="G60" s="112">
        <f t="shared" si="0"/>
        <v>159138</v>
      </c>
      <c r="H60" s="115">
        <f>G60/12</f>
        <v>13261.5</v>
      </c>
      <c r="I60" s="113">
        <f t="shared" si="2"/>
        <v>0</v>
      </c>
      <c r="J60" s="113">
        <f t="shared" si="3"/>
        <v>0</v>
      </c>
      <c r="K60" s="113">
        <f t="shared" si="4"/>
        <v>0</v>
      </c>
      <c r="L60" s="113">
        <f>H60/12</f>
        <v>1105.125</v>
      </c>
      <c r="M60" s="115">
        <f t="shared" si="5"/>
        <v>14366.625</v>
      </c>
      <c r="N60" s="448">
        <f>SUM(M60:M62)/3</f>
        <v>19041.795138888887</v>
      </c>
      <c r="Q60" s="271"/>
      <c r="R60" s="271"/>
    </row>
    <row r="61" spans="1:18">
      <c r="A61" s="242" t="s">
        <v>1076</v>
      </c>
      <c r="B61" s="29" t="s">
        <v>213</v>
      </c>
      <c r="C61" s="29" t="s">
        <v>270</v>
      </c>
      <c r="D61" s="272" t="s">
        <v>1282</v>
      </c>
      <c r="E61" s="257">
        <v>203805</v>
      </c>
      <c r="F61" s="257">
        <v>231513</v>
      </c>
      <c r="G61" s="112">
        <f t="shared" si="0"/>
        <v>217659</v>
      </c>
      <c r="H61" s="115">
        <f>G61/12</f>
        <v>18138.25</v>
      </c>
      <c r="I61" s="113">
        <f t="shared" si="2"/>
        <v>0</v>
      </c>
      <c r="J61" s="113">
        <f t="shared" si="3"/>
        <v>0</v>
      </c>
      <c r="K61" s="113">
        <f t="shared" si="4"/>
        <v>0</v>
      </c>
      <c r="L61" s="113">
        <f>H61/12</f>
        <v>1511.5208333333333</v>
      </c>
      <c r="M61" s="115">
        <f t="shared" si="5"/>
        <v>19649.770833333332</v>
      </c>
      <c r="N61" s="448"/>
      <c r="Q61" s="271"/>
      <c r="R61" s="271"/>
    </row>
    <row r="62" spans="1:18">
      <c r="A62" s="242" t="s">
        <v>1076</v>
      </c>
      <c r="B62" s="29" t="s">
        <v>213</v>
      </c>
      <c r="C62" s="29" t="s">
        <v>271</v>
      </c>
      <c r="D62" s="272" t="s">
        <v>1282</v>
      </c>
      <c r="E62" s="257">
        <v>237330</v>
      </c>
      <c r="F62" s="257">
        <v>274623</v>
      </c>
      <c r="G62" s="112">
        <f t="shared" si="0"/>
        <v>255976.5</v>
      </c>
      <c r="H62" s="115">
        <f>G62/12</f>
        <v>21331.375</v>
      </c>
      <c r="I62" s="113">
        <f t="shared" si="2"/>
        <v>0</v>
      </c>
      <c r="J62" s="113">
        <f t="shared" si="3"/>
        <v>0</v>
      </c>
      <c r="K62" s="113">
        <f t="shared" si="4"/>
        <v>0</v>
      </c>
      <c r="L62" s="113">
        <f>H62/12</f>
        <v>1777.6145833333333</v>
      </c>
      <c r="M62" s="115">
        <f t="shared" si="5"/>
        <v>23108.989583333332</v>
      </c>
      <c r="N62" s="448"/>
      <c r="Q62" s="271"/>
      <c r="R62" s="271"/>
    </row>
    <row r="63" spans="1:18">
      <c r="A63" s="29" t="s">
        <v>219</v>
      </c>
      <c r="B63" s="29" t="s">
        <v>218</v>
      </c>
      <c r="C63" s="29" t="s">
        <v>214</v>
      </c>
      <c r="D63" s="272" t="s">
        <v>1282</v>
      </c>
      <c r="E63" s="257">
        <v>209112</v>
      </c>
      <c r="F63" s="257">
        <v>233931</v>
      </c>
      <c r="G63" s="112">
        <f t="shared" ref="G63:G72" si="7">AVERAGE(E63:F63)</f>
        <v>221521.5</v>
      </c>
      <c r="H63" s="113">
        <f t="shared" si="1"/>
        <v>18460.125</v>
      </c>
      <c r="I63" s="113">
        <f t="shared" si="2"/>
        <v>2399.8162500000003</v>
      </c>
      <c r="J63" s="113">
        <f t="shared" si="3"/>
        <v>720</v>
      </c>
      <c r="K63" s="113">
        <f t="shared" si="4"/>
        <v>900</v>
      </c>
      <c r="L63" s="113">
        <f t="shared" si="6"/>
        <v>1538.34375</v>
      </c>
      <c r="M63" s="114">
        <f t="shared" si="5"/>
        <v>24018.285</v>
      </c>
      <c r="N63" s="448">
        <f>SUM(M63:M65)/3</f>
        <v>28893.91333333333</v>
      </c>
      <c r="Q63" s="271"/>
      <c r="R63" s="271"/>
    </row>
    <row r="64" spans="1:18">
      <c r="A64" s="29" t="s">
        <v>219</v>
      </c>
      <c r="B64" s="29" t="s">
        <v>218</v>
      </c>
      <c r="C64" s="29" t="s">
        <v>215</v>
      </c>
      <c r="D64" s="272" t="s">
        <v>1282</v>
      </c>
      <c r="E64" s="257">
        <v>248613</v>
      </c>
      <c r="F64" s="257">
        <v>279159</v>
      </c>
      <c r="G64" s="112">
        <f t="shared" si="7"/>
        <v>263886</v>
      </c>
      <c r="H64" s="113">
        <f t="shared" si="1"/>
        <v>21990.5</v>
      </c>
      <c r="I64" s="113">
        <f t="shared" si="2"/>
        <v>2858.7649999999999</v>
      </c>
      <c r="J64" s="113">
        <f t="shared" si="3"/>
        <v>720</v>
      </c>
      <c r="K64" s="113">
        <f t="shared" si="4"/>
        <v>900</v>
      </c>
      <c r="L64" s="113">
        <f t="shared" si="6"/>
        <v>1832.5416666666667</v>
      </c>
      <c r="M64" s="114">
        <f t="shared" ref="M64:M83" si="8">SUM(H64:L64)</f>
        <v>28301.806666666667</v>
      </c>
      <c r="N64" s="448"/>
      <c r="Q64" s="271"/>
      <c r="R64" s="271"/>
    </row>
    <row r="65" spans="1:18">
      <c r="A65" s="29" t="s">
        <v>219</v>
      </c>
      <c r="B65" s="29" t="s">
        <v>218</v>
      </c>
      <c r="C65" s="29" t="s">
        <v>216</v>
      </c>
      <c r="D65" s="272" t="s">
        <v>1282</v>
      </c>
      <c r="E65" s="257">
        <v>290805</v>
      </c>
      <c r="F65" s="257">
        <v>356832</v>
      </c>
      <c r="G65" s="112">
        <f t="shared" si="7"/>
        <v>323818.5</v>
      </c>
      <c r="H65" s="113">
        <f t="shared" si="1"/>
        <v>26984.875</v>
      </c>
      <c r="I65" s="113">
        <f t="shared" si="2"/>
        <v>3508.0337500000001</v>
      </c>
      <c r="J65" s="113">
        <f t="shared" si="3"/>
        <v>720</v>
      </c>
      <c r="K65" s="113">
        <f t="shared" si="4"/>
        <v>900</v>
      </c>
      <c r="L65" s="113">
        <f t="shared" si="6"/>
        <v>2248.7395833333335</v>
      </c>
      <c r="M65" s="114">
        <f t="shared" si="8"/>
        <v>34361.648333333331</v>
      </c>
      <c r="N65" s="448"/>
      <c r="Q65" s="271"/>
      <c r="R65" s="271"/>
    </row>
    <row r="66" spans="1:18">
      <c r="A66" s="242" t="s">
        <v>1071</v>
      </c>
      <c r="B66" s="29" t="s">
        <v>218</v>
      </c>
      <c r="C66" s="29" t="s">
        <v>214</v>
      </c>
      <c r="D66" s="272" t="s">
        <v>1282</v>
      </c>
      <c r="E66" s="257">
        <v>165177</v>
      </c>
      <c r="F66" s="257">
        <v>175728</v>
      </c>
      <c r="G66" s="257">
        <f t="shared" si="7"/>
        <v>170452.5</v>
      </c>
      <c r="H66" s="244">
        <f t="shared" si="1"/>
        <v>14204.375</v>
      </c>
      <c r="I66" s="244">
        <f t="shared" si="2"/>
        <v>1846.5687500000001</v>
      </c>
      <c r="J66" s="113">
        <f t="shared" si="3"/>
        <v>720</v>
      </c>
      <c r="K66" s="113">
        <f t="shared" si="4"/>
        <v>900</v>
      </c>
      <c r="L66" s="244">
        <f t="shared" si="6"/>
        <v>1183.6979166666667</v>
      </c>
      <c r="M66" s="114">
        <f t="shared" si="8"/>
        <v>18854.641666666666</v>
      </c>
      <c r="N66" s="450">
        <f>AVERAGE(M66:M68)</f>
        <v>22773.20277777778</v>
      </c>
      <c r="Q66" s="271"/>
      <c r="R66" s="271"/>
    </row>
    <row r="67" spans="1:18">
      <c r="A67" s="242" t="s">
        <v>1071</v>
      </c>
      <c r="B67" s="29" t="s">
        <v>218</v>
      </c>
      <c r="C67" s="29" t="s">
        <v>215</v>
      </c>
      <c r="D67" s="272" t="s">
        <v>1282</v>
      </c>
      <c r="E67" s="257">
        <v>192675</v>
      </c>
      <c r="F67" s="257">
        <v>215436</v>
      </c>
      <c r="G67" s="257">
        <f t="shared" si="7"/>
        <v>204055.5</v>
      </c>
      <c r="H67" s="244">
        <f t="shared" si="1"/>
        <v>17004.625</v>
      </c>
      <c r="I67" s="244">
        <f t="shared" si="2"/>
        <v>2210.6012500000002</v>
      </c>
      <c r="J67" s="113">
        <f t="shared" si="3"/>
        <v>720</v>
      </c>
      <c r="K67" s="113">
        <f t="shared" si="4"/>
        <v>900</v>
      </c>
      <c r="L67" s="244">
        <f t="shared" si="6"/>
        <v>1417.0520833333333</v>
      </c>
      <c r="M67" s="114">
        <f t="shared" si="8"/>
        <v>22252.278333333332</v>
      </c>
      <c r="N67" s="451"/>
      <c r="Q67" s="271"/>
      <c r="R67" s="271"/>
    </row>
    <row r="68" spans="1:18">
      <c r="A68" s="242" t="s">
        <v>1071</v>
      </c>
      <c r="B68" s="29" t="s">
        <v>218</v>
      </c>
      <c r="C68" s="29" t="s">
        <v>216</v>
      </c>
      <c r="D68" s="272" t="s">
        <v>1282</v>
      </c>
      <c r="E68" s="257">
        <v>227070</v>
      </c>
      <c r="F68" s="257">
        <v>279159</v>
      </c>
      <c r="G68" s="257">
        <f t="shared" si="7"/>
        <v>253114.5</v>
      </c>
      <c r="H68" s="244">
        <f t="shared" si="1"/>
        <v>21092.875</v>
      </c>
      <c r="I68" s="244">
        <f t="shared" si="2"/>
        <v>2742.07375</v>
      </c>
      <c r="J68" s="113">
        <f t="shared" si="3"/>
        <v>720</v>
      </c>
      <c r="K68" s="113">
        <f t="shared" si="4"/>
        <v>900</v>
      </c>
      <c r="L68" s="244">
        <f t="shared" si="6"/>
        <v>1757.7395833333333</v>
      </c>
      <c r="M68" s="114">
        <f t="shared" si="8"/>
        <v>27212.688333333332</v>
      </c>
      <c r="N68" s="452"/>
      <c r="Q68" s="271"/>
      <c r="R68" s="271"/>
    </row>
    <row r="69" spans="1:18">
      <c r="A69" s="110" t="s">
        <v>289</v>
      </c>
      <c r="B69" s="29" t="s">
        <v>218</v>
      </c>
      <c r="C69" s="110" t="s">
        <v>367</v>
      </c>
      <c r="D69" s="272" t="s">
        <v>1282</v>
      </c>
      <c r="E69" s="257">
        <v>290805</v>
      </c>
      <c r="F69" s="257">
        <v>356832</v>
      </c>
      <c r="G69" s="112">
        <f t="shared" si="7"/>
        <v>323818.5</v>
      </c>
      <c r="H69" s="113">
        <f t="shared" si="1"/>
        <v>26984.875</v>
      </c>
      <c r="I69" s="113">
        <f t="shared" si="2"/>
        <v>3508.0337500000001</v>
      </c>
      <c r="J69" s="113">
        <f t="shared" si="3"/>
        <v>720</v>
      </c>
      <c r="K69" s="113">
        <f t="shared" si="4"/>
        <v>900</v>
      </c>
      <c r="L69" s="113">
        <f t="shared" si="6"/>
        <v>2248.7395833333335</v>
      </c>
      <c r="M69" s="114">
        <f t="shared" si="8"/>
        <v>34361.648333333331</v>
      </c>
      <c r="N69" s="111">
        <f>M69</f>
        <v>34361.648333333331</v>
      </c>
      <c r="Q69" s="271"/>
      <c r="R69" s="271"/>
    </row>
    <row r="70" spans="1:18">
      <c r="A70" s="29" t="s">
        <v>220</v>
      </c>
      <c r="B70" s="29" t="s">
        <v>218</v>
      </c>
      <c r="C70" s="29" t="s">
        <v>214</v>
      </c>
      <c r="D70" s="272" t="s">
        <v>1282</v>
      </c>
      <c r="E70" s="306">
        <v>307473</v>
      </c>
      <c r="F70" s="306">
        <v>356832</v>
      </c>
      <c r="G70" s="112">
        <f t="shared" si="7"/>
        <v>332152.5</v>
      </c>
      <c r="H70" s="113">
        <f t="shared" si="1"/>
        <v>27679.375</v>
      </c>
      <c r="I70" s="113">
        <f t="shared" si="2"/>
        <v>3598.3187499999999</v>
      </c>
      <c r="J70" s="113">
        <f t="shared" si="3"/>
        <v>720</v>
      </c>
      <c r="K70" s="113">
        <f t="shared" si="4"/>
        <v>900</v>
      </c>
      <c r="L70" s="113">
        <f t="shared" si="6"/>
        <v>2306.6145833333335</v>
      </c>
      <c r="M70" s="114">
        <f t="shared" si="8"/>
        <v>35204.308333333334</v>
      </c>
      <c r="N70" s="448">
        <f>SUM(M70:M72)/3</f>
        <v>43704.972222222226</v>
      </c>
      <c r="Q70" s="307"/>
      <c r="R70" s="307"/>
    </row>
    <row r="71" spans="1:18">
      <c r="A71" s="29" t="s">
        <v>220</v>
      </c>
      <c r="B71" s="29" t="s">
        <v>218</v>
      </c>
      <c r="C71" s="29" t="s">
        <v>215</v>
      </c>
      <c r="D71" s="272" t="s">
        <v>1282</v>
      </c>
      <c r="E71" s="306">
        <v>375480</v>
      </c>
      <c r="F71" s="306">
        <v>435759</v>
      </c>
      <c r="G71" s="112">
        <f t="shared" si="7"/>
        <v>405619.5</v>
      </c>
      <c r="H71" s="113">
        <f t="shared" si="1"/>
        <v>33801.625</v>
      </c>
      <c r="I71" s="113">
        <f t="shared" si="2"/>
        <v>4394.2112500000003</v>
      </c>
      <c r="J71" s="113">
        <f t="shared" si="3"/>
        <v>720</v>
      </c>
      <c r="K71" s="113">
        <f t="shared" si="4"/>
        <v>900</v>
      </c>
      <c r="L71" s="113">
        <f t="shared" si="6"/>
        <v>2816.8020833333335</v>
      </c>
      <c r="M71" s="114">
        <f t="shared" si="8"/>
        <v>42632.638333333336</v>
      </c>
      <c r="N71" s="448"/>
      <c r="Q71" s="307"/>
      <c r="R71" s="307"/>
    </row>
    <row r="72" spans="1:18">
      <c r="A72" s="29" t="s">
        <v>220</v>
      </c>
      <c r="B72" s="29" t="s">
        <v>218</v>
      </c>
      <c r="C72" s="29" t="s">
        <v>216</v>
      </c>
      <c r="D72" s="272" t="s">
        <v>1282</v>
      </c>
      <c r="E72" s="306">
        <v>451533</v>
      </c>
      <c r="F72" s="306">
        <v>570273</v>
      </c>
      <c r="G72" s="112">
        <f t="shared" si="7"/>
        <v>510903</v>
      </c>
      <c r="H72" s="113">
        <f t="shared" si="1"/>
        <v>42575.25</v>
      </c>
      <c r="I72" s="113">
        <f t="shared" si="2"/>
        <v>5534.7825000000003</v>
      </c>
      <c r="J72" s="113">
        <f t="shared" si="3"/>
        <v>720</v>
      </c>
      <c r="K72" s="113">
        <f t="shared" si="4"/>
        <v>900</v>
      </c>
      <c r="L72" s="113">
        <f t="shared" si="6"/>
        <v>3547.9375</v>
      </c>
      <c r="M72" s="114">
        <f t="shared" si="8"/>
        <v>53277.97</v>
      </c>
      <c r="N72" s="448"/>
      <c r="Q72" s="307"/>
      <c r="R72" s="307"/>
    </row>
    <row r="73" spans="1:18">
      <c r="A73" s="29" t="s">
        <v>221</v>
      </c>
      <c r="B73" s="29" t="s">
        <v>218</v>
      </c>
      <c r="C73" s="29" t="s">
        <v>214</v>
      </c>
      <c r="D73" s="272" t="s">
        <v>1282</v>
      </c>
      <c r="E73" s="257">
        <v>451533</v>
      </c>
      <c r="F73" s="257">
        <v>465183</v>
      </c>
      <c r="G73" s="112">
        <f t="shared" ref="G73:G92" si="9">AVERAGE(E73:F73)</f>
        <v>458358</v>
      </c>
      <c r="H73" s="113">
        <f t="shared" si="1"/>
        <v>38196.5</v>
      </c>
      <c r="I73" s="113">
        <f t="shared" si="2"/>
        <v>4965.5450000000001</v>
      </c>
      <c r="J73" s="113">
        <f t="shared" si="3"/>
        <v>720</v>
      </c>
      <c r="K73" s="113">
        <f t="shared" si="4"/>
        <v>900</v>
      </c>
      <c r="L73" s="113">
        <f t="shared" si="6"/>
        <v>3183.0416666666665</v>
      </c>
      <c r="M73" s="114">
        <f t="shared" si="8"/>
        <v>47965.086666666662</v>
      </c>
      <c r="N73" s="448">
        <f>SUM(M73:M74)/2</f>
        <v>53200.165000000001</v>
      </c>
      <c r="Q73" s="271"/>
      <c r="R73" s="271"/>
    </row>
    <row r="74" spans="1:18">
      <c r="A74" s="29" t="s">
        <v>221</v>
      </c>
      <c r="B74" s="29" t="s">
        <v>218</v>
      </c>
      <c r="C74" s="29" t="s">
        <v>215</v>
      </c>
      <c r="D74" s="272" t="s">
        <v>1282</v>
      </c>
      <c r="E74" s="257">
        <v>553545</v>
      </c>
      <c r="F74" s="257">
        <v>570273</v>
      </c>
      <c r="G74" s="112">
        <f t="shared" si="9"/>
        <v>561909</v>
      </c>
      <c r="H74" s="113">
        <f>G74/12</f>
        <v>46825.75</v>
      </c>
      <c r="I74" s="113">
        <f t="shared" si="2"/>
        <v>6087.3474999999999</v>
      </c>
      <c r="J74" s="113">
        <f t="shared" si="3"/>
        <v>720</v>
      </c>
      <c r="K74" s="113">
        <f t="shared" si="4"/>
        <v>900</v>
      </c>
      <c r="L74" s="113">
        <f t="shared" si="6"/>
        <v>3902.1458333333335</v>
      </c>
      <c r="M74" s="114">
        <f t="shared" si="8"/>
        <v>58435.243333333339</v>
      </c>
      <c r="N74" s="448"/>
      <c r="Q74" s="271"/>
      <c r="R74" s="271"/>
    </row>
    <row r="75" spans="1:18">
      <c r="A75" s="29" t="s">
        <v>222</v>
      </c>
      <c r="B75" s="29" t="s">
        <v>218</v>
      </c>
      <c r="C75" s="29" t="s">
        <v>214</v>
      </c>
      <c r="D75" s="272" t="s">
        <v>1282</v>
      </c>
      <c r="E75" s="257">
        <v>587508</v>
      </c>
      <c r="F75" s="257">
        <v>520560</v>
      </c>
      <c r="G75" s="112">
        <f t="shared" si="9"/>
        <v>554034</v>
      </c>
      <c r="H75" s="113">
        <f t="shared" si="1"/>
        <v>46169.5</v>
      </c>
      <c r="I75" s="113">
        <f t="shared" si="2"/>
        <v>6002.0349999999999</v>
      </c>
      <c r="J75" s="113">
        <f t="shared" si="3"/>
        <v>720</v>
      </c>
      <c r="K75" s="113">
        <f t="shared" si="4"/>
        <v>900</v>
      </c>
      <c r="L75" s="113">
        <f t="shared" si="6"/>
        <v>3847.4583333333335</v>
      </c>
      <c r="M75" s="114">
        <f t="shared" si="8"/>
        <v>57638.993333333339</v>
      </c>
      <c r="N75" s="448">
        <f>SUM(M75:M76)/2</f>
        <v>64325.066666666666</v>
      </c>
      <c r="Q75" s="271"/>
      <c r="R75" s="271"/>
    </row>
    <row r="76" spans="1:18">
      <c r="A76" s="29" t="s">
        <v>222</v>
      </c>
      <c r="B76" s="29" t="s">
        <v>218</v>
      </c>
      <c r="C76" s="29" t="s">
        <v>215</v>
      </c>
      <c r="D76" s="272" t="s">
        <v>1282</v>
      </c>
      <c r="E76" s="257">
        <v>696504</v>
      </c>
      <c r="F76" s="257">
        <v>676068</v>
      </c>
      <c r="G76" s="112">
        <f>AVERAGE(E76:F76)</f>
        <v>686286</v>
      </c>
      <c r="H76" s="113">
        <f>G76/12</f>
        <v>57190.5</v>
      </c>
      <c r="I76" s="113">
        <f t="shared" si="2"/>
        <v>7434.7650000000003</v>
      </c>
      <c r="J76" s="113">
        <f t="shared" si="3"/>
        <v>720</v>
      </c>
      <c r="K76" s="113">
        <f t="shared" si="4"/>
        <v>900</v>
      </c>
      <c r="L76" s="113">
        <f>H76/12</f>
        <v>4765.875</v>
      </c>
      <c r="M76" s="114">
        <f>SUM(H76:L76)</f>
        <v>71011.14</v>
      </c>
      <c r="N76" s="448"/>
      <c r="O76" s="59"/>
      <c r="Q76" s="271"/>
      <c r="R76" s="271"/>
    </row>
    <row r="77" spans="1:18">
      <c r="A77" s="242" t="s">
        <v>1078</v>
      </c>
      <c r="B77" s="29" t="s">
        <v>218</v>
      </c>
      <c r="C77" s="29" t="s">
        <v>214</v>
      </c>
      <c r="D77" s="272" t="s">
        <v>1282</v>
      </c>
      <c r="E77" s="257">
        <v>949146</v>
      </c>
      <c r="F77" s="257">
        <v>1021911</v>
      </c>
      <c r="G77" s="112">
        <f>AVERAGE(E77:F77)</f>
        <v>985528.5</v>
      </c>
      <c r="H77" s="113">
        <f>G77/12</f>
        <v>82127.375</v>
      </c>
      <c r="I77" s="113">
        <f t="shared" si="2"/>
        <v>10676.55875</v>
      </c>
      <c r="J77" s="113">
        <f t="shared" si="3"/>
        <v>720</v>
      </c>
      <c r="K77" s="113">
        <f t="shared" si="4"/>
        <v>900</v>
      </c>
      <c r="L77" s="113">
        <f>H77/12</f>
        <v>6843.947916666667</v>
      </c>
      <c r="M77" s="114">
        <f>SUM(H77:L77)</f>
        <v>101267.88166666667</v>
      </c>
      <c r="N77" s="448">
        <f>SUM(M77:M79)/3</f>
        <v>120448.76055555553</v>
      </c>
      <c r="O77" s="59"/>
      <c r="Q77" s="271"/>
      <c r="R77" s="271"/>
    </row>
    <row r="78" spans="1:18">
      <c r="A78" s="242" t="s">
        <v>1078</v>
      </c>
      <c r="B78" s="29" t="s">
        <v>218</v>
      </c>
      <c r="C78" s="29" t="s">
        <v>215</v>
      </c>
      <c r="D78" s="272" t="s">
        <v>1282</v>
      </c>
      <c r="E78" s="257">
        <v>1082988</v>
      </c>
      <c r="F78" s="257">
        <v>1182183</v>
      </c>
      <c r="G78" s="112">
        <f>AVERAGE(E78:F78)</f>
        <v>1132585.5</v>
      </c>
      <c r="H78" s="113">
        <f>G78/12</f>
        <v>94382.125</v>
      </c>
      <c r="I78" s="113">
        <f t="shared" si="2"/>
        <v>12269.67625</v>
      </c>
      <c r="J78" s="113">
        <f t="shared" si="3"/>
        <v>720</v>
      </c>
      <c r="K78" s="113">
        <f t="shared" si="4"/>
        <v>900</v>
      </c>
      <c r="L78" s="113">
        <f>H78/12</f>
        <v>7865.177083333333</v>
      </c>
      <c r="M78" s="114">
        <f>SUM(H78:L78)</f>
        <v>116136.97833333333</v>
      </c>
      <c r="N78" s="448"/>
      <c r="O78" s="59"/>
      <c r="Q78" s="271"/>
      <c r="R78" s="271"/>
    </row>
    <row r="79" spans="1:18">
      <c r="A79" s="242" t="s">
        <v>1078</v>
      </c>
      <c r="B79" s="29" t="s">
        <v>218</v>
      </c>
      <c r="C79" s="29" t="s">
        <v>216</v>
      </c>
      <c r="D79" s="272" t="s">
        <v>1282</v>
      </c>
      <c r="E79" s="257">
        <v>1253415</v>
      </c>
      <c r="F79" s="257">
        <v>1561734</v>
      </c>
      <c r="G79" s="112">
        <f>AVERAGE(E79:F79)</f>
        <v>1407574.5</v>
      </c>
      <c r="H79" s="113">
        <f>G79/12</f>
        <v>117297.875</v>
      </c>
      <c r="I79" s="113">
        <f t="shared" si="2"/>
        <v>15248.723750000001</v>
      </c>
      <c r="J79" s="113">
        <f t="shared" si="3"/>
        <v>720</v>
      </c>
      <c r="K79" s="113">
        <f t="shared" si="4"/>
        <v>900</v>
      </c>
      <c r="L79" s="113">
        <f>H79/12</f>
        <v>9774.8229166666661</v>
      </c>
      <c r="M79" s="114">
        <f>SUM(H79:L79)</f>
        <v>143941.42166666666</v>
      </c>
      <c r="N79" s="448"/>
      <c r="O79" s="59"/>
      <c r="Q79" s="271"/>
      <c r="R79" s="271"/>
    </row>
    <row r="80" spans="1:18">
      <c r="A80" s="29" t="s">
        <v>223</v>
      </c>
      <c r="B80" s="29" t="s">
        <v>218</v>
      </c>
      <c r="C80" s="29" t="s">
        <v>214</v>
      </c>
      <c r="D80" s="272" t="s">
        <v>1282</v>
      </c>
      <c r="E80" s="257">
        <v>308247</v>
      </c>
      <c r="F80" s="257">
        <v>357084</v>
      </c>
      <c r="G80" s="112">
        <f t="shared" si="9"/>
        <v>332665.5</v>
      </c>
      <c r="H80" s="113">
        <f t="shared" si="1"/>
        <v>27722.125</v>
      </c>
      <c r="I80" s="113">
        <f t="shared" si="2"/>
        <v>3603.8762500000003</v>
      </c>
      <c r="J80" s="113">
        <f t="shared" si="3"/>
        <v>720</v>
      </c>
      <c r="K80" s="113">
        <f t="shared" si="4"/>
        <v>900</v>
      </c>
      <c r="L80" s="113">
        <f t="shared" si="6"/>
        <v>2310.1770833333335</v>
      </c>
      <c r="M80" s="114">
        <f t="shared" si="8"/>
        <v>35256.178333333337</v>
      </c>
      <c r="N80" s="449">
        <f>AVERAGE(M80:M83)</f>
        <v>48142.536666666667</v>
      </c>
      <c r="Q80" s="271"/>
      <c r="R80" s="271"/>
    </row>
    <row r="81" spans="1:18">
      <c r="A81" s="29" t="s">
        <v>223</v>
      </c>
      <c r="B81" s="29" t="s">
        <v>218</v>
      </c>
      <c r="C81" s="29" t="s">
        <v>215</v>
      </c>
      <c r="D81" s="272" t="s">
        <v>1282</v>
      </c>
      <c r="E81" s="257">
        <v>376416</v>
      </c>
      <c r="F81" s="257">
        <v>429573</v>
      </c>
      <c r="G81" s="112">
        <f t="shared" si="9"/>
        <v>402994.5</v>
      </c>
      <c r="H81" s="113">
        <f t="shared" si="1"/>
        <v>33582.875</v>
      </c>
      <c r="I81" s="113">
        <f t="shared" si="2"/>
        <v>4365.7737500000003</v>
      </c>
      <c r="J81" s="113">
        <f t="shared" si="3"/>
        <v>720</v>
      </c>
      <c r="K81" s="113">
        <f t="shared" si="4"/>
        <v>900</v>
      </c>
      <c r="L81" s="113">
        <f t="shared" si="6"/>
        <v>2798.5729166666665</v>
      </c>
      <c r="M81" s="114">
        <f t="shared" si="8"/>
        <v>42367.221666666665</v>
      </c>
      <c r="N81" s="449"/>
      <c r="Q81" s="271"/>
      <c r="R81" s="271"/>
    </row>
    <row r="82" spans="1:18">
      <c r="A82" s="29" t="s">
        <v>223</v>
      </c>
      <c r="B82" s="29" t="s">
        <v>218</v>
      </c>
      <c r="C82" s="29" t="s">
        <v>216</v>
      </c>
      <c r="D82" s="272" t="s">
        <v>1282</v>
      </c>
      <c r="E82" s="257">
        <v>452667</v>
      </c>
      <c r="F82" s="257">
        <v>524250</v>
      </c>
      <c r="G82" s="112">
        <f t="shared" si="9"/>
        <v>488458.5</v>
      </c>
      <c r="H82" s="113">
        <f t="shared" si="1"/>
        <v>40704.875</v>
      </c>
      <c r="I82" s="113">
        <f t="shared" si="2"/>
        <v>5291.63375</v>
      </c>
      <c r="J82" s="113">
        <f t="shared" si="3"/>
        <v>720</v>
      </c>
      <c r="K82" s="113">
        <f t="shared" si="4"/>
        <v>900</v>
      </c>
      <c r="L82" s="113">
        <f t="shared" si="6"/>
        <v>3392.0729166666665</v>
      </c>
      <c r="M82" s="114">
        <f t="shared" si="8"/>
        <v>51008.581666666665</v>
      </c>
      <c r="N82" s="449"/>
      <c r="Q82" s="271"/>
      <c r="R82" s="271"/>
    </row>
    <row r="83" spans="1:18">
      <c r="A83" s="29" t="s">
        <v>223</v>
      </c>
      <c r="B83" s="29" t="s">
        <v>218</v>
      </c>
      <c r="C83" s="29" t="s">
        <v>224</v>
      </c>
      <c r="D83" s="272" t="s">
        <v>1282</v>
      </c>
      <c r="E83" s="257">
        <v>554919</v>
      </c>
      <c r="F83" s="257">
        <v>677748</v>
      </c>
      <c r="G83" s="112">
        <f t="shared" si="9"/>
        <v>616333.5</v>
      </c>
      <c r="H83" s="113">
        <f t="shared" si="1"/>
        <v>51361.125</v>
      </c>
      <c r="I83" s="113">
        <f t="shared" si="2"/>
        <v>6676.94625</v>
      </c>
      <c r="J83" s="113">
        <f t="shared" si="3"/>
        <v>720</v>
      </c>
      <c r="K83" s="113">
        <f t="shared" si="4"/>
        <v>900</v>
      </c>
      <c r="L83" s="113">
        <f t="shared" si="6"/>
        <v>4280.09375</v>
      </c>
      <c r="M83" s="114">
        <f t="shared" si="8"/>
        <v>63938.165000000001</v>
      </c>
      <c r="N83" s="449"/>
      <c r="Q83" s="271"/>
      <c r="R83" s="271"/>
    </row>
    <row r="84" spans="1:18">
      <c r="A84" s="29" t="s">
        <v>54</v>
      </c>
      <c r="B84" s="29" t="s">
        <v>217</v>
      </c>
      <c r="C84" s="29" t="s">
        <v>273</v>
      </c>
      <c r="D84" s="272" t="s">
        <v>1282</v>
      </c>
      <c r="E84" s="243">
        <v>122958</v>
      </c>
      <c r="F84" s="243">
        <v>122958</v>
      </c>
      <c r="G84" s="112">
        <f t="shared" si="9"/>
        <v>122958</v>
      </c>
      <c r="H84" s="113">
        <f t="shared" si="1"/>
        <v>10246.5</v>
      </c>
      <c r="I84" s="113">
        <f t="shared" si="2"/>
        <v>0</v>
      </c>
      <c r="J84" s="113">
        <f t="shared" si="3"/>
        <v>0</v>
      </c>
      <c r="K84" s="113">
        <f t="shared" si="4"/>
        <v>0</v>
      </c>
      <c r="L84" s="113">
        <f t="shared" si="6"/>
        <v>853.875</v>
      </c>
      <c r="M84" s="114">
        <f t="shared" ref="M84:M94" si="10">SUM(H84:L84)</f>
        <v>11100.375</v>
      </c>
      <c r="N84" s="256">
        <f>M84</f>
        <v>11100.375</v>
      </c>
      <c r="Q84" s="270"/>
      <c r="R84" s="270"/>
    </row>
    <row r="85" spans="1:18" ht="16.75" customHeight="1">
      <c r="A85" s="242" t="s">
        <v>1105</v>
      </c>
      <c r="B85" s="29" t="s">
        <v>218</v>
      </c>
      <c r="C85" s="29" t="s">
        <v>214</v>
      </c>
      <c r="D85" s="272" t="s">
        <v>1282</v>
      </c>
      <c r="E85" s="243">
        <v>827211</v>
      </c>
      <c r="F85" s="257">
        <v>907392</v>
      </c>
      <c r="G85" s="112">
        <f>AVERAGE(E85:F85)</f>
        <v>867301.5</v>
      </c>
      <c r="H85" s="113">
        <f>G85/12</f>
        <v>72275.125</v>
      </c>
      <c r="I85" s="113">
        <f t="shared" ref="I85:I96" si="11">IF(B85="Notch",$I$56*H85,0)</f>
        <v>9395.7662500000006</v>
      </c>
      <c r="J85" s="113">
        <f t="shared" ref="J85:J96" si="12">IF(B85="Notch",$J$56,0)</f>
        <v>720</v>
      </c>
      <c r="K85" s="113">
        <f t="shared" ref="K85:K95" si="13">IF(B85="Notch",$K$56,0)</f>
        <v>900</v>
      </c>
      <c r="L85" s="113">
        <f t="shared" si="6"/>
        <v>6022.927083333333</v>
      </c>
      <c r="M85" s="114">
        <f>SUM(H85:L85)</f>
        <v>89313.818333333329</v>
      </c>
      <c r="N85" s="255">
        <f>M85</f>
        <v>89313.818333333329</v>
      </c>
      <c r="Q85" s="270"/>
      <c r="R85" s="271"/>
    </row>
    <row r="86" spans="1:18">
      <c r="A86" s="242" t="s">
        <v>952</v>
      </c>
      <c r="B86" s="29" t="s">
        <v>218</v>
      </c>
      <c r="C86" s="242" t="s">
        <v>375</v>
      </c>
      <c r="D86" s="272" t="s">
        <v>1282</v>
      </c>
      <c r="E86" s="243">
        <v>183279</v>
      </c>
      <c r="F86" s="243">
        <v>215892</v>
      </c>
      <c r="G86" s="112">
        <f t="shared" si="9"/>
        <v>199585.5</v>
      </c>
      <c r="H86" s="113">
        <f t="shared" si="1"/>
        <v>16632.125</v>
      </c>
      <c r="I86" s="113">
        <f t="shared" si="11"/>
        <v>2162.17625</v>
      </c>
      <c r="J86" s="113">
        <f t="shared" si="12"/>
        <v>720</v>
      </c>
      <c r="K86" s="113">
        <f t="shared" si="13"/>
        <v>900</v>
      </c>
      <c r="L86" s="113">
        <f t="shared" si="6"/>
        <v>1386.0104166666667</v>
      </c>
      <c r="M86" s="114">
        <f t="shared" ref="M86:M87" si="14">SUM(H86:L86)</f>
        <v>21800.311666666668</v>
      </c>
      <c r="N86" s="256">
        <f t="shared" ref="N86:N88" si="15">M86</f>
        <v>21800.311666666668</v>
      </c>
      <c r="Q86" s="270"/>
      <c r="R86" s="270"/>
    </row>
    <row r="87" spans="1:18">
      <c r="A87" s="242" t="s">
        <v>1103</v>
      </c>
      <c r="B87" s="29" t="s">
        <v>218</v>
      </c>
      <c r="C87" s="242" t="s">
        <v>375</v>
      </c>
      <c r="D87" s="272" t="s">
        <v>1282</v>
      </c>
      <c r="E87" s="243">
        <v>183279</v>
      </c>
      <c r="F87" s="243">
        <v>215892</v>
      </c>
      <c r="G87" s="112">
        <f>AVERAGE(E87:F87)</f>
        <v>199585.5</v>
      </c>
      <c r="H87" s="113">
        <f t="shared" ref="H87:H94" si="16">G87/12</f>
        <v>16632.125</v>
      </c>
      <c r="I87" s="113">
        <f t="shared" si="11"/>
        <v>2162.17625</v>
      </c>
      <c r="J87" s="113">
        <f t="shared" si="12"/>
        <v>720</v>
      </c>
      <c r="K87" s="113">
        <f t="shared" si="13"/>
        <v>900</v>
      </c>
      <c r="L87" s="113">
        <f t="shared" si="6"/>
        <v>1386.0104166666667</v>
      </c>
      <c r="M87" s="114">
        <f t="shared" si="14"/>
        <v>21800.311666666668</v>
      </c>
      <c r="N87" s="256">
        <f t="shared" si="15"/>
        <v>21800.311666666668</v>
      </c>
      <c r="Q87" s="270"/>
      <c r="R87" s="270"/>
    </row>
    <row r="88" spans="1:18">
      <c r="A88" s="242" t="s">
        <v>53</v>
      </c>
      <c r="B88" s="29" t="s">
        <v>217</v>
      </c>
      <c r="C88" s="242"/>
      <c r="D88" s="309" t="s">
        <v>958</v>
      </c>
      <c r="E88" s="243"/>
      <c r="F88" s="243"/>
      <c r="G88" s="115">
        <f>27.58*workhoursperday*workdaysperyear</f>
        <v>49202.719999999994</v>
      </c>
      <c r="H88" s="113">
        <f t="shared" si="16"/>
        <v>4100.2266666666665</v>
      </c>
      <c r="I88" s="113">
        <f t="shared" si="11"/>
        <v>0</v>
      </c>
      <c r="J88" s="113">
        <f t="shared" si="12"/>
        <v>0</v>
      </c>
      <c r="K88" s="113">
        <f t="shared" si="13"/>
        <v>0</v>
      </c>
      <c r="L88" s="113">
        <v>0</v>
      </c>
      <c r="M88" s="114">
        <f t="shared" ref="M88" si="17">SUM(H88:L88)</f>
        <v>4100.2266666666665</v>
      </c>
      <c r="N88" s="256">
        <f t="shared" si="15"/>
        <v>4100.2266666666665</v>
      </c>
      <c r="Q88" s="270"/>
      <c r="R88" s="270"/>
    </row>
    <row r="89" spans="1:18" ht="13.75" customHeight="1">
      <c r="A89" s="29" t="s">
        <v>244</v>
      </c>
      <c r="B89" s="29" t="s">
        <v>218</v>
      </c>
      <c r="C89" s="29" t="s">
        <v>276</v>
      </c>
      <c r="D89" s="272" t="s">
        <v>1282</v>
      </c>
      <c r="E89" s="243">
        <v>131265</v>
      </c>
      <c r="F89" s="243">
        <v>154626</v>
      </c>
      <c r="G89" s="112">
        <f t="shared" si="9"/>
        <v>142945.5</v>
      </c>
      <c r="H89" s="113">
        <f t="shared" si="16"/>
        <v>11912.125</v>
      </c>
      <c r="I89" s="113">
        <f t="shared" si="11"/>
        <v>1548.5762500000001</v>
      </c>
      <c r="J89" s="113">
        <f t="shared" si="12"/>
        <v>720</v>
      </c>
      <c r="K89" s="113">
        <f t="shared" si="13"/>
        <v>900</v>
      </c>
      <c r="L89" s="113">
        <f t="shared" si="6"/>
        <v>992.67708333333337</v>
      </c>
      <c r="M89" s="114">
        <f>SUM(H89:L89)</f>
        <v>16073.378333333334</v>
      </c>
      <c r="N89" s="256">
        <f>M89</f>
        <v>16073.378333333334</v>
      </c>
      <c r="Q89" s="270"/>
      <c r="R89" s="270"/>
    </row>
    <row r="90" spans="1:18">
      <c r="A90" s="29" t="s">
        <v>274</v>
      </c>
      <c r="B90" s="29" t="s">
        <v>217</v>
      </c>
      <c r="C90" s="29" t="s">
        <v>275</v>
      </c>
      <c r="D90" s="272" t="s">
        <v>1282</v>
      </c>
      <c r="E90" s="243">
        <v>183279</v>
      </c>
      <c r="F90" s="243">
        <v>183279</v>
      </c>
      <c r="G90" s="115">
        <f>AVERAGE(E90:F90)</f>
        <v>183279</v>
      </c>
      <c r="H90" s="115">
        <f t="shared" si="16"/>
        <v>15273.25</v>
      </c>
      <c r="I90" s="113">
        <f t="shared" si="11"/>
        <v>0</v>
      </c>
      <c r="J90" s="113">
        <f t="shared" si="12"/>
        <v>0</v>
      </c>
      <c r="K90" s="113">
        <f t="shared" si="13"/>
        <v>0</v>
      </c>
      <c r="L90" s="113">
        <f t="shared" si="6"/>
        <v>1272.7708333333333</v>
      </c>
      <c r="M90" s="114">
        <f t="shared" si="10"/>
        <v>16546.020833333332</v>
      </c>
      <c r="N90" s="256">
        <f t="shared" ref="N90:N94" si="18">M90</f>
        <v>16546.020833333332</v>
      </c>
      <c r="Q90" s="270"/>
      <c r="R90" s="270"/>
    </row>
    <row r="91" spans="1:18">
      <c r="A91" s="29" t="s">
        <v>287</v>
      </c>
      <c r="B91" s="29" t="s">
        <v>218</v>
      </c>
      <c r="C91" s="29" t="s">
        <v>375</v>
      </c>
      <c r="D91" s="272" t="s">
        <v>1282</v>
      </c>
      <c r="E91" s="243">
        <v>183279</v>
      </c>
      <c r="F91" s="243">
        <v>215892</v>
      </c>
      <c r="G91" s="115">
        <f t="shared" si="9"/>
        <v>199585.5</v>
      </c>
      <c r="H91" s="115">
        <f t="shared" si="16"/>
        <v>16632.125</v>
      </c>
      <c r="I91" s="113">
        <f t="shared" si="11"/>
        <v>2162.17625</v>
      </c>
      <c r="J91" s="113">
        <f t="shared" si="12"/>
        <v>720</v>
      </c>
      <c r="K91" s="113">
        <f t="shared" si="13"/>
        <v>900</v>
      </c>
      <c r="L91" s="113">
        <f t="shared" si="6"/>
        <v>1386.0104166666667</v>
      </c>
      <c r="M91" s="114">
        <f t="shared" si="10"/>
        <v>21800.311666666668</v>
      </c>
      <c r="N91" s="256">
        <f t="shared" si="18"/>
        <v>21800.311666666668</v>
      </c>
      <c r="Q91" s="270"/>
      <c r="R91" s="270"/>
    </row>
    <row r="92" spans="1:18">
      <c r="A92" s="29" t="s">
        <v>288</v>
      </c>
      <c r="B92" s="29" t="s">
        <v>218</v>
      </c>
      <c r="C92" s="29" t="s">
        <v>376</v>
      </c>
      <c r="D92" s="272" t="s">
        <v>1282</v>
      </c>
      <c r="E92" s="243">
        <v>552081</v>
      </c>
      <c r="F92" s="243">
        <v>650322</v>
      </c>
      <c r="G92" s="115">
        <f t="shared" si="9"/>
        <v>601201.5</v>
      </c>
      <c r="H92" s="115">
        <f t="shared" si="16"/>
        <v>50100.125</v>
      </c>
      <c r="I92" s="113">
        <f t="shared" si="11"/>
        <v>6513.0162500000006</v>
      </c>
      <c r="J92" s="113">
        <f t="shared" si="12"/>
        <v>720</v>
      </c>
      <c r="K92" s="113">
        <f t="shared" si="13"/>
        <v>900</v>
      </c>
      <c r="L92" s="113">
        <f t="shared" si="6"/>
        <v>4175.010416666667</v>
      </c>
      <c r="M92" s="114">
        <f t="shared" si="10"/>
        <v>62408.151666666665</v>
      </c>
      <c r="N92" s="256">
        <f t="shared" si="18"/>
        <v>62408.151666666665</v>
      </c>
      <c r="Q92" s="270"/>
      <c r="R92" s="270"/>
    </row>
    <row r="93" spans="1:18">
      <c r="A93" s="242" t="s">
        <v>1106</v>
      </c>
      <c r="B93" s="242" t="s">
        <v>218</v>
      </c>
      <c r="C93" s="242" t="s">
        <v>1107</v>
      </c>
      <c r="D93" s="272" t="s">
        <v>1282</v>
      </c>
      <c r="E93" s="243">
        <v>1003890</v>
      </c>
      <c r="F93" s="243">
        <v>1049745</v>
      </c>
      <c r="G93" s="115">
        <f>AVERAGE(E93:F93)</f>
        <v>1026817.5</v>
      </c>
      <c r="H93" s="115">
        <f t="shared" si="16"/>
        <v>85568.125</v>
      </c>
      <c r="I93" s="113">
        <f t="shared" si="11"/>
        <v>11123.856250000001</v>
      </c>
      <c r="J93" s="113">
        <f t="shared" si="12"/>
        <v>720</v>
      </c>
      <c r="K93" s="113">
        <f t="shared" si="13"/>
        <v>900</v>
      </c>
      <c r="L93" s="113">
        <f t="shared" si="6"/>
        <v>7130.677083333333</v>
      </c>
      <c r="M93" s="114">
        <f>SUM(H93:L93)</f>
        <v>105442.65833333333</v>
      </c>
      <c r="N93" s="256">
        <f t="shared" si="18"/>
        <v>105442.65833333333</v>
      </c>
      <c r="Q93" s="270"/>
      <c r="R93" s="270"/>
    </row>
    <row r="94" spans="1:18">
      <c r="A94" s="29" t="s">
        <v>290</v>
      </c>
      <c r="B94" s="29" t="s">
        <v>218</v>
      </c>
      <c r="C94" s="29" t="s">
        <v>374</v>
      </c>
      <c r="D94" s="272" t="s">
        <v>1282</v>
      </c>
      <c r="E94" s="243">
        <v>216417</v>
      </c>
      <c r="F94" s="243">
        <v>254928</v>
      </c>
      <c r="G94" s="115">
        <f>AVERAGE(E94:F94)</f>
        <v>235672.5</v>
      </c>
      <c r="H94" s="115">
        <f t="shared" si="16"/>
        <v>19639.375</v>
      </c>
      <c r="I94" s="113">
        <f t="shared" si="11"/>
        <v>2553.1187500000001</v>
      </c>
      <c r="J94" s="113">
        <f t="shared" si="12"/>
        <v>720</v>
      </c>
      <c r="K94" s="113">
        <f t="shared" si="13"/>
        <v>900</v>
      </c>
      <c r="L94" s="113">
        <f t="shared" si="6"/>
        <v>1636.6145833333333</v>
      </c>
      <c r="M94" s="114">
        <f t="shared" si="10"/>
        <v>25449.108333333334</v>
      </c>
      <c r="N94" s="256">
        <f t="shared" si="18"/>
        <v>25449.108333333334</v>
      </c>
      <c r="Q94" s="270"/>
      <c r="R94" s="270"/>
    </row>
    <row r="95" spans="1:18">
      <c r="A95" s="29" t="s">
        <v>56</v>
      </c>
      <c r="B95" s="29" t="s">
        <v>160</v>
      </c>
      <c r="C95" s="29" t="s">
        <v>372</v>
      </c>
      <c r="D95" s="272" t="s">
        <v>1282</v>
      </c>
      <c r="E95" s="243">
        <v>255450</v>
      </c>
      <c r="F95" s="243">
        <v>300912</v>
      </c>
      <c r="G95" s="115">
        <f>AVERAGE(E95:F95)</f>
        <v>278181</v>
      </c>
      <c r="H95" s="115">
        <f>G95/12</f>
        <v>23181.75</v>
      </c>
      <c r="I95" s="113">
        <f t="shared" si="11"/>
        <v>0</v>
      </c>
      <c r="J95" s="113">
        <f t="shared" si="12"/>
        <v>0</v>
      </c>
      <c r="K95" s="113">
        <f t="shared" si="13"/>
        <v>0</v>
      </c>
      <c r="L95" s="113">
        <v>0</v>
      </c>
      <c r="M95" s="115">
        <f>SUM(H95:L95)</f>
        <v>23181.75</v>
      </c>
      <c r="N95" s="256">
        <f>M95</f>
        <v>23181.75</v>
      </c>
      <c r="O95" s="76"/>
      <c r="Q95" s="270"/>
      <c r="R95" s="270"/>
    </row>
    <row r="96" spans="1:18">
      <c r="A96" s="284" t="s">
        <v>51</v>
      </c>
      <c r="B96" s="29" t="s">
        <v>160</v>
      </c>
      <c r="C96" s="29" t="s">
        <v>364</v>
      </c>
      <c r="D96" s="105" t="s">
        <v>1284</v>
      </c>
      <c r="E96" s="285"/>
      <c r="F96" s="285"/>
      <c r="G96" s="115">
        <f>27.58*workhoursperday*workdaysperyear</f>
        <v>49202.719999999994</v>
      </c>
      <c r="H96" s="115">
        <f>G96/12</f>
        <v>4100.2266666666665</v>
      </c>
      <c r="I96" s="113">
        <f t="shared" si="11"/>
        <v>0</v>
      </c>
      <c r="J96" s="113">
        <f t="shared" si="12"/>
        <v>0</v>
      </c>
      <c r="K96" s="113">
        <f>IF(B96="Notch",$L$19,0)</f>
        <v>0</v>
      </c>
      <c r="L96" s="113">
        <v>0</v>
      </c>
      <c r="M96" s="115">
        <f>SUM(H96:L96)</f>
        <v>4100.2266666666665</v>
      </c>
      <c r="N96" s="256">
        <f>M96</f>
        <v>4100.2266666666665</v>
      </c>
      <c r="O96" s="80"/>
      <c r="Q96" s="308"/>
      <c r="R96" s="308"/>
    </row>
    <row r="97" spans="1:18">
      <c r="A97" s="29" t="s">
        <v>63</v>
      </c>
      <c r="B97" s="29" t="s">
        <v>369</v>
      </c>
      <c r="C97" s="29"/>
      <c r="D97" s="105" t="s">
        <v>1283</v>
      </c>
      <c r="E97" s="243">
        <v>7277</v>
      </c>
      <c r="F97" s="243">
        <v>18195</v>
      </c>
      <c r="G97" s="112">
        <f>AVERAGE(E97:F97)</f>
        <v>12736</v>
      </c>
      <c r="H97" s="113">
        <f>G97</f>
        <v>12736</v>
      </c>
      <c r="I97" s="113">
        <f t="shared" ref="I97:I99" si="19">IF(B97="Notch",$I$56*H97,0)</f>
        <v>0</v>
      </c>
      <c r="J97" s="113">
        <f t="shared" ref="J97:J99" si="20">IF(B97="Notch",$J$56,0)</f>
        <v>0</v>
      </c>
      <c r="K97" s="113">
        <f t="shared" ref="K97:K99" si="21">IF(B97="Notch",$L$19,0)</f>
        <v>0</v>
      </c>
      <c r="L97" s="113">
        <v>0</v>
      </c>
      <c r="M97" s="114">
        <f>SUM(H97:L97)</f>
        <v>12736</v>
      </c>
      <c r="N97" s="445">
        <f>AVERAGE(M97:M99)</f>
        <v>11731.166666666666</v>
      </c>
      <c r="O97" s="80"/>
      <c r="Q97" s="270"/>
      <c r="R97" s="270"/>
    </row>
    <row r="98" spans="1:18">
      <c r="A98" s="29" t="s">
        <v>63</v>
      </c>
      <c r="B98" s="29" t="s">
        <v>370</v>
      </c>
      <c r="C98" s="29"/>
      <c r="D98" s="105" t="s">
        <v>1283</v>
      </c>
      <c r="E98" s="243">
        <v>6700</v>
      </c>
      <c r="F98" s="243">
        <v>16793</v>
      </c>
      <c r="G98" s="112">
        <f>AVERAGE(E98:F98)</f>
        <v>11746.5</v>
      </c>
      <c r="H98" s="113">
        <f>G98</f>
        <v>11746.5</v>
      </c>
      <c r="I98" s="113">
        <f t="shared" si="19"/>
        <v>0</v>
      </c>
      <c r="J98" s="113">
        <f t="shared" si="20"/>
        <v>0</v>
      </c>
      <c r="K98" s="113">
        <f t="shared" si="21"/>
        <v>0</v>
      </c>
      <c r="L98" s="113">
        <v>0</v>
      </c>
      <c r="M98" s="114">
        <f>SUM(H98:L98)</f>
        <v>11746.5</v>
      </c>
      <c r="N98" s="446"/>
      <c r="O98" s="80"/>
      <c r="Q98" s="270"/>
      <c r="R98" s="270"/>
    </row>
    <row r="99" spans="1:18">
      <c r="A99" s="29" t="s">
        <v>63</v>
      </c>
      <c r="B99" s="29" t="s">
        <v>371</v>
      </c>
      <c r="C99" s="29"/>
      <c r="D99" s="105" t="s">
        <v>1283</v>
      </c>
      <c r="E99" s="243">
        <v>6096</v>
      </c>
      <c r="F99" s="243">
        <v>15326</v>
      </c>
      <c r="G99" s="112">
        <f>AVERAGE(E99:F99)</f>
        <v>10711</v>
      </c>
      <c r="H99" s="113">
        <f>G99</f>
        <v>10711</v>
      </c>
      <c r="I99" s="113">
        <f t="shared" si="19"/>
        <v>0</v>
      </c>
      <c r="J99" s="113">
        <f t="shared" si="20"/>
        <v>0</v>
      </c>
      <c r="K99" s="113">
        <f t="shared" si="21"/>
        <v>0</v>
      </c>
      <c r="L99" s="113">
        <v>0</v>
      </c>
      <c r="M99" s="114">
        <f>SUM(H99:L99)</f>
        <v>10711</v>
      </c>
      <c r="N99" s="447"/>
      <c r="O99" s="80"/>
      <c r="Q99" s="270"/>
      <c r="R99" s="270"/>
    </row>
    <row r="100" spans="1:18">
      <c r="A100" s="242" t="s">
        <v>944</v>
      </c>
      <c r="B100" s="242" t="s">
        <v>213</v>
      </c>
      <c r="C100" s="242" t="s">
        <v>1125</v>
      </c>
      <c r="D100" s="272" t="s">
        <v>1282</v>
      </c>
      <c r="E100" s="243">
        <v>152340</v>
      </c>
      <c r="F100" s="243">
        <f>E100</f>
        <v>152340</v>
      </c>
      <c r="G100" s="257">
        <f>AVERAGE(E100:F100)</f>
        <v>152340</v>
      </c>
      <c r="H100" s="113">
        <f t="shared" ref="H100:H102" si="22">G100/12</f>
        <v>12695</v>
      </c>
      <c r="I100" s="113">
        <f>IF(B100="Notch",$I$56*H100,0)</f>
        <v>0</v>
      </c>
      <c r="J100" s="113">
        <f t="shared" ref="J100" si="23">IF(B100="Notch",$J$56,0)</f>
        <v>0</v>
      </c>
      <c r="K100" s="113">
        <f t="shared" ref="K100" si="24">IF(B100="Notch",$K$56,0)</f>
        <v>0</v>
      </c>
      <c r="L100" s="113">
        <f t="shared" ref="L100" si="25">H100/12</f>
        <v>1057.9166666666667</v>
      </c>
      <c r="M100" s="114">
        <f t="shared" ref="M100" si="26">SUM(H100:L100)</f>
        <v>13752.916666666666</v>
      </c>
      <c r="N100" s="245">
        <f>M100</f>
        <v>13752.916666666666</v>
      </c>
      <c r="O100" s="80"/>
      <c r="Q100" s="270"/>
      <c r="R100" s="270"/>
    </row>
    <row r="101" spans="1:18">
      <c r="A101" s="110" t="s">
        <v>1074</v>
      </c>
      <c r="B101" s="110" t="s">
        <v>160</v>
      </c>
      <c r="C101" s="110"/>
      <c r="D101" s="312" t="s">
        <v>1284</v>
      </c>
      <c r="E101" s="313"/>
      <c r="F101" s="313"/>
      <c r="G101" s="314">
        <f>13.97*workhoursperday*workdaysperyear</f>
        <v>24922.48</v>
      </c>
      <c r="H101" s="113">
        <f t="shared" si="22"/>
        <v>2076.8733333333334</v>
      </c>
      <c r="I101" s="113">
        <f>IF(B101="Notch",$I$56*H101,0)</f>
        <v>0</v>
      </c>
      <c r="J101" s="113">
        <f t="shared" ref="J101" si="27">IF(B101="Notch",$J$56,0)</f>
        <v>0</v>
      </c>
      <c r="K101" s="113">
        <f t="shared" ref="K101" si="28">IF(B101="Notch",$K$56,0)</f>
        <v>0</v>
      </c>
      <c r="L101" s="113">
        <v>0</v>
      </c>
      <c r="M101" s="114">
        <f t="shared" ref="M101" si="29">SUM(H101:L101)</f>
        <v>2076.8733333333334</v>
      </c>
      <c r="N101" s="245">
        <f>M101</f>
        <v>2076.8733333333334</v>
      </c>
      <c r="O101" s="80"/>
    </row>
    <row r="102" spans="1:18">
      <c r="A102" s="242" t="s">
        <v>1343</v>
      </c>
      <c r="B102" s="242" t="s">
        <v>160</v>
      </c>
      <c r="C102" s="242" t="s">
        <v>1344</v>
      </c>
      <c r="D102" s="105" t="s">
        <v>1284</v>
      </c>
      <c r="E102" s="78"/>
      <c r="F102" s="78"/>
      <c r="G102" s="115">
        <f>27.58*workhoursperday*workdaysperyear</f>
        <v>49202.719999999994</v>
      </c>
      <c r="H102" s="113">
        <f t="shared" si="22"/>
        <v>4100.2266666666665</v>
      </c>
      <c r="I102" s="113">
        <f>IF(B102="Notch",$I$56*H102,0)</f>
        <v>0</v>
      </c>
      <c r="J102" s="113">
        <f t="shared" ref="J102" si="30">IF(B102="Notch",$J$56,0)</f>
        <v>0</v>
      </c>
      <c r="K102" s="113">
        <f t="shared" ref="K102" si="31">IF(B102="Notch",$K$56,0)</f>
        <v>0</v>
      </c>
      <c r="L102" s="113">
        <v>0</v>
      </c>
      <c r="M102" s="114">
        <f t="shared" ref="M102" si="32">SUM(H102:L102)</f>
        <v>4100.2266666666665</v>
      </c>
      <c r="N102" s="245">
        <f>M102</f>
        <v>4100.2266666666665</v>
      </c>
      <c r="O102" s="80"/>
    </row>
  </sheetData>
  <mergeCells count="22">
    <mergeCell ref="N54:N56"/>
    <mergeCell ref="E55:E56"/>
    <mergeCell ref="F55:F56"/>
    <mergeCell ref="G55:G56"/>
    <mergeCell ref="H55:H56"/>
    <mergeCell ref="M55:M56"/>
    <mergeCell ref="A3:M4"/>
    <mergeCell ref="A54:A56"/>
    <mergeCell ref="B54:B56"/>
    <mergeCell ref="C54:C56"/>
    <mergeCell ref="E54:G54"/>
    <mergeCell ref="D54:D56"/>
    <mergeCell ref="N97:N99"/>
    <mergeCell ref="N73:N74"/>
    <mergeCell ref="N75:N76"/>
    <mergeCell ref="N80:N83"/>
    <mergeCell ref="N57:N59"/>
    <mergeCell ref="N70:N72"/>
    <mergeCell ref="N63:N65"/>
    <mergeCell ref="N66:N68"/>
    <mergeCell ref="N77:N79"/>
    <mergeCell ref="N60:N62"/>
  </mergeCells>
  <hyperlinks>
    <hyperlink ref="D88" r:id="rId1" xr:uid="{FFCDEBFD-5ABE-48E9-8BB6-2BA5694D8A9B}"/>
  </hyperlinks>
  <pageMargins left="0.25" right="0.25" top="0.75" bottom="0.75" header="0.3" footer="0.3"/>
  <pageSetup paperSize="9" orientation="portrait" r:id="rId2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28"/>
  <sheetViews>
    <sheetView workbookViewId="0">
      <selection activeCell="H31" sqref="H31"/>
    </sheetView>
  </sheetViews>
  <sheetFormatPr baseColWidth="10" defaultColWidth="8.83203125" defaultRowHeight="15"/>
  <cols>
    <col min="1" max="1" width="20.33203125" bestFit="1" customWidth="1"/>
    <col min="2" max="2" width="13.5" customWidth="1"/>
    <col min="3" max="3" width="12" bestFit="1" customWidth="1"/>
    <col min="4" max="4" width="9.33203125" bestFit="1" customWidth="1"/>
    <col min="5" max="5" width="12.1640625" customWidth="1"/>
    <col min="8" max="8" width="9.33203125" bestFit="1" customWidth="1"/>
  </cols>
  <sheetData>
    <row r="1" spans="1:11">
      <c r="A1" s="1" t="s">
        <v>112</v>
      </c>
      <c r="D1" s="253"/>
      <c r="H1" s="1" t="s">
        <v>1036</v>
      </c>
    </row>
    <row r="2" spans="1:11">
      <c r="A2" s="1" t="s">
        <v>1037</v>
      </c>
      <c r="B2" s="1" t="s">
        <v>1038</v>
      </c>
      <c r="C2" s="1" t="s">
        <v>1039</v>
      </c>
      <c r="D2" s="254" t="s">
        <v>1493</v>
      </c>
      <c r="E2" s="1"/>
      <c r="H2" s="152">
        <f>SUMPRODUCT(D3:D28,B3:B28)/SUM(B3:B28)</f>
        <v>1481.1539936751751</v>
      </c>
      <c r="K2" s="82" t="s">
        <v>1285</v>
      </c>
    </row>
    <row r="3" spans="1:11">
      <c r="A3" t="s">
        <v>1060</v>
      </c>
      <c r="B3">
        <v>2198</v>
      </c>
      <c r="C3" t="s">
        <v>1062</v>
      </c>
      <c r="D3" s="253">
        <v>1550</v>
      </c>
      <c r="K3" s="82"/>
    </row>
    <row r="4" spans="1:11">
      <c r="A4" t="s">
        <v>1061</v>
      </c>
      <c r="B4">
        <v>1735</v>
      </c>
      <c r="C4" t="s">
        <v>1062</v>
      </c>
      <c r="D4" s="253">
        <v>1460</v>
      </c>
    </row>
    <row r="5" spans="1:11">
      <c r="A5" t="s">
        <v>1040</v>
      </c>
      <c r="B5">
        <v>5519</v>
      </c>
      <c r="C5" t="s">
        <v>1062</v>
      </c>
      <c r="D5" s="253">
        <v>1450</v>
      </c>
    </row>
    <row r="6" spans="1:11">
      <c r="A6" t="s">
        <v>1041</v>
      </c>
      <c r="B6">
        <v>6739</v>
      </c>
      <c r="C6" t="s">
        <v>1046</v>
      </c>
      <c r="D6">
        <v>1480</v>
      </c>
    </row>
    <row r="7" spans="1:11">
      <c r="A7" t="s">
        <v>1043</v>
      </c>
      <c r="B7">
        <v>11099</v>
      </c>
      <c r="C7" t="s">
        <v>1042</v>
      </c>
      <c r="D7">
        <v>1437.1</v>
      </c>
    </row>
    <row r="8" spans="1:11">
      <c r="A8" t="s">
        <v>1044</v>
      </c>
      <c r="B8">
        <v>1993</v>
      </c>
      <c r="C8" t="s">
        <v>1046</v>
      </c>
      <c r="D8">
        <v>1440</v>
      </c>
    </row>
    <row r="9" spans="1:11">
      <c r="A9" t="s">
        <v>1045</v>
      </c>
      <c r="B9">
        <v>6764</v>
      </c>
      <c r="C9" t="s">
        <v>1275</v>
      </c>
      <c r="D9" s="253">
        <v>1500</v>
      </c>
    </row>
    <row r="10" spans="1:11">
      <c r="A10" t="s">
        <v>1045</v>
      </c>
      <c r="B10">
        <v>6764</v>
      </c>
      <c r="C10" t="s">
        <v>1276</v>
      </c>
      <c r="D10" s="253">
        <v>1500</v>
      </c>
    </row>
    <row r="11" spans="1:11">
      <c r="A11" t="s">
        <v>1047</v>
      </c>
      <c r="B11">
        <v>7587</v>
      </c>
      <c r="C11" t="s">
        <v>1066</v>
      </c>
      <c r="D11" s="253">
        <v>1497.2</v>
      </c>
    </row>
    <row r="12" spans="1:11">
      <c r="A12" t="s">
        <v>1048</v>
      </c>
      <c r="B12">
        <v>9922</v>
      </c>
      <c r="C12" t="s">
        <v>1066</v>
      </c>
      <c r="D12" s="253">
        <v>1449.24</v>
      </c>
    </row>
    <row r="13" spans="1:11">
      <c r="A13" t="s">
        <v>1064</v>
      </c>
      <c r="B13">
        <v>7296</v>
      </c>
      <c r="C13" t="s">
        <v>1066</v>
      </c>
      <c r="D13" s="253">
        <v>1447.52</v>
      </c>
    </row>
    <row r="14" spans="1:11">
      <c r="A14" t="s">
        <v>1065</v>
      </c>
      <c r="B14">
        <v>9909</v>
      </c>
      <c r="C14" t="s">
        <v>1066</v>
      </c>
      <c r="D14" s="253">
        <v>1498.69</v>
      </c>
    </row>
    <row r="15" spans="1:11">
      <c r="A15" t="s">
        <v>1049</v>
      </c>
      <c r="B15">
        <v>5461</v>
      </c>
      <c r="C15" t="s">
        <v>1277</v>
      </c>
      <c r="D15" s="253">
        <v>1450</v>
      </c>
    </row>
    <row r="16" spans="1:11">
      <c r="A16" t="s">
        <v>1050</v>
      </c>
      <c r="B16">
        <v>3141</v>
      </c>
      <c r="C16" t="s">
        <v>1278</v>
      </c>
      <c r="D16" s="253">
        <v>1560</v>
      </c>
    </row>
    <row r="17" spans="1:4">
      <c r="A17" t="s">
        <v>1051</v>
      </c>
      <c r="B17">
        <v>2015</v>
      </c>
      <c r="C17" t="s">
        <v>1278</v>
      </c>
      <c r="D17" s="253">
        <v>1560</v>
      </c>
    </row>
    <row r="18" spans="1:4">
      <c r="A18" t="s">
        <v>1052</v>
      </c>
      <c r="B18">
        <v>1148</v>
      </c>
      <c r="C18" t="s">
        <v>1279</v>
      </c>
      <c r="D18" s="253">
        <v>1590</v>
      </c>
    </row>
    <row r="19" spans="1:4">
      <c r="A19" t="s">
        <v>1053</v>
      </c>
      <c r="B19">
        <v>1769</v>
      </c>
      <c r="C19" t="s">
        <v>1279</v>
      </c>
      <c r="D19" s="253">
        <v>1590</v>
      </c>
    </row>
    <row r="20" spans="1:4">
      <c r="A20" t="s">
        <v>1054</v>
      </c>
      <c r="B20">
        <v>2222</v>
      </c>
      <c r="C20" t="s">
        <v>1279</v>
      </c>
      <c r="D20" s="253">
        <v>1590</v>
      </c>
    </row>
    <row r="21" spans="1:4">
      <c r="A21" t="s">
        <v>1055</v>
      </c>
      <c r="B21">
        <v>3023</v>
      </c>
      <c r="C21" t="s">
        <v>1046</v>
      </c>
      <c r="D21" s="253">
        <v>1700</v>
      </c>
    </row>
    <row r="22" spans="1:4">
      <c r="A22" t="s">
        <v>1056</v>
      </c>
      <c r="B22">
        <v>287</v>
      </c>
      <c r="C22" t="s">
        <v>1280</v>
      </c>
      <c r="D22" s="253">
        <v>1490</v>
      </c>
    </row>
    <row r="23" spans="1:4">
      <c r="A23" t="s">
        <v>1057</v>
      </c>
      <c r="B23">
        <v>2187</v>
      </c>
      <c r="C23" t="s">
        <v>1063</v>
      </c>
      <c r="D23" s="253">
        <v>1500</v>
      </c>
    </row>
    <row r="24" spans="1:4">
      <c r="A24" t="s">
        <v>1058</v>
      </c>
      <c r="B24">
        <v>1057</v>
      </c>
      <c r="C24" t="s">
        <v>1281</v>
      </c>
      <c r="D24" s="253">
        <v>1490</v>
      </c>
    </row>
    <row r="25" spans="1:4">
      <c r="A25" t="s">
        <v>1059</v>
      </c>
      <c r="B25">
        <v>1548</v>
      </c>
      <c r="C25" t="s">
        <v>1063</v>
      </c>
      <c r="D25" s="253">
        <v>1500</v>
      </c>
    </row>
    <row r="26" spans="1:4">
      <c r="A26" t="s">
        <v>1067</v>
      </c>
      <c r="B26">
        <v>18146</v>
      </c>
      <c r="C26" t="s">
        <v>1068</v>
      </c>
      <c r="D26" s="253">
        <v>1432</v>
      </c>
    </row>
    <row r="27" spans="1:4">
      <c r="D27" s="253"/>
    </row>
    <row r="28" spans="1:4">
      <c r="D28" s="25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8"/>
  <sheetViews>
    <sheetView workbookViewId="0">
      <selection activeCell="B14" sqref="B14"/>
    </sheetView>
  </sheetViews>
  <sheetFormatPr baseColWidth="10" defaultColWidth="8.83203125" defaultRowHeight="15"/>
  <cols>
    <col min="1" max="1" width="23" customWidth="1"/>
    <col min="2" max="2" width="19" customWidth="1"/>
    <col min="3" max="4" width="15.33203125" customWidth="1"/>
  </cols>
  <sheetData>
    <row r="1" spans="1:5">
      <c r="A1" s="27" t="s">
        <v>471</v>
      </c>
    </row>
    <row r="2" spans="1:5">
      <c r="A2" t="s">
        <v>460</v>
      </c>
    </row>
    <row r="4" spans="1:5">
      <c r="A4" s="1" t="s">
        <v>462</v>
      </c>
      <c r="B4" s="159" t="s">
        <v>475</v>
      </c>
      <c r="C4" s="159" t="s">
        <v>463</v>
      </c>
      <c r="E4" s="96"/>
    </row>
    <row r="5" spans="1:5">
      <c r="A5" t="s">
        <v>464</v>
      </c>
      <c r="B5" s="96">
        <v>108615.89623910081</v>
      </c>
      <c r="C5" s="96">
        <f t="shared" ref="C5:C10" si="0">B5/DHIS_HCavg</f>
        <v>21.287147509663878</v>
      </c>
      <c r="E5" s="96"/>
    </row>
    <row r="6" spans="1:5">
      <c r="A6" t="s">
        <v>81</v>
      </c>
      <c r="B6" s="96">
        <v>235553.42404260088</v>
      </c>
      <c r="C6" s="96">
        <f t="shared" si="0"/>
        <v>46.165070285505401</v>
      </c>
      <c r="E6" s="96"/>
    </row>
    <row r="7" spans="1:5">
      <c r="A7" t="s">
        <v>465</v>
      </c>
      <c r="B7" s="96">
        <v>1132165.5918649996</v>
      </c>
      <c r="C7" s="96">
        <f t="shared" si="0"/>
        <v>221.88811024808496</v>
      </c>
      <c r="E7" s="96"/>
    </row>
    <row r="8" spans="1:5">
      <c r="A8" s="160" t="s">
        <v>466</v>
      </c>
      <c r="B8" s="96">
        <v>982651.16949999984</v>
      </c>
      <c r="C8" s="96">
        <f t="shared" si="0"/>
        <v>192.58544209443232</v>
      </c>
      <c r="E8" s="96"/>
    </row>
    <row r="9" spans="1:5">
      <c r="A9" s="160" t="s">
        <v>467</v>
      </c>
      <c r="B9" s="96">
        <v>149514.42236500012</v>
      </c>
      <c r="C9" s="96">
        <f t="shared" si="0"/>
        <v>29.302668153652704</v>
      </c>
      <c r="E9" s="96"/>
    </row>
    <row r="10" spans="1:5">
      <c r="A10" t="s">
        <v>468</v>
      </c>
      <c r="B10" s="96">
        <v>6501.083333333333</v>
      </c>
      <c r="C10" s="96">
        <f t="shared" si="0"/>
        <v>1.2741184732724689</v>
      </c>
      <c r="E10" s="96"/>
    </row>
    <row r="11" spans="1:5">
      <c r="A11" s="1"/>
      <c r="B11" s="159"/>
      <c r="C11" s="96"/>
      <c r="D11" s="96"/>
      <c r="E11" s="96"/>
    </row>
    <row r="12" spans="1:5">
      <c r="A12" s="1"/>
      <c r="B12" s="159"/>
      <c r="C12" s="96"/>
      <c r="D12" s="96"/>
      <c r="E12" s="96"/>
    </row>
    <row r="13" spans="1:5">
      <c r="A13" s="1"/>
      <c r="B13" s="1" t="s">
        <v>476</v>
      </c>
      <c r="C13" s="159" t="s">
        <v>469</v>
      </c>
      <c r="D13" s="96"/>
      <c r="E13" s="96"/>
    </row>
    <row r="14" spans="1:5">
      <c r="A14" t="s">
        <v>470</v>
      </c>
      <c r="B14" s="96">
        <v>18683.255210876465</v>
      </c>
      <c r="C14" s="96">
        <f>B14/573</f>
        <v>32.606030036433623</v>
      </c>
      <c r="D14" s="96"/>
      <c r="E14" s="96"/>
    </row>
    <row r="15" spans="1:5">
      <c r="B15" s="96"/>
      <c r="C15" s="96"/>
      <c r="D15" s="96"/>
      <c r="E15" s="96"/>
    </row>
    <row r="16" spans="1:5">
      <c r="A16" t="s">
        <v>472</v>
      </c>
      <c r="C16">
        <v>7.54</v>
      </c>
    </row>
    <row r="17" spans="1:3">
      <c r="A17" t="s">
        <v>473</v>
      </c>
      <c r="C17">
        <v>4</v>
      </c>
    </row>
    <row r="18" spans="1:3">
      <c r="A18" t="s">
        <v>474</v>
      </c>
      <c r="C18">
        <v>5102.416666666667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6"/>
  <sheetViews>
    <sheetView workbookViewId="0">
      <selection activeCell="G10" sqref="G10"/>
    </sheetView>
  </sheetViews>
  <sheetFormatPr baseColWidth="10" defaultColWidth="8.83203125" defaultRowHeight="15"/>
  <cols>
    <col min="1" max="1" width="24.83203125" customWidth="1"/>
    <col min="2" max="4" width="16.1640625" style="178" customWidth="1"/>
    <col min="5" max="5" width="20.5" style="178" customWidth="1"/>
    <col min="6" max="6" width="16.1640625" style="178" customWidth="1"/>
    <col min="7" max="7" width="17.6640625" customWidth="1"/>
  </cols>
  <sheetData>
    <row r="1" spans="1:10" ht="32">
      <c r="A1" s="1" t="s">
        <v>873</v>
      </c>
      <c r="B1" s="179" t="s">
        <v>874</v>
      </c>
      <c r="C1" s="179" t="s">
        <v>875</v>
      </c>
      <c r="D1" s="179" t="s">
        <v>876</v>
      </c>
      <c r="E1" s="179" t="s">
        <v>877</v>
      </c>
      <c r="F1" s="179" t="s">
        <v>884</v>
      </c>
      <c r="G1" s="217" t="s">
        <v>910</v>
      </c>
      <c r="J1" s="3" t="s">
        <v>885</v>
      </c>
    </row>
    <row r="2" spans="1:10">
      <c r="A2" t="s">
        <v>878</v>
      </c>
      <c r="B2" s="178">
        <v>1</v>
      </c>
    </row>
    <row r="3" spans="1:10">
      <c r="A3" t="s">
        <v>879</v>
      </c>
      <c r="B3" s="178">
        <v>5</v>
      </c>
      <c r="C3" s="178">
        <v>10</v>
      </c>
      <c r="F3" s="178">
        <v>2</v>
      </c>
    </row>
    <row r="4" spans="1:10">
      <c r="A4" t="s">
        <v>880</v>
      </c>
      <c r="C4" s="178">
        <v>26</v>
      </c>
      <c r="F4" s="178">
        <v>7</v>
      </c>
    </row>
    <row r="5" spans="1:10">
      <c r="A5" t="s">
        <v>881</v>
      </c>
      <c r="C5" s="178">
        <v>67</v>
      </c>
      <c r="D5" s="178">
        <v>2</v>
      </c>
      <c r="F5" s="178">
        <v>13</v>
      </c>
    </row>
    <row r="6" spans="1:10">
      <c r="A6" t="s">
        <v>882</v>
      </c>
      <c r="C6" s="178">
        <v>47</v>
      </c>
      <c r="D6" s="178">
        <v>120</v>
      </c>
      <c r="E6" s="178" t="s">
        <v>900</v>
      </c>
      <c r="F6" s="178">
        <v>13</v>
      </c>
    </row>
    <row r="7" spans="1:10">
      <c r="A7" t="s">
        <v>883</v>
      </c>
      <c r="C7" s="178">
        <v>7</v>
      </c>
      <c r="D7" s="178">
        <v>101</v>
      </c>
      <c r="E7" s="178">
        <v>238</v>
      </c>
      <c r="F7" s="178">
        <v>1</v>
      </c>
      <c r="G7" t="s">
        <v>909</v>
      </c>
    </row>
    <row r="10" spans="1:10" ht="32">
      <c r="A10" s="226" t="s">
        <v>873</v>
      </c>
      <c r="B10" s="218" t="s">
        <v>874</v>
      </c>
      <c r="C10" s="218" t="s">
        <v>875</v>
      </c>
      <c r="D10" s="218" t="s">
        <v>876</v>
      </c>
      <c r="E10" s="218" t="s">
        <v>877</v>
      </c>
      <c r="F10" s="218" t="s">
        <v>884</v>
      </c>
      <c r="G10" s="219" t="s">
        <v>910</v>
      </c>
      <c r="H10" s="220"/>
    </row>
    <row r="11" spans="1:10">
      <c r="A11" s="75" t="s">
        <v>878</v>
      </c>
      <c r="B11" s="221">
        <f t="shared" ref="B11:G11" si="0">IFERROR(B2/SUM($B2:$G2),0)</f>
        <v>1</v>
      </c>
      <c r="C11" s="221">
        <f t="shared" si="0"/>
        <v>0</v>
      </c>
      <c r="D11" s="221">
        <f t="shared" si="0"/>
        <v>0</v>
      </c>
      <c r="E11" s="221">
        <f t="shared" si="0"/>
        <v>0</v>
      </c>
      <c r="F11" s="221">
        <f t="shared" si="0"/>
        <v>0</v>
      </c>
      <c r="G11" s="221">
        <f t="shared" si="0"/>
        <v>0</v>
      </c>
      <c r="H11" s="222">
        <f t="shared" ref="H11:H16" si="1">SUM(B11:G11)</f>
        <v>1</v>
      </c>
    </row>
    <row r="12" spans="1:10">
      <c r="A12" s="75" t="s">
        <v>879</v>
      </c>
      <c r="B12" s="221">
        <f t="shared" ref="B12:G16" si="2">IFERROR(B3/SUM($B3:$G3),0)</f>
        <v>0.29411764705882354</v>
      </c>
      <c r="C12" s="221">
        <f t="shared" si="2"/>
        <v>0.58823529411764708</v>
      </c>
      <c r="D12" s="221">
        <f t="shared" si="2"/>
        <v>0</v>
      </c>
      <c r="E12" s="221">
        <f t="shared" si="2"/>
        <v>0</v>
      </c>
      <c r="F12" s="221">
        <f t="shared" si="2"/>
        <v>0.11764705882352941</v>
      </c>
      <c r="G12" s="221">
        <f t="shared" si="2"/>
        <v>0</v>
      </c>
      <c r="H12" s="222">
        <f t="shared" si="1"/>
        <v>1</v>
      </c>
    </row>
    <row r="13" spans="1:10">
      <c r="A13" s="75" t="s">
        <v>880</v>
      </c>
      <c r="B13" s="221">
        <f t="shared" si="2"/>
        <v>0</v>
      </c>
      <c r="C13" s="221">
        <f t="shared" si="2"/>
        <v>0.78787878787878785</v>
      </c>
      <c r="D13" s="221">
        <f t="shared" si="2"/>
        <v>0</v>
      </c>
      <c r="E13" s="221">
        <f t="shared" si="2"/>
        <v>0</v>
      </c>
      <c r="F13" s="221">
        <f t="shared" si="2"/>
        <v>0.21212121212121213</v>
      </c>
      <c r="G13" s="221">
        <f t="shared" si="2"/>
        <v>0</v>
      </c>
      <c r="H13" s="222">
        <f t="shared" si="1"/>
        <v>1</v>
      </c>
    </row>
    <row r="14" spans="1:10">
      <c r="A14" s="75" t="s">
        <v>881</v>
      </c>
      <c r="B14" s="221">
        <f t="shared" si="2"/>
        <v>0</v>
      </c>
      <c r="C14" s="221">
        <f t="shared" si="2"/>
        <v>0.81707317073170727</v>
      </c>
      <c r="D14" s="221">
        <f t="shared" si="2"/>
        <v>2.4390243902439025E-2</v>
      </c>
      <c r="E14" s="221">
        <f t="shared" si="2"/>
        <v>0</v>
      </c>
      <c r="F14" s="221">
        <f t="shared" si="2"/>
        <v>0.15853658536585366</v>
      </c>
      <c r="G14" s="221">
        <f t="shared" si="2"/>
        <v>0</v>
      </c>
      <c r="H14" s="222">
        <f t="shared" si="1"/>
        <v>1</v>
      </c>
    </row>
    <row r="15" spans="1:10">
      <c r="A15" s="75" t="s">
        <v>882</v>
      </c>
      <c r="B15" s="221">
        <f t="shared" si="2"/>
        <v>0</v>
      </c>
      <c r="C15" s="221">
        <f t="shared" si="2"/>
        <v>0.26111111111111113</v>
      </c>
      <c r="D15" s="221">
        <f t="shared" si="2"/>
        <v>0.66666666666666663</v>
      </c>
      <c r="E15" s="221">
        <f t="shared" si="2"/>
        <v>0</v>
      </c>
      <c r="F15" s="221">
        <f t="shared" si="2"/>
        <v>7.2222222222222215E-2</v>
      </c>
      <c r="G15" s="221">
        <f t="shared" si="2"/>
        <v>0</v>
      </c>
      <c r="H15" s="222">
        <f t="shared" si="1"/>
        <v>1</v>
      </c>
    </row>
    <row r="16" spans="1:10">
      <c r="A16" s="223" t="s">
        <v>883</v>
      </c>
      <c r="B16" s="224">
        <f t="shared" si="2"/>
        <v>0</v>
      </c>
      <c r="C16" s="224">
        <f t="shared" si="2"/>
        <v>2.0172910662824207E-2</v>
      </c>
      <c r="D16" s="224">
        <f t="shared" si="2"/>
        <v>0.29106628242074928</v>
      </c>
      <c r="E16" s="224">
        <f t="shared" si="2"/>
        <v>0.6858789625360231</v>
      </c>
      <c r="F16" s="224">
        <f t="shared" si="2"/>
        <v>2.881844380403458E-3</v>
      </c>
      <c r="G16" s="224">
        <f t="shared" si="2"/>
        <v>0</v>
      </c>
      <c r="H16" s="225">
        <f t="shared" si="1"/>
        <v>1</v>
      </c>
    </row>
  </sheetData>
  <conditionalFormatting sqref="B11:G16">
    <cfRule type="colorScale" priority="1">
      <colorScale>
        <cfvo type="min"/>
        <cfvo type="max"/>
        <color rgb="FFFCFCFF"/>
        <color rgb="FFF8696B"/>
      </colorScale>
    </cfRule>
    <cfRule type="colorScale" priority="2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24F7A-D165-4E18-9413-2B7A326A8415}">
  <dimension ref="A1:AT117"/>
  <sheetViews>
    <sheetView topLeftCell="B1" zoomScale="70" zoomScaleNormal="70" workbookViewId="0">
      <pane xSplit="3" ySplit="1" topLeftCell="E80" activePane="bottomRight" state="frozen"/>
      <selection activeCell="D1" sqref="D1"/>
      <selection pane="topRight" activeCell="E1" sqref="E1"/>
      <selection pane="bottomLeft" activeCell="D2" sqref="D2"/>
      <selection pane="bottomRight" activeCell="AT70" sqref="AT70"/>
    </sheetView>
  </sheetViews>
  <sheetFormatPr baseColWidth="10" defaultColWidth="8.83203125" defaultRowHeight="15"/>
  <cols>
    <col min="1" max="1" width="16.1640625" customWidth="1"/>
    <col min="2" max="2" width="8.83203125" customWidth="1"/>
    <col min="3" max="3" width="13.33203125" customWidth="1"/>
    <col min="4" max="4" width="65.33203125" customWidth="1"/>
    <col min="5" max="5" width="14" customWidth="1"/>
    <col min="6" max="6" width="25" bestFit="1" customWidth="1"/>
    <col min="7" max="7" width="16.1640625" customWidth="1"/>
    <col min="8" max="8" width="17.1640625" customWidth="1"/>
    <col min="10" max="10" width="13.6640625" customWidth="1"/>
    <col min="12" max="12" width="39.83203125" bestFit="1" customWidth="1"/>
    <col min="14" max="14" width="10.83203125" customWidth="1"/>
    <col min="15" max="20" width="8.83203125" customWidth="1"/>
    <col min="21" max="21" width="14" customWidth="1"/>
    <col min="22" max="36" width="8.83203125" hidden="1" customWidth="1"/>
    <col min="37" max="37" width="15.6640625" hidden="1" customWidth="1"/>
    <col min="38" max="41" width="8.83203125" hidden="1" customWidth="1"/>
    <col min="42" max="42" width="8.83203125" customWidth="1"/>
    <col min="43" max="43" width="21.33203125" style="294" customWidth="1"/>
    <col min="44" max="44" width="15.6640625" style="294" customWidth="1"/>
  </cols>
  <sheetData>
    <row r="1" spans="1:45" ht="16" thickBot="1">
      <c r="A1" s="162" t="s">
        <v>486</v>
      </c>
      <c r="B1" s="162" t="s">
        <v>487</v>
      </c>
      <c r="C1" s="162" t="s">
        <v>488</v>
      </c>
      <c r="D1" s="162" t="s">
        <v>489</v>
      </c>
      <c r="E1" s="162" t="s">
        <v>490</v>
      </c>
      <c r="F1" s="162" t="s">
        <v>491</v>
      </c>
      <c r="G1" s="162" t="s">
        <v>492</v>
      </c>
      <c r="H1" s="162" t="s">
        <v>493</v>
      </c>
      <c r="I1" s="162" t="s">
        <v>494</v>
      </c>
      <c r="J1" s="162" t="s">
        <v>495</v>
      </c>
      <c r="K1" s="162" t="s">
        <v>496</v>
      </c>
      <c r="L1" s="162" t="s">
        <v>497</v>
      </c>
      <c r="M1" s="162" t="s">
        <v>498</v>
      </c>
      <c r="N1" s="163" t="s">
        <v>499</v>
      </c>
      <c r="O1" s="163" t="s">
        <v>500</v>
      </c>
      <c r="P1" s="162" t="s">
        <v>501</v>
      </c>
      <c r="Q1" s="162" t="s">
        <v>502</v>
      </c>
      <c r="R1" s="162" t="s">
        <v>503</v>
      </c>
      <c r="S1" s="162" t="s">
        <v>504</v>
      </c>
      <c r="T1" s="162" t="s">
        <v>505</v>
      </c>
      <c r="U1" s="163" t="s">
        <v>506</v>
      </c>
      <c r="V1" s="162" t="s">
        <v>507</v>
      </c>
      <c r="W1" s="162" t="s">
        <v>508</v>
      </c>
      <c r="X1" s="162" t="s">
        <v>509</v>
      </c>
      <c r="Y1" s="162" t="s">
        <v>510</v>
      </c>
      <c r="Z1" s="162" t="s">
        <v>511</v>
      </c>
      <c r="AA1" s="163" t="s">
        <v>512</v>
      </c>
      <c r="AB1" s="163" t="s">
        <v>513</v>
      </c>
      <c r="AC1" s="162" t="s">
        <v>514</v>
      </c>
      <c r="AD1" s="164" t="s">
        <v>515</v>
      </c>
      <c r="AE1" s="165" t="s">
        <v>516</v>
      </c>
      <c r="AF1" s="165" t="s">
        <v>517</v>
      </c>
      <c r="AG1" s="165" t="s">
        <v>518</v>
      </c>
      <c r="AH1" s="165" t="s">
        <v>519</v>
      </c>
      <c r="AI1" s="165" t="s">
        <v>520</v>
      </c>
      <c r="AJ1" s="165" t="s">
        <v>521</v>
      </c>
      <c r="AK1" s="165" t="s">
        <v>522</v>
      </c>
      <c r="AL1" s="164" t="s">
        <v>523</v>
      </c>
      <c r="AM1" s="165" t="s">
        <v>524</v>
      </c>
      <c r="AN1" s="165" t="s">
        <v>525</v>
      </c>
      <c r="AO1" s="165" t="s">
        <v>526</v>
      </c>
      <c r="AQ1" s="291" t="s">
        <v>527</v>
      </c>
      <c r="AR1" s="291" t="s">
        <v>528</v>
      </c>
    </row>
    <row r="2" spans="1:45" ht="16" thickBot="1">
      <c r="A2" s="166" t="s">
        <v>529</v>
      </c>
      <c r="B2" s="166" t="s">
        <v>1018</v>
      </c>
      <c r="C2" s="166" t="s">
        <v>1019</v>
      </c>
      <c r="D2" s="292" t="s">
        <v>530</v>
      </c>
      <c r="E2" s="166">
        <v>240</v>
      </c>
      <c r="F2" s="166" t="s">
        <v>531</v>
      </c>
      <c r="G2" s="166">
        <v>240</v>
      </c>
      <c r="H2" s="166" t="s">
        <v>531</v>
      </c>
      <c r="I2" s="166" t="s">
        <v>532</v>
      </c>
      <c r="J2" s="166" t="s">
        <v>533</v>
      </c>
      <c r="K2" s="166" t="s">
        <v>534</v>
      </c>
      <c r="L2" s="166" t="s">
        <v>535</v>
      </c>
      <c r="M2" s="166" t="s">
        <v>536</v>
      </c>
      <c r="N2" s="167">
        <v>75.09</v>
      </c>
      <c r="O2" s="167">
        <v>14</v>
      </c>
      <c r="P2" s="166" t="s">
        <v>538</v>
      </c>
      <c r="Q2" s="166" t="s">
        <v>539</v>
      </c>
      <c r="R2" s="166" t="s">
        <v>540</v>
      </c>
      <c r="S2" s="166" t="s">
        <v>541</v>
      </c>
      <c r="T2" s="166" t="s">
        <v>542</v>
      </c>
      <c r="U2" s="293">
        <v>1570955</v>
      </c>
      <c r="V2" s="166" t="s">
        <v>543</v>
      </c>
      <c r="W2" s="166" t="s">
        <v>543</v>
      </c>
      <c r="X2" s="166" t="s">
        <v>543</v>
      </c>
      <c r="Y2" s="166" t="s">
        <v>543</v>
      </c>
      <c r="Z2" s="166" t="s">
        <v>543</v>
      </c>
      <c r="AA2" s="167" t="s">
        <v>543</v>
      </c>
      <c r="AB2" s="167" t="s">
        <v>543</v>
      </c>
      <c r="AC2" s="166">
        <v>713758001</v>
      </c>
      <c r="AD2" s="168">
        <v>18</v>
      </c>
      <c r="AE2" s="169">
        <v>44743</v>
      </c>
      <c r="AF2" s="169">
        <v>45838</v>
      </c>
      <c r="AG2" s="170">
        <v>45838</v>
      </c>
      <c r="AH2" s="170" t="s">
        <v>546</v>
      </c>
      <c r="AI2" s="170" t="s">
        <v>547</v>
      </c>
      <c r="AJ2" s="170">
        <v>21</v>
      </c>
      <c r="AK2" s="169">
        <v>45047</v>
      </c>
      <c r="AL2" s="168">
        <v>70</v>
      </c>
      <c r="AM2" s="170" t="s">
        <v>548</v>
      </c>
      <c r="AN2" s="170" t="s">
        <v>549</v>
      </c>
      <c r="AO2" s="170" t="s">
        <v>550</v>
      </c>
      <c r="AQ2" s="294">
        <f>IF(F2="ml (ml)",N2,N2/E2)</f>
        <v>75.09</v>
      </c>
      <c r="AR2" s="294">
        <f>SUMPRODUCT(AQ2:AQ3,U2:U3)/SUMPRODUCT(U2:U3)</f>
        <v>74.676000184473807</v>
      </c>
      <c r="AS2" s="96"/>
    </row>
    <row r="3" spans="1:45" ht="16" thickBot="1">
      <c r="A3" s="166" t="s">
        <v>529</v>
      </c>
      <c r="B3" s="166" t="s">
        <v>1018</v>
      </c>
      <c r="C3" s="166" t="s">
        <v>1019</v>
      </c>
      <c r="D3" s="292" t="s">
        <v>530</v>
      </c>
      <c r="E3" s="166">
        <v>240</v>
      </c>
      <c r="F3" s="166" t="s">
        <v>531</v>
      </c>
      <c r="G3" s="166">
        <v>240</v>
      </c>
      <c r="H3" s="166" t="s">
        <v>531</v>
      </c>
      <c r="I3" s="166" t="s">
        <v>532</v>
      </c>
      <c r="J3" s="166" t="s">
        <v>533</v>
      </c>
      <c r="K3" s="166" t="s">
        <v>551</v>
      </c>
      <c r="L3" s="166" t="s">
        <v>552</v>
      </c>
      <c r="M3" s="166" t="s">
        <v>553</v>
      </c>
      <c r="N3" s="167">
        <v>73.709999999999994</v>
      </c>
      <c r="O3" s="167">
        <v>14</v>
      </c>
      <c r="P3" s="166" t="s">
        <v>538</v>
      </c>
      <c r="Q3" s="166" t="s">
        <v>539</v>
      </c>
      <c r="R3" s="166" t="s">
        <v>540</v>
      </c>
      <c r="S3" s="166" t="s">
        <v>541</v>
      </c>
      <c r="T3" s="166" t="s">
        <v>542</v>
      </c>
      <c r="U3" s="293">
        <v>673266</v>
      </c>
      <c r="V3" s="166">
        <v>8903726249512</v>
      </c>
      <c r="W3" s="166">
        <v>8903726249512</v>
      </c>
      <c r="X3" s="166" t="s">
        <v>543</v>
      </c>
      <c r="Y3" s="166">
        <v>58903726249517</v>
      </c>
      <c r="Z3" s="166" t="s">
        <v>543</v>
      </c>
      <c r="AA3" s="167" t="s">
        <v>543</v>
      </c>
      <c r="AB3" s="167" t="s">
        <v>543</v>
      </c>
      <c r="AC3" s="166" t="s">
        <v>543</v>
      </c>
      <c r="AD3" s="168">
        <v>12</v>
      </c>
      <c r="AE3" s="169">
        <v>44743</v>
      </c>
      <c r="AF3" s="169">
        <v>45838</v>
      </c>
      <c r="AG3" s="169">
        <v>45838</v>
      </c>
      <c r="AH3" s="170" t="s">
        <v>546</v>
      </c>
      <c r="AI3" s="170" t="s">
        <v>555</v>
      </c>
      <c r="AJ3" s="170">
        <v>19</v>
      </c>
      <c r="AK3" s="169">
        <v>45047</v>
      </c>
      <c r="AL3" s="168">
        <v>30</v>
      </c>
      <c r="AM3" s="170" t="s">
        <v>548</v>
      </c>
      <c r="AN3" s="170" t="s">
        <v>549</v>
      </c>
      <c r="AO3" s="170" t="s">
        <v>550</v>
      </c>
      <c r="AP3" t="str">
        <f>IF(D3=D2,"",1)</f>
        <v/>
      </c>
      <c r="AQ3" s="294">
        <f t="shared" ref="AQ3:AQ66" si="0">IF(F3="ml (ml)",N3,N3/E3)</f>
        <v>73.709999999999994</v>
      </c>
    </row>
    <row r="4" spans="1:45" ht="16" thickBot="1">
      <c r="A4" s="166" t="s">
        <v>529</v>
      </c>
      <c r="B4" s="166" t="s">
        <v>1027</v>
      </c>
      <c r="C4" s="166" t="s">
        <v>1028</v>
      </c>
      <c r="D4" s="292" t="s">
        <v>558</v>
      </c>
      <c r="E4" s="166">
        <v>56</v>
      </c>
      <c r="F4" s="166" t="s">
        <v>559</v>
      </c>
      <c r="G4" s="166">
        <v>56</v>
      </c>
      <c r="H4" s="166" t="s">
        <v>559</v>
      </c>
      <c r="I4" s="166" t="s">
        <v>560</v>
      </c>
      <c r="J4" s="166" t="s">
        <v>533</v>
      </c>
      <c r="K4" s="166" t="s">
        <v>561</v>
      </c>
      <c r="L4" s="166" t="s">
        <v>562</v>
      </c>
      <c r="M4" s="166" t="s">
        <v>563</v>
      </c>
      <c r="N4" s="167">
        <v>112.02</v>
      </c>
      <c r="O4" s="167">
        <v>14</v>
      </c>
      <c r="P4" s="166" t="s">
        <v>538</v>
      </c>
      <c r="Q4" s="166" t="s">
        <v>539</v>
      </c>
      <c r="R4" s="166" t="s">
        <v>540</v>
      </c>
      <c r="S4" s="166" t="s">
        <v>541</v>
      </c>
      <c r="T4" s="166" t="s">
        <v>542</v>
      </c>
      <c r="U4" s="293">
        <v>1328675</v>
      </c>
      <c r="V4" s="166">
        <v>6009628333396</v>
      </c>
      <c r="W4" s="166">
        <v>6009628333396</v>
      </c>
      <c r="X4" s="166" t="s">
        <v>543</v>
      </c>
      <c r="Y4" s="166">
        <v>16009628333393</v>
      </c>
      <c r="Z4" s="166" t="s">
        <v>543</v>
      </c>
      <c r="AA4" s="167" t="s">
        <v>543</v>
      </c>
      <c r="AB4" s="167" t="s">
        <v>543</v>
      </c>
      <c r="AC4" s="166" t="s">
        <v>543</v>
      </c>
      <c r="AD4" s="168">
        <v>144</v>
      </c>
      <c r="AE4" s="169">
        <v>44743</v>
      </c>
      <c r="AF4" s="169">
        <v>45838</v>
      </c>
      <c r="AG4" s="170">
        <v>45838</v>
      </c>
      <c r="AH4" s="170" t="s">
        <v>564</v>
      </c>
      <c r="AI4" s="170" t="s">
        <v>565</v>
      </c>
      <c r="AJ4" s="170">
        <v>23</v>
      </c>
      <c r="AK4" s="169">
        <v>45047</v>
      </c>
      <c r="AL4" s="168">
        <v>100</v>
      </c>
      <c r="AM4" s="170" t="s">
        <v>548</v>
      </c>
      <c r="AN4" s="170" t="s">
        <v>549</v>
      </c>
      <c r="AO4" s="170" t="s">
        <v>566</v>
      </c>
      <c r="AP4">
        <f>IF(D4=D3,"",1)</f>
        <v>1</v>
      </c>
      <c r="AQ4" s="294">
        <f t="shared" si="0"/>
        <v>2.0003571428571427</v>
      </c>
      <c r="AR4" s="294">
        <f>AQ4</f>
        <v>2.0003571428571427</v>
      </c>
    </row>
    <row r="5" spans="1:45" ht="16" thickBot="1">
      <c r="A5" s="166" t="s">
        <v>529</v>
      </c>
      <c r="B5" s="166" t="s">
        <v>680</v>
      </c>
      <c r="C5" s="166" t="s">
        <v>1025</v>
      </c>
      <c r="D5" s="292" t="s">
        <v>567</v>
      </c>
      <c r="E5" s="166">
        <v>56</v>
      </c>
      <c r="F5" s="166" t="s">
        <v>559</v>
      </c>
      <c r="G5" s="166">
        <v>56</v>
      </c>
      <c r="H5" s="166" t="s">
        <v>559</v>
      </c>
      <c r="I5" s="166" t="s">
        <v>568</v>
      </c>
      <c r="J5" s="166" t="s">
        <v>533</v>
      </c>
      <c r="K5" s="166" t="s">
        <v>569</v>
      </c>
      <c r="L5" s="166" t="s">
        <v>562</v>
      </c>
      <c r="M5" s="166" t="s">
        <v>563</v>
      </c>
      <c r="N5" s="167">
        <v>42.7</v>
      </c>
      <c r="O5" s="167">
        <v>14</v>
      </c>
      <c r="P5" s="166" t="s">
        <v>538</v>
      </c>
      <c r="Q5" s="166" t="s">
        <v>539</v>
      </c>
      <c r="R5" s="166" t="s">
        <v>540</v>
      </c>
      <c r="S5" s="166" t="s">
        <v>541</v>
      </c>
      <c r="T5" s="166" t="s">
        <v>542</v>
      </c>
      <c r="U5" s="293">
        <v>822558</v>
      </c>
      <c r="V5" s="166">
        <v>6009628332788</v>
      </c>
      <c r="W5" s="166" t="s">
        <v>543</v>
      </c>
      <c r="X5" s="166" t="s">
        <v>543</v>
      </c>
      <c r="Y5" s="166">
        <v>16009628332785</v>
      </c>
      <c r="Z5" s="166" t="s">
        <v>543</v>
      </c>
      <c r="AA5" s="167" t="s">
        <v>543</v>
      </c>
      <c r="AB5" s="167" t="s">
        <v>543</v>
      </c>
      <c r="AC5" s="166">
        <v>718160001</v>
      </c>
      <c r="AD5" s="168">
        <v>72</v>
      </c>
      <c r="AE5" s="169">
        <v>44743</v>
      </c>
      <c r="AF5" s="169">
        <v>45838</v>
      </c>
      <c r="AG5" s="170">
        <v>45838</v>
      </c>
      <c r="AH5" s="170" t="s">
        <v>570</v>
      </c>
      <c r="AI5" s="170" t="s">
        <v>565</v>
      </c>
      <c r="AJ5" s="170">
        <v>23</v>
      </c>
      <c r="AK5" s="169">
        <v>45047</v>
      </c>
      <c r="AL5" s="168">
        <v>100</v>
      </c>
      <c r="AM5" s="170" t="s">
        <v>548</v>
      </c>
      <c r="AN5" s="170" t="s">
        <v>549</v>
      </c>
      <c r="AO5" s="170" t="s">
        <v>571</v>
      </c>
      <c r="AP5">
        <f t="shared" ref="AP5:AP67" si="1">IF(D5=D4,"",1)</f>
        <v>1</v>
      </c>
      <c r="AQ5" s="294">
        <f t="shared" si="0"/>
        <v>0.76250000000000007</v>
      </c>
      <c r="AR5" s="294">
        <f t="shared" ref="AR5:AR12" si="2">AQ5</f>
        <v>0.76250000000000007</v>
      </c>
    </row>
    <row r="6" spans="1:45" ht="16" thickBot="1">
      <c r="A6" s="166" t="s">
        <v>529</v>
      </c>
      <c r="B6" s="166" t="s">
        <v>637</v>
      </c>
      <c r="C6" s="166" t="s">
        <v>995</v>
      </c>
      <c r="D6" s="292" t="s">
        <v>572</v>
      </c>
      <c r="E6" s="166">
        <v>28</v>
      </c>
      <c r="F6" s="166" t="s">
        <v>559</v>
      </c>
      <c r="G6" s="166">
        <v>28</v>
      </c>
      <c r="H6" s="166" t="s">
        <v>559</v>
      </c>
      <c r="I6" s="166" t="s">
        <v>560</v>
      </c>
      <c r="J6" s="166" t="s">
        <v>574</v>
      </c>
      <c r="K6" s="166" t="s">
        <v>575</v>
      </c>
      <c r="L6" s="166" t="s">
        <v>576</v>
      </c>
      <c r="M6" s="166" t="s">
        <v>577</v>
      </c>
      <c r="N6" s="167">
        <v>253.41</v>
      </c>
      <c r="O6" s="167">
        <v>14</v>
      </c>
      <c r="P6" s="166" t="s">
        <v>538</v>
      </c>
      <c r="Q6" s="166" t="s">
        <v>539</v>
      </c>
      <c r="R6" s="166" t="s">
        <v>578</v>
      </c>
      <c r="S6" s="166" t="s">
        <v>171</v>
      </c>
      <c r="T6" s="166" t="s">
        <v>542</v>
      </c>
      <c r="U6" s="293">
        <v>597943</v>
      </c>
      <c r="V6" s="166">
        <v>6009688291582</v>
      </c>
      <c r="W6" s="166">
        <v>6009688291582</v>
      </c>
      <c r="X6" s="166" t="s">
        <v>543</v>
      </c>
      <c r="Y6" s="166">
        <v>16009688291589</v>
      </c>
      <c r="Z6" s="166" t="s">
        <v>543</v>
      </c>
      <c r="AA6" s="167" t="s">
        <v>543</v>
      </c>
      <c r="AB6" s="167" t="s">
        <v>543</v>
      </c>
      <c r="AC6" s="166" t="s">
        <v>543</v>
      </c>
      <c r="AD6" s="168">
        <v>64</v>
      </c>
      <c r="AE6" s="169">
        <v>44743</v>
      </c>
      <c r="AF6" s="169">
        <v>45838</v>
      </c>
      <c r="AG6" s="169">
        <v>45838</v>
      </c>
      <c r="AH6" s="170" t="s">
        <v>579</v>
      </c>
      <c r="AI6" s="170" t="s">
        <v>580</v>
      </c>
      <c r="AJ6" s="170">
        <v>20</v>
      </c>
      <c r="AK6" s="169">
        <v>45047</v>
      </c>
      <c r="AL6" s="168">
        <v>100</v>
      </c>
      <c r="AM6" s="170" t="s">
        <v>548</v>
      </c>
      <c r="AN6" s="170" t="s">
        <v>549</v>
      </c>
      <c r="AO6" s="170" t="s">
        <v>582</v>
      </c>
      <c r="AP6">
        <f t="shared" si="1"/>
        <v>1</v>
      </c>
      <c r="AQ6" s="294">
        <f t="shared" si="0"/>
        <v>9.050357142857143</v>
      </c>
      <c r="AR6" s="294">
        <f t="shared" si="2"/>
        <v>9.050357142857143</v>
      </c>
    </row>
    <row r="7" spans="1:45" ht="16" thickBot="1">
      <c r="A7" s="166" t="s">
        <v>529</v>
      </c>
      <c r="B7" s="166" t="s">
        <v>686</v>
      </c>
      <c r="C7" s="166" t="s">
        <v>980</v>
      </c>
      <c r="D7" s="292" t="s">
        <v>583</v>
      </c>
      <c r="E7" s="166">
        <v>60</v>
      </c>
      <c r="F7" s="166" t="s">
        <v>584</v>
      </c>
      <c r="G7" s="166">
        <v>60</v>
      </c>
      <c r="H7" s="166" t="s">
        <v>584</v>
      </c>
      <c r="I7" s="166" t="s">
        <v>585</v>
      </c>
      <c r="J7" s="166" t="s">
        <v>586</v>
      </c>
      <c r="K7" s="166" t="s">
        <v>587</v>
      </c>
      <c r="L7" s="166" t="s">
        <v>588</v>
      </c>
      <c r="M7" s="166" t="s">
        <v>589</v>
      </c>
      <c r="N7" s="167">
        <v>378.28</v>
      </c>
      <c r="O7" s="167">
        <v>14</v>
      </c>
      <c r="P7" s="166" t="s">
        <v>538</v>
      </c>
      <c r="Q7" s="166" t="s">
        <v>539</v>
      </c>
      <c r="R7" s="166" t="s">
        <v>578</v>
      </c>
      <c r="S7" s="166" t="s">
        <v>171</v>
      </c>
      <c r="T7" s="166" t="s">
        <v>542</v>
      </c>
      <c r="U7" s="293">
        <v>83263</v>
      </c>
      <c r="V7" s="166">
        <v>6009695244854</v>
      </c>
      <c r="W7" s="166" t="s">
        <v>543</v>
      </c>
      <c r="X7" s="166" t="s">
        <v>543</v>
      </c>
      <c r="Y7" s="166">
        <v>16009695244851</v>
      </c>
      <c r="Z7" s="166" t="s">
        <v>543</v>
      </c>
      <c r="AA7" s="167" t="s">
        <v>543</v>
      </c>
      <c r="AB7" s="167" t="s">
        <v>543</v>
      </c>
      <c r="AC7" s="166" t="s">
        <v>543</v>
      </c>
      <c r="AD7" s="168">
        <v>48</v>
      </c>
      <c r="AE7" s="169">
        <v>44743</v>
      </c>
      <c r="AF7" s="169">
        <v>45838</v>
      </c>
      <c r="AG7" s="169">
        <v>45838</v>
      </c>
      <c r="AH7" s="170" t="s">
        <v>591</v>
      </c>
      <c r="AI7" s="170" t="s">
        <v>592</v>
      </c>
      <c r="AJ7" s="170">
        <v>10</v>
      </c>
      <c r="AK7" s="169">
        <v>44958</v>
      </c>
      <c r="AL7" s="168">
        <v>100</v>
      </c>
      <c r="AM7" s="170" t="s">
        <v>548</v>
      </c>
      <c r="AN7" s="170" t="s">
        <v>549</v>
      </c>
      <c r="AO7" s="170" t="s">
        <v>594</v>
      </c>
      <c r="AP7">
        <f t="shared" si="1"/>
        <v>1</v>
      </c>
      <c r="AQ7" s="294">
        <f t="shared" si="0"/>
        <v>6.304666666666666</v>
      </c>
      <c r="AR7" s="294">
        <f t="shared" si="2"/>
        <v>6.304666666666666</v>
      </c>
    </row>
    <row r="8" spans="1:45" ht="16" thickBot="1">
      <c r="A8" s="166" t="s">
        <v>529</v>
      </c>
      <c r="B8" s="166" t="s">
        <v>581</v>
      </c>
      <c r="C8" s="166" t="s">
        <v>979</v>
      </c>
      <c r="D8" s="292" t="s">
        <v>595</v>
      </c>
      <c r="E8" s="166">
        <v>30</v>
      </c>
      <c r="F8" s="166" t="s">
        <v>584</v>
      </c>
      <c r="G8" s="166">
        <v>30</v>
      </c>
      <c r="H8" s="166" t="s">
        <v>584</v>
      </c>
      <c r="I8" s="166" t="s">
        <v>585</v>
      </c>
      <c r="J8" s="166" t="s">
        <v>586</v>
      </c>
      <c r="K8" s="166" t="s">
        <v>596</v>
      </c>
      <c r="L8" s="166" t="s">
        <v>588</v>
      </c>
      <c r="M8" s="166" t="s">
        <v>589</v>
      </c>
      <c r="N8" s="167">
        <v>268.86</v>
      </c>
      <c r="O8" s="167">
        <v>14</v>
      </c>
      <c r="P8" s="166" t="s">
        <v>538</v>
      </c>
      <c r="Q8" s="166" t="s">
        <v>539</v>
      </c>
      <c r="R8" s="166" t="s">
        <v>578</v>
      </c>
      <c r="S8" s="166" t="s">
        <v>171</v>
      </c>
      <c r="T8" s="166" t="s">
        <v>542</v>
      </c>
      <c r="U8" s="293">
        <v>68156</v>
      </c>
      <c r="V8" s="166">
        <v>6009695244861</v>
      </c>
      <c r="W8" s="166" t="s">
        <v>543</v>
      </c>
      <c r="X8" s="166" t="s">
        <v>543</v>
      </c>
      <c r="Y8" s="166">
        <v>16009695244868</v>
      </c>
      <c r="Z8" s="166" t="s">
        <v>543</v>
      </c>
      <c r="AA8" s="167" t="s">
        <v>543</v>
      </c>
      <c r="AB8" s="167" t="s">
        <v>543</v>
      </c>
      <c r="AC8" s="166" t="s">
        <v>543</v>
      </c>
      <c r="AD8" s="168">
        <v>48</v>
      </c>
      <c r="AE8" s="169">
        <v>44743</v>
      </c>
      <c r="AF8" s="169">
        <v>45838</v>
      </c>
      <c r="AG8" s="169">
        <v>45838</v>
      </c>
      <c r="AH8" s="170" t="s">
        <v>597</v>
      </c>
      <c r="AI8" s="170" t="s">
        <v>592</v>
      </c>
      <c r="AJ8" s="170">
        <v>10</v>
      </c>
      <c r="AK8" s="169">
        <v>44958</v>
      </c>
      <c r="AL8" s="168">
        <v>100</v>
      </c>
      <c r="AM8" s="170" t="s">
        <v>548</v>
      </c>
      <c r="AN8" s="170" t="s">
        <v>549</v>
      </c>
      <c r="AO8" s="170" t="s">
        <v>598</v>
      </c>
      <c r="AP8">
        <f t="shared" si="1"/>
        <v>1</v>
      </c>
      <c r="AQ8" s="294">
        <f t="shared" si="0"/>
        <v>8.9619999999999997</v>
      </c>
      <c r="AR8" s="294">
        <f t="shared" si="2"/>
        <v>8.9619999999999997</v>
      </c>
    </row>
    <row r="9" spans="1:45" ht="16" thickBot="1">
      <c r="A9" s="166" t="s">
        <v>529</v>
      </c>
      <c r="B9" s="166" t="s">
        <v>784</v>
      </c>
      <c r="C9" s="166" t="s">
        <v>1021</v>
      </c>
      <c r="D9" s="292" t="s">
        <v>599</v>
      </c>
      <c r="E9" s="166">
        <v>56</v>
      </c>
      <c r="F9" s="166" t="s">
        <v>559</v>
      </c>
      <c r="G9" s="166">
        <v>56</v>
      </c>
      <c r="H9" s="166" t="s">
        <v>559</v>
      </c>
      <c r="I9" s="166" t="s">
        <v>560</v>
      </c>
      <c r="J9" s="166" t="s">
        <v>600</v>
      </c>
      <c r="K9" s="166" t="s">
        <v>601</v>
      </c>
      <c r="L9" s="166" t="s">
        <v>562</v>
      </c>
      <c r="M9" s="166" t="s">
        <v>563</v>
      </c>
      <c r="N9" s="167">
        <v>431.63</v>
      </c>
      <c r="O9" s="167">
        <v>14</v>
      </c>
      <c r="P9" s="166" t="s">
        <v>538</v>
      </c>
      <c r="Q9" s="166" t="s">
        <v>539</v>
      </c>
      <c r="R9" s="166" t="s">
        <v>602</v>
      </c>
      <c r="S9" s="166" t="s">
        <v>171</v>
      </c>
      <c r="T9" s="166" t="s">
        <v>160</v>
      </c>
      <c r="U9" s="293">
        <v>41903</v>
      </c>
      <c r="V9" s="166" t="s">
        <v>543</v>
      </c>
      <c r="W9" s="166" t="s">
        <v>543</v>
      </c>
      <c r="X9" s="166" t="s">
        <v>543</v>
      </c>
      <c r="Y9" s="166" t="s">
        <v>543</v>
      </c>
      <c r="Z9" s="166" t="s">
        <v>543</v>
      </c>
      <c r="AA9" s="167" t="s">
        <v>543</v>
      </c>
      <c r="AB9" s="167" t="s">
        <v>543</v>
      </c>
      <c r="AC9" s="166" t="s">
        <v>543</v>
      </c>
      <c r="AD9" s="168">
        <v>24</v>
      </c>
      <c r="AE9" s="169">
        <v>44743</v>
      </c>
      <c r="AF9" s="169">
        <v>45838</v>
      </c>
      <c r="AG9" s="170">
        <v>45838</v>
      </c>
      <c r="AH9" s="170" t="s">
        <v>604</v>
      </c>
      <c r="AI9" s="170" t="s">
        <v>565</v>
      </c>
      <c r="AJ9" s="170">
        <v>23</v>
      </c>
      <c r="AK9" s="169">
        <v>45047</v>
      </c>
      <c r="AL9" s="168">
        <v>100</v>
      </c>
      <c r="AM9" s="170" t="s">
        <v>548</v>
      </c>
      <c r="AN9" s="170" t="s">
        <v>549</v>
      </c>
      <c r="AO9" s="170" t="s">
        <v>605</v>
      </c>
      <c r="AP9">
        <f t="shared" si="1"/>
        <v>1</v>
      </c>
      <c r="AQ9" s="294">
        <f>IF(F9="ml (ml)",N9,N9/E9)</f>
        <v>7.7076785714285716</v>
      </c>
      <c r="AR9" s="294">
        <f t="shared" si="2"/>
        <v>7.7076785714285716</v>
      </c>
    </row>
    <row r="10" spans="1:45" ht="16" thickBot="1">
      <c r="A10" s="166" t="s">
        <v>529</v>
      </c>
      <c r="B10" s="166" t="s">
        <v>556</v>
      </c>
      <c r="C10" s="166" t="s">
        <v>969</v>
      </c>
      <c r="D10" s="292" t="s">
        <v>606</v>
      </c>
      <c r="E10" s="166">
        <v>240</v>
      </c>
      <c r="F10" s="166" t="s">
        <v>559</v>
      </c>
      <c r="G10" s="166">
        <v>240</v>
      </c>
      <c r="H10" s="166" t="s">
        <v>559</v>
      </c>
      <c r="I10" s="166" t="s">
        <v>560</v>
      </c>
      <c r="J10" s="166" t="s">
        <v>607</v>
      </c>
      <c r="K10" s="166" t="s">
        <v>608</v>
      </c>
      <c r="L10" s="166" t="s">
        <v>609</v>
      </c>
      <c r="M10" s="166" t="s">
        <v>610</v>
      </c>
      <c r="N10" s="167">
        <v>816.44</v>
      </c>
      <c r="O10" s="167">
        <v>7</v>
      </c>
      <c r="P10" s="166" t="s">
        <v>611</v>
      </c>
      <c r="Q10" s="166" t="s">
        <v>612</v>
      </c>
      <c r="R10" s="166" t="s">
        <v>613</v>
      </c>
      <c r="S10" s="166" t="s">
        <v>614</v>
      </c>
      <c r="T10" s="166" t="s">
        <v>160</v>
      </c>
      <c r="U10" s="293">
        <v>5881</v>
      </c>
      <c r="V10" s="166">
        <v>6001390131576</v>
      </c>
      <c r="W10" s="166" t="s">
        <v>543</v>
      </c>
      <c r="X10" s="166" t="s">
        <v>543</v>
      </c>
      <c r="Y10" s="166" t="s">
        <v>543</v>
      </c>
      <c r="Z10" s="166" t="s">
        <v>543</v>
      </c>
      <c r="AA10" s="167" t="s">
        <v>543</v>
      </c>
      <c r="AB10" s="167" t="s">
        <v>543</v>
      </c>
      <c r="AC10" s="166">
        <v>719710001</v>
      </c>
      <c r="AD10" s="168">
        <v>1</v>
      </c>
      <c r="AE10" s="169">
        <v>44743</v>
      </c>
      <c r="AF10" s="169">
        <v>45838</v>
      </c>
      <c r="AG10" s="170" t="s">
        <v>545</v>
      </c>
      <c r="AH10" s="170" t="s">
        <v>616</v>
      </c>
      <c r="AI10" s="170" t="s">
        <v>617</v>
      </c>
      <c r="AJ10" s="170">
        <v>0</v>
      </c>
      <c r="AK10" s="169">
        <v>44743</v>
      </c>
      <c r="AL10" s="168">
        <v>100</v>
      </c>
      <c r="AM10" s="170" t="s">
        <v>548</v>
      </c>
      <c r="AN10" s="170" t="s">
        <v>549</v>
      </c>
      <c r="AO10" s="170" t="s">
        <v>618</v>
      </c>
      <c r="AP10">
        <f t="shared" si="1"/>
        <v>1</v>
      </c>
      <c r="AQ10" s="294">
        <f t="shared" si="0"/>
        <v>3.4018333333333337</v>
      </c>
      <c r="AR10" s="294">
        <f t="shared" si="2"/>
        <v>3.4018333333333337</v>
      </c>
    </row>
    <row r="11" spans="1:45" ht="16" thickBot="1">
      <c r="A11" s="166" t="s">
        <v>529</v>
      </c>
      <c r="B11" s="166" t="s">
        <v>554</v>
      </c>
      <c r="C11" s="166" t="s">
        <v>981</v>
      </c>
      <c r="D11" s="292" t="s">
        <v>619</v>
      </c>
      <c r="E11" s="166">
        <v>56</v>
      </c>
      <c r="F11" s="166" t="s">
        <v>559</v>
      </c>
      <c r="G11" s="166">
        <v>56</v>
      </c>
      <c r="H11" s="166" t="s">
        <v>559</v>
      </c>
      <c r="I11" s="166" t="s">
        <v>560</v>
      </c>
      <c r="J11" s="166" t="s">
        <v>607</v>
      </c>
      <c r="K11" s="166" t="s">
        <v>620</v>
      </c>
      <c r="L11" s="166" t="s">
        <v>588</v>
      </c>
      <c r="M11" s="166" t="s">
        <v>589</v>
      </c>
      <c r="N11" s="167">
        <v>878.06</v>
      </c>
      <c r="O11" s="167">
        <v>14</v>
      </c>
      <c r="P11" s="166" t="s">
        <v>611</v>
      </c>
      <c r="Q11" s="166" t="s">
        <v>612</v>
      </c>
      <c r="R11" s="166" t="s">
        <v>613</v>
      </c>
      <c r="S11" s="166" t="s">
        <v>614</v>
      </c>
      <c r="T11" s="166" t="s">
        <v>160</v>
      </c>
      <c r="U11" s="293">
        <v>79038</v>
      </c>
      <c r="V11" s="166">
        <v>6009695244960</v>
      </c>
      <c r="W11" s="166" t="s">
        <v>543</v>
      </c>
      <c r="X11" s="166" t="s">
        <v>543</v>
      </c>
      <c r="Y11" s="166">
        <v>16009695244967</v>
      </c>
      <c r="Z11" s="166" t="s">
        <v>543</v>
      </c>
      <c r="AA11" s="167" t="s">
        <v>543</v>
      </c>
      <c r="AB11" s="167" t="s">
        <v>543</v>
      </c>
      <c r="AC11" s="166" t="s">
        <v>543</v>
      </c>
      <c r="AD11" s="168">
        <v>12</v>
      </c>
      <c r="AE11" s="169">
        <v>44743</v>
      </c>
      <c r="AF11" s="169">
        <v>45838</v>
      </c>
      <c r="AG11" s="169">
        <v>45838</v>
      </c>
      <c r="AH11" s="170" t="s">
        <v>621</v>
      </c>
      <c r="AI11" s="170" t="s">
        <v>592</v>
      </c>
      <c r="AJ11" s="170">
        <v>10</v>
      </c>
      <c r="AK11" s="169">
        <v>44958</v>
      </c>
      <c r="AL11" s="168">
        <v>100</v>
      </c>
      <c r="AM11" s="170" t="s">
        <v>548</v>
      </c>
      <c r="AN11" s="170" t="s">
        <v>549</v>
      </c>
      <c r="AO11" s="170" t="s">
        <v>622</v>
      </c>
      <c r="AP11">
        <f t="shared" si="1"/>
        <v>1</v>
      </c>
      <c r="AQ11" s="294">
        <f t="shared" si="0"/>
        <v>15.679642857142856</v>
      </c>
      <c r="AR11" s="294">
        <f t="shared" si="2"/>
        <v>15.679642857142856</v>
      </c>
    </row>
    <row r="12" spans="1:45" ht="16" thickBot="1">
      <c r="A12" s="166" t="s">
        <v>529</v>
      </c>
      <c r="B12" s="166" t="s">
        <v>965</v>
      </c>
      <c r="C12" s="166" t="s">
        <v>966</v>
      </c>
      <c r="D12" s="292" t="s">
        <v>623</v>
      </c>
      <c r="E12" s="166">
        <v>480</v>
      </c>
      <c r="F12" s="166" t="s">
        <v>559</v>
      </c>
      <c r="G12" s="166">
        <v>480</v>
      </c>
      <c r="H12" s="166" t="s">
        <v>559</v>
      </c>
      <c r="I12" s="166" t="s">
        <v>560</v>
      </c>
      <c r="J12" s="166" t="s">
        <v>607</v>
      </c>
      <c r="K12" s="166" t="s">
        <v>624</v>
      </c>
      <c r="L12" s="166" t="s">
        <v>609</v>
      </c>
      <c r="M12" s="166" t="s">
        <v>610</v>
      </c>
      <c r="N12" s="167">
        <v>910.05</v>
      </c>
      <c r="O12" s="167">
        <v>7</v>
      </c>
      <c r="P12" s="166" t="s">
        <v>611</v>
      </c>
      <c r="Q12" s="166" t="s">
        <v>612</v>
      </c>
      <c r="R12" s="166" t="s">
        <v>613</v>
      </c>
      <c r="S12" s="166" t="s">
        <v>614</v>
      </c>
      <c r="T12" s="166" t="s">
        <v>160</v>
      </c>
      <c r="U12" s="293">
        <v>1816</v>
      </c>
      <c r="V12" s="166">
        <v>6001390131552</v>
      </c>
      <c r="W12" s="166" t="s">
        <v>543</v>
      </c>
      <c r="X12" s="166" t="s">
        <v>543</v>
      </c>
      <c r="Y12" s="166" t="s">
        <v>543</v>
      </c>
      <c r="Z12" s="166" t="s">
        <v>543</v>
      </c>
      <c r="AA12" s="167" t="s">
        <v>543</v>
      </c>
      <c r="AB12" s="167" t="s">
        <v>543</v>
      </c>
      <c r="AC12" s="166">
        <v>719709001</v>
      </c>
      <c r="AD12" s="168">
        <v>1</v>
      </c>
      <c r="AE12" s="169">
        <v>44743</v>
      </c>
      <c r="AF12" s="169">
        <v>45838</v>
      </c>
      <c r="AG12" s="170" t="s">
        <v>545</v>
      </c>
      <c r="AH12" s="170" t="s">
        <v>625</v>
      </c>
      <c r="AI12" s="170" t="s">
        <v>617</v>
      </c>
      <c r="AJ12" s="170">
        <v>0</v>
      </c>
      <c r="AK12" s="169">
        <v>44743</v>
      </c>
      <c r="AL12" s="168">
        <v>100</v>
      </c>
      <c r="AM12" s="170" t="s">
        <v>548</v>
      </c>
      <c r="AN12" s="170" t="s">
        <v>549</v>
      </c>
      <c r="AO12" s="170" t="s">
        <v>626</v>
      </c>
      <c r="AP12">
        <f t="shared" si="1"/>
        <v>1</v>
      </c>
      <c r="AQ12" s="294">
        <f t="shared" si="0"/>
        <v>1.8959374999999998</v>
      </c>
      <c r="AR12" s="294">
        <f t="shared" si="2"/>
        <v>1.8959374999999998</v>
      </c>
    </row>
    <row r="13" spans="1:45" ht="16" thickBot="1">
      <c r="A13" s="166" t="s">
        <v>529</v>
      </c>
      <c r="B13" s="166" t="s">
        <v>992</v>
      </c>
      <c r="C13" s="166" t="s">
        <v>1022</v>
      </c>
      <c r="D13" s="292" t="s">
        <v>1023</v>
      </c>
      <c r="E13" s="166">
        <v>30</v>
      </c>
      <c r="F13" s="166" t="s">
        <v>559</v>
      </c>
      <c r="G13" s="166">
        <v>30</v>
      </c>
      <c r="H13" s="166" t="s">
        <v>559</v>
      </c>
      <c r="I13" s="166" t="s">
        <v>628</v>
      </c>
      <c r="J13" s="166" t="s">
        <v>629</v>
      </c>
      <c r="K13" s="166" t="s">
        <v>630</v>
      </c>
      <c r="L13" s="166" t="s">
        <v>631</v>
      </c>
      <c r="M13" s="166" t="s">
        <v>632</v>
      </c>
      <c r="N13" s="167">
        <v>47.55</v>
      </c>
      <c r="O13" s="167">
        <v>14</v>
      </c>
      <c r="P13" s="166" t="s">
        <v>538</v>
      </c>
      <c r="Q13" s="166" t="s">
        <v>539</v>
      </c>
      <c r="R13" s="166" t="s">
        <v>633</v>
      </c>
      <c r="S13" s="166" t="s">
        <v>171</v>
      </c>
      <c r="T13" s="166" t="s">
        <v>542</v>
      </c>
      <c r="U13" s="293">
        <v>103022</v>
      </c>
      <c r="V13" s="166" t="s">
        <v>543</v>
      </c>
      <c r="W13" s="166" t="s">
        <v>543</v>
      </c>
      <c r="X13" s="166" t="s">
        <v>543</v>
      </c>
      <c r="Y13" s="166">
        <v>4600288004392</v>
      </c>
      <c r="Z13" s="166" t="s">
        <v>543</v>
      </c>
      <c r="AA13" s="167" t="s">
        <v>543</v>
      </c>
      <c r="AB13" s="167" t="s">
        <v>543</v>
      </c>
      <c r="AC13" s="166" t="s">
        <v>543</v>
      </c>
      <c r="AD13" s="168">
        <v>44</v>
      </c>
      <c r="AE13" s="169">
        <v>44743</v>
      </c>
      <c r="AF13" s="169">
        <v>45838</v>
      </c>
      <c r="AG13" s="169">
        <v>45838</v>
      </c>
      <c r="AH13" s="170" t="s">
        <v>635</v>
      </c>
      <c r="AI13" s="170" t="s">
        <v>636</v>
      </c>
      <c r="AJ13" s="170">
        <v>22</v>
      </c>
      <c r="AK13" s="169">
        <v>45047</v>
      </c>
      <c r="AL13" s="168">
        <v>100</v>
      </c>
      <c r="AM13" s="170" t="s">
        <v>548</v>
      </c>
      <c r="AN13" s="170" t="s">
        <v>549</v>
      </c>
      <c r="AO13" s="170" t="s">
        <v>638</v>
      </c>
      <c r="AP13">
        <f t="shared" si="1"/>
        <v>1</v>
      </c>
      <c r="AQ13" s="294">
        <f t="shared" si="0"/>
        <v>1.585</v>
      </c>
      <c r="AR13" s="294">
        <f>SUMPRODUCT(AQ13:AQ16,U13:U16)/SUMPRODUCT(U13:U16)</f>
        <v>1.0834438539156492</v>
      </c>
    </row>
    <row r="14" spans="1:45" ht="16" thickBot="1">
      <c r="A14" s="166" t="s">
        <v>529</v>
      </c>
      <c r="B14" s="166" t="s">
        <v>544</v>
      </c>
      <c r="C14" s="166" t="s">
        <v>1015</v>
      </c>
      <c r="D14" s="292" t="s">
        <v>627</v>
      </c>
      <c r="E14" s="166">
        <v>30</v>
      </c>
      <c r="F14" s="166" t="s">
        <v>559</v>
      </c>
      <c r="G14" s="166">
        <v>30</v>
      </c>
      <c r="H14" s="166" t="s">
        <v>559</v>
      </c>
      <c r="I14" s="166" t="s">
        <v>560</v>
      </c>
      <c r="J14" s="166" t="s">
        <v>629</v>
      </c>
      <c r="K14" s="166" t="s">
        <v>642</v>
      </c>
      <c r="L14" s="166" t="s">
        <v>552</v>
      </c>
      <c r="M14" s="166" t="s">
        <v>553</v>
      </c>
      <c r="N14" s="167">
        <v>26.6</v>
      </c>
      <c r="O14" s="167">
        <v>14</v>
      </c>
      <c r="P14" s="166" t="s">
        <v>538</v>
      </c>
      <c r="Q14" s="166" t="s">
        <v>539</v>
      </c>
      <c r="R14" s="166" t="s">
        <v>633</v>
      </c>
      <c r="S14" s="166" t="s">
        <v>541</v>
      </c>
      <c r="T14" s="166" t="s">
        <v>542</v>
      </c>
      <c r="U14" s="293">
        <v>2611183</v>
      </c>
      <c r="V14" s="166" t="s">
        <v>543</v>
      </c>
      <c r="W14" s="166" t="s">
        <v>543</v>
      </c>
      <c r="X14" s="166" t="s">
        <v>543</v>
      </c>
      <c r="Y14" s="166" t="s">
        <v>543</v>
      </c>
      <c r="Z14" s="166" t="s">
        <v>543</v>
      </c>
      <c r="AA14" s="167" t="s">
        <v>543</v>
      </c>
      <c r="AB14" s="167" t="s">
        <v>543</v>
      </c>
      <c r="AC14" s="166" t="s">
        <v>543</v>
      </c>
      <c r="AD14" s="168">
        <v>112</v>
      </c>
      <c r="AE14" s="169">
        <v>44743</v>
      </c>
      <c r="AF14" s="169">
        <v>45838</v>
      </c>
      <c r="AG14" s="170">
        <v>45838</v>
      </c>
      <c r="AH14" s="170" t="s">
        <v>640</v>
      </c>
      <c r="AI14" s="170" t="s">
        <v>555</v>
      </c>
      <c r="AJ14" s="170">
        <v>19</v>
      </c>
      <c r="AK14" s="169">
        <v>45047</v>
      </c>
      <c r="AL14" s="168">
        <v>36</v>
      </c>
      <c r="AM14" s="170" t="s">
        <v>548</v>
      </c>
      <c r="AN14" s="170" t="s">
        <v>549</v>
      </c>
      <c r="AO14" s="170" t="s">
        <v>641</v>
      </c>
      <c r="AP14">
        <f t="shared" si="1"/>
        <v>1</v>
      </c>
      <c r="AQ14" s="294">
        <f t="shared" si="0"/>
        <v>0.88666666666666671</v>
      </c>
    </row>
    <row r="15" spans="1:45" ht="16" thickBot="1">
      <c r="A15" s="166" t="s">
        <v>529</v>
      </c>
      <c r="B15" s="166" t="s">
        <v>544</v>
      </c>
      <c r="C15" s="166" t="s">
        <v>1015</v>
      </c>
      <c r="D15" s="292" t="s">
        <v>627</v>
      </c>
      <c r="E15" s="166">
        <v>30</v>
      </c>
      <c r="F15" s="166" t="s">
        <v>559</v>
      </c>
      <c r="G15" s="166">
        <v>30</v>
      </c>
      <c r="H15" s="166" t="s">
        <v>559</v>
      </c>
      <c r="I15" s="166" t="s">
        <v>560</v>
      </c>
      <c r="J15" s="166" t="s">
        <v>629</v>
      </c>
      <c r="K15" s="166" t="s">
        <v>630</v>
      </c>
      <c r="L15" s="166" t="s">
        <v>631</v>
      </c>
      <c r="M15" s="166" t="s">
        <v>632</v>
      </c>
      <c r="N15" s="167">
        <v>41.97</v>
      </c>
      <c r="O15" s="167">
        <v>14</v>
      </c>
      <c r="P15" s="166" t="s">
        <v>538</v>
      </c>
      <c r="Q15" s="166" t="s">
        <v>539</v>
      </c>
      <c r="R15" s="166" t="s">
        <v>633</v>
      </c>
      <c r="S15" s="166" t="s">
        <v>541</v>
      </c>
      <c r="T15" s="166" t="s">
        <v>542</v>
      </c>
      <c r="U15" s="293">
        <v>2901314</v>
      </c>
      <c r="V15" s="166">
        <v>6008288004394</v>
      </c>
      <c r="W15" s="166">
        <v>6008288004394</v>
      </c>
      <c r="X15" s="166" t="s">
        <v>543</v>
      </c>
      <c r="Y15" s="166">
        <v>4600288004392</v>
      </c>
      <c r="Z15" s="166" t="s">
        <v>543</v>
      </c>
      <c r="AA15" s="167" t="s">
        <v>543</v>
      </c>
      <c r="AB15" s="167" t="s">
        <v>543</v>
      </c>
      <c r="AC15" s="166" t="s">
        <v>543</v>
      </c>
      <c r="AD15" s="168">
        <v>44</v>
      </c>
      <c r="AE15" s="169">
        <v>44743</v>
      </c>
      <c r="AF15" s="169">
        <v>45838</v>
      </c>
      <c r="AG15" s="169">
        <v>45838</v>
      </c>
      <c r="AH15" s="170" t="s">
        <v>640</v>
      </c>
      <c r="AI15" s="170" t="s">
        <v>636</v>
      </c>
      <c r="AJ15" s="170">
        <v>22</v>
      </c>
      <c r="AK15" s="169">
        <v>45047</v>
      </c>
      <c r="AL15" s="168">
        <v>40</v>
      </c>
      <c r="AM15" s="170" t="s">
        <v>548</v>
      </c>
      <c r="AN15" s="170" t="s">
        <v>549</v>
      </c>
      <c r="AO15" s="170" t="s">
        <v>641</v>
      </c>
      <c r="AP15" t="str">
        <f t="shared" si="1"/>
        <v/>
      </c>
      <c r="AQ15" s="294">
        <f t="shared" si="0"/>
        <v>1.399</v>
      </c>
    </row>
    <row r="16" spans="1:45" ht="16" thickBot="1">
      <c r="A16" s="166" t="s">
        <v>529</v>
      </c>
      <c r="B16" s="166" t="s">
        <v>544</v>
      </c>
      <c r="C16" s="166" t="s">
        <v>1015</v>
      </c>
      <c r="D16" s="292" t="s">
        <v>627</v>
      </c>
      <c r="E16" s="166">
        <v>30</v>
      </c>
      <c r="F16" s="166" t="s">
        <v>559</v>
      </c>
      <c r="G16" s="166">
        <v>30</v>
      </c>
      <c r="H16" s="166" t="s">
        <v>559</v>
      </c>
      <c r="I16" s="166" t="s">
        <v>560</v>
      </c>
      <c r="J16" s="166" t="s">
        <v>629</v>
      </c>
      <c r="K16" s="166" t="s">
        <v>639</v>
      </c>
      <c r="L16" s="166" t="s">
        <v>562</v>
      </c>
      <c r="M16" s="166" t="s">
        <v>563</v>
      </c>
      <c r="N16" s="167">
        <v>24.69</v>
      </c>
      <c r="O16" s="167">
        <v>14</v>
      </c>
      <c r="P16" s="166" t="s">
        <v>538</v>
      </c>
      <c r="Q16" s="166" t="s">
        <v>539</v>
      </c>
      <c r="R16" s="166" t="s">
        <v>633</v>
      </c>
      <c r="S16" s="166" t="s">
        <v>541</v>
      </c>
      <c r="T16" s="166" t="s">
        <v>542</v>
      </c>
      <c r="U16" s="293">
        <v>1740788</v>
      </c>
      <c r="V16" s="166">
        <v>6009888360217</v>
      </c>
      <c r="W16" s="166">
        <v>6009888360217</v>
      </c>
      <c r="X16" s="166" t="s">
        <v>543</v>
      </c>
      <c r="Y16" s="166">
        <v>58904093822754</v>
      </c>
      <c r="Z16" s="166" t="s">
        <v>543</v>
      </c>
      <c r="AA16" s="167" t="s">
        <v>543</v>
      </c>
      <c r="AB16" s="167" t="s">
        <v>543</v>
      </c>
      <c r="AC16" s="166" t="s">
        <v>543</v>
      </c>
      <c r="AD16" s="168">
        <v>192</v>
      </c>
      <c r="AE16" s="169">
        <v>44743</v>
      </c>
      <c r="AF16" s="169">
        <v>45838</v>
      </c>
      <c r="AG16" s="169">
        <v>45838</v>
      </c>
      <c r="AH16" s="170" t="s">
        <v>640</v>
      </c>
      <c r="AI16" s="170" t="s">
        <v>565</v>
      </c>
      <c r="AJ16" s="170">
        <v>23</v>
      </c>
      <c r="AK16" s="169">
        <v>45047</v>
      </c>
      <c r="AL16" s="168">
        <v>24</v>
      </c>
      <c r="AM16" s="170" t="s">
        <v>548</v>
      </c>
      <c r="AN16" s="170" t="s">
        <v>549</v>
      </c>
      <c r="AO16" s="170" t="s">
        <v>641</v>
      </c>
      <c r="AP16" t="str">
        <f t="shared" si="1"/>
        <v/>
      </c>
      <c r="AQ16" s="294">
        <f t="shared" si="0"/>
        <v>0.82300000000000006</v>
      </c>
    </row>
    <row r="17" spans="1:44" ht="16" thickBot="1">
      <c r="A17" s="166" t="s">
        <v>529</v>
      </c>
      <c r="B17" s="166" t="s">
        <v>989</v>
      </c>
      <c r="C17" s="166" t="s">
        <v>998</v>
      </c>
      <c r="D17" s="292" t="s">
        <v>644</v>
      </c>
      <c r="E17" s="166">
        <v>84</v>
      </c>
      <c r="F17" s="166" t="s">
        <v>559</v>
      </c>
      <c r="G17" s="166">
        <v>84</v>
      </c>
      <c r="H17" s="166" t="s">
        <v>559</v>
      </c>
      <c r="I17" s="166" t="s">
        <v>560</v>
      </c>
      <c r="J17" s="166" t="s">
        <v>645</v>
      </c>
      <c r="K17" s="166" t="s">
        <v>646</v>
      </c>
      <c r="L17" s="166" t="s">
        <v>562</v>
      </c>
      <c r="M17" s="166" t="s">
        <v>563</v>
      </c>
      <c r="N17" s="167">
        <v>52.33</v>
      </c>
      <c r="O17" s="167">
        <v>14</v>
      </c>
      <c r="P17" s="166" t="s">
        <v>538</v>
      </c>
      <c r="Q17" s="166" t="s">
        <v>539</v>
      </c>
      <c r="R17" s="166" t="s">
        <v>647</v>
      </c>
      <c r="S17" s="166" t="s">
        <v>171</v>
      </c>
      <c r="T17" s="166" t="s">
        <v>542</v>
      </c>
      <c r="U17" s="293">
        <v>1220493</v>
      </c>
      <c r="V17" s="166">
        <v>6009628333419</v>
      </c>
      <c r="W17" s="166">
        <v>6009628333419</v>
      </c>
      <c r="X17" s="166" t="s">
        <v>543</v>
      </c>
      <c r="Y17" s="166">
        <v>16009628333416</v>
      </c>
      <c r="Z17" s="166" t="s">
        <v>543</v>
      </c>
      <c r="AA17" s="167" t="s">
        <v>543</v>
      </c>
      <c r="AB17" s="167" t="s">
        <v>543</v>
      </c>
      <c r="AC17" s="166">
        <v>718601001</v>
      </c>
      <c r="AD17" s="168">
        <v>72</v>
      </c>
      <c r="AE17" s="169">
        <v>44743</v>
      </c>
      <c r="AF17" s="169">
        <v>45838</v>
      </c>
      <c r="AG17" s="170">
        <v>45838</v>
      </c>
      <c r="AH17" s="170" t="s">
        <v>648</v>
      </c>
      <c r="AI17" s="170" t="s">
        <v>565</v>
      </c>
      <c r="AJ17" s="170">
        <v>23</v>
      </c>
      <c r="AK17" s="169">
        <v>45047</v>
      </c>
      <c r="AL17" s="168">
        <v>80</v>
      </c>
      <c r="AM17" s="170" t="s">
        <v>548</v>
      </c>
      <c r="AN17" s="170" t="s">
        <v>549</v>
      </c>
      <c r="AO17" s="170" t="s">
        <v>649</v>
      </c>
      <c r="AP17">
        <f t="shared" si="1"/>
        <v>1</v>
      </c>
      <c r="AQ17" s="294">
        <f t="shared" si="0"/>
        <v>0.62297619047619046</v>
      </c>
      <c r="AR17" s="294">
        <f>SUMPRODUCT(AQ17:AQ18,U17:U18)/SUMPRODUCT(U17:U18)</f>
        <v>0.65961902360064639</v>
      </c>
    </row>
    <row r="18" spans="1:44" ht="16" thickBot="1">
      <c r="A18" s="166" t="s">
        <v>529</v>
      </c>
      <c r="B18" s="166" t="s">
        <v>989</v>
      </c>
      <c r="C18" s="166" t="s">
        <v>998</v>
      </c>
      <c r="D18" s="292" t="s">
        <v>644</v>
      </c>
      <c r="E18" s="166">
        <v>84</v>
      </c>
      <c r="F18" s="166" t="s">
        <v>559</v>
      </c>
      <c r="G18" s="166">
        <v>84</v>
      </c>
      <c r="H18" s="166" t="s">
        <v>559</v>
      </c>
      <c r="I18" s="166" t="s">
        <v>560</v>
      </c>
      <c r="J18" s="166" t="s">
        <v>645</v>
      </c>
      <c r="K18" s="166" t="s">
        <v>650</v>
      </c>
      <c r="L18" s="166" t="s">
        <v>631</v>
      </c>
      <c r="M18" s="166" t="s">
        <v>632</v>
      </c>
      <c r="N18" s="167">
        <v>67.72</v>
      </c>
      <c r="O18" s="167">
        <v>14</v>
      </c>
      <c r="P18" s="166" t="s">
        <v>538</v>
      </c>
      <c r="Q18" s="166" t="s">
        <v>539</v>
      </c>
      <c r="R18" s="166" t="s">
        <v>647</v>
      </c>
      <c r="S18" s="166" t="s">
        <v>171</v>
      </c>
      <c r="T18" s="166" t="s">
        <v>542</v>
      </c>
      <c r="U18" s="293">
        <v>305123</v>
      </c>
      <c r="V18" s="166" t="s">
        <v>543</v>
      </c>
      <c r="W18" s="166" t="s">
        <v>543</v>
      </c>
      <c r="X18" s="166" t="s">
        <v>543</v>
      </c>
      <c r="Y18" s="166">
        <v>56008288002579</v>
      </c>
      <c r="Z18" s="166" t="s">
        <v>543</v>
      </c>
      <c r="AA18" s="167" t="s">
        <v>543</v>
      </c>
      <c r="AB18" s="167" t="s">
        <v>543</v>
      </c>
      <c r="AC18" s="166">
        <v>709529001</v>
      </c>
      <c r="AD18" s="168">
        <v>60</v>
      </c>
      <c r="AE18" s="169">
        <v>44743</v>
      </c>
      <c r="AF18" s="169">
        <v>45838</v>
      </c>
      <c r="AG18" s="169">
        <v>45838</v>
      </c>
      <c r="AH18" s="170" t="s">
        <v>648</v>
      </c>
      <c r="AI18" s="170" t="s">
        <v>636</v>
      </c>
      <c r="AJ18" s="170">
        <v>22</v>
      </c>
      <c r="AK18" s="169">
        <v>45047</v>
      </c>
      <c r="AL18" s="168">
        <v>20</v>
      </c>
      <c r="AM18" s="170" t="s">
        <v>548</v>
      </c>
      <c r="AN18" s="170" t="s">
        <v>549</v>
      </c>
      <c r="AO18" s="170" t="s">
        <v>649</v>
      </c>
      <c r="AP18" t="str">
        <f t="shared" si="1"/>
        <v/>
      </c>
      <c r="AQ18" s="294">
        <f t="shared" si="0"/>
        <v>0.80619047619047612</v>
      </c>
    </row>
    <row r="19" spans="1:44" ht="16" thickBot="1">
      <c r="A19" s="166" t="s">
        <v>529</v>
      </c>
      <c r="B19" s="166" t="s">
        <v>999</v>
      </c>
      <c r="C19" s="166" t="s">
        <v>656</v>
      </c>
      <c r="D19" s="292" t="s">
        <v>652</v>
      </c>
      <c r="E19" s="166">
        <v>28</v>
      </c>
      <c r="F19" s="166" t="s">
        <v>584</v>
      </c>
      <c r="G19" s="166">
        <v>28</v>
      </c>
      <c r="H19" s="166" t="s">
        <v>584</v>
      </c>
      <c r="I19" s="166" t="s">
        <v>585</v>
      </c>
      <c r="J19" s="166" t="s">
        <v>645</v>
      </c>
      <c r="K19" s="166" t="s">
        <v>653</v>
      </c>
      <c r="L19" s="166" t="s">
        <v>654</v>
      </c>
      <c r="M19" s="166" t="s">
        <v>655</v>
      </c>
      <c r="N19" s="167">
        <v>19.149999999999999</v>
      </c>
      <c r="O19" s="167">
        <v>14</v>
      </c>
      <c r="P19" s="166" t="s">
        <v>538</v>
      </c>
      <c r="Q19" s="166" t="s">
        <v>539</v>
      </c>
      <c r="R19" s="166" t="s">
        <v>647</v>
      </c>
      <c r="S19" s="166" t="s">
        <v>541</v>
      </c>
      <c r="T19" s="166" t="s">
        <v>542</v>
      </c>
      <c r="U19" s="293">
        <v>883919</v>
      </c>
      <c r="V19" s="166">
        <v>6004405009327</v>
      </c>
      <c r="W19" s="166">
        <v>6004405009327</v>
      </c>
      <c r="X19" s="166" t="s">
        <v>543</v>
      </c>
      <c r="Y19" s="166">
        <v>16004405009324</v>
      </c>
      <c r="Z19" s="166" t="s">
        <v>543</v>
      </c>
      <c r="AA19" s="167" t="s">
        <v>543</v>
      </c>
      <c r="AB19" s="167" t="s">
        <v>543</v>
      </c>
      <c r="AC19" s="166">
        <v>181896194</v>
      </c>
      <c r="AD19" s="168">
        <v>60</v>
      </c>
      <c r="AE19" s="169">
        <v>44743</v>
      </c>
      <c r="AF19" s="169">
        <v>45838</v>
      </c>
      <c r="AG19" s="170">
        <v>45838</v>
      </c>
      <c r="AH19" s="170" t="s">
        <v>657</v>
      </c>
      <c r="AI19" s="170" t="s">
        <v>658</v>
      </c>
      <c r="AJ19" s="170">
        <v>16</v>
      </c>
      <c r="AK19" s="169">
        <v>45047</v>
      </c>
      <c r="AL19" s="168">
        <v>100</v>
      </c>
      <c r="AM19" s="170" t="s">
        <v>548</v>
      </c>
      <c r="AN19" s="170" t="s">
        <v>549</v>
      </c>
      <c r="AO19" s="170" t="s">
        <v>659</v>
      </c>
      <c r="AP19">
        <f t="shared" si="1"/>
        <v>1</v>
      </c>
      <c r="AQ19" s="294">
        <f t="shared" si="0"/>
        <v>0.68392857142857133</v>
      </c>
      <c r="AR19" s="294">
        <f>AQ19</f>
        <v>0.68392857142857133</v>
      </c>
    </row>
    <row r="20" spans="1:44" ht="16" thickBot="1">
      <c r="A20" s="166" t="s">
        <v>529</v>
      </c>
      <c r="B20" s="166" t="s">
        <v>993</v>
      </c>
      <c r="C20" s="166" t="s">
        <v>1008</v>
      </c>
      <c r="D20" s="292" t="s">
        <v>660</v>
      </c>
      <c r="E20" s="166">
        <v>28</v>
      </c>
      <c r="F20" s="166" t="s">
        <v>559</v>
      </c>
      <c r="G20" s="166">
        <v>28</v>
      </c>
      <c r="H20" s="166" t="s">
        <v>559</v>
      </c>
      <c r="I20" s="166" t="s">
        <v>560</v>
      </c>
      <c r="J20" s="166" t="s">
        <v>645</v>
      </c>
      <c r="K20" s="166" t="s">
        <v>664</v>
      </c>
      <c r="L20" s="166" t="s">
        <v>562</v>
      </c>
      <c r="M20" s="166" t="s">
        <v>563</v>
      </c>
      <c r="N20" s="167">
        <v>41.53</v>
      </c>
      <c r="O20" s="167">
        <v>14</v>
      </c>
      <c r="P20" s="166" t="s">
        <v>538</v>
      </c>
      <c r="Q20" s="166" t="s">
        <v>539</v>
      </c>
      <c r="R20" s="166" t="s">
        <v>647</v>
      </c>
      <c r="S20" s="166" t="s">
        <v>541</v>
      </c>
      <c r="T20" s="166" t="s">
        <v>542</v>
      </c>
      <c r="U20" s="293">
        <v>3208493</v>
      </c>
      <c r="V20" s="166" t="s">
        <v>543</v>
      </c>
      <c r="W20" s="166" t="s">
        <v>543</v>
      </c>
      <c r="X20" s="166" t="s">
        <v>543</v>
      </c>
      <c r="Y20" s="166" t="s">
        <v>543</v>
      </c>
      <c r="Z20" s="166" t="s">
        <v>543</v>
      </c>
      <c r="AA20" s="167" t="s">
        <v>543</v>
      </c>
      <c r="AB20" s="167" t="s">
        <v>543</v>
      </c>
      <c r="AC20" s="166" t="s">
        <v>543</v>
      </c>
      <c r="AD20" s="168">
        <v>72</v>
      </c>
      <c r="AE20" s="169">
        <v>44743</v>
      </c>
      <c r="AF20" s="169">
        <v>45838</v>
      </c>
      <c r="AG20" s="170">
        <v>45838</v>
      </c>
      <c r="AH20" s="170" t="s">
        <v>662</v>
      </c>
      <c r="AI20" s="170" t="s">
        <v>565</v>
      </c>
      <c r="AJ20" s="170">
        <v>23</v>
      </c>
      <c r="AK20" s="169">
        <v>45047</v>
      </c>
      <c r="AL20" s="168">
        <v>80</v>
      </c>
      <c r="AM20" s="170" t="s">
        <v>548</v>
      </c>
      <c r="AN20" s="170" t="s">
        <v>549</v>
      </c>
      <c r="AO20" s="170" t="s">
        <v>663</v>
      </c>
      <c r="AP20">
        <f t="shared" si="1"/>
        <v>1</v>
      </c>
      <c r="AQ20" s="294">
        <f t="shared" si="0"/>
        <v>1.4832142857142858</v>
      </c>
      <c r="AR20" s="294">
        <f>SUMPRODUCT(AQ20:AQ21,U20:U21)/SUMPRODUCT(U20:U21)</f>
        <v>1.5976428286114368</v>
      </c>
    </row>
    <row r="21" spans="1:44" ht="16" thickBot="1">
      <c r="A21" s="166" t="s">
        <v>529</v>
      </c>
      <c r="B21" s="166" t="s">
        <v>993</v>
      </c>
      <c r="C21" s="166" t="s">
        <v>1008</v>
      </c>
      <c r="D21" s="292" t="s">
        <v>660</v>
      </c>
      <c r="E21" s="166">
        <v>28</v>
      </c>
      <c r="F21" s="166" t="s">
        <v>559</v>
      </c>
      <c r="G21" s="166">
        <v>28</v>
      </c>
      <c r="H21" s="166" t="s">
        <v>559</v>
      </c>
      <c r="I21" s="166" t="s">
        <v>560</v>
      </c>
      <c r="J21" s="166" t="s">
        <v>645</v>
      </c>
      <c r="K21" s="166" t="s">
        <v>661</v>
      </c>
      <c r="L21" s="166" t="s">
        <v>535</v>
      </c>
      <c r="M21" s="166" t="s">
        <v>536</v>
      </c>
      <c r="N21" s="167">
        <v>57.55</v>
      </c>
      <c r="O21" s="167">
        <v>14</v>
      </c>
      <c r="P21" s="166" t="s">
        <v>538</v>
      </c>
      <c r="Q21" s="166" t="s">
        <v>539</v>
      </c>
      <c r="R21" s="166" t="s">
        <v>647</v>
      </c>
      <c r="S21" s="166" t="s">
        <v>541</v>
      </c>
      <c r="T21" s="166" t="s">
        <v>542</v>
      </c>
      <c r="U21" s="293">
        <v>802123</v>
      </c>
      <c r="V21" s="166">
        <v>6001390116719</v>
      </c>
      <c r="W21" s="166" t="s">
        <v>543</v>
      </c>
      <c r="X21" s="166" t="s">
        <v>543</v>
      </c>
      <c r="Y21" s="166" t="s">
        <v>543</v>
      </c>
      <c r="Z21" s="166" t="s">
        <v>543</v>
      </c>
      <c r="AA21" s="167" t="s">
        <v>543</v>
      </c>
      <c r="AB21" s="167" t="s">
        <v>543</v>
      </c>
      <c r="AC21" s="166">
        <v>710019001</v>
      </c>
      <c r="AD21" s="168">
        <v>20</v>
      </c>
      <c r="AE21" s="169">
        <v>44743</v>
      </c>
      <c r="AF21" s="169">
        <v>45838</v>
      </c>
      <c r="AG21" s="170">
        <v>45838</v>
      </c>
      <c r="AH21" s="170" t="s">
        <v>662</v>
      </c>
      <c r="AI21" s="170" t="s">
        <v>547</v>
      </c>
      <c r="AJ21" s="170">
        <v>21</v>
      </c>
      <c r="AK21" s="169">
        <v>45047</v>
      </c>
      <c r="AL21" s="168">
        <v>20</v>
      </c>
      <c r="AM21" s="170" t="s">
        <v>548</v>
      </c>
      <c r="AN21" s="170" t="s">
        <v>549</v>
      </c>
      <c r="AO21" s="170" t="s">
        <v>663</v>
      </c>
      <c r="AP21" t="str">
        <f t="shared" si="1"/>
        <v/>
      </c>
      <c r="AQ21" s="294">
        <f t="shared" si="0"/>
        <v>2.0553571428571429</v>
      </c>
    </row>
    <row r="22" spans="1:44" ht="16" thickBot="1">
      <c r="A22" s="166" t="s">
        <v>529</v>
      </c>
      <c r="B22" s="166" t="s">
        <v>603</v>
      </c>
      <c r="C22" s="166" t="s">
        <v>978</v>
      </c>
      <c r="D22" s="292" t="s">
        <v>665</v>
      </c>
      <c r="E22" s="166">
        <v>112</v>
      </c>
      <c r="F22" s="166" t="s">
        <v>559</v>
      </c>
      <c r="G22" s="166">
        <v>112</v>
      </c>
      <c r="H22" s="166" t="s">
        <v>559</v>
      </c>
      <c r="I22" s="166" t="s">
        <v>560</v>
      </c>
      <c r="J22" s="166" t="s">
        <v>666</v>
      </c>
      <c r="K22" s="166" t="s">
        <v>667</v>
      </c>
      <c r="L22" s="166" t="s">
        <v>609</v>
      </c>
      <c r="M22" s="166" t="s">
        <v>610</v>
      </c>
      <c r="N22" s="167">
        <v>523.26</v>
      </c>
      <c r="O22" s="167">
        <v>7</v>
      </c>
      <c r="P22" s="166" t="s">
        <v>611</v>
      </c>
      <c r="Q22" s="166" t="s">
        <v>668</v>
      </c>
      <c r="R22" s="166" t="s">
        <v>669</v>
      </c>
      <c r="S22" s="166" t="s">
        <v>614</v>
      </c>
      <c r="T22" s="166" t="s">
        <v>160</v>
      </c>
      <c r="U22" s="293">
        <v>13868</v>
      </c>
      <c r="V22" s="166" t="s">
        <v>543</v>
      </c>
      <c r="W22" s="166" t="s">
        <v>543</v>
      </c>
      <c r="X22" s="166" t="s">
        <v>543</v>
      </c>
      <c r="Y22" s="166" t="s">
        <v>543</v>
      </c>
      <c r="Z22" s="166" t="s">
        <v>543</v>
      </c>
      <c r="AA22" s="167" t="s">
        <v>543</v>
      </c>
      <c r="AB22" s="167" t="s">
        <v>543</v>
      </c>
      <c r="AC22" s="166" t="s">
        <v>543</v>
      </c>
      <c r="AD22" s="168">
        <v>1</v>
      </c>
      <c r="AE22" s="169">
        <v>44743</v>
      </c>
      <c r="AF22" s="169">
        <v>45838</v>
      </c>
      <c r="AG22" s="170" t="s">
        <v>545</v>
      </c>
      <c r="AH22" s="170" t="s">
        <v>670</v>
      </c>
      <c r="AI22" s="170" t="s">
        <v>617</v>
      </c>
      <c r="AJ22" s="170">
        <v>0</v>
      </c>
      <c r="AK22" s="169">
        <v>44743</v>
      </c>
      <c r="AL22" s="168">
        <v>100</v>
      </c>
      <c r="AM22" s="170" t="s">
        <v>548</v>
      </c>
      <c r="AN22" s="170" t="s">
        <v>549</v>
      </c>
      <c r="AO22" s="170" t="s">
        <v>671</v>
      </c>
      <c r="AP22">
        <f t="shared" si="1"/>
        <v>1</v>
      </c>
      <c r="AQ22" s="294">
        <f t="shared" si="0"/>
        <v>4.671964285714286</v>
      </c>
      <c r="AR22" s="294">
        <f>AQ22</f>
        <v>4.671964285714286</v>
      </c>
    </row>
    <row r="23" spans="1:44" ht="16" thickBot="1">
      <c r="A23" s="166" t="s">
        <v>529</v>
      </c>
      <c r="B23" s="166" t="s">
        <v>1003</v>
      </c>
      <c r="C23" s="166" t="s">
        <v>1017</v>
      </c>
      <c r="D23" s="292" t="s">
        <v>672</v>
      </c>
      <c r="E23" s="166">
        <v>28</v>
      </c>
      <c r="F23" s="166" t="s">
        <v>559</v>
      </c>
      <c r="G23" s="166">
        <v>28</v>
      </c>
      <c r="H23" s="166" t="s">
        <v>559</v>
      </c>
      <c r="I23" s="166" t="s">
        <v>560</v>
      </c>
      <c r="J23" s="166" t="s">
        <v>673</v>
      </c>
      <c r="K23" s="166" t="s">
        <v>682</v>
      </c>
      <c r="L23" s="166" t="s">
        <v>683</v>
      </c>
      <c r="M23" s="166" t="s">
        <v>684</v>
      </c>
      <c r="N23" s="167">
        <v>186.89</v>
      </c>
      <c r="O23" s="167">
        <v>14</v>
      </c>
      <c r="P23" s="166" t="s">
        <v>538</v>
      </c>
      <c r="Q23" s="166" t="s">
        <v>539</v>
      </c>
      <c r="R23" s="166" t="s">
        <v>677</v>
      </c>
      <c r="S23" s="166" t="s">
        <v>171</v>
      </c>
      <c r="T23" s="166" t="s">
        <v>542</v>
      </c>
      <c r="U23" s="293">
        <v>712380</v>
      </c>
      <c r="V23" s="166">
        <v>6009803544388</v>
      </c>
      <c r="W23" s="166" t="s">
        <v>543</v>
      </c>
      <c r="X23" s="166" t="s">
        <v>543</v>
      </c>
      <c r="Y23" s="166">
        <v>26009803544382</v>
      </c>
      <c r="Z23" s="166" t="s">
        <v>543</v>
      </c>
      <c r="AA23" s="167" t="s">
        <v>543</v>
      </c>
      <c r="AB23" s="167" t="s">
        <v>543</v>
      </c>
      <c r="AC23" s="166">
        <v>3003611001</v>
      </c>
      <c r="AD23" s="168">
        <v>50</v>
      </c>
      <c r="AE23" s="169">
        <v>44743</v>
      </c>
      <c r="AF23" s="169">
        <v>45838</v>
      </c>
      <c r="AG23" s="169">
        <v>45838</v>
      </c>
      <c r="AH23" s="170" t="s">
        <v>678</v>
      </c>
      <c r="AI23" s="170" t="s">
        <v>685</v>
      </c>
      <c r="AJ23" s="170">
        <v>18</v>
      </c>
      <c r="AK23" s="169">
        <v>45047</v>
      </c>
      <c r="AL23" s="168">
        <v>60</v>
      </c>
      <c r="AM23" s="170" t="s">
        <v>548</v>
      </c>
      <c r="AN23" s="170" t="s">
        <v>549</v>
      </c>
      <c r="AO23" s="170" t="s">
        <v>681</v>
      </c>
      <c r="AP23">
        <f t="shared" si="1"/>
        <v>1</v>
      </c>
      <c r="AQ23" s="294">
        <f t="shared" si="0"/>
        <v>6.6746428571428567</v>
      </c>
      <c r="AR23" s="294">
        <f>SUMPRODUCT(AQ23:AQ24,U23:U24)/SUMPRODUCT(U23:U24)</f>
        <v>7.7632142857142856</v>
      </c>
    </row>
    <row r="24" spans="1:44" ht="16" thickBot="1">
      <c r="A24" s="166" t="s">
        <v>529</v>
      </c>
      <c r="B24" s="166" t="s">
        <v>1003</v>
      </c>
      <c r="C24" s="166" t="s">
        <v>1017</v>
      </c>
      <c r="D24" s="292" t="s">
        <v>672</v>
      </c>
      <c r="E24" s="166">
        <v>28</v>
      </c>
      <c r="F24" s="166" t="s">
        <v>559</v>
      </c>
      <c r="G24" s="166">
        <v>28</v>
      </c>
      <c r="H24" s="166" t="s">
        <v>559</v>
      </c>
      <c r="I24" s="166" t="s">
        <v>560</v>
      </c>
      <c r="J24" s="166" t="s">
        <v>673</v>
      </c>
      <c r="K24" s="166" t="s">
        <v>674</v>
      </c>
      <c r="L24" s="166" t="s">
        <v>675</v>
      </c>
      <c r="M24" s="166" t="s">
        <v>676</v>
      </c>
      <c r="N24" s="167">
        <v>263.08999999999997</v>
      </c>
      <c r="O24" s="167">
        <v>14</v>
      </c>
      <c r="P24" s="166" t="s">
        <v>538</v>
      </c>
      <c r="Q24" s="166" t="s">
        <v>539</v>
      </c>
      <c r="R24" s="166" t="s">
        <v>677</v>
      </c>
      <c r="S24" s="166" t="s">
        <v>171</v>
      </c>
      <c r="T24" s="166" t="s">
        <v>542</v>
      </c>
      <c r="U24" s="293">
        <v>474920</v>
      </c>
      <c r="V24" s="166">
        <v>6006352034599</v>
      </c>
      <c r="W24" s="166" t="s">
        <v>543</v>
      </c>
      <c r="X24" s="166" t="s">
        <v>543</v>
      </c>
      <c r="Y24" s="166" t="s">
        <v>543</v>
      </c>
      <c r="Z24" s="166" t="s">
        <v>543</v>
      </c>
      <c r="AA24" s="167" t="s">
        <v>543</v>
      </c>
      <c r="AB24" s="167" t="s">
        <v>543</v>
      </c>
      <c r="AC24" s="166">
        <v>3002458001</v>
      </c>
      <c r="AD24" s="168">
        <v>60</v>
      </c>
      <c r="AE24" s="169">
        <v>44743</v>
      </c>
      <c r="AF24" s="169">
        <v>45838</v>
      </c>
      <c r="AG24" s="169">
        <v>45838</v>
      </c>
      <c r="AH24" s="170" t="s">
        <v>678</v>
      </c>
      <c r="AI24" s="170" t="s">
        <v>679</v>
      </c>
      <c r="AJ24" s="170">
        <v>17</v>
      </c>
      <c r="AK24" s="169">
        <v>45047</v>
      </c>
      <c r="AL24" s="168">
        <v>40</v>
      </c>
      <c r="AM24" s="170" t="s">
        <v>548</v>
      </c>
      <c r="AN24" s="170" t="s">
        <v>549</v>
      </c>
      <c r="AO24" s="170" t="s">
        <v>681</v>
      </c>
      <c r="AP24" t="str">
        <f t="shared" si="1"/>
        <v/>
      </c>
      <c r="AQ24" s="294">
        <f t="shared" si="0"/>
        <v>9.3960714285714282</v>
      </c>
    </row>
    <row r="25" spans="1:44" ht="16" thickBot="1">
      <c r="A25" s="166" t="s">
        <v>529</v>
      </c>
      <c r="B25" s="166" t="s">
        <v>593</v>
      </c>
      <c r="C25" s="166" t="s">
        <v>1000</v>
      </c>
      <c r="D25" s="292" t="s">
        <v>687</v>
      </c>
      <c r="E25" s="166">
        <v>28</v>
      </c>
      <c r="F25" s="166" t="s">
        <v>559</v>
      </c>
      <c r="G25" s="166">
        <v>28</v>
      </c>
      <c r="H25" s="166" t="s">
        <v>559</v>
      </c>
      <c r="I25" s="166" t="s">
        <v>560</v>
      </c>
      <c r="J25" s="166" t="s">
        <v>688</v>
      </c>
      <c r="K25" s="166" t="s">
        <v>689</v>
      </c>
      <c r="L25" s="166" t="s">
        <v>562</v>
      </c>
      <c r="M25" s="166" t="s">
        <v>563</v>
      </c>
      <c r="N25" s="167">
        <v>125.34</v>
      </c>
      <c r="O25" s="167">
        <v>14</v>
      </c>
      <c r="P25" s="166" t="s">
        <v>538</v>
      </c>
      <c r="Q25" s="166" t="s">
        <v>539</v>
      </c>
      <c r="R25" s="166" t="s">
        <v>690</v>
      </c>
      <c r="S25" s="166" t="s">
        <v>541</v>
      </c>
      <c r="T25" s="166" t="s">
        <v>542</v>
      </c>
      <c r="U25" s="293">
        <v>2151565</v>
      </c>
      <c r="V25" s="166">
        <v>6009628332856</v>
      </c>
      <c r="W25" s="166">
        <v>6009628332856</v>
      </c>
      <c r="X25" s="166" t="s">
        <v>543</v>
      </c>
      <c r="Y25" s="166">
        <v>16009628332853</v>
      </c>
      <c r="Z25" s="166" t="s">
        <v>543</v>
      </c>
      <c r="AA25" s="167" t="s">
        <v>543</v>
      </c>
      <c r="AB25" s="167" t="s">
        <v>543</v>
      </c>
      <c r="AC25" s="166">
        <v>717977001</v>
      </c>
      <c r="AD25" s="168">
        <v>144</v>
      </c>
      <c r="AE25" s="169">
        <v>44743</v>
      </c>
      <c r="AF25" s="169">
        <v>45838</v>
      </c>
      <c r="AG25" s="170">
        <v>45838</v>
      </c>
      <c r="AH25" s="170" t="s">
        <v>691</v>
      </c>
      <c r="AI25" s="170" t="s">
        <v>565</v>
      </c>
      <c r="AJ25" s="170">
        <v>23</v>
      </c>
      <c r="AK25" s="169">
        <v>45047</v>
      </c>
      <c r="AL25" s="168">
        <v>30</v>
      </c>
      <c r="AM25" s="170" t="s">
        <v>548</v>
      </c>
      <c r="AN25" s="170" t="s">
        <v>549</v>
      </c>
      <c r="AO25" s="170" t="s">
        <v>692</v>
      </c>
      <c r="AP25">
        <f t="shared" si="1"/>
        <v>1</v>
      </c>
      <c r="AQ25" s="294">
        <f t="shared" si="0"/>
        <v>4.4764285714285714</v>
      </c>
      <c r="AR25" s="294">
        <f>SUMPRODUCT(AQ25:AQ26,U25:U26)/SUMPRODUCT(U25:U26)</f>
        <v>4.6609285787787025</v>
      </c>
    </row>
    <row r="26" spans="1:44" ht="16" thickBot="1">
      <c r="A26" s="166" t="s">
        <v>529</v>
      </c>
      <c r="B26" s="166" t="s">
        <v>593</v>
      </c>
      <c r="C26" s="166" t="s">
        <v>1000</v>
      </c>
      <c r="D26" s="292" t="s">
        <v>687</v>
      </c>
      <c r="E26" s="166">
        <v>28</v>
      </c>
      <c r="F26" s="166" t="s">
        <v>559</v>
      </c>
      <c r="G26" s="166">
        <v>28</v>
      </c>
      <c r="H26" s="166" t="s">
        <v>559</v>
      </c>
      <c r="I26" s="166" t="s">
        <v>560</v>
      </c>
      <c r="J26" s="166" t="s">
        <v>688</v>
      </c>
      <c r="K26" s="166" t="s">
        <v>693</v>
      </c>
      <c r="L26" s="166" t="s">
        <v>552</v>
      </c>
      <c r="M26" s="166" t="s">
        <v>553</v>
      </c>
      <c r="N26" s="167">
        <v>132.72</v>
      </c>
      <c r="O26" s="167">
        <v>14</v>
      </c>
      <c r="P26" s="166" t="s">
        <v>538</v>
      </c>
      <c r="Q26" s="166" t="s">
        <v>539</v>
      </c>
      <c r="R26" s="166" t="s">
        <v>690</v>
      </c>
      <c r="S26" s="166" t="s">
        <v>541</v>
      </c>
      <c r="T26" s="166" t="s">
        <v>542</v>
      </c>
      <c r="U26" s="293">
        <v>5020319</v>
      </c>
      <c r="V26" s="166">
        <v>8903726212868</v>
      </c>
      <c r="W26" s="166">
        <v>8903726212868</v>
      </c>
      <c r="X26" s="166" t="s">
        <v>543</v>
      </c>
      <c r="Y26" s="166">
        <v>18903726212865</v>
      </c>
      <c r="Z26" s="166" t="s">
        <v>543</v>
      </c>
      <c r="AA26" s="167" t="s">
        <v>543</v>
      </c>
      <c r="AB26" s="167" t="s">
        <v>543</v>
      </c>
      <c r="AC26" s="166" t="s">
        <v>543</v>
      </c>
      <c r="AD26" s="168">
        <v>56</v>
      </c>
      <c r="AE26" s="169">
        <v>44743</v>
      </c>
      <c r="AF26" s="169">
        <v>45838</v>
      </c>
      <c r="AG26" s="169">
        <v>45838</v>
      </c>
      <c r="AH26" s="170" t="s">
        <v>691</v>
      </c>
      <c r="AI26" s="170" t="s">
        <v>555</v>
      </c>
      <c r="AJ26" s="170">
        <v>19</v>
      </c>
      <c r="AK26" s="169">
        <v>45047</v>
      </c>
      <c r="AL26" s="168">
        <v>70</v>
      </c>
      <c r="AM26" s="170" t="s">
        <v>548</v>
      </c>
      <c r="AN26" s="170" t="s">
        <v>549</v>
      </c>
      <c r="AO26" s="170" t="s">
        <v>692</v>
      </c>
      <c r="AP26" t="str">
        <f t="shared" si="1"/>
        <v/>
      </c>
      <c r="AQ26" s="294">
        <f t="shared" si="0"/>
        <v>4.74</v>
      </c>
    </row>
    <row r="27" spans="1:44" ht="16" thickBot="1">
      <c r="A27" s="166" t="s">
        <v>529</v>
      </c>
      <c r="B27" s="166" t="s">
        <v>615</v>
      </c>
      <c r="C27" s="166" t="s">
        <v>1012</v>
      </c>
      <c r="D27" s="292" t="s">
        <v>694</v>
      </c>
      <c r="E27" s="166">
        <v>28</v>
      </c>
      <c r="F27" s="166" t="s">
        <v>559</v>
      </c>
      <c r="G27" s="166">
        <v>28</v>
      </c>
      <c r="H27" s="166" t="s">
        <v>559</v>
      </c>
      <c r="I27" s="166" t="s">
        <v>560</v>
      </c>
      <c r="J27" s="166" t="s">
        <v>688</v>
      </c>
      <c r="K27" s="166" t="s">
        <v>695</v>
      </c>
      <c r="L27" s="166" t="s">
        <v>562</v>
      </c>
      <c r="M27" s="166" t="s">
        <v>563</v>
      </c>
      <c r="N27" s="167">
        <v>53.46</v>
      </c>
      <c r="O27" s="167">
        <v>14</v>
      </c>
      <c r="P27" s="166" t="s">
        <v>538</v>
      </c>
      <c r="Q27" s="166" t="s">
        <v>539</v>
      </c>
      <c r="R27" s="166" t="s">
        <v>690</v>
      </c>
      <c r="S27" s="166" t="s">
        <v>171</v>
      </c>
      <c r="T27" s="166" t="s">
        <v>542</v>
      </c>
      <c r="U27" s="293">
        <v>767302</v>
      </c>
      <c r="V27" s="166">
        <v>6009888360569</v>
      </c>
      <c r="W27" s="166">
        <v>6009888360569</v>
      </c>
      <c r="X27" s="166" t="s">
        <v>543</v>
      </c>
      <c r="Y27" s="166" t="s">
        <v>543</v>
      </c>
      <c r="Z27" s="166" t="s">
        <v>543</v>
      </c>
      <c r="AA27" s="167" t="s">
        <v>543</v>
      </c>
      <c r="AB27" s="167" t="s">
        <v>543</v>
      </c>
      <c r="AC27" s="166" t="s">
        <v>543</v>
      </c>
      <c r="AD27" s="168">
        <v>144</v>
      </c>
      <c r="AE27" s="169">
        <v>44743</v>
      </c>
      <c r="AF27" s="169">
        <v>45838</v>
      </c>
      <c r="AG27" s="170">
        <v>45838</v>
      </c>
      <c r="AH27" s="170" t="s">
        <v>696</v>
      </c>
      <c r="AI27" s="170" t="s">
        <v>565</v>
      </c>
      <c r="AJ27" s="170">
        <v>23</v>
      </c>
      <c r="AK27" s="169">
        <v>45047</v>
      </c>
      <c r="AL27" s="168">
        <v>60</v>
      </c>
      <c r="AM27" s="170" t="s">
        <v>548</v>
      </c>
      <c r="AN27" s="170" t="s">
        <v>549</v>
      </c>
      <c r="AO27" s="170" t="s">
        <v>697</v>
      </c>
      <c r="AP27">
        <f t="shared" si="1"/>
        <v>1</v>
      </c>
      <c r="AQ27" s="294">
        <f t="shared" si="0"/>
        <v>1.9092857142857143</v>
      </c>
      <c r="AR27" s="294">
        <f>SUMPRODUCT(AQ27:AQ28,U27:U28)/SUMPRODUCT(U27:U28)</f>
        <v>1.9864285111058584</v>
      </c>
    </row>
    <row r="28" spans="1:44" ht="16" thickBot="1">
      <c r="A28" s="166" t="s">
        <v>529</v>
      </c>
      <c r="B28" s="166" t="s">
        <v>615</v>
      </c>
      <c r="C28" s="166" t="s">
        <v>1012</v>
      </c>
      <c r="D28" s="292" t="s">
        <v>694</v>
      </c>
      <c r="E28" s="166">
        <v>28</v>
      </c>
      <c r="F28" s="166" t="s">
        <v>559</v>
      </c>
      <c r="G28" s="166">
        <v>28</v>
      </c>
      <c r="H28" s="166" t="s">
        <v>559</v>
      </c>
      <c r="I28" s="166" t="s">
        <v>560</v>
      </c>
      <c r="J28" s="166" t="s">
        <v>688</v>
      </c>
      <c r="K28" s="166" t="s">
        <v>698</v>
      </c>
      <c r="L28" s="166" t="s">
        <v>675</v>
      </c>
      <c r="M28" s="166" t="s">
        <v>676</v>
      </c>
      <c r="N28" s="167">
        <v>58.86</v>
      </c>
      <c r="O28" s="167">
        <v>14</v>
      </c>
      <c r="P28" s="166" t="s">
        <v>538</v>
      </c>
      <c r="Q28" s="166" t="s">
        <v>539</v>
      </c>
      <c r="R28" s="166" t="s">
        <v>690</v>
      </c>
      <c r="S28" s="166" t="s">
        <v>171</v>
      </c>
      <c r="T28" s="166" t="s">
        <v>542</v>
      </c>
      <c r="U28" s="293">
        <v>511534</v>
      </c>
      <c r="V28" s="166">
        <v>6006352036722</v>
      </c>
      <c r="W28" s="166">
        <v>6006352036739</v>
      </c>
      <c r="X28" s="166" t="s">
        <v>543</v>
      </c>
      <c r="Y28" s="166">
        <v>16006352036729</v>
      </c>
      <c r="Z28" s="166" t="s">
        <v>543</v>
      </c>
      <c r="AA28" s="167" t="s">
        <v>543</v>
      </c>
      <c r="AB28" s="167" t="s">
        <v>543</v>
      </c>
      <c r="AC28" s="166" t="s">
        <v>543</v>
      </c>
      <c r="AD28" s="168">
        <v>80</v>
      </c>
      <c r="AE28" s="169">
        <v>44743</v>
      </c>
      <c r="AF28" s="169">
        <v>45838</v>
      </c>
      <c r="AG28" s="169">
        <v>45838</v>
      </c>
      <c r="AH28" s="170" t="s">
        <v>696</v>
      </c>
      <c r="AI28" s="170" t="s">
        <v>679</v>
      </c>
      <c r="AJ28" s="170">
        <v>17</v>
      </c>
      <c r="AK28" s="169">
        <v>45047</v>
      </c>
      <c r="AL28" s="168">
        <v>40</v>
      </c>
      <c r="AM28" s="170" t="s">
        <v>548</v>
      </c>
      <c r="AN28" s="170" t="s">
        <v>549</v>
      </c>
      <c r="AO28" s="170" t="s">
        <v>697</v>
      </c>
      <c r="AP28" t="str">
        <f t="shared" si="1"/>
        <v/>
      </c>
      <c r="AQ28" s="294">
        <f t="shared" si="0"/>
        <v>2.1021428571428573</v>
      </c>
    </row>
    <row r="29" spans="1:44" ht="16" thickBot="1">
      <c r="A29" s="166" t="s">
        <v>529</v>
      </c>
      <c r="B29" s="166" t="s">
        <v>985</v>
      </c>
      <c r="C29" s="166" t="s">
        <v>986</v>
      </c>
      <c r="D29" s="292" t="s">
        <v>699</v>
      </c>
      <c r="E29" s="166">
        <v>240</v>
      </c>
      <c r="F29" s="166" t="s">
        <v>531</v>
      </c>
      <c r="G29" s="166">
        <v>240</v>
      </c>
      <c r="H29" s="166" t="s">
        <v>531</v>
      </c>
      <c r="I29" s="166" t="s">
        <v>532</v>
      </c>
      <c r="J29" s="166" t="s">
        <v>700</v>
      </c>
      <c r="K29" s="166" t="s">
        <v>706</v>
      </c>
      <c r="L29" s="166" t="s">
        <v>588</v>
      </c>
      <c r="M29" s="166" t="s">
        <v>589</v>
      </c>
      <c r="N29" s="167">
        <v>30.32</v>
      </c>
      <c r="O29" s="167">
        <v>14</v>
      </c>
      <c r="P29" s="166" t="s">
        <v>538</v>
      </c>
      <c r="Q29" s="166" t="s">
        <v>539</v>
      </c>
      <c r="R29" s="166" t="s">
        <v>702</v>
      </c>
      <c r="S29" s="166" t="s">
        <v>541</v>
      </c>
      <c r="T29" s="166" t="s">
        <v>542</v>
      </c>
      <c r="U29" s="293">
        <v>462900</v>
      </c>
      <c r="V29" s="166">
        <v>6009695244243</v>
      </c>
      <c r="W29" s="166">
        <v>6009695244243</v>
      </c>
      <c r="X29" s="166" t="s">
        <v>543</v>
      </c>
      <c r="Y29" s="166">
        <v>16009695244240</v>
      </c>
      <c r="Z29" s="166" t="s">
        <v>543</v>
      </c>
      <c r="AA29" s="167" t="s">
        <v>543</v>
      </c>
      <c r="AB29" s="167" t="s">
        <v>543</v>
      </c>
      <c r="AC29" s="166">
        <v>720847001</v>
      </c>
      <c r="AD29" s="168">
        <v>30</v>
      </c>
      <c r="AE29" s="169">
        <v>44743</v>
      </c>
      <c r="AF29" s="169">
        <v>45838</v>
      </c>
      <c r="AG29" s="170">
        <v>45838</v>
      </c>
      <c r="AH29" s="170" t="s">
        <v>704</v>
      </c>
      <c r="AI29" s="170" t="s">
        <v>592</v>
      </c>
      <c r="AJ29" s="170">
        <v>10</v>
      </c>
      <c r="AK29" s="169">
        <v>44958</v>
      </c>
      <c r="AL29" s="168">
        <v>20</v>
      </c>
      <c r="AM29" s="170" t="s">
        <v>548</v>
      </c>
      <c r="AN29" s="170" t="s">
        <v>549</v>
      </c>
      <c r="AO29" s="170" t="s">
        <v>705</v>
      </c>
      <c r="AP29">
        <f t="shared" si="1"/>
        <v>1</v>
      </c>
      <c r="AQ29" s="294">
        <f t="shared" si="0"/>
        <v>30.32</v>
      </c>
      <c r="AR29" s="294">
        <f>SUMPRODUCT(AQ29:AQ30,U29:U30)/SUMPRODUCT(U29:U30)</f>
        <v>24.152001332470366</v>
      </c>
    </row>
    <row r="30" spans="1:44" ht="16" thickBot="1">
      <c r="A30" s="166" t="s">
        <v>529</v>
      </c>
      <c r="B30" s="166" t="s">
        <v>985</v>
      </c>
      <c r="C30" s="166" t="s">
        <v>986</v>
      </c>
      <c r="D30" s="292" t="s">
        <v>699</v>
      </c>
      <c r="E30" s="166">
        <v>240</v>
      </c>
      <c r="F30" s="166" t="s">
        <v>531</v>
      </c>
      <c r="G30" s="166">
        <v>240</v>
      </c>
      <c r="H30" s="166" t="s">
        <v>531</v>
      </c>
      <c r="I30" s="166" t="s">
        <v>532</v>
      </c>
      <c r="J30" s="166" t="s">
        <v>700</v>
      </c>
      <c r="K30" s="166" t="s">
        <v>701</v>
      </c>
      <c r="L30" s="166" t="s">
        <v>654</v>
      </c>
      <c r="M30" s="166" t="s">
        <v>655</v>
      </c>
      <c r="N30" s="167">
        <v>22.61</v>
      </c>
      <c r="O30" s="167">
        <v>14</v>
      </c>
      <c r="P30" s="166" t="s">
        <v>538</v>
      </c>
      <c r="Q30" s="166" t="s">
        <v>539</v>
      </c>
      <c r="R30" s="166" t="s">
        <v>702</v>
      </c>
      <c r="S30" s="166" t="s">
        <v>541</v>
      </c>
      <c r="T30" s="166" t="s">
        <v>542</v>
      </c>
      <c r="U30" s="293">
        <v>1851598</v>
      </c>
      <c r="V30" s="166">
        <v>6004405009518</v>
      </c>
      <c r="W30" s="166">
        <v>6004405009518</v>
      </c>
      <c r="X30" s="166" t="s">
        <v>543</v>
      </c>
      <c r="Y30" s="166">
        <v>16004405009515</v>
      </c>
      <c r="Z30" s="166" t="s">
        <v>543</v>
      </c>
      <c r="AA30" s="167" t="s">
        <v>543</v>
      </c>
      <c r="AB30" s="167" t="s">
        <v>543</v>
      </c>
      <c r="AC30" s="166">
        <v>150205026</v>
      </c>
      <c r="AD30" s="168" t="s">
        <v>703</v>
      </c>
      <c r="AE30" s="169">
        <v>44743</v>
      </c>
      <c r="AF30" s="169">
        <v>45838</v>
      </c>
      <c r="AG30" s="169">
        <v>45838</v>
      </c>
      <c r="AH30" s="170" t="s">
        <v>704</v>
      </c>
      <c r="AI30" s="170" t="s">
        <v>658</v>
      </c>
      <c r="AJ30" s="170">
        <v>16</v>
      </c>
      <c r="AK30" s="169">
        <v>45047</v>
      </c>
      <c r="AL30" s="168">
        <v>80</v>
      </c>
      <c r="AM30" s="170" t="s">
        <v>548</v>
      </c>
      <c r="AN30" s="170" t="s">
        <v>549</v>
      </c>
      <c r="AO30" s="170" t="s">
        <v>705</v>
      </c>
      <c r="AP30" t="str">
        <f t="shared" si="1"/>
        <v/>
      </c>
      <c r="AQ30" s="294">
        <f t="shared" si="0"/>
        <v>22.61</v>
      </c>
    </row>
    <row r="31" spans="1:44" ht="16" thickBot="1">
      <c r="A31" s="166" t="s">
        <v>529</v>
      </c>
      <c r="B31" s="166" t="s">
        <v>994</v>
      </c>
      <c r="C31" s="166" t="s">
        <v>709</v>
      </c>
      <c r="D31" s="292" t="s">
        <v>707</v>
      </c>
      <c r="E31" s="166">
        <v>56</v>
      </c>
      <c r="F31" s="166" t="s">
        <v>559</v>
      </c>
      <c r="G31" s="166">
        <v>56</v>
      </c>
      <c r="H31" s="166" t="s">
        <v>559</v>
      </c>
      <c r="I31" s="166" t="s">
        <v>560</v>
      </c>
      <c r="J31" s="166" t="s">
        <v>700</v>
      </c>
      <c r="K31" s="166" t="s">
        <v>708</v>
      </c>
      <c r="L31" s="166" t="s">
        <v>654</v>
      </c>
      <c r="M31" s="166" t="s">
        <v>655</v>
      </c>
      <c r="N31" s="167">
        <v>33.130000000000003</v>
      </c>
      <c r="O31" s="167">
        <v>14</v>
      </c>
      <c r="P31" s="166" t="s">
        <v>538</v>
      </c>
      <c r="Q31" s="166" t="s">
        <v>539</v>
      </c>
      <c r="R31" s="166" t="s">
        <v>702</v>
      </c>
      <c r="S31" s="166" t="s">
        <v>541</v>
      </c>
      <c r="T31" s="166" t="s">
        <v>542</v>
      </c>
      <c r="U31" s="293">
        <v>1349069</v>
      </c>
      <c r="V31" s="166">
        <v>6004405009297</v>
      </c>
      <c r="W31" s="166">
        <v>6004405009297</v>
      </c>
      <c r="X31" s="166" t="s">
        <v>543</v>
      </c>
      <c r="Y31" s="166">
        <v>16004405009294</v>
      </c>
      <c r="Z31" s="166" t="s">
        <v>543</v>
      </c>
      <c r="AA31" s="167" t="s">
        <v>543</v>
      </c>
      <c r="AB31" s="167" t="s">
        <v>543</v>
      </c>
      <c r="AC31" s="166">
        <v>181896198</v>
      </c>
      <c r="AD31" s="168">
        <v>144</v>
      </c>
      <c r="AE31" s="169">
        <v>44743</v>
      </c>
      <c r="AF31" s="169">
        <v>45838</v>
      </c>
      <c r="AG31" s="170">
        <v>45838</v>
      </c>
      <c r="AH31" s="170" t="s">
        <v>710</v>
      </c>
      <c r="AI31" s="170" t="s">
        <v>658</v>
      </c>
      <c r="AJ31" s="170">
        <v>16</v>
      </c>
      <c r="AK31" s="169">
        <v>45047</v>
      </c>
      <c r="AL31" s="168">
        <v>70</v>
      </c>
      <c r="AM31" s="170" t="s">
        <v>548</v>
      </c>
      <c r="AN31" s="170" t="s">
        <v>549</v>
      </c>
      <c r="AO31" s="170" t="s">
        <v>711</v>
      </c>
      <c r="AP31">
        <f t="shared" si="1"/>
        <v>1</v>
      </c>
      <c r="AQ31" s="294">
        <f t="shared" si="0"/>
        <v>0.59160714285714289</v>
      </c>
      <c r="AR31" s="294">
        <f>SUMPRODUCT(AQ31:AQ32,U31:U32)/SUMPRODUCT(U31:U32)</f>
        <v>0.62176784149317232</v>
      </c>
    </row>
    <row r="32" spans="1:44" ht="16" thickBot="1">
      <c r="A32" s="166" t="s">
        <v>529</v>
      </c>
      <c r="B32" s="166" t="s">
        <v>994</v>
      </c>
      <c r="C32" s="166" t="s">
        <v>709</v>
      </c>
      <c r="D32" s="292" t="s">
        <v>707</v>
      </c>
      <c r="E32" s="166">
        <v>56</v>
      </c>
      <c r="F32" s="166" t="s">
        <v>559</v>
      </c>
      <c r="G32" s="166">
        <v>56</v>
      </c>
      <c r="H32" s="166" t="s">
        <v>559</v>
      </c>
      <c r="I32" s="166" t="s">
        <v>560</v>
      </c>
      <c r="J32" s="166" t="s">
        <v>700</v>
      </c>
      <c r="K32" s="166" t="s">
        <v>712</v>
      </c>
      <c r="L32" s="166" t="s">
        <v>631</v>
      </c>
      <c r="M32" s="166" t="s">
        <v>632</v>
      </c>
      <c r="N32" s="167">
        <v>38.76</v>
      </c>
      <c r="O32" s="167">
        <v>14</v>
      </c>
      <c r="P32" s="166" t="s">
        <v>538</v>
      </c>
      <c r="Q32" s="166" t="s">
        <v>539</v>
      </c>
      <c r="R32" s="166" t="s">
        <v>702</v>
      </c>
      <c r="S32" s="166" t="s">
        <v>541</v>
      </c>
      <c r="T32" s="166" t="s">
        <v>542</v>
      </c>
      <c r="U32" s="293">
        <v>578172</v>
      </c>
      <c r="V32" s="166">
        <v>6008288002352</v>
      </c>
      <c r="W32" s="166">
        <v>6008288002352</v>
      </c>
      <c r="X32" s="166" t="s">
        <v>543</v>
      </c>
      <c r="Y32" s="166">
        <v>16008288004070</v>
      </c>
      <c r="Z32" s="166" t="s">
        <v>543</v>
      </c>
      <c r="AA32" s="167" t="s">
        <v>543</v>
      </c>
      <c r="AB32" s="167" t="s">
        <v>543</v>
      </c>
      <c r="AC32" s="166">
        <v>703378001</v>
      </c>
      <c r="AD32" s="168">
        <v>90</v>
      </c>
      <c r="AE32" s="169">
        <v>44743</v>
      </c>
      <c r="AF32" s="169">
        <v>45838</v>
      </c>
      <c r="AG32" s="169">
        <v>45838</v>
      </c>
      <c r="AH32" s="170" t="s">
        <v>710</v>
      </c>
      <c r="AI32" s="170" t="s">
        <v>636</v>
      </c>
      <c r="AJ32" s="170">
        <v>22</v>
      </c>
      <c r="AK32" s="169">
        <v>45047</v>
      </c>
      <c r="AL32" s="168">
        <v>30</v>
      </c>
      <c r="AM32" s="170" t="s">
        <v>548</v>
      </c>
      <c r="AN32" s="170" t="s">
        <v>549</v>
      </c>
      <c r="AO32" s="170" t="s">
        <v>711</v>
      </c>
      <c r="AP32" t="str">
        <f t="shared" si="1"/>
        <v/>
      </c>
      <c r="AQ32" s="294">
        <f t="shared" si="0"/>
        <v>0.69214285714285706</v>
      </c>
    </row>
    <row r="33" spans="1:44" ht="16" thickBot="1">
      <c r="A33" s="166" t="s">
        <v>529</v>
      </c>
      <c r="B33" s="166" t="s">
        <v>1004</v>
      </c>
      <c r="C33" s="166" t="s">
        <v>1005</v>
      </c>
      <c r="D33" s="292" t="s">
        <v>713</v>
      </c>
      <c r="E33" s="166">
        <v>60</v>
      </c>
      <c r="F33" s="166" t="s">
        <v>559</v>
      </c>
      <c r="G33" s="166">
        <v>60</v>
      </c>
      <c r="H33" s="166" t="s">
        <v>559</v>
      </c>
      <c r="I33" s="166" t="s">
        <v>560</v>
      </c>
      <c r="J33" s="166" t="s">
        <v>714</v>
      </c>
      <c r="K33" s="166" t="s">
        <v>715</v>
      </c>
      <c r="L33" s="166" t="s">
        <v>562</v>
      </c>
      <c r="M33" s="166" t="s">
        <v>563</v>
      </c>
      <c r="N33" s="167">
        <v>75.16</v>
      </c>
      <c r="O33" s="167">
        <v>14</v>
      </c>
      <c r="P33" s="166" t="s">
        <v>538</v>
      </c>
      <c r="Q33" s="166" t="s">
        <v>539</v>
      </c>
      <c r="R33" s="166" t="s">
        <v>716</v>
      </c>
      <c r="S33" s="166" t="s">
        <v>541</v>
      </c>
      <c r="T33" s="166" t="s">
        <v>542</v>
      </c>
      <c r="U33" s="293">
        <v>1632792</v>
      </c>
      <c r="V33" s="166" t="s">
        <v>543</v>
      </c>
      <c r="W33" s="166" t="s">
        <v>543</v>
      </c>
      <c r="X33" s="166" t="s">
        <v>543</v>
      </c>
      <c r="Y33" s="166" t="s">
        <v>543</v>
      </c>
      <c r="Z33" s="166" t="s">
        <v>543</v>
      </c>
      <c r="AA33" s="167" t="s">
        <v>543</v>
      </c>
      <c r="AB33" s="167" t="s">
        <v>543</v>
      </c>
      <c r="AC33" s="166" t="s">
        <v>543</v>
      </c>
      <c r="AD33" s="168">
        <v>144</v>
      </c>
      <c r="AE33" s="169">
        <v>44743</v>
      </c>
      <c r="AF33" s="169">
        <v>45838</v>
      </c>
      <c r="AG33" s="170">
        <v>45838</v>
      </c>
      <c r="AH33" s="170" t="s">
        <v>717</v>
      </c>
      <c r="AI33" s="170" t="s">
        <v>565</v>
      </c>
      <c r="AJ33" s="170">
        <v>23</v>
      </c>
      <c r="AK33" s="169">
        <v>45047</v>
      </c>
      <c r="AL33" s="168">
        <v>100</v>
      </c>
      <c r="AM33" s="170" t="s">
        <v>548</v>
      </c>
      <c r="AN33" s="170" t="s">
        <v>549</v>
      </c>
      <c r="AO33" s="170" t="s">
        <v>718</v>
      </c>
      <c r="AP33">
        <f t="shared" si="1"/>
        <v>1</v>
      </c>
      <c r="AQ33" s="294">
        <f t="shared" si="0"/>
        <v>1.2526666666666666</v>
      </c>
      <c r="AR33" s="294">
        <f>AQ33</f>
        <v>1.2526666666666666</v>
      </c>
    </row>
    <row r="34" spans="1:44" ht="16" thickBot="1">
      <c r="A34" s="166" t="s">
        <v>529</v>
      </c>
      <c r="B34" s="166" t="s">
        <v>573</v>
      </c>
      <c r="C34" s="166" t="s">
        <v>974</v>
      </c>
      <c r="D34" s="292" t="s">
        <v>719</v>
      </c>
      <c r="E34" s="166">
        <v>112</v>
      </c>
      <c r="F34" s="166" t="s">
        <v>559</v>
      </c>
      <c r="G34" s="166">
        <v>112</v>
      </c>
      <c r="H34" s="166" t="s">
        <v>559</v>
      </c>
      <c r="I34" s="166" t="s">
        <v>560</v>
      </c>
      <c r="J34" s="166" t="s">
        <v>714</v>
      </c>
      <c r="K34" s="166" t="s">
        <v>723</v>
      </c>
      <c r="L34" s="166" t="s">
        <v>724</v>
      </c>
      <c r="M34" s="166" t="s">
        <v>725</v>
      </c>
      <c r="N34" s="167">
        <v>338.1</v>
      </c>
      <c r="O34" s="167">
        <v>14</v>
      </c>
      <c r="P34" s="166" t="s">
        <v>538</v>
      </c>
      <c r="Q34" s="166" t="s">
        <v>539</v>
      </c>
      <c r="R34" s="166" t="s">
        <v>716</v>
      </c>
      <c r="S34" s="166" t="s">
        <v>541</v>
      </c>
      <c r="T34" s="166" t="s">
        <v>542</v>
      </c>
      <c r="U34" s="293">
        <v>1228542</v>
      </c>
      <c r="V34" s="166">
        <v>6001127044841</v>
      </c>
      <c r="W34" s="166">
        <v>6001127044841</v>
      </c>
      <c r="X34" s="166" t="s">
        <v>543</v>
      </c>
      <c r="Y34" s="166" t="s">
        <v>543</v>
      </c>
      <c r="Z34" s="166" t="s">
        <v>543</v>
      </c>
      <c r="AA34" s="167" t="s">
        <v>543</v>
      </c>
      <c r="AB34" s="167" t="s">
        <v>543</v>
      </c>
      <c r="AC34" s="166">
        <v>710028002</v>
      </c>
      <c r="AD34" s="168">
        <v>84</v>
      </c>
      <c r="AE34" s="169">
        <v>44743</v>
      </c>
      <c r="AF34" s="169">
        <v>45838</v>
      </c>
      <c r="AG34" s="170" t="s">
        <v>545</v>
      </c>
      <c r="AH34" s="170" t="s">
        <v>721</v>
      </c>
      <c r="AI34" s="170" t="s">
        <v>726</v>
      </c>
      <c r="AJ34" s="170">
        <v>0</v>
      </c>
      <c r="AK34" s="169">
        <v>44743</v>
      </c>
      <c r="AL34" s="168">
        <v>20</v>
      </c>
      <c r="AM34" s="170" t="s">
        <v>548</v>
      </c>
      <c r="AN34" s="170" t="s">
        <v>549</v>
      </c>
      <c r="AO34" s="170" t="s">
        <v>722</v>
      </c>
      <c r="AP34">
        <f t="shared" si="1"/>
        <v>1</v>
      </c>
      <c r="AQ34" s="294">
        <f t="shared" si="0"/>
        <v>3.0187500000000003</v>
      </c>
      <c r="AR34" s="294">
        <f>SUMPRODUCT(AQ34:AQ35,U34:U35)/SUMPRODUCT(U34:U35)</f>
        <v>2.5745357142857141</v>
      </c>
    </row>
    <row r="35" spans="1:44" ht="16" thickBot="1">
      <c r="A35" s="166" t="s">
        <v>529</v>
      </c>
      <c r="B35" s="166" t="s">
        <v>573</v>
      </c>
      <c r="C35" s="166" t="s">
        <v>974</v>
      </c>
      <c r="D35" s="292" t="s">
        <v>719</v>
      </c>
      <c r="E35" s="166">
        <v>112</v>
      </c>
      <c r="F35" s="166" t="s">
        <v>559</v>
      </c>
      <c r="G35" s="166">
        <v>112</v>
      </c>
      <c r="H35" s="166" t="s">
        <v>559</v>
      </c>
      <c r="I35" s="166" t="s">
        <v>560</v>
      </c>
      <c r="J35" s="166" t="s">
        <v>714</v>
      </c>
      <c r="K35" s="166" t="s">
        <v>720</v>
      </c>
      <c r="L35" s="166" t="s">
        <v>562</v>
      </c>
      <c r="M35" s="166" t="s">
        <v>563</v>
      </c>
      <c r="N35" s="167">
        <v>275.91000000000003</v>
      </c>
      <c r="O35" s="167">
        <v>14</v>
      </c>
      <c r="P35" s="166" t="s">
        <v>538</v>
      </c>
      <c r="Q35" s="166" t="s">
        <v>539</v>
      </c>
      <c r="R35" s="166" t="s">
        <v>716</v>
      </c>
      <c r="S35" s="166" t="s">
        <v>541</v>
      </c>
      <c r="T35" s="166" t="s">
        <v>542</v>
      </c>
      <c r="U35" s="293">
        <v>4914168</v>
      </c>
      <c r="V35" s="166">
        <v>6009628332733</v>
      </c>
      <c r="W35" s="166">
        <v>6009628332733</v>
      </c>
      <c r="X35" s="166" t="s">
        <v>543</v>
      </c>
      <c r="Y35" s="166">
        <v>16009628332730</v>
      </c>
      <c r="Z35" s="166" t="s">
        <v>543</v>
      </c>
      <c r="AA35" s="167" t="s">
        <v>543</v>
      </c>
      <c r="AB35" s="167" t="s">
        <v>543</v>
      </c>
      <c r="AC35" s="166" t="s">
        <v>543</v>
      </c>
      <c r="AD35" s="168">
        <v>48</v>
      </c>
      <c r="AE35" s="169">
        <v>44743</v>
      </c>
      <c r="AF35" s="169">
        <v>45838</v>
      </c>
      <c r="AG35" s="170">
        <v>45838</v>
      </c>
      <c r="AH35" s="170" t="s">
        <v>721</v>
      </c>
      <c r="AI35" s="170" t="s">
        <v>565</v>
      </c>
      <c r="AJ35" s="170">
        <v>23</v>
      </c>
      <c r="AK35" s="169">
        <v>45047</v>
      </c>
      <c r="AL35" s="168">
        <v>80</v>
      </c>
      <c r="AM35" s="170" t="s">
        <v>548</v>
      </c>
      <c r="AN35" s="170" t="s">
        <v>549</v>
      </c>
      <c r="AO35" s="170" t="s">
        <v>722</v>
      </c>
      <c r="AP35" t="str">
        <f t="shared" si="1"/>
        <v/>
      </c>
      <c r="AQ35" s="294">
        <f t="shared" si="0"/>
        <v>2.463482142857143</v>
      </c>
    </row>
    <row r="36" spans="1:44" ht="16" thickBot="1">
      <c r="A36" s="166" t="s">
        <v>529</v>
      </c>
      <c r="B36" s="166" t="s">
        <v>557</v>
      </c>
      <c r="C36" s="166" t="s">
        <v>1016</v>
      </c>
      <c r="D36" s="292" t="s">
        <v>727</v>
      </c>
      <c r="E36" s="166">
        <v>120</v>
      </c>
      <c r="F36" s="166" t="s">
        <v>584</v>
      </c>
      <c r="G36" s="166">
        <v>120</v>
      </c>
      <c r="H36" s="166" t="s">
        <v>584</v>
      </c>
      <c r="I36" s="166" t="s">
        <v>585</v>
      </c>
      <c r="J36" s="166" t="s">
        <v>714</v>
      </c>
      <c r="K36" s="166" t="s">
        <v>728</v>
      </c>
      <c r="L36" s="166" t="s">
        <v>675</v>
      </c>
      <c r="M36" s="166" t="s">
        <v>676</v>
      </c>
      <c r="N36" s="167">
        <v>264.31</v>
      </c>
      <c r="O36" s="167">
        <v>14</v>
      </c>
      <c r="P36" s="166" t="s">
        <v>538</v>
      </c>
      <c r="Q36" s="166" t="s">
        <v>539</v>
      </c>
      <c r="R36" s="166" t="s">
        <v>716</v>
      </c>
      <c r="S36" s="166" t="s">
        <v>541</v>
      </c>
      <c r="T36" s="166" t="s">
        <v>542</v>
      </c>
      <c r="U36" s="293">
        <v>463610</v>
      </c>
      <c r="V36" s="166">
        <v>6006352034155</v>
      </c>
      <c r="W36" s="166" t="s">
        <v>543</v>
      </c>
      <c r="X36" s="166" t="s">
        <v>543</v>
      </c>
      <c r="Y36" s="166">
        <v>6006352034162</v>
      </c>
      <c r="Z36" s="166" t="s">
        <v>543</v>
      </c>
      <c r="AA36" s="167" t="s">
        <v>543</v>
      </c>
      <c r="AB36" s="167" t="s">
        <v>543</v>
      </c>
      <c r="AC36" s="166">
        <v>3001450001</v>
      </c>
      <c r="AD36" s="168">
        <v>70</v>
      </c>
      <c r="AE36" s="169">
        <v>44743</v>
      </c>
      <c r="AF36" s="169">
        <v>45838</v>
      </c>
      <c r="AG36" s="169">
        <v>45838</v>
      </c>
      <c r="AH36" s="170" t="s">
        <v>729</v>
      </c>
      <c r="AI36" s="170" t="s">
        <v>679</v>
      </c>
      <c r="AJ36" s="170">
        <v>17</v>
      </c>
      <c r="AK36" s="169">
        <v>45047</v>
      </c>
      <c r="AL36" s="168">
        <v>100</v>
      </c>
      <c r="AM36" s="170" t="s">
        <v>548</v>
      </c>
      <c r="AN36" s="170" t="s">
        <v>549</v>
      </c>
      <c r="AO36" s="170" t="s">
        <v>730</v>
      </c>
      <c r="AP36">
        <f t="shared" si="1"/>
        <v>1</v>
      </c>
      <c r="AQ36" s="294">
        <f t="shared" si="0"/>
        <v>2.2025833333333336</v>
      </c>
      <c r="AR36" s="294">
        <f t="shared" ref="AR36:AR45" si="3">AQ36</f>
        <v>2.2025833333333336</v>
      </c>
    </row>
    <row r="37" spans="1:44" ht="16" thickBot="1">
      <c r="A37" s="166" t="s">
        <v>529</v>
      </c>
      <c r="B37" s="166" t="s">
        <v>972</v>
      </c>
      <c r="C37" s="166" t="s">
        <v>973</v>
      </c>
      <c r="D37" s="292" t="s">
        <v>731</v>
      </c>
      <c r="E37" s="166">
        <v>60</v>
      </c>
      <c r="F37" s="166" t="s">
        <v>531</v>
      </c>
      <c r="G37" s="166">
        <v>60</v>
      </c>
      <c r="H37" s="166" t="s">
        <v>531</v>
      </c>
      <c r="I37" s="166" t="s">
        <v>532</v>
      </c>
      <c r="J37" s="166" t="s">
        <v>714</v>
      </c>
      <c r="K37" s="166" t="s">
        <v>732</v>
      </c>
      <c r="L37" s="166" t="s">
        <v>724</v>
      </c>
      <c r="M37" s="166" t="s">
        <v>725</v>
      </c>
      <c r="N37" s="167">
        <v>81.540000000000006</v>
      </c>
      <c r="O37" s="167">
        <v>14</v>
      </c>
      <c r="P37" s="166" t="s">
        <v>538</v>
      </c>
      <c r="Q37" s="166" t="s">
        <v>539</v>
      </c>
      <c r="R37" s="166" t="s">
        <v>716</v>
      </c>
      <c r="S37" s="166" t="s">
        <v>541</v>
      </c>
      <c r="T37" s="166" t="s">
        <v>542</v>
      </c>
      <c r="U37" s="293">
        <v>1918401</v>
      </c>
      <c r="V37" s="166">
        <v>600127043738</v>
      </c>
      <c r="W37" s="166">
        <v>600127043738</v>
      </c>
      <c r="X37" s="166" t="s">
        <v>543</v>
      </c>
      <c r="Y37" s="166" t="s">
        <v>543</v>
      </c>
      <c r="Z37" s="166" t="s">
        <v>543</v>
      </c>
      <c r="AA37" s="167" t="s">
        <v>543</v>
      </c>
      <c r="AB37" s="167" t="s">
        <v>543</v>
      </c>
      <c r="AC37" s="166">
        <v>700924019</v>
      </c>
      <c r="AD37" s="168" t="s">
        <v>733</v>
      </c>
      <c r="AE37" s="169">
        <v>44743</v>
      </c>
      <c r="AF37" s="169">
        <v>45838</v>
      </c>
      <c r="AG37" s="170" t="s">
        <v>545</v>
      </c>
      <c r="AH37" s="170" t="s">
        <v>734</v>
      </c>
      <c r="AI37" s="170" t="s">
        <v>726</v>
      </c>
      <c r="AJ37" s="170">
        <v>0</v>
      </c>
      <c r="AK37" s="169">
        <v>44743</v>
      </c>
      <c r="AL37" s="168">
        <v>100</v>
      </c>
      <c r="AM37" s="170" t="s">
        <v>548</v>
      </c>
      <c r="AN37" s="170" t="s">
        <v>549</v>
      </c>
      <c r="AO37" s="170" t="s">
        <v>735</v>
      </c>
      <c r="AP37">
        <f t="shared" si="1"/>
        <v>1</v>
      </c>
      <c r="AQ37" s="294">
        <f t="shared" si="0"/>
        <v>81.540000000000006</v>
      </c>
      <c r="AR37" s="294">
        <f t="shared" si="3"/>
        <v>81.540000000000006</v>
      </c>
    </row>
    <row r="38" spans="1:44" ht="16" thickBot="1">
      <c r="A38" s="166" t="s">
        <v>529</v>
      </c>
      <c r="B38" s="166" t="s">
        <v>1006</v>
      </c>
      <c r="C38" s="166" t="s">
        <v>1007</v>
      </c>
      <c r="D38" s="292" t="s">
        <v>736</v>
      </c>
      <c r="E38" s="166">
        <v>56</v>
      </c>
      <c r="F38" s="166" t="s">
        <v>559</v>
      </c>
      <c r="G38" s="166">
        <v>56</v>
      </c>
      <c r="H38" s="166" t="s">
        <v>559</v>
      </c>
      <c r="I38" s="166" t="s">
        <v>560</v>
      </c>
      <c r="J38" s="166" t="s">
        <v>737</v>
      </c>
      <c r="K38" s="166" t="s">
        <v>738</v>
      </c>
      <c r="L38" s="166" t="s">
        <v>654</v>
      </c>
      <c r="M38" s="166" t="s">
        <v>655</v>
      </c>
      <c r="N38" s="167">
        <v>41.9</v>
      </c>
      <c r="O38" s="167">
        <v>14</v>
      </c>
      <c r="P38" s="166" t="s">
        <v>538</v>
      </c>
      <c r="Q38" s="166" t="s">
        <v>539</v>
      </c>
      <c r="R38" s="166" t="s">
        <v>739</v>
      </c>
      <c r="S38" s="166" t="s">
        <v>541</v>
      </c>
      <c r="T38" s="166" t="s">
        <v>542</v>
      </c>
      <c r="U38" s="293">
        <v>1806313</v>
      </c>
      <c r="V38" s="166" t="s">
        <v>543</v>
      </c>
      <c r="W38" s="166" t="s">
        <v>543</v>
      </c>
      <c r="X38" s="166" t="s">
        <v>543</v>
      </c>
      <c r="Y38" s="166" t="s">
        <v>543</v>
      </c>
      <c r="Z38" s="166" t="s">
        <v>543</v>
      </c>
      <c r="AA38" s="167" t="s">
        <v>543</v>
      </c>
      <c r="AB38" s="167" t="s">
        <v>543</v>
      </c>
      <c r="AC38" s="166" t="s">
        <v>543</v>
      </c>
      <c r="AD38" s="168" t="s">
        <v>740</v>
      </c>
      <c r="AE38" s="169">
        <v>44743</v>
      </c>
      <c r="AF38" s="169">
        <v>45838</v>
      </c>
      <c r="AG38" s="170">
        <v>45838</v>
      </c>
      <c r="AH38" s="170" t="s">
        <v>741</v>
      </c>
      <c r="AI38" s="170" t="s">
        <v>658</v>
      </c>
      <c r="AJ38" s="170">
        <v>16</v>
      </c>
      <c r="AK38" s="169">
        <v>45047</v>
      </c>
      <c r="AL38" s="168">
        <v>100</v>
      </c>
      <c r="AM38" s="170" t="s">
        <v>548</v>
      </c>
      <c r="AN38" s="170" t="s">
        <v>549</v>
      </c>
      <c r="AO38" s="170" t="s">
        <v>742</v>
      </c>
      <c r="AP38">
        <f t="shared" si="1"/>
        <v>1</v>
      </c>
      <c r="AQ38" s="294">
        <f t="shared" si="0"/>
        <v>0.74821428571428572</v>
      </c>
      <c r="AR38" s="294">
        <f t="shared" si="3"/>
        <v>0.74821428571428572</v>
      </c>
    </row>
    <row r="39" spans="1:44" ht="16" thickBot="1">
      <c r="A39" s="166" t="s">
        <v>529</v>
      </c>
      <c r="B39" s="166" t="s">
        <v>990</v>
      </c>
      <c r="C39" s="166" t="s">
        <v>991</v>
      </c>
      <c r="D39" s="292" t="s">
        <v>743</v>
      </c>
      <c r="E39" s="166">
        <v>100</v>
      </c>
      <c r="F39" s="166" t="s">
        <v>531</v>
      </c>
      <c r="G39" s="166">
        <v>100</v>
      </c>
      <c r="H39" s="166" t="s">
        <v>531</v>
      </c>
      <c r="I39" s="166" t="s">
        <v>744</v>
      </c>
      <c r="J39" s="166" t="s">
        <v>737</v>
      </c>
      <c r="K39" s="166" t="s">
        <v>745</v>
      </c>
      <c r="L39" s="166" t="s">
        <v>675</v>
      </c>
      <c r="M39" s="166" t="s">
        <v>676</v>
      </c>
      <c r="N39" s="167">
        <v>21.64</v>
      </c>
      <c r="O39" s="167">
        <v>14</v>
      </c>
      <c r="P39" s="166" t="s">
        <v>538</v>
      </c>
      <c r="Q39" s="166" t="s">
        <v>539</v>
      </c>
      <c r="R39" s="166" t="s">
        <v>739</v>
      </c>
      <c r="S39" s="166" t="s">
        <v>541</v>
      </c>
      <c r="T39" s="166" t="s">
        <v>542</v>
      </c>
      <c r="U39" s="293">
        <v>952685</v>
      </c>
      <c r="V39" s="166">
        <v>6006352066251</v>
      </c>
      <c r="W39" s="166">
        <v>6006352066251</v>
      </c>
      <c r="X39" s="166" t="s">
        <v>543</v>
      </c>
      <c r="Y39" s="166">
        <v>6006352066268</v>
      </c>
      <c r="Z39" s="166" t="s">
        <v>543</v>
      </c>
      <c r="AA39" s="167" t="s">
        <v>543</v>
      </c>
      <c r="AB39" s="167" t="s">
        <v>543</v>
      </c>
      <c r="AC39" s="166">
        <v>704040001</v>
      </c>
      <c r="AD39" s="168">
        <v>60</v>
      </c>
      <c r="AE39" s="169">
        <v>44743</v>
      </c>
      <c r="AF39" s="169">
        <v>45838</v>
      </c>
      <c r="AG39" s="169">
        <v>45838</v>
      </c>
      <c r="AH39" s="170" t="s">
        <v>746</v>
      </c>
      <c r="AI39" s="170" t="s">
        <v>679</v>
      </c>
      <c r="AJ39" s="170">
        <v>17</v>
      </c>
      <c r="AK39" s="169">
        <v>45047</v>
      </c>
      <c r="AL39" s="168">
        <v>100</v>
      </c>
      <c r="AM39" s="170" t="s">
        <v>548</v>
      </c>
      <c r="AN39" s="170" t="s">
        <v>549</v>
      </c>
      <c r="AO39" s="170" t="s">
        <v>747</v>
      </c>
      <c r="AP39">
        <f t="shared" si="1"/>
        <v>1</v>
      </c>
      <c r="AQ39" s="294">
        <f t="shared" si="0"/>
        <v>21.64</v>
      </c>
      <c r="AR39" s="294">
        <f t="shared" si="3"/>
        <v>21.64</v>
      </c>
    </row>
    <row r="40" spans="1:44" ht="16" thickBot="1">
      <c r="A40" s="166" t="s">
        <v>529</v>
      </c>
      <c r="B40" s="166" t="s">
        <v>982</v>
      </c>
      <c r="C40" s="166" t="s">
        <v>983</v>
      </c>
      <c r="D40" s="292" t="s">
        <v>748</v>
      </c>
      <c r="E40" s="166">
        <v>240</v>
      </c>
      <c r="F40" s="166" t="s">
        <v>531</v>
      </c>
      <c r="G40" s="166">
        <v>240</v>
      </c>
      <c r="H40" s="166" t="s">
        <v>531</v>
      </c>
      <c r="I40" s="166" t="s">
        <v>744</v>
      </c>
      <c r="J40" s="166" t="s">
        <v>737</v>
      </c>
      <c r="K40" s="166" t="s">
        <v>749</v>
      </c>
      <c r="L40" s="166" t="s">
        <v>588</v>
      </c>
      <c r="M40" s="166" t="s">
        <v>589</v>
      </c>
      <c r="N40" s="167">
        <v>35.130000000000003</v>
      </c>
      <c r="O40" s="167">
        <v>14</v>
      </c>
      <c r="P40" s="166" t="s">
        <v>538</v>
      </c>
      <c r="Q40" s="166" t="s">
        <v>539</v>
      </c>
      <c r="R40" s="166" t="s">
        <v>739</v>
      </c>
      <c r="S40" s="166" t="s">
        <v>541</v>
      </c>
      <c r="T40" s="166" t="s">
        <v>542</v>
      </c>
      <c r="U40" s="293">
        <v>533712</v>
      </c>
      <c r="V40" s="166">
        <v>6009695244281</v>
      </c>
      <c r="W40" s="166">
        <v>6009695244281</v>
      </c>
      <c r="X40" s="166" t="s">
        <v>543</v>
      </c>
      <c r="Y40" s="166">
        <v>16009695244288</v>
      </c>
      <c r="Z40" s="166" t="s">
        <v>543</v>
      </c>
      <c r="AA40" s="167" t="s">
        <v>543</v>
      </c>
      <c r="AB40" s="167" t="s">
        <v>543</v>
      </c>
      <c r="AC40" s="166">
        <v>720848001</v>
      </c>
      <c r="AD40" s="168">
        <v>30</v>
      </c>
      <c r="AE40" s="169">
        <v>44743</v>
      </c>
      <c r="AF40" s="169">
        <v>45838</v>
      </c>
      <c r="AG40" s="169">
        <v>45838</v>
      </c>
      <c r="AH40" s="170" t="s">
        <v>750</v>
      </c>
      <c r="AI40" s="170" t="s">
        <v>592</v>
      </c>
      <c r="AJ40" s="170">
        <v>10</v>
      </c>
      <c r="AK40" s="169">
        <v>44958</v>
      </c>
      <c r="AL40" s="168">
        <v>100</v>
      </c>
      <c r="AM40" s="170" t="s">
        <v>548</v>
      </c>
      <c r="AN40" s="170" t="s">
        <v>549</v>
      </c>
      <c r="AO40" s="170" t="s">
        <v>747</v>
      </c>
      <c r="AP40">
        <f t="shared" si="1"/>
        <v>1</v>
      </c>
      <c r="AQ40" s="294">
        <f t="shared" si="0"/>
        <v>35.130000000000003</v>
      </c>
      <c r="AR40" s="294">
        <f t="shared" si="3"/>
        <v>35.130000000000003</v>
      </c>
    </row>
    <row r="41" spans="1:44" ht="16" thickBot="1">
      <c r="A41" s="166" t="s">
        <v>529</v>
      </c>
      <c r="B41" s="166" t="s">
        <v>975</v>
      </c>
      <c r="C41" s="166" t="s">
        <v>976</v>
      </c>
      <c r="D41" s="292" t="s">
        <v>751</v>
      </c>
      <c r="E41" s="166">
        <v>56</v>
      </c>
      <c r="F41" s="166" t="s">
        <v>559</v>
      </c>
      <c r="G41" s="166">
        <v>56</v>
      </c>
      <c r="H41" s="166" t="s">
        <v>559</v>
      </c>
      <c r="I41" s="166" t="s">
        <v>560</v>
      </c>
      <c r="J41" s="166" t="s">
        <v>752</v>
      </c>
      <c r="K41" s="166" t="s">
        <v>753</v>
      </c>
      <c r="L41" s="166" t="s">
        <v>754</v>
      </c>
      <c r="M41" s="166" t="s">
        <v>755</v>
      </c>
      <c r="N41" s="167">
        <v>455.4</v>
      </c>
      <c r="O41" s="167">
        <v>14</v>
      </c>
      <c r="P41" s="166" t="s">
        <v>538</v>
      </c>
      <c r="Q41" s="166" t="s">
        <v>539</v>
      </c>
      <c r="R41" s="166" t="s">
        <v>756</v>
      </c>
      <c r="S41" s="166" t="s">
        <v>541</v>
      </c>
      <c r="T41" s="166" t="s">
        <v>757</v>
      </c>
      <c r="U41" s="293">
        <v>2814</v>
      </c>
      <c r="V41" s="166" t="s">
        <v>543</v>
      </c>
      <c r="W41" s="166" t="s">
        <v>543</v>
      </c>
      <c r="X41" s="166" t="s">
        <v>543</v>
      </c>
      <c r="Y41" s="166" t="s">
        <v>543</v>
      </c>
      <c r="Z41" s="166" t="s">
        <v>543</v>
      </c>
      <c r="AA41" s="167" t="s">
        <v>543</v>
      </c>
      <c r="AB41" s="167" t="s">
        <v>543</v>
      </c>
      <c r="AC41" s="166">
        <v>720590001</v>
      </c>
      <c r="AD41" s="168">
        <v>1</v>
      </c>
      <c r="AE41" s="169">
        <v>44743</v>
      </c>
      <c r="AF41" s="169">
        <v>45838</v>
      </c>
      <c r="AG41" s="170" t="s">
        <v>545</v>
      </c>
      <c r="AH41" s="170" t="s">
        <v>758</v>
      </c>
      <c r="AI41" s="170" t="s">
        <v>759</v>
      </c>
      <c r="AJ41" s="170">
        <v>0</v>
      </c>
      <c r="AK41" s="169">
        <v>44743</v>
      </c>
      <c r="AL41" s="168">
        <v>100</v>
      </c>
      <c r="AM41" s="170" t="s">
        <v>548</v>
      </c>
      <c r="AN41" s="170" t="s">
        <v>549</v>
      </c>
      <c r="AO41" s="170" t="s">
        <v>760</v>
      </c>
      <c r="AP41">
        <f t="shared" si="1"/>
        <v>1</v>
      </c>
      <c r="AQ41" s="294">
        <f t="shared" si="0"/>
        <v>8.1321428571428562</v>
      </c>
      <c r="AR41" s="294">
        <f t="shared" si="3"/>
        <v>8.1321428571428562</v>
      </c>
    </row>
    <row r="42" spans="1:44" ht="16" thickBot="1">
      <c r="A42" s="166" t="s">
        <v>529</v>
      </c>
      <c r="B42" s="166" t="s">
        <v>643</v>
      </c>
      <c r="C42" s="166" t="s">
        <v>977</v>
      </c>
      <c r="D42" s="292" t="s">
        <v>761</v>
      </c>
      <c r="E42" s="166">
        <v>56</v>
      </c>
      <c r="F42" s="166" t="s">
        <v>559</v>
      </c>
      <c r="G42" s="166">
        <v>56</v>
      </c>
      <c r="H42" s="166" t="s">
        <v>559</v>
      </c>
      <c r="I42" s="166" t="s">
        <v>560</v>
      </c>
      <c r="J42" s="166" t="s">
        <v>752</v>
      </c>
      <c r="K42" s="166" t="s">
        <v>762</v>
      </c>
      <c r="L42" s="166" t="s">
        <v>754</v>
      </c>
      <c r="M42" s="166" t="s">
        <v>755</v>
      </c>
      <c r="N42" s="167">
        <v>227.7</v>
      </c>
      <c r="O42" s="167">
        <v>14</v>
      </c>
      <c r="P42" s="166" t="s">
        <v>538</v>
      </c>
      <c r="Q42" s="166" t="s">
        <v>539</v>
      </c>
      <c r="R42" s="166" t="s">
        <v>756</v>
      </c>
      <c r="S42" s="166" t="s">
        <v>541</v>
      </c>
      <c r="T42" s="166" t="s">
        <v>757</v>
      </c>
      <c r="U42" s="293">
        <v>1452</v>
      </c>
      <c r="V42" s="166">
        <v>6003422012099</v>
      </c>
      <c r="W42" s="166" t="s">
        <v>543</v>
      </c>
      <c r="X42" s="166" t="s">
        <v>543</v>
      </c>
      <c r="Y42" s="166" t="s">
        <v>543</v>
      </c>
      <c r="Z42" s="166" t="s">
        <v>543</v>
      </c>
      <c r="AA42" s="167" t="s">
        <v>543</v>
      </c>
      <c r="AB42" s="167" t="s">
        <v>543</v>
      </c>
      <c r="AC42" s="166">
        <v>720591001</v>
      </c>
      <c r="AD42" s="168">
        <v>1</v>
      </c>
      <c r="AE42" s="169">
        <v>44743</v>
      </c>
      <c r="AF42" s="169">
        <v>45838</v>
      </c>
      <c r="AG42" s="170" t="s">
        <v>545</v>
      </c>
      <c r="AH42" s="170" t="s">
        <v>763</v>
      </c>
      <c r="AI42" s="170" t="s">
        <v>759</v>
      </c>
      <c r="AJ42" s="170">
        <v>0</v>
      </c>
      <c r="AK42" s="169">
        <v>44743</v>
      </c>
      <c r="AL42" s="168">
        <v>100</v>
      </c>
      <c r="AM42" s="170" t="s">
        <v>548</v>
      </c>
      <c r="AN42" s="170" t="s">
        <v>549</v>
      </c>
      <c r="AO42" s="170" t="s">
        <v>764</v>
      </c>
      <c r="AP42">
        <f t="shared" si="1"/>
        <v>1</v>
      </c>
      <c r="AQ42" s="294">
        <f t="shared" si="0"/>
        <v>4.0660714285714281</v>
      </c>
      <c r="AR42" s="294">
        <f t="shared" si="3"/>
        <v>4.0660714285714281</v>
      </c>
    </row>
    <row r="43" spans="1:44" ht="16" thickBot="1">
      <c r="A43" s="166" t="s">
        <v>529</v>
      </c>
      <c r="B43" s="166" t="s">
        <v>970</v>
      </c>
      <c r="C43" s="166" t="s">
        <v>971</v>
      </c>
      <c r="D43" s="292" t="s">
        <v>765</v>
      </c>
      <c r="E43" s="166">
        <v>56</v>
      </c>
      <c r="F43" s="166" t="s">
        <v>559</v>
      </c>
      <c r="G43" s="166">
        <v>56</v>
      </c>
      <c r="H43" s="166" t="s">
        <v>559</v>
      </c>
      <c r="I43" s="166" t="s">
        <v>560</v>
      </c>
      <c r="J43" s="166" t="s">
        <v>752</v>
      </c>
      <c r="K43" s="166" t="s">
        <v>766</v>
      </c>
      <c r="L43" s="166" t="s">
        <v>754</v>
      </c>
      <c r="M43" s="166" t="s">
        <v>755</v>
      </c>
      <c r="N43" s="167">
        <v>537.46</v>
      </c>
      <c r="O43" s="167">
        <v>14</v>
      </c>
      <c r="P43" s="166" t="s">
        <v>538</v>
      </c>
      <c r="Q43" s="166" t="s">
        <v>539</v>
      </c>
      <c r="R43" s="166" t="s">
        <v>756</v>
      </c>
      <c r="S43" s="166" t="s">
        <v>541</v>
      </c>
      <c r="T43" s="166" t="s">
        <v>757</v>
      </c>
      <c r="U43" s="293">
        <v>11982</v>
      </c>
      <c r="V43" s="166">
        <v>6003422010477</v>
      </c>
      <c r="W43" s="166" t="s">
        <v>543</v>
      </c>
      <c r="X43" s="166" t="s">
        <v>543</v>
      </c>
      <c r="Y43" s="166">
        <v>16003422013362</v>
      </c>
      <c r="Z43" s="166" t="s">
        <v>543</v>
      </c>
      <c r="AA43" s="167" t="s">
        <v>543</v>
      </c>
      <c r="AB43" s="167" t="s">
        <v>543</v>
      </c>
      <c r="AC43" s="166">
        <v>715825001</v>
      </c>
      <c r="AD43" s="168">
        <v>1</v>
      </c>
      <c r="AE43" s="169">
        <v>44743</v>
      </c>
      <c r="AF43" s="169">
        <v>45838</v>
      </c>
      <c r="AG43" s="170" t="s">
        <v>545</v>
      </c>
      <c r="AH43" s="170" t="s">
        <v>767</v>
      </c>
      <c r="AI43" s="170" t="s">
        <v>759</v>
      </c>
      <c r="AJ43" s="170">
        <v>0</v>
      </c>
      <c r="AK43" s="169">
        <v>44743</v>
      </c>
      <c r="AL43" s="168">
        <v>100</v>
      </c>
      <c r="AM43" s="170" t="s">
        <v>548</v>
      </c>
      <c r="AN43" s="170" t="s">
        <v>549</v>
      </c>
      <c r="AO43" s="170" t="s">
        <v>768</v>
      </c>
      <c r="AP43">
        <f t="shared" si="1"/>
        <v>1</v>
      </c>
      <c r="AQ43" s="294">
        <f t="shared" si="0"/>
        <v>9.5975000000000001</v>
      </c>
      <c r="AR43" s="294">
        <f t="shared" si="3"/>
        <v>9.5975000000000001</v>
      </c>
    </row>
    <row r="44" spans="1:44" ht="16" thickBot="1">
      <c r="A44" s="166" t="s">
        <v>529</v>
      </c>
      <c r="B44" s="166" t="s">
        <v>967</v>
      </c>
      <c r="C44" s="166" t="s">
        <v>968</v>
      </c>
      <c r="D44" s="292" t="s">
        <v>769</v>
      </c>
      <c r="E44" s="166">
        <v>30</v>
      </c>
      <c r="F44" s="166" t="s">
        <v>770</v>
      </c>
      <c r="G44" s="166">
        <v>30</v>
      </c>
      <c r="H44" s="166" t="s">
        <v>770</v>
      </c>
      <c r="I44" s="166" t="s">
        <v>744</v>
      </c>
      <c r="J44" s="166" t="s">
        <v>771</v>
      </c>
      <c r="K44" s="166" t="s">
        <v>772</v>
      </c>
      <c r="L44" s="166" t="s">
        <v>724</v>
      </c>
      <c r="M44" s="166" t="s">
        <v>725</v>
      </c>
      <c r="N44" s="167">
        <v>56.76</v>
      </c>
      <c r="O44" s="167">
        <v>14</v>
      </c>
      <c r="P44" s="166" t="s">
        <v>538</v>
      </c>
      <c r="Q44" s="166" t="s">
        <v>539</v>
      </c>
      <c r="R44" s="166" t="s">
        <v>773</v>
      </c>
      <c r="S44" s="166" t="s">
        <v>541</v>
      </c>
      <c r="T44" s="166" t="s">
        <v>542</v>
      </c>
      <c r="U44" s="293">
        <v>50410</v>
      </c>
      <c r="V44" s="166" t="s">
        <v>543</v>
      </c>
      <c r="W44" s="166" t="s">
        <v>543</v>
      </c>
      <c r="X44" s="166" t="s">
        <v>543</v>
      </c>
      <c r="Y44" s="166" t="s">
        <v>543</v>
      </c>
      <c r="Z44" s="166" t="s">
        <v>543</v>
      </c>
      <c r="AA44" s="167" t="s">
        <v>543</v>
      </c>
      <c r="AB44" s="167" t="s">
        <v>543</v>
      </c>
      <c r="AC44" s="166" t="s">
        <v>543</v>
      </c>
      <c r="AD44" s="168">
        <v>12</v>
      </c>
      <c r="AE44" s="169">
        <v>44743</v>
      </c>
      <c r="AF44" s="169">
        <v>45838</v>
      </c>
      <c r="AG44" s="170" t="s">
        <v>545</v>
      </c>
      <c r="AH44" s="170" t="s">
        <v>774</v>
      </c>
      <c r="AI44" s="170" t="s">
        <v>726</v>
      </c>
      <c r="AJ44" s="170">
        <v>0</v>
      </c>
      <c r="AK44" s="169">
        <v>44743</v>
      </c>
      <c r="AL44" s="168">
        <v>100</v>
      </c>
      <c r="AM44" s="170" t="s">
        <v>548</v>
      </c>
      <c r="AN44" s="170" t="s">
        <v>549</v>
      </c>
      <c r="AO44" s="170" t="s">
        <v>775</v>
      </c>
      <c r="AP44">
        <f t="shared" si="1"/>
        <v>1</v>
      </c>
      <c r="AQ44" s="294">
        <f t="shared" si="0"/>
        <v>1.8919999999999999</v>
      </c>
      <c r="AR44" s="294">
        <f t="shared" si="3"/>
        <v>1.8919999999999999</v>
      </c>
    </row>
    <row r="45" spans="1:44" ht="16" thickBot="1">
      <c r="A45" s="166" t="s">
        <v>529</v>
      </c>
      <c r="B45" s="166" t="s">
        <v>1001</v>
      </c>
      <c r="C45" s="166" t="s">
        <v>1002</v>
      </c>
      <c r="D45" s="292" t="s">
        <v>776</v>
      </c>
      <c r="E45" s="166">
        <v>56</v>
      </c>
      <c r="F45" s="166" t="s">
        <v>559</v>
      </c>
      <c r="G45" s="166">
        <v>56</v>
      </c>
      <c r="H45" s="166" t="s">
        <v>559</v>
      </c>
      <c r="I45" s="166" t="s">
        <v>560</v>
      </c>
      <c r="J45" s="166" t="s">
        <v>771</v>
      </c>
      <c r="K45" s="166" t="s">
        <v>777</v>
      </c>
      <c r="L45" s="166" t="s">
        <v>552</v>
      </c>
      <c r="M45" s="166" t="s">
        <v>553</v>
      </c>
      <c r="N45" s="167">
        <v>93.86</v>
      </c>
      <c r="O45" s="167">
        <v>14</v>
      </c>
      <c r="P45" s="166" t="s">
        <v>538</v>
      </c>
      <c r="Q45" s="166" t="s">
        <v>539</v>
      </c>
      <c r="R45" s="166" t="s">
        <v>773</v>
      </c>
      <c r="S45" s="166" t="s">
        <v>541</v>
      </c>
      <c r="T45" s="166" t="s">
        <v>542</v>
      </c>
      <c r="U45" s="293">
        <v>493697</v>
      </c>
      <c r="V45" s="166">
        <v>8903726256213</v>
      </c>
      <c r="W45" s="166">
        <v>8903726256213</v>
      </c>
      <c r="X45" s="166" t="s">
        <v>543</v>
      </c>
      <c r="Y45" s="166">
        <v>58903726266361</v>
      </c>
      <c r="Z45" s="166" t="s">
        <v>543</v>
      </c>
      <c r="AA45" s="167" t="s">
        <v>543</v>
      </c>
      <c r="AB45" s="167" t="s">
        <v>543</v>
      </c>
      <c r="AC45" s="166" t="s">
        <v>543</v>
      </c>
      <c r="AD45" s="168">
        <v>24</v>
      </c>
      <c r="AE45" s="169">
        <v>44743</v>
      </c>
      <c r="AF45" s="169">
        <v>45838</v>
      </c>
      <c r="AG45" s="169">
        <v>45838</v>
      </c>
      <c r="AH45" s="170" t="s">
        <v>778</v>
      </c>
      <c r="AI45" s="170" t="s">
        <v>555</v>
      </c>
      <c r="AJ45" s="170">
        <v>19</v>
      </c>
      <c r="AK45" s="169">
        <v>45047</v>
      </c>
      <c r="AL45" s="168">
        <v>100</v>
      </c>
      <c r="AM45" s="170" t="s">
        <v>548</v>
      </c>
      <c r="AN45" s="170" t="s">
        <v>549</v>
      </c>
      <c r="AO45" s="170" t="s">
        <v>779</v>
      </c>
      <c r="AP45">
        <f t="shared" si="1"/>
        <v>1</v>
      </c>
      <c r="AQ45" s="294">
        <f t="shared" si="0"/>
        <v>1.6760714285714287</v>
      </c>
      <c r="AR45" s="294">
        <f t="shared" si="3"/>
        <v>1.6760714285714287</v>
      </c>
    </row>
    <row r="46" spans="1:44" ht="16" thickBot="1">
      <c r="A46" s="166" t="s">
        <v>529</v>
      </c>
      <c r="B46" s="166" t="s">
        <v>987</v>
      </c>
      <c r="C46" s="166" t="s">
        <v>988</v>
      </c>
      <c r="D46" s="292" t="s">
        <v>780</v>
      </c>
      <c r="E46" s="166">
        <v>28</v>
      </c>
      <c r="F46" s="166" t="s">
        <v>559</v>
      </c>
      <c r="G46" s="166">
        <v>28</v>
      </c>
      <c r="H46" s="166" t="s">
        <v>559</v>
      </c>
      <c r="I46" s="166" t="s">
        <v>560</v>
      </c>
      <c r="J46" s="166" t="s">
        <v>781</v>
      </c>
      <c r="K46" s="166" t="s">
        <v>782</v>
      </c>
      <c r="L46" s="166" t="s">
        <v>535</v>
      </c>
      <c r="M46" s="166" t="s">
        <v>536</v>
      </c>
      <c r="N46" s="167">
        <v>97.45</v>
      </c>
      <c r="O46" s="167">
        <v>14</v>
      </c>
      <c r="P46" s="166" t="s">
        <v>538</v>
      </c>
      <c r="Q46" s="166" t="s">
        <v>539</v>
      </c>
      <c r="R46" s="166" t="s">
        <v>783</v>
      </c>
      <c r="S46" s="166" t="s">
        <v>541</v>
      </c>
      <c r="T46" s="166" t="s">
        <v>542</v>
      </c>
      <c r="U46" s="293">
        <v>11021391</v>
      </c>
      <c r="V46" s="166">
        <v>6001390129795</v>
      </c>
      <c r="W46" s="166">
        <v>6001390129801</v>
      </c>
      <c r="X46" s="166" t="s">
        <v>543</v>
      </c>
      <c r="Y46" s="166">
        <v>16001390129808</v>
      </c>
      <c r="Z46" s="166" t="s">
        <v>543</v>
      </c>
      <c r="AA46" s="167" t="s">
        <v>543</v>
      </c>
      <c r="AB46" s="167" t="s">
        <v>543</v>
      </c>
      <c r="AC46" s="166" t="s">
        <v>543</v>
      </c>
      <c r="AD46" s="168">
        <v>10</v>
      </c>
      <c r="AE46" s="169">
        <v>44743</v>
      </c>
      <c r="AF46" s="169">
        <v>45838</v>
      </c>
      <c r="AG46" s="170">
        <v>45838</v>
      </c>
      <c r="AH46" s="170" t="s">
        <v>785</v>
      </c>
      <c r="AI46" s="170" t="s">
        <v>547</v>
      </c>
      <c r="AJ46" s="170">
        <v>21</v>
      </c>
      <c r="AK46" s="169">
        <v>45047</v>
      </c>
      <c r="AL46" s="168">
        <v>33.159999999999997</v>
      </c>
      <c r="AM46" s="170" t="s">
        <v>548</v>
      </c>
      <c r="AN46" s="170" t="s">
        <v>549</v>
      </c>
      <c r="AO46" s="170" t="s">
        <v>786</v>
      </c>
      <c r="AP46">
        <f t="shared" si="1"/>
        <v>1</v>
      </c>
      <c r="AQ46" s="294">
        <f t="shared" si="0"/>
        <v>3.4803571428571431</v>
      </c>
      <c r="AR46" s="294">
        <f>SUMPRODUCT(AQ46:AQ50,U46:U50)/SUMPRODUCT(U46:U50)</f>
        <v>3.4208508217728544</v>
      </c>
    </row>
    <row r="47" spans="1:44" ht="16" thickBot="1">
      <c r="A47" s="166" t="s">
        <v>529</v>
      </c>
      <c r="B47" s="166" t="s">
        <v>987</v>
      </c>
      <c r="C47" s="166" t="s">
        <v>988</v>
      </c>
      <c r="D47" s="292" t="s">
        <v>780</v>
      </c>
      <c r="E47" s="166">
        <v>28</v>
      </c>
      <c r="F47" s="166" t="s">
        <v>559</v>
      </c>
      <c r="G47" s="166">
        <v>28</v>
      </c>
      <c r="H47" s="166" t="s">
        <v>559</v>
      </c>
      <c r="I47" s="166" t="s">
        <v>560</v>
      </c>
      <c r="J47" s="166" t="s">
        <v>781</v>
      </c>
      <c r="K47" s="166" t="s">
        <v>788</v>
      </c>
      <c r="L47" s="166" t="s">
        <v>552</v>
      </c>
      <c r="M47" s="166" t="s">
        <v>553</v>
      </c>
      <c r="N47" s="167">
        <v>100.39</v>
      </c>
      <c r="O47" s="167">
        <v>14</v>
      </c>
      <c r="P47" s="166" t="s">
        <v>538</v>
      </c>
      <c r="Q47" s="166" t="s">
        <v>539</v>
      </c>
      <c r="R47" s="166" t="s">
        <v>783</v>
      </c>
      <c r="S47" s="166" t="s">
        <v>541</v>
      </c>
      <c r="T47" s="166" t="s">
        <v>542</v>
      </c>
      <c r="U47" s="293">
        <v>11149962</v>
      </c>
      <c r="V47" s="166">
        <v>8903726245835</v>
      </c>
      <c r="W47" s="166">
        <v>8903726245835</v>
      </c>
      <c r="X47" s="166" t="s">
        <v>543</v>
      </c>
      <c r="Y47" s="166">
        <v>18903726245832</v>
      </c>
      <c r="Z47" s="166" t="s">
        <v>543</v>
      </c>
      <c r="AA47" s="167" t="s">
        <v>543</v>
      </c>
      <c r="AB47" s="167" t="s">
        <v>543</v>
      </c>
      <c r="AC47" s="166" t="s">
        <v>789</v>
      </c>
      <c r="AD47" s="168">
        <v>56</v>
      </c>
      <c r="AE47" s="169">
        <v>44743</v>
      </c>
      <c r="AF47" s="169">
        <v>45838</v>
      </c>
      <c r="AG47" s="170">
        <v>45838</v>
      </c>
      <c r="AH47" s="170" t="s">
        <v>785</v>
      </c>
      <c r="AI47" s="170" t="s">
        <v>555</v>
      </c>
      <c r="AJ47" s="170">
        <v>19</v>
      </c>
      <c r="AK47" s="169">
        <v>45047</v>
      </c>
      <c r="AL47" s="168">
        <v>33.54</v>
      </c>
      <c r="AM47" s="170" t="s">
        <v>548</v>
      </c>
      <c r="AN47" s="170" t="s">
        <v>549</v>
      </c>
      <c r="AO47" s="170" t="s">
        <v>786</v>
      </c>
      <c r="AP47" t="str">
        <f t="shared" si="1"/>
        <v/>
      </c>
      <c r="AQ47" s="294">
        <f t="shared" si="0"/>
        <v>3.5853571428571427</v>
      </c>
    </row>
    <row r="48" spans="1:44" ht="16" thickBot="1">
      <c r="A48" s="166" t="s">
        <v>529</v>
      </c>
      <c r="B48" s="166" t="s">
        <v>987</v>
      </c>
      <c r="C48" s="166" t="s">
        <v>988</v>
      </c>
      <c r="D48" s="292" t="s">
        <v>780</v>
      </c>
      <c r="E48" s="166">
        <v>28</v>
      </c>
      <c r="F48" s="166" t="s">
        <v>559</v>
      </c>
      <c r="G48" s="166">
        <v>28</v>
      </c>
      <c r="H48" s="166" t="s">
        <v>559</v>
      </c>
      <c r="I48" s="166" t="s">
        <v>560</v>
      </c>
      <c r="J48" s="166" t="s">
        <v>781</v>
      </c>
      <c r="K48" s="166" t="s">
        <v>787</v>
      </c>
      <c r="L48" s="166" t="s">
        <v>562</v>
      </c>
      <c r="M48" s="166" t="s">
        <v>563</v>
      </c>
      <c r="N48" s="167">
        <v>89.55</v>
      </c>
      <c r="O48" s="167">
        <v>14</v>
      </c>
      <c r="P48" s="166" t="s">
        <v>538</v>
      </c>
      <c r="Q48" s="166" t="s">
        <v>539</v>
      </c>
      <c r="R48" s="166" t="s">
        <v>783</v>
      </c>
      <c r="S48" s="166" t="s">
        <v>541</v>
      </c>
      <c r="T48" s="166" t="s">
        <v>542</v>
      </c>
      <c r="U48" s="293">
        <v>11070358</v>
      </c>
      <c r="V48" s="166">
        <v>6009628332771</v>
      </c>
      <c r="W48" s="166">
        <v>6009628332771</v>
      </c>
      <c r="X48" s="166" t="s">
        <v>543</v>
      </c>
      <c r="Y48" s="166">
        <v>16009628332778</v>
      </c>
      <c r="Z48" s="166" t="s">
        <v>543</v>
      </c>
      <c r="AA48" s="167" t="s">
        <v>543</v>
      </c>
      <c r="AB48" s="167" t="s">
        <v>543</v>
      </c>
      <c r="AC48" s="166">
        <v>717837001</v>
      </c>
      <c r="AD48" s="168">
        <v>144</v>
      </c>
      <c r="AE48" s="169">
        <v>44743</v>
      </c>
      <c r="AF48" s="169">
        <v>45838</v>
      </c>
      <c r="AG48" s="169">
        <v>45838</v>
      </c>
      <c r="AH48" s="170" t="s">
        <v>785</v>
      </c>
      <c r="AI48" s="170" t="s">
        <v>565</v>
      </c>
      <c r="AJ48" s="170">
        <v>23</v>
      </c>
      <c r="AK48" s="169">
        <v>45047</v>
      </c>
      <c r="AL48" s="168">
        <v>33.299999999999997</v>
      </c>
      <c r="AM48" s="170" t="s">
        <v>548</v>
      </c>
      <c r="AN48" s="170" t="s">
        <v>549</v>
      </c>
      <c r="AO48" s="170" t="s">
        <v>786</v>
      </c>
      <c r="AP48" t="str">
        <f t="shared" si="1"/>
        <v/>
      </c>
      <c r="AQ48" s="294">
        <f t="shared" si="0"/>
        <v>3.1982142857142857</v>
      </c>
    </row>
    <row r="49" spans="1:45" ht="16" thickBot="1">
      <c r="A49" s="166" t="s">
        <v>529</v>
      </c>
      <c r="B49" s="166" t="s">
        <v>634</v>
      </c>
      <c r="C49" s="166" t="s">
        <v>1011</v>
      </c>
      <c r="D49" s="292" t="s">
        <v>790</v>
      </c>
      <c r="E49" s="166">
        <v>84</v>
      </c>
      <c r="F49" s="166" t="s">
        <v>559</v>
      </c>
      <c r="G49" s="166">
        <v>84</v>
      </c>
      <c r="H49" s="166" t="s">
        <v>559</v>
      </c>
      <c r="I49" s="166" t="s">
        <v>560</v>
      </c>
      <c r="J49" s="166" t="s">
        <v>781</v>
      </c>
      <c r="K49" s="166" t="s">
        <v>794</v>
      </c>
      <c r="L49" s="166" t="s">
        <v>552</v>
      </c>
      <c r="M49" s="166" t="s">
        <v>553</v>
      </c>
      <c r="N49" s="167">
        <v>286.10000000000002</v>
      </c>
      <c r="O49" s="167">
        <v>14</v>
      </c>
      <c r="P49" s="166" t="s">
        <v>538</v>
      </c>
      <c r="Q49" s="166" t="s">
        <v>539</v>
      </c>
      <c r="R49" s="166" t="s">
        <v>783</v>
      </c>
      <c r="S49" s="166" t="s">
        <v>541</v>
      </c>
      <c r="T49" s="166" t="s">
        <v>542</v>
      </c>
      <c r="U49" s="293">
        <v>1783788</v>
      </c>
      <c r="V49" s="166">
        <v>8903726265710</v>
      </c>
      <c r="W49" s="166">
        <v>8903726265710</v>
      </c>
      <c r="X49" s="166" t="s">
        <v>543</v>
      </c>
      <c r="Y49" s="166">
        <v>58903726265715</v>
      </c>
      <c r="Z49" s="166" t="s">
        <v>543</v>
      </c>
      <c r="AA49" s="167" t="s">
        <v>543</v>
      </c>
      <c r="AB49" s="167" t="s">
        <v>543</v>
      </c>
      <c r="AC49" s="166" t="s">
        <v>543</v>
      </c>
      <c r="AD49" s="168">
        <v>20</v>
      </c>
      <c r="AE49" s="169">
        <v>44743</v>
      </c>
      <c r="AF49" s="169">
        <v>45838</v>
      </c>
      <c r="AG49" s="170">
        <v>45838</v>
      </c>
      <c r="AH49" s="170" t="s">
        <v>792</v>
      </c>
      <c r="AI49" s="170" t="s">
        <v>555</v>
      </c>
      <c r="AJ49" s="170">
        <v>19</v>
      </c>
      <c r="AK49" s="169">
        <v>45047</v>
      </c>
      <c r="AL49" s="168">
        <v>80</v>
      </c>
      <c r="AM49" s="170" t="s">
        <v>548</v>
      </c>
      <c r="AN49" s="170" t="s">
        <v>549</v>
      </c>
      <c r="AO49" s="170" t="s">
        <v>786</v>
      </c>
      <c r="AP49" s="132">
        <f t="shared" si="1"/>
        <v>1</v>
      </c>
      <c r="AQ49" s="294">
        <f t="shared" si="0"/>
        <v>3.4059523809523813</v>
      </c>
      <c r="AR49" s="294">
        <f>AR46</f>
        <v>3.4208508217728544</v>
      </c>
      <c r="AS49" t="s">
        <v>793</v>
      </c>
    </row>
    <row r="50" spans="1:45" ht="16" thickBot="1">
      <c r="A50" s="166" t="s">
        <v>529</v>
      </c>
      <c r="B50" s="166" t="s">
        <v>634</v>
      </c>
      <c r="C50" s="166" t="s">
        <v>1011</v>
      </c>
      <c r="D50" s="292" t="s">
        <v>790</v>
      </c>
      <c r="E50" s="166">
        <v>84</v>
      </c>
      <c r="F50" s="166" t="s">
        <v>559</v>
      </c>
      <c r="G50" s="166">
        <v>84</v>
      </c>
      <c r="H50" s="166" t="s">
        <v>559</v>
      </c>
      <c r="I50" s="166" t="s">
        <v>560</v>
      </c>
      <c r="J50" s="166" t="s">
        <v>781</v>
      </c>
      <c r="K50" s="166" t="s">
        <v>791</v>
      </c>
      <c r="L50" s="166" t="s">
        <v>562</v>
      </c>
      <c r="M50" s="166" t="s">
        <v>563</v>
      </c>
      <c r="N50" s="167">
        <v>287.57</v>
      </c>
      <c r="O50" s="167">
        <v>14</v>
      </c>
      <c r="P50" s="166" t="s">
        <v>538</v>
      </c>
      <c r="Q50" s="166" t="s">
        <v>539</v>
      </c>
      <c r="R50" s="166" t="s">
        <v>783</v>
      </c>
      <c r="S50" s="166" t="s">
        <v>541</v>
      </c>
      <c r="T50" s="166" t="s">
        <v>542</v>
      </c>
      <c r="U50" s="293">
        <v>445947</v>
      </c>
      <c r="V50" s="166">
        <v>6009888613092</v>
      </c>
      <c r="W50" s="166">
        <v>6009888613092</v>
      </c>
      <c r="X50" s="166" t="s">
        <v>543</v>
      </c>
      <c r="Y50" s="166" t="s">
        <v>543</v>
      </c>
      <c r="Z50" s="166" t="s">
        <v>543</v>
      </c>
      <c r="AA50" s="167" t="s">
        <v>543</v>
      </c>
      <c r="AB50" s="167" t="s">
        <v>543</v>
      </c>
      <c r="AC50" s="166" t="s">
        <v>543</v>
      </c>
      <c r="AD50" s="168">
        <v>72</v>
      </c>
      <c r="AE50" s="169">
        <v>44743</v>
      </c>
      <c r="AF50" s="169">
        <v>45838</v>
      </c>
      <c r="AG50" s="169">
        <v>45838</v>
      </c>
      <c r="AH50" s="170" t="s">
        <v>792</v>
      </c>
      <c r="AI50" s="170" t="s">
        <v>565</v>
      </c>
      <c r="AJ50" s="170">
        <v>23</v>
      </c>
      <c r="AK50" s="169">
        <v>45047</v>
      </c>
      <c r="AL50" s="168">
        <v>20</v>
      </c>
      <c r="AM50" s="170" t="s">
        <v>548</v>
      </c>
      <c r="AN50" s="170" t="s">
        <v>549</v>
      </c>
      <c r="AO50" s="170" t="s">
        <v>786</v>
      </c>
      <c r="AP50" t="str">
        <f t="shared" si="1"/>
        <v/>
      </c>
      <c r="AQ50" s="294">
        <f t="shared" si="0"/>
        <v>3.4234523809523809</v>
      </c>
    </row>
    <row r="51" spans="1:45" ht="16" thickBot="1">
      <c r="A51" s="166" t="s">
        <v>529</v>
      </c>
      <c r="B51" s="166" t="s">
        <v>1009</v>
      </c>
      <c r="C51" s="166" t="s">
        <v>1010</v>
      </c>
      <c r="D51" s="292" t="s">
        <v>795</v>
      </c>
      <c r="E51" s="166">
        <v>28</v>
      </c>
      <c r="F51" s="166" t="s">
        <v>559</v>
      </c>
      <c r="G51" s="166">
        <v>28</v>
      </c>
      <c r="H51" s="166" t="s">
        <v>559</v>
      </c>
      <c r="I51" s="166" t="s">
        <v>560</v>
      </c>
      <c r="J51" s="166" t="s">
        <v>796</v>
      </c>
      <c r="K51" s="166" t="s">
        <v>797</v>
      </c>
      <c r="L51" s="166" t="s">
        <v>562</v>
      </c>
      <c r="M51" s="166" t="s">
        <v>563</v>
      </c>
      <c r="N51" s="167">
        <v>60.62</v>
      </c>
      <c r="O51" s="167">
        <v>14</v>
      </c>
      <c r="P51" s="166" t="s">
        <v>538</v>
      </c>
      <c r="Q51" s="166" t="s">
        <v>539</v>
      </c>
      <c r="R51" s="166" t="s">
        <v>798</v>
      </c>
      <c r="S51" s="166" t="s">
        <v>541</v>
      </c>
      <c r="T51" s="166" t="s">
        <v>542</v>
      </c>
      <c r="U51" s="293">
        <v>1540705</v>
      </c>
      <c r="V51" s="166">
        <v>6009628332740</v>
      </c>
      <c r="W51" s="166" t="s">
        <v>543</v>
      </c>
      <c r="X51" s="166" t="s">
        <v>543</v>
      </c>
      <c r="Y51" s="166">
        <v>16009628332747</v>
      </c>
      <c r="Z51" s="166" t="s">
        <v>543</v>
      </c>
      <c r="AA51" s="167" t="s">
        <v>543</v>
      </c>
      <c r="AB51" s="167" t="s">
        <v>543</v>
      </c>
      <c r="AC51" s="166">
        <v>717981001</v>
      </c>
      <c r="AD51" s="168">
        <v>144</v>
      </c>
      <c r="AE51" s="169">
        <v>44743</v>
      </c>
      <c r="AF51" s="169">
        <v>45838</v>
      </c>
      <c r="AG51" s="170">
        <v>45838</v>
      </c>
      <c r="AH51" s="170" t="s">
        <v>799</v>
      </c>
      <c r="AI51" s="170" t="s">
        <v>565</v>
      </c>
      <c r="AJ51" s="170">
        <v>23</v>
      </c>
      <c r="AK51" s="169">
        <v>45047</v>
      </c>
      <c r="AL51" s="168">
        <v>14</v>
      </c>
      <c r="AM51" s="170" t="s">
        <v>548</v>
      </c>
      <c r="AN51" s="170" t="s">
        <v>549</v>
      </c>
      <c r="AO51" s="170" t="s">
        <v>800</v>
      </c>
      <c r="AP51">
        <f t="shared" si="1"/>
        <v>1</v>
      </c>
      <c r="AQ51" s="294">
        <f t="shared" si="0"/>
        <v>2.165</v>
      </c>
      <c r="AR51" s="294">
        <f>SUMPRODUCT(AQ51:AQ53,U51:U53)/SUMPRODUCT(U51:U53)</f>
        <v>2.3174285804893584</v>
      </c>
    </row>
    <row r="52" spans="1:45" ht="16" thickBot="1">
      <c r="A52" s="166" t="s">
        <v>529</v>
      </c>
      <c r="B52" s="166" t="s">
        <v>1009</v>
      </c>
      <c r="C52" s="166" t="s">
        <v>1010</v>
      </c>
      <c r="D52" s="292" t="s">
        <v>795</v>
      </c>
      <c r="E52" s="166">
        <v>28</v>
      </c>
      <c r="F52" s="166" t="s">
        <v>559</v>
      </c>
      <c r="G52" s="166">
        <v>28</v>
      </c>
      <c r="H52" s="166" t="s">
        <v>559</v>
      </c>
      <c r="I52" s="166" t="s">
        <v>560</v>
      </c>
      <c r="J52" s="166" t="s">
        <v>796</v>
      </c>
      <c r="K52" s="166" t="s">
        <v>802</v>
      </c>
      <c r="L52" s="166" t="s">
        <v>552</v>
      </c>
      <c r="M52" s="166" t="s">
        <v>553</v>
      </c>
      <c r="N52" s="167">
        <v>60.72</v>
      </c>
      <c r="O52" s="167">
        <v>14</v>
      </c>
      <c r="P52" s="166" t="s">
        <v>538</v>
      </c>
      <c r="Q52" s="166" t="s">
        <v>539</v>
      </c>
      <c r="R52" s="166" t="s">
        <v>798</v>
      </c>
      <c r="S52" s="166" t="s">
        <v>541</v>
      </c>
      <c r="T52" s="166" t="s">
        <v>542</v>
      </c>
      <c r="U52" s="293">
        <v>6162820</v>
      </c>
      <c r="V52" s="166">
        <v>8903726213582</v>
      </c>
      <c r="W52" s="166">
        <v>8903726213582</v>
      </c>
      <c r="X52" s="166" t="s">
        <v>543</v>
      </c>
      <c r="Y52" s="166">
        <v>18903726213589</v>
      </c>
      <c r="Z52" s="166" t="s">
        <v>543</v>
      </c>
      <c r="AA52" s="167" t="s">
        <v>543</v>
      </c>
      <c r="AB52" s="167" t="s">
        <v>543</v>
      </c>
      <c r="AC52" s="166" t="s">
        <v>803</v>
      </c>
      <c r="AD52" s="168">
        <v>108</v>
      </c>
      <c r="AE52" s="169">
        <v>44743</v>
      </c>
      <c r="AF52" s="169">
        <v>45838</v>
      </c>
      <c r="AG52" s="169">
        <v>45838</v>
      </c>
      <c r="AH52" s="170" t="s">
        <v>799</v>
      </c>
      <c r="AI52" s="170" t="s">
        <v>555</v>
      </c>
      <c r="AJ52" s="170">
        <v>19</v>
      </c>
      <c r="AK52" s="169">
        <v>45047</v>
      </c>
      <c r="AL52" s="168">
        <v>56</v>
      </c>
      <c r="AM52" s="170" t="s">
        <v>548</v>
      </c>
      <c r="AN52" s="170" t="s">
        <v>549</v>
      </c>
      <c r="AO52" s="170" t="s">
        <v>800</v>
      </c>
      <c r="AP52" t="str">
        <f t="shared" si="1"/>
        <v/>
      </c>
      <c r="AQ52" s="294">
        <f t="shared" si="0"/>
        <v>2.1685714285714286</v>
      </c>
    </row>
    <row r="53" spans="1:45" ht="16" thickBot="1">
      <c r="A53" s="166" t="s">
        <v>529</v>
      </c>
      <c r="B53" s="166" t="s">
        <v>1009</v>
      </c>
      <c r="C53" s="166" t="s">
        <v>1010</v>
      </c>
      <c r="D53" s="292" t="s">
        <v>795</v>
      </c>
      <c r="E53" s="166">
        <v>28</v>
      </c>
      <c r="F53" s="166" t="s">
        <v>559</v>
      </c>
      <c r="G53" s="166">
        <v>28</v>
      </c>
      <c r="H53" s="166" t="s">
        <v>559</v>
      </c>
      <c r="I53" s="166" t="s">
        <v>560</v>
      </c>
      <c r="J53" s="166" t="s">
        <v>796</v>
      </c>
      <c r="K53" s="166" t="s">
        <v>801</v>
      </c>
      <c r="L53" s="166" t="s">
        <v>631</v>
      </c>
      <c r="M53" s="166" t="s">
        <v>632</v>
      </c>
      <c r="N53" s="167">
        <v>74.66</v>
      </c>
      <c r="O53" s="167">
        <v>14</v>
      </c>
      <c r="P53" s="166" t="s">
        <v>538</v>
      </c>
      <c r="Q53" s="166" t="s">
        <v>539</v>
      </c>
      <c r="R53" s="166" t="s">
        <v>798</v>
      </c>
      <c r="S53" s="166" t="s">
        <v>541</v>
      </c>
      <c r="T53" s="166" t="s">
        <v>542</v>
      </c>
      <c r="U53" s="293">
        <v>3301511</v>
      </c>
      <c r="V53" s="166">
        <v>6008288004462</v>
      </c>
      <c r="W53" s="166">
        <v>6008288004462</v>
      </c>
      <c r="X53" s="166" t="s">
        <v>543</v>
      </c>
      <c r="Y53" s="166">
        <v>16008288004469</v>
      </c>
      <c r="Z53" s="166" t="s">
        <v>543</v>
      </c>
      <c r="AA53" s="167" t="s">
        <v>543</v>
      </c>
      <c r="AB53" s="167" t="s">
        <v>543</v>
      </c>
      <c r="AC53" s="166" t="s">
        <v>543</v>
      </c>
      <c r="AD53" s="168">
        <v>90</v>
      </c>
      <c r="AE53" s="169">
        <v>44743</v>
      </c>
      <c r="AF53" s="169">
        <v>45838</v>
      </c>
      <c r="AG53" s="169">
        <v>45838</v>
      </c>
      <c r="AH53" s="170" t="s">
        <v>799</v>
      </c>
      <c r="AI53" s="170" t="s">
        <v>636</v>
      </c>
      <c r="AJ53" s="170">
        <v>22</v>
      </c>
      <c r="AK53" s="169">
        <v>45047</v>
      </c>
      <c r="AL53" s="168">
        <v>30</v>
      </c>
      <c r="AM53" s="170" t="s">
        <v>548</v>
      </c>
      <c r="AN53" s="170" t="s">
        <v>549</v>
      </c>
      <c r="AO53" s="170" t="s">
        <v>800</v>
      </c>
      <c r="AP53" t="str">
        <f t="shared" si="1"/>
        <v/>
      </c>
      <c r="AQ53" s="294">
        <f t="shared" si="0"/>
        <v>2.6664285714285714</v>
      </c>
    </row>
    <row r="54" spans="1:45" ht="16" thickBot="1">
      <c r="A54" s="166" t="s">
        <v>529</v>
      </c>
      <c r="B54" s="166" t="s">
        <v>651</v>
      </c>
      <c r="C54" s="166" t="s">
        <v>984</v>
      </c>
      <c r="D54" s="292" t="s">
        <v>804</v>
      </c>
      <c r="E54" s="166">
        <v>28</v>
      </c>
      <c r="F54" s="166" t="s">
        <v>559</v>
      </c>
      <c r="G54" s="166">
        <v>28</v>
      </c>
      <c r="H54" s="166" t="s">
        <v>559</v>
      </c>
      <c r="I54" s="166" t="s">
        <v>560</v>
      </c>
      <c r="J54" s="166" t="s">
        <v>805</v>
      </c>
      <c r="K54" s="166" t="s">
        <v>815</v>
      </c>
      <c r="L54" s="166" t="s">
        <v>588</v>
      </c>
      <c r="M54" s="166" t="s">
        <v>589</v>
      </c>
      <c r="N54" s="167">
        <v>91.75</v>
      </c>
      <c r="O54" s="167">
        <v>14</v>
      </c>
      <c r="P54" s="166" t="s">
        <v>538</v>
      </c>
      <c r="Q54" s="166" t="s">
        <v>539</v>
      </c>
      <c r="R54" s="166" t="s">
        <v>807</v>
      </c>
      <c r="S54" s="166" t="s">
        <v>541</v>
      </c>
      <c r="T54" s="166" t="s">
        <v>542</v>
      </c>
      <c r="U54" s="293">
        <v>18502381</v>
      </c>
      <c r="V54" s="166">
        <v>6009695244786</v>
      </c>
      <c r="W54" s="166" t="s">
        <v>543</v>
      </c>
      <c r="X54" s="166" t="s">
        <v>543</v>
      </c>
      <c r="Y54" s="166">
        <v>16009695244783</v>
      </c>
      <c r="Z54" s="166" t="s">
        <v>543</v>
      </c>
      <c r="AA54" s="167" t="s">
        <v>543</v>
      </c>
      <c r="AB54" s="167" t="s">
        <v>543</v>
      </c>
      <c r="AC54" s="166">
        <v>3000435001</v>
      </c>
      <c r="AD54" s="168">
        <v>48</v>
      </c>
      <c r="AE54" s="169">
        <v>44743</v>
      </c>
      <c r="AF54" s="169">
        <v>45838</v>
      </c>
      <c r="AG54" s="170">
        <v>45838</v>
      </c>
      <c r="AH54" s="170" t="s">
        <v>808</v>
      </c>
      <c r="AI54" s="170" t="s">
        <v>592</v>
      </c>
      <c r="AJ54" s="170">
        <v>10</v>
      </c>
      <c r="AK54" s="169">
        <v>44958</v>
      </c>
      <c r="AL54" s="168">
        <v>12.7</v>
      </c>
      <c r="AM54" s="170" t="s">
        <v>548</v>
      </c>
      <c r="AN54" s="170" t="s">
        <v>549</v>
      </c>
      <c r="AO54" s="170" t="s">
        <v>809</v>
      </c>
      <c r="AP54">
        <f t="shared" si="1"/>
        <v>1</v>
      </c>
      <c r="AQ54" s="294">
        <f t="shared" si="0"/>
        <v>3.2767857142857144</v>
      </c>
      <c r="AR54" s="294">
        <f>SUMPRODUCT(AQ54:AQ63,U54:U63)/SUMPRODUCT(U54:U63)</f>
        <v>2.952048897020477</v>
      </c>
    </row>
    <row r="55" spans="1:45" ht="16" thickBot="1">
      <c r="A55" s="166" t="s">
        <v>529</v>
      </c>
      <c r="B55" s="166" t="s">
        <v>651</v>
      </c>
      <c r="C55" s="166" t="s">
        <v>984</v>
      </c>
      <c r="D55" s="292" t="s">
        <v>804</v>
      </c>
      <c r="E55" s="166">
        <v>28</v>
      </c>
      <c r="F55" s="166" t="s">
        <v>559</v>
      </c>
      <c r="G55" s="166">
        <v>28</v>
      </c>
      <c r="H55" s="166" t="s">
        <v>559</v>
      </c>
      <c r="I55" s="166" t="s">
        <v>560</v>
      </c>
      <c r="J55" s="166" t="s">
        <v>805</v>
      </c>
      <c r="K55" s="166" t="s">
        <v>813</v>
      </c>
      <c r="L55" s="166" t="s">
        <v>576</v>
      </c>
      <c r="M55" s="166" t="s">
        <v>577</v>
      </c>
      <c r="N55" s="167">
        <v>84.42</v>
      </c>
      <c r="O55" s="167">
        <v>14</v>
      </c>
      <c r="P55" s="166" t="s">
        <v>538</v>
      </c>
      <c r="Q55" s="166" t="s">
        <v>539</v>
      </c>
      <c r="R55" s="166" t="s">
        <v>807</v>
      </c>
      <c r="S55" s="166" t="s">
        <v>541</v>
      </c>
      <c r="T55" s="166" t="s">
        <v>542</v>
      </c>
      <c r="U55" s="293">
        <v>22087619</v>
      </c>
      <c r="V55" s="166">
        <v>6009688291247</v>
      </c>
      <c r="W55" s="166">
        <v>6009688291247</v>
      </c>
      <c r="X55" s="166" t="s">
        <v>543</v>
      </c>
      <c r="Y55" s="166">
        <v>16009688291244</v>
      </c>
      <c r="Z55" s="166" t="s">
        <v>543</v>
      </c>
      <c r="AA55" s="167" t="s">
        <v>543</v>
      </c>
      <c r="AB55" s="167" t="s">
        <v>543</v>
      </c>
      <c r="AC55" s="166" t="s">
        <v>543</v>
      </c>
      <c r="AD55" s="168">
        <v>50</v>
      </c>
      <c r="AE55" s="169">
        <v>44743</v>
      </c>
      <c r="AF55" s="169">
        <v>45838</v>
      </c>
      <c r="AG55" s="170">
        <v>45838</v>
      </c>
      <c r="AH55" s="170" t="s">
        <v>808</v>
      </c>
      <c r="AI55" s="170" t="s">
        <v>580</v>
      </c>
      <c r="AJ55" s="170">
        <v>20</v>
      </c>
      <c r="AK55" s="169">
        <v>45047</v>
      </c>
      <c r="AL55" s="168">
        <v>15.16</v>
      </c>
      <c r="AM55" s="170" t="s">
        <v>548</v>
      </c>
      <c r="AN55" s="170" t="s">
        <v>549</v>
      </c>
      <c r="AO55" s="170" t="s">
        <v>809</v>
      </c>
      <c r="AP55" t="str">
        <f t="shared" si="1"/>
        <v/>
      </c>
      <c r="AQ55" s="294">
        <f t="shared" si="0"/>
        <v>3.0150000000000001</v>
      </c>
    </row>
    <row r="56" spans="1:45" ht="16" thickBot="1">
      <c r="A56" s="166" t="s">
        <v>529</v>
      </c>
      <c r="B56" s="166" t="s">
        <v>651</v>
      </c>
      <c r="C56" s="166" t="s">
        <v>984</v>
      </c>
      <c r="D56" s="292" t="s">
        <v>804</v>
      </c>
      <c r="E56" s="166">
        <v>28</v>
      </c>
      <c r="F56" s="166" t="s">
        <v>559</v>
      </c>
      <c r="G56" s="166">
        <v>28</v>
      </c>
      <c r="H56" s="166" t="s">
        <v>559</v>
      </c>
      <c r="I56" s="166" t="s">
        <v>560</v>
      </c>
      <c r="J56" s="166" t="s">
        <v>805</v>
      </c>
      <c r="K56" s="166" t="s">
        <v>812</v>
      </c>
      <c r="L56" s="166" t="s">
        <v>552</v>
      </c>
      <c r="M56" s="166" t="s">
        <v>553</v>
      </c>
      <c r="N56" s="167">
        <v>76.319999999999993</v>
      </c>
      <c r="O56" s="167">
        <v>14</v>
      </c>
      <c r="P56" s="166" t="s">
        <v>538</v>
      </c>
      <c r="Q56" s="166" t="s">
        <v>539</v>
      </c>
      <c r="R56" s="166" t="s">
        <v>807</v>
      </c>
      <c r="S56" s="166" t="s">
        <v>541</v>
      </c>
      <c r="T56" s="166" t="s">
        <v>542</v>
      </c>
      <c r="U56" s="293">
        <v>23706468</v>
      </c>
      <c r="V56" s="166">
        <v>8903726217276</v>
      </c>
      <c r="W56" s="166" t="s">
        <v>543</v>
      </c>
      <c r="X56" s="166" t="s">
        <v>543</v>
      </c>
      <c r="Y56" s="166" t="s">
        <v>543</v>
      </c>
      <c r="Z56" s="166" t="s">
        <v>543</v>
      </c>
      <c r="AA56" s="167" t="s">
        <v>543</v>
      </c>
      <c r="AB56" s="167" t="s">
        <v>543</v>
      </c>
      <c r="AC56" s="166" t="s">
        <v>543</v>
      </c>
      <c r="AD56" s="168">
        <v>72</v>
      </c>
      <c r="AE56" s="169">
        <v>44743</v>
      </c>
      <c r="AF56" s="169">
        <v>45838</v>
      </c>
      <c r="AG56" s="169">
        <v>45838</v>
      </c>
      <c r="AH56" s="170" t="s">
        <v>808</v>
      </c>
      <c r="AI56" s="170" t="s">
        <v>555</v>
      </c>
      <c r="AJ56" s="170">
        <v>19</v>
      </c>
      <c r="AK56" s="169">
        <v>45047</v>
      </c>
      <c r="AL56" s="168">
        <v>16.28</v>
      </c>
      <c r="AM56" s="170" t="s">
        <v>548</v>
      </c>
      <c r="AN56" s="170" t="s">
        <v>549</v>
      </c>
      <c r="AO56" s="170" t="s">
        <v>809</v>
      </c>
      <c r="AP56" t="str">
        <f t="shared" si="1"/>
        <v/>
      </c>
      <c r="AQ56" s="294">
        <f t="shared" si="0"/>
        <v>2.7257142857142855</v>
      </c>
    </row>
    <row r="57" spans="1:45" ht="16" thickBot="1">
      <c r="A57" s="166" t="s">
        <v>529</v>
      </c>
      <c r="B57" s="166" t="s">
        <v>651</v>
      </c>
      <c r="C57" s="166" t="s">
        <v>984</v>
      </c>
      <c r="D57" s="292" t="s">
        <v>804</v>
      </c>
      <c r="E57" s="166">
        <v>28</v>
      </c>
      <c r="F57" s="166" t="s">
        <v>559</v>
      </c>
      <c r="G57" s="166">
        <v>28</v>
      </c>
      <c r="H57" s="166" t="s">
        <v>559</v>
      </c>
      <c r="I57" s="166" t="s">
        <v>560</v>
      </c>
      <c r="J57" s="166" t="s">
        <v>805</v>
      </c>
      <c r="K57" s="166" t="s">
        <v>814</v>
      </c>
      <c r="L57" s="166" t="s">
        <v>631</v>
      </c>
      <c r="M57" s="166" t="s">
        <v>632</v>
      </c>
      <c r="N57" s="167">
        <v>92.87</v>
      </c>
      <c r="O57" s="167">
        <v>14</v>
      </c>
      <c r="P57" s="166" t="s">
        <v>538</v>
      </c>
      <c r="Q57" s="166" t="s">
        <v>539</v>
      </c>
      <c r="R57" s="166" t="s">
        <v>807</v>
      </c>
      <c r="S57" s="166" t="s">
        <v>541</v>
      </c>
      <c r="T57" s="166" t="s">
        <v>542</v>
      </c>
      <c r="U57" s="293">
        <v>18509070</v>
      </c>
      <c r="V57" s="166">
        <v>6008288004295</v>
      </c>
      <c r="W57" s="166">
        <v>6008288004301</v>
      </c>
      <c r="X57" s="166" t="s">
        <v>543</v>
      </c>
      <c r="Y57" s="166">
        <v>46008288004309</v>
      </c>
      <c r="Z57" s="166" t="s">
        <v>543</v>
      </c>
      <c r="AA57" s="167" t="s">
        <v>543</v>
      </c>
      <c r="AB57" s="167" t="s">
        <v>543</v>
      </c>
      <c r="AC57" s="166" t="s">
        <v>543</v>
      </c>
      <c r="AD57" s="168">
        <v>72</v>
      </c>
      <c r="AE57" s="169">
        <v>44743</v>
      </c>
      <c r="AF57" s="169">
        <v>45838</v>
      </c>
      <c r="AG57" s="169">
        <v>45838</v>
      </c>
      <c r="AH57" s="170" t="s">
        <v>808</v>
      </c>
      <c r="AI57" s="170" t="s">
        <v>636</v>
      </c>
      <c r="AJ57" s="170">
        <v>22</v>
      </c>
      <c r="AK57" s="169">
        <v>45047</v>
      </c>
      <c r="AL57" s="168">
        <v>12.71</v>
      </c>
      <c r="AM57" s="170" t="s">
        <v>548</v>
      </c>
      <c r="AN57" s="170" t="s">
        <v>549</v>
      </c>
      <c r="AO57" s="170" t="s">
        <v>809</v>
      </c>
      <c r="AP57" t="str">
        <f t="shared" si="1"/>
        <v/>
      </c>
      <c r="AQ57" s="294">
        <f t="shared" si="0"/>
        <v>3.3167857142857144</v>
      </c>
    </row>
    <row r="58" spans="1:45" ht="16" thickBot="1">
      <c r="A58" s="166" t="s">
        <v>529</v>
      </c>
      <c r="B58" s="166" t="s">
        <v>651</v>
      </c>
      <c r="C58" s="166" t="s">
        <v>984</v>
      </c>
      <c r="D58" s="292" t="s">
        <v>804</v>
      </c>
      <c r="E58" s="166">
        <v>28</v>
      </c>
      <c r="F58" s="166" t="s">
        <v>559</v>
      </c>
      <c r="G58" s="166">
        <v>28</v>
      </c>
      <c r="H58" s="166" t="s">
        <v>559</v>
      </c>
      <c r="I58" s="166" t="s">
        <v>560</v>
      </c>
      <c r="J58" s="166" t="s">
        <v>805</v>
      </c>
      <c r="K58" s="166" t="s">
        <v>811</v>
      </c>
      <c r="L58" s="166" t="s">
        <v>675</v>
      </c>
      <c r="M58" s="166" t="s">
        <v>676</v>
      </c>
      <c r="N58" s="167">
        <v>91.52</v>
      </c>
      <c r="O58" s="167">
        <v>14</v>
      </c>
      <c r="P58" s="166" t="s">
        <v>538</v>
      </c>
      <c r="Q58" s="166" t="s">
        <v>539</v>
      </c>
      <c r="R58" s="166" t="s">
        <v>807</v>
      </c>
      <c r="S58" s="166" t="s">
        <v>541</v>
      </c>
      <c r="T58" s="166" t="s">
        <v>542</v>
      </c>
      <c r="U58" s="293">
        <v>17988717</v>
      </c>
      <c r="V58" s="166">
        <v>6006352034407</v>
      </c>
      <c r="W58" s="166">
        <v>6006352034414</v>
      </c>
      <c r="X58" s="166" t="s">
        <v>543</v>
      </c>
      <c r="Y58" s="166">
        <v>16006352034312</v>
      </c>
      <c r="Z58" s="166" t="s">
        <v>543</v>
      </c>
      <c r="AA58" s="167" t="s">
        <v>543</v>
      </c>
      <c r="AB58" s="167" t="s">
        <v>543</v>
      </c>
      <c r="AC58" s="166">
        <v>3000440001</v>
      </c>
      <c r="AD58" s="168">
        <v>80</v>
      </c>
      <c r="AE58" s="169">
        <v>44743</v>
      </c>
      <c r="AF58" s="169">
        <v>45838</v>
      </c>
      <c r="AG58" s="169">
        <v>45838</v>
      </c>
      <c r="AH58" s="170" t="s">
        <v>808</v>
      </c>
      <c r="AI58" s="170" t="s">
        <v>679</v>
      </c>
      <c r="AJ58" s="170">
        <v>17</v>
      </c>
      <c r="AK58" s="169">
        <v>45047</v>
      </c>
      <c r="AL58" s="168">
        <v>12.35</v>
      </c>
      <c r="AM58" s="170" t="s">
        <v>548</v>
      </c>
      <c r="AN58" s="170" t="s">
        <v>549</v>
      </c>
      <c r="AO58" s="170" t="s">
        <v>809</v>
      </c>
      <c r="AP58" t="str">
        <f t="shared" si="1"/>
        <v/>
      </c>
      <c r="AQ58" s="294">
        <f t="shared" si="0"/>
        <v>3.2685714285714282</v>
      </c>
    </row>
    <row r="59" spans="1:45" ht="16" thickBot="1">
      <c r="A59" s="166" t="s">
        <v>529</v>
      </c>
      <c r="B59" s="166" t="s">
        <v>651</v>
      </c>
      <c r="C59" s="166" t="s">
        <v>984</v>
      </c>
      <c r="D59" s="292" t="s">
        <v>804</v>
      </c>
      <c r="E59" s="166">
        <v>28</v>
      </c>
      <c r="F59" s="166" t="s">
        <v>559</v>
      </c>
      <c r="G59" s="166">
        <v>28</v>
      </c>
      <c r="H59" s="166" t="s">
        <v>559</v>
      </c>
      <c r="I59" s="166" t="s">
        <v>560</v>
      </c>
      <c r="J59" s="166" t="s">
        <v>805</v>
      </c>
      <c r="K59" s="166" t="s">
        <v>806</v>
      </c>
      <c r="L59" s="166" t="s">
        <v>535</v>
      </c>
      <c r="M59" s="166" t="s">
        <v>536</v>
      </c>
      <c r="N59" s="167">
        <v>78.41</v>
      </c>
      <c r="O59" s="167">
        <v>14</v>
      </c>
      <c r="P59" s="166" t="s">
        <v>538</v>
      </c>
      <c r="Q59" s="166" t="s">
        <v>539</v>
      </c>
      <c r="R59" s="166" t="s">
        <v>807</v>
      </c>
      <c r="S59" s="166" t="s">
        <v>541</v>
      </c>
      <c r="T59" s="166" t="s">
        <v>542</v>
      </c>
      <c r="U59" s="293">
        <v>21131456</v>
      </c>
      <c r="V59" s="166">
        <v>6001399014198</v>
      </c>
      <c r="W59" s="166" t="s">
        <v>543</v>
      </c>
      <c r="X59" s="166" t="s">
        <v>543</v>
      </c>
      <c r="Y59" s="166" t="s">
        <v>543</v>
      </c>
      <c r="Z59" s="166" t="s">
        <v>543</v>
      </c>
      <c r="AA59" s="167" t="s">
        <v>543</v>
      </c>
      <c r="AB59" s="167" t="s">
        <v>543</v>
      </c>
      <c r="AC59" s="166" t="s">
        <v>543</v>
      </c>
      <c r="AD59" s="168">
        <v>12</v>
      </c>
      <c r="AE59" s="169">
        <v>44743</v>
      </c>
      <c r="AF59" s="169">
        <v>45838</v>
      </c>
      <c r="AG59" s="169">
        <v>45838</v>
      </c>
      <c r="AH59" s="170" t="s">
        <v>808</v>
      </c>
      <c r="AI59" s="170" t="s">
        <v>547</v>
      </c>
      <c r="AJ59" s="170">
        <v>21</v>
      </c>
      <c r="AK59" s="169">
        <v>45047</v>
      </c>
      <c r="AL59" s="168">
        <v>14.51</v>
      </c>
      <c r="AM59" s="170" t="s">
        <v>548</v>
      </c>
      <c r="AN59" s="170" t="s">
        <v>549</v>
      </c>
      <c r="AO59" s="170" t="s">
        <v>809</v>
      </c>
      <c r="AP59" t="str">
        <f t="shared" si="1"/>
        <v/>
      </c>
      <c r="AQ59" s="294">
        <f t="shared" si="0"/>
        <v>2.8003571428571425</v>
      </c>
    </row>
    <row r="60" spans="1:45" ht="16" thickBot="1">
      <c r="A60" s="166" t="s">
        <v>529</v>
      </c>
      <c r="B60" s="166" t="s">
        <v>651</v>
      </c>
      <c r="C60" s="166" t="s">
        <v>984</v>
      </c>
      <c r="D60" s="292" t="s">
        <v>804</v>
      </c>
      <c r="E60" s="166">
        <v>28</v>
      </c>
      <c r="F60" s="166" t="s">
        <v>559</v>
      </c>
      <c r="G60" s="166">
        <v>28</v>
      </c>
      <c r="H60" s="166" t="s">
        <v>559</v>
      </c>
      <c r="I60" s="166" t="s">
        <v>560</v>
      </c>
      <c r="J60" s="166" t="s">
        <v>805</v>
      </c>
      <c r="K60" s="166" t="s">
        <v>810</v>
      </c>
      <c r="L60" s="166" t="s">
        <v>562</v>
      </c>
      <c r="M60" s="166" t="s">
        <v>563</v>
      </c>
      <c r="N60" s="167">
        <v>69.239999999999995</v>
      </c>
      <c r="O60" s="167">
        <v>14</v>
      </c>
      <c r="P60" s="166" t="s">
        <v>538</v>
      </c>
      <c r="Q60" s="166" t="s">
        <v>539</v>
      </c>
      <c r="R60" s="166" t="s">
        <v>807</v>
      </c>
      <c r="S60" s="166" t="s">
        <v>541</v>
      </c>
      <c r="T60" s="166" t="s">
        <v>542</v>
      </c>
      <c r="U60" s="293">
        <v>23726959</v>
      </c>
      <c r="V60" s="166">
        <v>6009880897018</v>
      </c>
      <c r="W60" s="166" t="s">
        <v>543</v>
      </c>
      <c r="X60" s="166" t="s">
        <v>543</v>
      </c>
      <c r="Y60" s="166" t="s">
        <v>543</v>
      </c>
      <c r="Z60" s="166" t="s">
        <v>543</v>
      </c>
      <c r="AA60" s="167" t="s">
        <v>543</v>
      </c>
      <c r="AB60" s="167" t="s">
        <v>543</v>
      </c>
      <c r="AC60" s="166">
        <v>3000426001</v>
      </c>
      <c r="AD60" s="168">
        <v>100</v>
      </c>
      <c r="AE60" s="169">
        <v>44743</v>
      </c>
      <c r="AF60" s="169">
        <v>45838</v>
      </c>
      <c r="AG60" s="169">
        <v>45838</v>
      </c>
      <c r="AH60" s="170" t="s">
        <v>808</v>
      </c>
      <c r="AI60" s="170" t="s">
        <v>565</v>
      </c>
      <c r="AJ60" s="170">
        <v>23</v>
      </c>
      <c r="AK60" s="169">
        <v>45047</v>
      </c>
      <c r="AL60" s="168">
        <v>16.29</v>
      </c>
      <c r="AM60" s="170" t="s">
        <v>548</v>
      </c>
      <c r="AN60" s="170" t="s">
        <v>549</v>
      </c>
      <c r="AO60" s="170" t="s">
        <v>809</v>
      </c>
      <c r="AP60" t="str">
        <f t="shared" si="1"/>
        <v/>
      </c>
      <c r="AQ60" s="294">
        <f t="shared" si="0"/>
        <v>2.4728571428571429</v>
      </c>
    </row>
    <row r="61" spans="1:45" ht="16" thickBot="1">
      <c r="A61" s="166" t="s">
        <v>529</v>
      </c>
      <c r="B61" s="166" t="s">
        <v>537</v>
      </c>
      <c r="C61" s="166" t="s">
        <v>1020</v>
      </c>
      <c r="D61" s="292" t="s">
        <v>816</v>
      </c>
      <c r="E61" s="166">
        <v>84</v>
      </c>
      <c r="F61" s="166" t="s">
        <v>559</v>
      </c>
      <c r="G61" s="166">
        <v>84</v>
      </c>
      <c r="H61" s="166" t="s">
        <v>559</v>
      </c>
      <c r="I61" s="166" t="s">
        <v>560</v>
      </c>
      <c r="J61" s="166" t="s">
        <v>805</v>
      </c>
      <c r="K61" s="166" t="s">
        <v>817</v>
      </c>
      <c r="L61" s="166" t="s">
        <v>562</v>
      </c>
      <c r="M61" s="166" t="s">
        <v>563</v>
      </c>
      <c r="N61" s="167">
        <v>213.47</v>
      </c>
      <c r="O61" s="167">
        <v>14</v>
      </c>
      <c r="P61" s="166" t="s">
        <v>538</v>
      </c>
      <c r="Q61" s="166" t="s">
        <v>539</v>
      </c>
      <c r="R61" s="166" t="s">
        <v>807</v>
      </c>
      <c r="S61" s="166" t="s">
        <v>541</v>
      </c>
      <c r="T61" s="166" t="s">
        <v>542</v>
      </c>
      <c r="U61" s="293">
        <v>3079277</v>
      </c>
      <c r="V61" s="166">
        <v>6009880897827</v>
      </c>
      <c r="W61" s="166">
        <v>6009880897827</v>
      </c>
      <c r="X61" s="166" t="s">
        <v>543</v>
      </c>
      <c r="Y61" s="166" t="s">
        <v>543</v>
      </c>
      <c r="Z61" s="166" t="s">
        <v>543</v>
      </c>
      <c r="AA61" s="167" t="s">
        <v>543</v>
      </c>
      <c r="AB61" s="167" t="s">
        <v>543</v>
      </c>
      <c r="AC61" s="166" t="s">
        <v>543</v>
      </c>
      <c r="AD61" s="168">
        <v>50</v>
      </c>
      <c r="AE61" s="169">
        <v>44743</v>
      </c>
      <c r="AF61" s="169">
        <v>45838</v>
      </c>
      <c r="AG61" s="170">
        <v>45838</v>
      </c>
      <c r="AH61" s="170" t="s">
        <v>818</v>
      </c>
      <c r="AI61" s="170" t="s">
        <v>565</v>
      </c>
      <c r="AJ61" s="170">
        <v>23</v>
      </c>
      <c r="AK61" s="169">
        <v>45047</v>
      </c>
      <c r="AL61" s="168">
        <v>32.159999999999997</v>
      </c>
      <c r="AM61" s="170" t="s">
        <v>548</v>
      </c>
      <c r="AN61" s="170" t="s">
        <v>549</v>
      </c>
      <c r="AO61" s="170" t="s">
        <v>809</v>
      </c>
      <c r="AP61" s="132">
        <f t="shared" si="1"/>
        <v>1</v>
      </c>
      <c r="AQ61" s="294">
        <f t="shared" si="0"/>
        <v>2.5413095238095238</v>
      </c>
      <c r="AR61" s="294">
        <f>AR54</f>
        <v>2.952048897020477</v>
      </c>
      <c r="AS61" t="s">
        <v>793</v>
      </c>
    </row>
    <row r="62" spans="1:45" ht="16" thickBot="1">
      <c r="A62" s="166" t="s">
        <v>529</v>
      </c>
      <c r="B62" s="166" t="s">
        <v>537</v>
      </c>
      <c r="C62" s="166" t="s">
        <v>1020</v>
      </c>
      <c r="D62" s="292" t="s">
        <v>816</v>
      </c>
      <c r="E62" s="166">
        <v>84</v>
      </c>
      <c r="F62" s="166" t="s">
        <v>559</v>
      </c>
      <c r="G62" s="166">
        <v>84</v>
      </c>
      <c r="H62" s="166" t="s">
        <v>559</v>
      </c>
      <c r="I62" s="166" t="s">
        <v>560</v>
      </c>
      <c r="J62" s="166" t="s">
        <v>805</v>
      </c>
      <c r="K62" s="166" t="s">
        <v>813</v>
      </c>
      <c r="L62" s="166" t="s">
        <v>576</v>
      </c>
      <c r="M62" s="166" t="s">
        <v>577</v>
      </c>
      <c r="N62" s="167">
        <v>242.84</v>
      </c>
      <c r="O62" s="167">
        <v>14</v>
      </c>
      <c r="P62" s="166" t="s">
        <v>538</v>
      </c>
      <c r="Q62" s="166" t="s">
        <v>539</v>
      </c>
      <c r="R62" s="166" t="s">
        <v>807</v>
      </c>
      <c r="S62" s="166" t="s">
        <v>541</v>
      </c>
      <c r="T62" s="166" t="s">
        <v>542</v>
      </c>
      <c r="U62" s="293">
        <v>3079103</v>
      </c>
      <c r="V62" s="166" t="s">
        <v>543</v>
      </c>
      <c r="W62" s="166" t="s">
        <v>543</v>
      </c>
      <c r="X62" s="166" t="s">
        <v>543</v>
      </c>
      <c r="Y62" s="166">
        <v>16009688291244</v>
      </c>
      <c r="Z62" s="166" t="s">
        <v>543</v>
      </c>
      <c r="AA62" s="167" t="s">
        <v>543</v>
      </c>
      <c r="AB62" s="167" t="s">
        <v>543</v>
      </c>
      <c r="AC62" s="166" t="s">
        <v>543</v>
      </c>
      <c r="AD62" s="168">
        <v>72</v>
      </c>
      <c r="AE62" s="169">
        <v>44743</v>
      </c>
      <c r="AF62" s="169">
        <v>45838</v>
      </c>
      <c r="AG62" s="169">
        <v>45838</v>
      </c>
      <c r="AH62" s="170" t="s">
        <v>818</v>
      </c>
      <c r="AI62" s="170" t="s">
        <v>580</v>
      </c>
      <c r="AJ62" s="170">
        <v>20</v>
      </c>
      <c r="AK62" s="169">
        <v>45047</v>
      </c>
      <c r="AL62" s="168">
        <v>32.159999999999997</v>
      </c>
      <c r="AM62" s="170" t="s">
        <v>548</v>
      </c>
      <c r="AN62" s="170" t="s">
        <v>549</v>
      </c>
      <c r="AO62" s="170" t="s">
        <v>809</v>
      </c>
      <c r="AP62" t="str">
        <f t="shared" si="1"/>
        <v/>
      </c>
      <c r="AQ62" s="294">
        <f t="shared" si="0"/>
        <v>2.8909523809523812</v>
      </c>
    </row>
    <row r="63" spans="1:45" ht="16" thickBot="1">
      <c r="A63" s="166" t="s">
        <v>529</v>
      </c>
      <c r="B63" s="166" t="s">
        <v>537</v>
      </c>
      <c r="C63" s="166" t="s">
        <v>1020</v>
      </c>
      <c r="D63" s="292" t="s">
        <v>816</v>
      </c>
      <c r="E63" s="166">
        <v>84</v>
      </c>
      <c r="F63" s="166" t="s">
        <v>559</v>
      </c>
      <c r="G63" s="166">
        <v>84</v>
      </c>
      <c r="H63" s="166" t="s">
        <v>559</v>
      </c>
      <c r="I63" s="166" t="s">
        <v>560</v>
      </c>
      <c r="J63" s="166" t="s">
        <v>805</v>
      </c>
      <c r="K63" s="166" t="s">
        <v>819</v>
      </c>
      <c r="L63" s="166" t="s">
        <v>552</v>
      </c>
      <c r="M63" s="166" t="s">
        <v>553</v>
      </c>
      <c r="N63" s="167">
        <v>286.10000000000002</v>
      </c>
      <c r="O63" s="167">
        <v>14</v>
      </c>
      <c r="P63" s="166" t="s">
        <v>538</v>
      </c>
      <c r="Q63" s="166" t="s">
        <v>539</v>
      </c>
      <c r="R63" s="166" t="s">
        <v>807</v>
      </c>
      <c r="S63" s="166" t="s">
        <v>541</v>
      </c>
      <c r="T63" s="166" t="s">
        <v>542</v>
      </c>
      <c r="U63" s="293">
        <v>3415065</v>
      </c>
      <c r="V63" s="166">
        <v>8903726256251</v>
      </c>
      <c r="W63" s="166">
        <v>8903726256251</v>
      </c>
      <c r="X63" s="166" t="s">
        <v>543</v>
      </c>
      <c r="Y63" s="166">
        <v>58903726266231</v>
      </c>
      <c r="Z63" s="166" t="s">
        <v>543</v>
      </c>
      <c r="AA63" s="167" t="s">
        <v>543</v>
      </c>
      <c r="AB63" s="167" t="s">
        <v>543</v>
      </c>
      <c r="AC63" s="166" t="s">
        <v>543</v>
      </c>
      <c r="AD63" s="168">
        <v>20</v>
      </c>
      <c r="AE63" s="169">
        <v>44743</v>
      </c>
      <c r="AF63" s="169">
        <v>45838</v>
      </c>
      <c r="AG63" s="169">
        <v>45838</v>
      </c>
      <c r="AH63" s="170" t="s">
        <v>818</v>
      </c>
      <c r="AI63" s="170" t="s">
        <v>555</v>
      </c>
      <c r="AJ63" s="170">
        <v>19</v>
      </c>
      <c r="AK63" s="169">
        <v>45047</v>
      </c>
      <c r="AL63" s="168">
        <v>35.67</v>
      </c>
      <c r="AM63" s="170" t="s">
        <v>548</v>
      </c>
      <c r="AN63" s="170" t="s">
        <v>549</v>
      </c>
      <c r="AO63" s="170" t="s">
        <v>809</v>
      </c>
      <c r="AP63" t="str">
        <f t="shared" si="1"/>
        <v/>
      </c>
      <c r="AQ63" s="294">
        <f t="shared" si="0"/>
        <v>3.4059523809523813</v>
      </c>
    </row>
    <row r="64" spans="1:45" ht="16" thickBot="1">
      <c r="A64" s="166" t="s">
        <v>529</v>
      </c>
      <c r="B64" s="166" t="s">
        <v>1024</v>
      </c>
      <c r="C64" s="166" t="s">
        <v>824</v>
      </c>
      <c r="D64" s="292" t="s">
        <v>820</v>
      </c>
      <c r="E64" s="166">
        <v>28</v>
      </c>
      <c r="F64" s="166" t="s">
        <v>559</v>
      </c>
      <c r="G64" s="166">
        <v>28</v>
      </c>
      <c r="H64" s="166" t="s">
        <v>559</v>
      </c>
      <c r="I64" s="166" t="s">
        <v>560</v>
      </c>
      <c r="J64" s="166" t="s">
        <v>821</v>
      </c>
      <c r="K64" s="166" t="s">
        <v>822</v>
      </c>
      <c r="L64" s="166" t="s">
        <v>654</v>
      </c>
      <c r="M64" s="166" t="s">
        <v>655</v>
      </c>
      <c r="N64" s="167">
        <v>41.01</v>
      </c>
      <c r="O64" s="167">
        <v>14</v>
      </c>
      <c r="P64" s="166" t="s">
        <v>538</v>
      </c>
      <c r="Q64" s="166" t="s">
        <v>539</v>
      </c>
      <c r="R64" s="166" t="s">
        <v>823</v>
      </c>
      <c r="S64" s="166" t="s">
        <v>541</v>
      </c>
      <c r="T64" s="166" t="s">
        <v>542</v>
      </c>
      <c r="U64" s="293">
        <v>366698</v>
      </c>
      <c r="V64" s="166">
        <v>6004405009358</v>
      </c>
      <c r="W64" s="166">
        <v>6004405009358</v>
      </c>
      <c r="X64" s="166" t="s">
        <v>543</v>
      </c>
      <c r="Y64" s="166">
        <v>16004405009355</v>
      </c>
      <c r="Z64" s="166" t="s">
        <v>543</v>
      </c>
      <c r="AA64" s="167" t="s">
        <v>543</v>
      </c>
      <c r="AB64" s="167" t="s">
        <v>543</v>
      </c>
      <c r="AC64" s="166">
        <v>181896242</v>
      </c>
      <c r="AD64" s="168" t="s">
        <v>825</v>
      </c>
      <c r="AE64" s="169">
        <v>44743</v>
      </c>
      <c r="AF64" s="169">
        <v>45838</v>
      </c>
      <c r="AG64" s="170">
        <v>45838</v>
      </c>
      <c r="AH64" s="170" t="s">
        <v>826</v>
      </c>
      <c r="AI64" s="170" t="s">
        <v>658</v>
      </c>
      <c r="AJ64" s="170">
        <v>16</v>
      </c>
      <c r="AK64" s="169">
        <v>45047</v>
      </c>
      <c r="AL64" s="168">
        <v>100</v>
      </c>
      <c r="AM64" s="170" t="s">
        <v>548</v>
      </c>
      <c r="AN64" s="170" t="s">
        <v>549</v>
      </c>
      <c r="AO64" s="170" t="s">
        <v>827</v>
      </c>
      <c r="AP64">
        <f t="shared" si="1"/>
        <v>1</v>
      </c>
      <c r="AQ64" s="294">
        <f t="shared" si="0"/>
        <v>1.4646428571428571</v>
      </c>
      <c r="AR64" s="294">
        <f>AQ64</f>
        <v>1.4646428571428571</v>
      </c>
    </row>
    <row r="65" spans="1:46" ht="16" thickBot="1">
      <c r="A65" s="166" t="s">
        <v>529</v>
      </c>
      <c r="B65" s="166" t="s">
        <v>996</v>
      </c>
      <c r="C65" s="166" t="s">
        <v>997</v>
      </c>
      <c r="D65" s="292" t="s">
        <v>828</v>
      </c>
      <c r="E65" s="166">
        <v>56</v>
      </c>
      <c r="F65" s="166" t="s">
        <v>559</v>
      </c>
      <c r="G65" s="166">
        <v>56</v>
      </c>
      <c r="H65" s="166" t="s">
        <v>559</v>
      </c>
      <c r="I65" s="166" t="s">
        <v>560</v>
      </c>
      <c r="J65" s="166" t="s">
        <v>829</v>
      </c>
      <c r="K65" s="166" t="s">
        <v>830</v>
      </c>
      <c r="L65" s="166" t="s">
        <v>562</v>
      </c>
      <c r="M65" s="166" t="s">
        <v>563</v>
      </c>
      <c r="N65" s="167">
        <v>95.9</v>
      </c>
      <c r="O65" s="167">
        <v>14</v>
      </c>
      <c r="P65" s="166" t="s">
        <v>538</v>
      </c>
      <c r="Q65" s="166" t="s">
        <v>539</v>
      </c>
      <c r="R65" s="166" t="s">
        <v>831</v>
      </c>
      <c r="S65" s="166" t="s">
        <v>541</v>
      </c>
      <c r="T65" s="166" t="s">
        <v>542</v>
      </c>
      <c r="U65" s="293">
        <v>2728707</v>
      </c>
      <c r="V65" s="166">
        <v>6009628333426</v>
      </c>
      <c r="W65" s="166">
        <v>6009628333426</v>
      </c>
      <c r="X65" s="166" t="s">
        <v>543</v>
      </c>
      <c r="Y65" s="166">
        <v>16009628333423</v>
      </c>
      <c r="Z65" s="166" t="s">
        <v>543</v>
      </c>
      <c r="AA65" s="167" t="s">
        <v>543</v>
      </c>
      <c r="AB65" s="167" t="s">
        <v>543</v>
      </c>
      <c r="AC65" s="166">
        <v>720618001</v>
      </c>
      <c r="AD65" s="168">
        <v>144</v>
      </c>
      <c r="AE65" s="169">
        <v>44743</v>
      </c>
      <c r="AF65" s="169">
        <v>45838</v>
      </c>
      <c r="AG65" s="170">
        <v>45838</v>
      </c>
      <c r="AH65" s="170" t="s">
        <v>832</v>
      </c>
      <c r="AI65" s="170" t="s">
        <v>565</v>
      </c>
      <c r="AJ65" s="170">
        <v>23</v>
      </c>
      <c r="AK65" s="169">
        <v>45047</v>
      </c>
      <c r="AL65" s="168">
        <v>30</v>
      </c>
      <c r="AM65" s="170" t="s">
        <v>548</v>
      </c>
      <c r="AN65" s="170" t="s">
        <v>549</v>
      </c>
      <c r="AO65" s="170" t="s">
        <v>833</v>
      </c>
      <c r="AP65">
        <f t="shared" si="1"/>
        <v>1</v>
      </c>
      <c r="AQ65" s="294">
        <f t="shared" si="0"/>
        <v>1.7125000000000001</v>
      </c>
      <c r="AR65" s="294">
        <f>SUMPRODUCT(AQ65:AQ66,U65:U66)/SUMPRODUCT(U65:U66)</f>
        <v>1.7550000000000001</v>
      </c>
    </row>
    <row r="66" spans="1:46" ht="16" thickBot="1">
      <c r="A66" s="166" t="s">
        <v>529</v>
      </c>
      <c r="B66" s="166" t="s">
        <v>996</v>
      </c>
      <c r="C66" s="166" t="s">
        <v>997</v>
      </c>
      <c r="D66" s="292" t="s">
        <v>828</v>
      </c>
      <c r="E66" s="166">
        <v>56</v>
      </c>
      <c r="F66" s="166" t="s">
        <v>559</v>
      </c>
      <c r="G66" s="166">
        <v>56</v>
      </c>
      <c r="H66" s="166" t="s">
        <v>559</v>
      </c>
      <c r="I66" s="166" t="s">
        <v>560</v>
      </c>
      <c r="J66" s="166" t="s">
        <v>829</v>
      </c>
      <c r="K66" s="166" t="s">
        <v>834</v>
      </c>
      <c r="L66" s="166" t="s">
        <v>552</v>
      </c>
      <c r="M66" s="166" t="s">
        <v>553</v>
      </c>
      <c r="N66" s="167">
        <v>99.3</v>
      </c>
      <c r="O66" s="167">
        <v>14</v>
      </c>
      <c r="P66" s="166" t="s">
        <v>538</v>
      </c>
      <c r="Q66" s="166" t="s">
        <v>539</v>
      </c>
      <c r="R66" s="166" t="s">
        <v>831</v>
      </c>
      <c r="S66" s="166" t="s">
        <v>541</v>
      </c>
      <c r="T66" s="166" t="s">
        <v>542</v>
      </c>
      <c r="U66" s="293">
        <v>6366983</v>
      </c>
      <c r="V66" s="166">
        <v>8903726111512</v>
      </c>
      <c r="W66" s="166">
        <v>8903726111512</v>
      </c>
      <c r="X66" s="166" t="s">
        <v>543</v>
      </c>
      <c r="Y66" s="166">
        <v>18903726111519</v>
      </c>
      <c r="Z66" s="166" t="s">
        <v>543</v>
      </c>
      <c r="AA66" s="167" t="s">
        <v>543</v>
      </c>
      <c r="AB66" s="167" t="s">
        <v>543</v>
      </c>
      <c r="AC66" s="166" t="s">
        <v>543</v>
      </c>
      <c r="AD66" s="168">
        <v>96</v>
      </c>
      <c r="AE66" s="169">
        <v>44743</v>
      </c>
      <c r="AF66" s="169">
        <v>45838</v>
      </c>
      <c r="AG66" s="169">
        <v>45838</v>
      </c>
      <c r="AH66" s="170" t="s">
        <v>832</v>
      </c>
      <c r="AI66" s="170" t="s">
        <v>555</v>
      </c>
      <c r="AJ66" s="170">
        <v>19</v>
      </c>
      <c r="AK66" s="169">
        <v>45047</v>
      </c>
      <c r="AL66" s="168">
        <v>70</v>
      </c>
      <c r="AM66" s="170" t="s">
        <v>548</v>
      </c>
      <c r="AN66" s="170" t="s">
        <v>549</v>
      </c>
      <c r="AO66" s="170" t="s">
        <v>833</v>
      </c>
      <c r="AP66" t="str">
        <f t="shared" si="1"/>
        <v/>
      </c>
      <c r="AQ66" s="294">
        <f t="shared" si="0"/>
        <v>1.7732142857142856</v>
      </c>
    </row>
    <row r="67" spans="1:46" ht="16" thickBot="1">
      <c r="A67" s="166" t="s">
        <v>529</v>
      </c>
      <c r="B67" s="166" t="s">
        <v>1013</v>
      </c>
      <c r="C67" s="166" t="s">
        <v>1014</v>
      </c>
      <c r="D67" s="292" t="s">
        <v>835</v>
      </c>
      <c r="E67" s="166">
        <v>100</v>
      </c>
      <c r="F67" s="166" t="s">
        <v>584</v>
      </c>
      <c r="G67" s="166">
        <v>100</v>
      </c>
      <c r="H67" s="166" t="s">
        <v>584</v>
      </c>
      <c r="I67" s="166" t="s">
        <v>585</v>
      </c>
      <c r="J67" s="166" t="s">
        <v>836</v>
      </c>
      <c r="K67" s="166" t="s">
        <v>837</v>
      </c>
      <c r="L67" s="166" t="s">
        <v>562</v>
      </c>
      <c r="M67" s="166" t="s">
        <v>563</v>
      </c>
      <c r="N67" s="167">
        <v>61.68</v>
      </c>
      <c r="O67" s="167">
        <v>14</v>
      </c>
      <c r="P67" s="166" t="s">
        <v>538</v>
      </c>
      <c r="Q67" s="166" t="s">
        <v>539</v>
      </c>
      <c r="R67" s="166" t="s">
        <v>838</v>
      </c>
      <c r="S67" s="166" t="s">
        <v>541</v>
      </c>
      <c r="T67" s="166" t="s">
        <v>542</v>
      </c>
      <c r="U67" s="293">
        <v>113334</v>
      </c>
      <c r="V67" s="166">
        <v>6009628332658</v>
      </c>
      <c r="W67" s="166" t="s">
        <v>543</v>
      </c>
      <c r="X67" s="166" t="s">
        <v>543</v>
      </c>
      <c r="Y67" s="166">
        <v>16009628332655</v>
      </c>
      <c r="Z67" s="166" t="s">
        <v>543</v>
      </c>
      <c r="AA67" s="167" t="s">
        <v>543</v>
      </c>
      <c r="AB67" s="167" t="s">
        <v>543</v>
      </c>
      <c r="AC67" s="166">
        <v>717981001</v>
      </c>
      <c r="AD67" s="168">
        <v>72</v>
      </c>
      <c r="AE67" s="169">
        <v>44743</v>
      </c>
      <c r="AF67" s="169">
        <v>45838</v>
      </c>
      <c r="AG67" s="170">
        <v>45838</v>
      </c>
      <c r="AH67" s="170" t="s">
        <v>839</v>
      </c>
      <c r="AI67" s="170" t="s">
        <v>565</v>
      </c>
      <c r="AJ67" s="170">
        <v>23</v>
      </c>
      <c r="AK67" s="169">
        <v>45047</v>
      </c>
      <c r="AL67" s="168">
        <v>100</v>
      </c>
      <c r="AM67" s="170" t="s">
        <v>548</v>
      </c>
      <c r="AN67" s="170" t="s">
        <v>549</v>
      </c>
      <c r="AO67" s="170" t="s">
        <v>840</v>
      </c>
      <c r="AP67">
        <f t="shared" si="1"/>
        <v>1</v>
      </c>
      <c r="AQ67" s="294">
        <f t="shared" ref="AQ67:AQ71" si="4">IF(F67="ml (ml)",N67,N67/E67)</f>
        <v>0.61680000000000001</v>
      </c>
      <c r="AR67" s="294">
        <f>AQ67</f>
        <v>0.61680000000000001</v>
      </c>
    </row>
    <row r="68" spans="1:46" ht="16" thickBot="1">
      <c r="A68" s="166" t="s">
        <v>529</v>
      </c>
      <c r="B68" s="166" t="s">
        <v>1026</v>
      </c>
      <c r="C68" s="166" t="s">
        <v>843</v>
      </c>
      <c r="D68" s="292" t="s">
        <v>841</v>
      </c>
      <c r="E68" s="166">
        <v>56</v>
      </c>
      <c r="F68" s="166" t="s">
        <v>584</v>
      </c>
      <c r="G68" s="166">
        <v>56</v>
      </c>
      <c r="H68" s="166" t="s">
        <v>584</v>
      </c>
      <c r="I68" s="166" t="s">
        <v>585</v>
      </c>
      <c r="J68" s="166" t="s">
        <v>836</v>
      </c>
      <c r="K68" s="166" t="s">
        <v>842</v>
      </c>
      <c r="L68" s="166" t="s">
        <v>654</v>
      </c>
      <c r="M68" s="166" t="s">
        <v>655</v>
      </c>
      <c r="N68" s="167">
        <v>87.92</v>
      </c>
      <c r="O68" s="167">
        <v>14</v>
      </c>
      <c r="P68" s="166" t="s">
        <v>538</v>
      </c>
      <c r="Q68" s="166" t="s">
        <v>539</v>
      </c>
      <c r="R68" s="166" t="s">
        <v>838</v>
      </c>
      <c r="S68" s="166" t="s">
        <v>541</v>
      </c>
      <c r="T68" s="166" t="s">
        <v>542</v>
      </c>
      <c r="U68" s="293">
        <v>466985</v>
      </c>
      <c r="V68" s="166">
        <v>6004405009365</v>
      </c>
      <c r="W68" s="166">
        <v>6004405009365</v>
      </c>
      <c r="X68" s="166" t="s">
        <v>543</v>
      </c>
      <c r="Y68" s="166">
        <v>16004405009362</v>
      </c>
      <c r="Z68" s="166" t="s">
        <v>543</v>
      </c>
      <c r="AA68" s="167">
        <v>26004405009369</v>
      </c>
      <c r="AB68" s="167" t="s">
        <v>543</v>
      </c>
      <c r="AC68" s="166">
        <v>181896243</v>
      </c>
      <c r="AD68" s="168" t="s">
        <v>844</v>
      </c>
      <c r="AE68" s="169">
        <v>44743</v>
      </c>
      <c r="AF68" s="169">
        <v>45838</v>
      </c>
      <c r="AG68" s="170">
        <v>45838</v>
      </c>
      <c r="AH68" s="170" t="s">
        <v>845</v>
      </c>
      <c r="AI68" s="170" t="s">
        <v>658</v>
      </c>
      <c r="AJ68" s="170">
        <v>16</v>
      </c>
      <c r="AK68" s="169">
        <v>45047</v>
      </c>
      <c r="AL68" s="168">
        <v>100</v>
      </c>
      <c r="AM68" s="170" t="s">
        <v>548</v>
      </c>
      <c r="AN68" s="170" t="s">
        <v>549</v>
      </c>
      <c r="AO68" s="170" t="s">
        <v>846</v>
      </c>
      <c r="AP68">
        <f>IF(D68=D67,"",1)</f>
        <v>1</v>
      </c>
      <c r="AQ68" s="294">
        <f t="shared" si="4"/>
        <v>1.57</v>
      </c>
      <c r="AR68" s="294">
        <f>AQ68</f>
        <v>1.57</v>
      </c>
    </row>
    <row r="69" spans="1:46" ht="16" thickBot="1">
      <c r="A69" s="175" t="s">
        <v>529</v>
      </c>
      <c r="B69" s="175" t="s">
        <v>590</v>
      </c>
      <c r="C69" s="175" t="s">
        <v>850</v>
      </c>
      <c r="D69" s="295" t="s">
        <v>847</v>
      </c>
      <c r="E69" s="175">
        <v>200</v>
      </c>
      <c r="F69" s="175" t="s">
        <v>531</v>
      </c>
      <c r="G69" s="175">
        <v>200</v>
      </c>
      <c r="H69" s="175" t="s">
        <v>531</v>
      </c>
      <c r="I69" s="175" t="s">
        <v>848</v>
      </c>
      <c r="J69" s="175" t="s">
        <v>836</v>
      </c>
      <c r="K69" s="175" t="s">
        <v>849</v>
      </c>
      <c r="L69" s="175" t="s">
        <v>654</v>
      </c>
      <c r="M69" s="175" t="s">
        <v>655</v>
      </c>
      <c r="N69" s="167">
        <v>33.46</v>
      </c>
      <c r="O69" s="296">
        <v>14</v>
      </c>
      <c r="P69" s="175" t="s">
        <v>538</v>
      </c>
      <c r="Q69" s="175" t="s">
        <v>539</v>
      </c>
      <c r="R69" s="175" t="s">
        <v>838</v>
      </c>
      <c r="S69" s="175" t="s">
        <v>541</v>
      </c>
      <c r="T69" s="175" t="s">
        <v>542</v>
      </c>
      <c r="U69" s="297">
        <v>532279</v>
      </c>
      <c r="V69" s="175">
        <v>6004405009525</v>
      </c>
      <c r="W69" s="175">
        <v>6004405009525</v>
      </c>
      <c r="X69" s="175" t="s">
        <v>543</v>
      </c>
      <c r="Y69" s="175">
        <v>16004405009525</v>
      </c>
      <c r="Z69" s="175" t="s">
        <v>543</v>
      </c>
      <c r="AA69" s="296">
        <v>26004405009529</v>
      </c>
      <c r="AB69" s="296" t="s">
        <v>543</v>
      </c>
      <c r="AC69" s="175">
        <v>180165395</v>
      </c>
      <c r="AD69" s="298" t="s">
        <v>851</v>
      </c>
      <c r="AE69" s="299">
        <v>44743</v>
      </c>
      <c r="AF69" s="299">
        <v>45838</v>
      </c>
      <c r="AG69" s="300">
        <v>45838</v>
      </c>
      <c r="AH69" s="300" t="s">
        <v>852</v>
      </c>
      <c r="AI69" s="300" t="s">
        <v>658</v>
      </c>
      <c r="AJ69" s="300">
        <v>16</v>
      </c>
      <c r="AK69" s="299">
        <v>45047</v>
      </c>
      <c r="AL69" s="298">
        <v>100</v>
      </c>
      <c r="AM69" s="170" t="s">
        <v>548</v>
      </c>
      <c r="AN69" s="170" t="s">
        <v>549</v>
      </c>
      <c r="AO69" s="170" t="s">
        <v>853</v>
      </c>
      <c r="AP69">
        <f>IF(D69=D68,"",1)</f>
        <v>1</v>
      </c>
      <c r="AQ69" s="294">
        <f t="shared" si="4"/>
        <v>33.46</v>
      </c>
      <c r="AR69" s="294">
        <f>AQ69</f>
        <v>33.46</v>
      </c>
    </row>
    <row r="70" spans="1:46">
      <c r="A70" s="301" t="s">
        <v>1271</v>
      </c>
      <c r="B70" s="302"/>
      <c r="C70" s="302"/>
      <c r="D70" s="302" t="s">
        <v>856</v>
      </c>
      <c r="E70" s="302">
        <v>30</v>
      </c>
      <c r="F70" s="302" t="s">
        <v>559</v>
      </c>
      <c r="G70" s="302" t="s">
        <v>1272</v>
      </c>
      <c r="H70" s="302"/>
      <c r="I70" s="302" t="s">
        <v>560</v>
      </c>
      <c r="J70" s="302" t="s">
        <v>629</v>
      </c>
      <c r="K70" s="302"/>
      <c r="L70" s="302" t="s">
        <v>562</v>
      </c>
      <c r="M70" s="302"/>
      <c r="N70" s="167">
        <v>31.05</v>
      </c>
      <c r="O70" s="303"/>
      <c r="P70" s="302"/>
      <c r="Q70" s="302"/>
      <c r="R70" s="302"/>
      <c r="S70" s="302"/>
      <c r="T70" s="302"/>
      <c r="U70" s="304">
        <v>92000</v>
      </c>
      <c r="V70" s="302"/>
      <c r="W70" s="302"/>
      <c r="X70" s="302"/>
      <c r="Y70" s="302"/>
      <c r="Z70" s="302"/>
      <c r="AA70" s="303"/>
      <c r="AB70" s="303"/>
      <c r="AC70" s="302"/>
      <c r="AD70" s="303"/>
      <c r="AE70" s="305"/>
      <c r="AF70" s="305"/>
      <c r="AG70" s="302"/>
      <c r="AH70" s="302"/>
      <c r="AI70" s="302"/>
      <c r="AJ70" s="302"/>
      <c r="AK70" s="305"/>
      <c r="AL70" s="303"/>
      <c r="AM70" s="172"/>
      <c r="AN70" s="172"/>
      <c r="AO70" s="172"/>
      <c r="AQ70" s="294">
        <f t="shared" si="4"/>
        <v>1.0349999999999999</v>
      </c>
      <c r="AR70" s="294">
        <f>SUMPRODUCT(AQ70:AQ71,U70:U71)/SUMPRODUCT(U70:U71)</f>
        <v>1.1274999999999999</v>
      </c>
      <c r="AT70" t="s">
        <v>1273</v>
      </c>
    </row>
    <row r="71" spans="1:46">
      <c r="A71" s="301" t="s">
        <v>1271</v>
      </c>
      <c r="B71" s="242"/>
      <c r="C71" s="242"/>
      <c r="D71" s="302" t="s">
        <v>856</v>
      </c>
      <c r="E71" s="302">
        <v>30</v>
      </c>
      <c r="F71" s="302" t="s">
        <v>559</v>
      </c>
      <c r="G71" s="242" t="s">
        <v>1272</v>
      </c>
      <c r="H71" s="242"/>
      <c r="I71" s="302" t="s">
        <v>560</v>
      </c>
      <c r="J71" s="302" t="s">
        <v>629</v>
      </c>
      <c r="K71" s="242"/>
      <c r="L71" s="302" t="s">
        <v>857</v>
      </c>
      <c r="M71" s="242"/>
      <c r="N71" s="167">
        <v>36.6</v>
      </c>
      <c r="O71" s="242"/>
      <c r="P71" s="242"/>
      <c r="Q71" s="242"/>
      <c r="R71" s="242"/>
      <c r="S71" s="242"/>
      <c r="T71" s="242"/>
      <c r="U71" s="304">
        <v>92000</v>
      </c>
      <c r="V71" s="242"/>
      <c r="W71" s="242"/>
      <c r="X71" s="242"/>
      <c r="Y71" s="242"/>
      <c r="Z71" s="242"/>
      <c r="AA71" s="242"/>
      <c r="AB71" s="242"/>
      <c r="AC71" s="242"/>
      <c r="AD71" s="242"/>
      <c r="AE71" s="242"/>
      <c r="AF71" s="242"/>
      <c r="AG71" s="242"/>
      <c r="AH71" s="242"/>
      <c r="AI71" s="242"/>
      <c r="AJ71" s="242"/>
      <c r="AK71" s="242"/>
      <c r="AL71" s="242"/>
      <c r="AQ71" s="294">
        <f t="shared" si="4"/>
        <v>1.22</v>
      </c>
      <c r="AT71" t="s">
        <v>1273</v>
      </c>
    </row>
    <row r="72" spans="1:46">
      <c r="A72" s="172"/>
      <c r="D72" s="172"/>
      <c r="E72" s="172"/>
      <c r="F72" s="172"/>
      <c r="I72" s="172"/>
      <c r="J72" s="172"/>
      <c r="L72" s="172"/>
      <c r="N72" s="173"/>
      <c r="U72" s="174"/>
    </row>
    <row r="73" spans="1:46">
      <c r="A73" s="172"/>
      <c r="D73" s="172"/>
      <c r="E73" s="172"/>
      <c r="F73" s="172"/>
      <c r="I73" s="172"/>
      <c r="J73" s="172"/>
      <c r="L73" s="172"/>
      <c r="N73" s="173"/>
      <c r="U73" s="174"/>
    </row>
    <row r="75" spans="1:46">
      <c r="E75" s="171" t="s">
        <v>854</v>
      </c>
      <c r="F75" s="1" t="s">
        <v>855</v>
      </c>
    </row>
    <row r="76" spans="1:46">
      <c r="D76" t="s">
        <v>530</v>
      </c>
      <c r="E76" s="24">
        <f t="shared" ref="E76:E116" si="5">INDEX($AR$2:$AR$71,MATCH(D76,$D$2:$D$71,0))</f>
        <v>74.676000184473807</v>
      </c>
      <c r="F76" t="str">
        <f t="shared" ref="F76:F117" si="6">INDEX($I$2:$I$71,MATCH(D76,$D$2:$D$71,0))</f>
        <v>Solution</v>
      </c>
      <c r="G76" t="s">
        <v>1310</v>
      </c>
    </row>
    <row r="77" spans="1:46">
      <c r="D77" t="s">
        <v>558</v>
      </c>
      <c r="E77" s="24">
        <f t="shared" si="5"/>
        <v>2.0003571428571427</v>
      </c>
      <c r="F77" t="str">
        <f t="shared" si="6"/>
        <v>Tablet</v>
      </c>
      <c r="G77" t="s">
        <v>901</v>
      </c>
    </row>
    <row r="78" spans="1:46">
      <c r="D78" t="s">
        <v>567</v>
      </c>
      <c r="E78" s="24">
        <f t="shared" si="5"/>
        <v>0.76250000000000007</v>
      </c>
      <c r="F78" t="str">
        <f t="shared" si="6"/>
        <v>Tablet, dispersible</v>
      </c>
      <c r="G78" t="s">
        <v>902</v>
      </c>
    </row>
    <row r="79" spans="1:46">
      <c r="D79" t="s">
        <v>572</v>
      </c>
      <c r="E79" s="24">
        <f t="shared" si="5"/>
        <v>9.050357142857143</v>
      </c>
      <c r="F79" t="str">
        <f t="shared" si="6"/>
        <v>Tablet</v>
      </c>
      <c r="G79" t="s">
        <v>1327</v>
      </c>
    </row>
    <row r="80" spans="1:46">
      <c r="D80" t="s">
        <v>583</v>
      </c>
      <c r="E80" s="24">
        <f t="shared" si="5"/>
        <v>6.304666666666666</v>
      </c>
      <c r="F80" t="str">
        <f t="shared" si="6"/>
        <v>Capsule</v>
      </c>
      <c r="G80" t="s">
        <v>1317</v>
      </c>
    </row>
    <row r="81" spans="4:7">
      <c r="D81" t="s">
        <v>595</v>
      </c>
      <c r="E81" s="24">
        <f t="shared" si="5"/>
        <v>8.9619999999999997</v>
      </c>
      <c r="F81" t="str">
        <f t="shared" si="6"/>
        <v>Capsule</v>
      </c>
      <c r="G81" t="s">
        <v>1316</v>
      </c>
    </row>
    <row r="82" spans="4:7">
      <c r="D82" t="s">
        <v>599</v>
      </c>
      <c r="E82" s="24">
        <f t="shared" si="5"/>
        <v>7.7076785714285716</v>
      </c>
      <c r="F82" t="str">
        <f t="shared" si="6"/>
        <v>Tablet</v>
      </c>
      <c r="G82" t="s">
        <v>1300</v>
      </c>
    </row>
    <row r="83" spans="4:7">
      <c r="D83" t="s">
        <v>606</v>
      </c>
      <c r="E83" s="24">
        <f t="shared" si="5"/>
        <v>3.4018333333333337</v>
      </c>
      <c r="F83" t="str">
        <f t="shared" si="6"/>
        <v>Tablet</v>
      </c>
      <c r="G83" t="s">
        <v>1301</v>
      </c>
    </row>
    <row r="84" spans="4:7">
      <c r="D84" t="s">
        <v>619</v>
      </c>
      <c r="E84" s="24">
        <f t="shared" si="5"/>
        <v>15.679642857142856</v>
      </c>
      <c r="F84" t="str">
        <f t="shared" si="6"/>
        <v>Tablet</v>
      </c>
      <c r="G84" t="s">
        <v>1302</v>
      </c>
    </row>
    <row r="85" spans="4:7">
      <c r="D85" t="s">
        <v>623</v>
      </c>
      <c r="E85" s="24">
        <f t="shared" si="5"/>
        <v>1.8959374999999998</v>
      </c>
      <c r="F85" t="str">
        <f t="shared" si="6"/>
        <v>Tablet</v>
      </c>
      <c r="G85" t="s">
        <v>1304</v>
      </c>
    </row>
    <row r="86" spans="4:7">
      <c r="D86" s="172" t="s">
        <v>856</v>
      </c>
      <c r="E86" s="24">
        <f t="shared" si="5"/>
        <v>1.1274999999999999</v>
      </c>
      <c r="F86" t="str">
        <f t="shared" si="6"/>
        <v>Tablet</v>
      </c>
      <c r="G86" t="s">
        <v>896</v>
      </c>
    </row>
    <row r="87" spans="4:7">
      <c r="D87" t="s">
        <v>644</v>
      </c>
      <c r="E87" s="24">
        <f t="shared" si="5"/>
        <v>0.65961902360064639</v>
      </c>
      <c r="F87" t="str">
        <f t="shared" si="6"/>
        <v>Tablet</v>
      </c>
      <c r="G87" t="s">
        <v>1295</v>
      </c>
    </row>
    <row r="88" spans="4:7">
      <c r="D88" t="s">
        <v>652</v>
      </c>
      <c r="E88" s="24">
        <f t="shared" si="5"/>
        <v>0.68392857142857133</v>
      </c>
      <c r="F88" t="str">
        <f t="shared" si="6"/>
        <v>Capsule</v>
      </c>
      <c r="G88" t="s">
        <v>1296</v>
      </c>
    </row>
    <row r="89" spans="4:7">
      <c r="D89" t="s">
        <v>660</v>
      </c>
      <c r="E89" s="24">
        <f t="shared" si="5"/>
        <v>1.5976428286114368</v>
      </c>
      <c r="F89" t="str">
        <f t="shared" si="6"/>
        <v>Tablet</v>
      </c>
      <c r="G89" t="s">
        <v>1297</v>
      </c>
    </row>
    <row r="90" spans="4:7">
      <c r="D90" t="s">
        <v>665</v>
      </c>
      <c r="E90" s="24">
        <f t="shared" si="5"/>
        <v>4.671964285714286</v>
      </c>
      <c r="F90" t="str">
        <f t="shared" si="6"/>
        <v>Tablet</v>
      </c>
      <c r="G90" t="s">
        <v>1298</v>
      </c>
    </row>
    <row r="91" spans="4:7">
      <c r="D91" t="s">
        <v>672</v>
      </c>
      <c r="E91" s="24">
        <f t="shared" si="5"/>
        <v>7.7632142857142856</v>
      </c>
      <c r="F91" t="str">
        <f t="shared" si="6"/>
        <v>Tablet</v>
      </c>
      <c r="G91" t="s">
        <v>1332</v>
      </c>
    </row>
    <row r="92" spans="4:7">
      <c r="D92" t="s">
        <v>687</v>
      </c>
      <c r="E92" s="24">
        <f t="shared" si="5"/>
        <v>4.6609285787787025</v>
      </c>
      <c r="F92" t="str">
        <f t="shared" si="6"/>
        <v>Tablet</v>
      </c>
      <c r="G92" t="s">
        <v>1333</v>
      </c>
    </row>
    <row r="93" spans="4:7">
      <c r="D93" t="s">
        <v>694</v>
      </c>
      <c r="E93" s="24">
        <f t="shared" si="5"/>
        <v>1.9864285111058584</v>
      </c>
      <c r="F93" t="str">
        <f t="shared" si="6"/>
        <v>Tablet</v>
      </c>
      <c r="G93" t="s">
        <v>1339</v>
      </c>
    </row>
    <row r="94" spans="4:7">
      <c r="D94" t="s">
        <v>699</v>
      </c>
      <c r="E94" s="24">
        <f t="shared" si="5"/>
        <v>24.152001332470366</v>
      </c>
      <c r="F94" t="str">
        <f t="shared" si="6"/>
        <v>Solution</v>
      </c>
      <c r="G94" t="s">
        <v>1312</v>
      </c>
    </row>
    <row r="95" spans="4:7">
      <c r="D95" t="s">
        <v>707</v>
      </c>
      <c r="E95" s="24">
        <f t="shared" si="5"/>
        <v>0.62176784149317232</v>
      </c>
      <c r="F95" t="str">
        <f t="shared" si="6"/>
        <v>Tablet</v>
      </c>
      <c r="G95" t="s">
        <v>904</v>
      </c>
    </row>
    <row r="96" spans="4:7">
      <c r="D96" t="s">
        <v>713</v>
      </c>
      <c r="E96" s="24">
        <f t="shared" si="5"/>
        <v>1.2526666666666666</v>
      </c>
      <c r="F96" t="str">
        <f t="shared" si="6"/>
        <v>Tablet</v>
      </c>
      <c r="G96" t="s">
        <v>1305</v>
      </c>
    </row>
    <row r="97" spans="4:10">
      <c r="D97" t="s">
        <v>719</v>
      </c>
      <c r="E97" s="24">
        <f t="shared" si="5"/>
        <v>2.5745357142857141</v>
      </c>
      <c r="F97" t="str">
        <f t="shared" si="6"/>
        <v>Tablet</v>
      </c>
      <c r="G97" t="s">
        <v>1306</v>
      </c>
    </row>
    <row r="98" spans="4:10">
      <c r="D98" t="s">
        <v>727</v>
      </c>
      <c r="E98" s="24">
        <f t="shared" si="5"/>
        <v>2.2025833333333336</v>
      </c>
      <c r="F98" t="str">
        <f t="shared" si="6"/>
        <v>Capsule</v>
      </c>
      <c r="G98" t="s">
        <v>1307</v>
      </c>
    </row>
    <row r="99" spans="4:10">
      <c r="D99" t="s">
        <v>731</v>
      </c>
      <c r="E99" s="24">
        <f t="shared" si="5"/>
        <v>81.540000000000006</v>
      </c>
      <c r="F99" t="str">
        <f t="shared" si="6"/>
        <v>Solution</v>
      </c>
      <c r="G99" t="s">
        <v>1311</v>
      </c>
    </row>
    <row r="100" spans="4:10">
      <c r="D100" t="s">
        <v>736</v>
      </c>
      <c r="E100" s="24">
        <f t="shared" si="5"/>
        <v>0.74821428571428572</v>
      </c>
      <c r="F100" t="str">
        <f t="shared" si="6"/>
        <v>Tablet</v>
      </c>
      <c r="G100" t="s">
        <v>1303</v>
      </c>
    </row>
    <row r="101" spans="4:10">
      <c r="D101" t="s">
        <v>743</v>
      </c>
      <c r="E101" s="24">
        <f t="shared" si="5"/>
        <v>21.64</v>
      </c>
      <c r="F101" t="str">
        <f t="shared" si="6"/>
        <v>Suspension</v>
      </c>
      <c r="G101" t="s">
        <v>1308</v>
      </c>
    </row>
    <row r="102" spans="4:10">
      <c r="D102" t="s">
        <v>748</v>
      </c>
      <c r="E102" s="24">
        <f t="shared" si="5"/>
        <v>35.130000000000003</v>
      </c>
      <c r="F102" t="str">
        <f t="shared" si="6"/>
        <v>Suspension</v>
      </c>
      <c r="G102" t="s">
        <v>1309</v>
      </c>
    </row>
    <row r="103" spans="4:10">
      <c r="D103" t="s">
        <v>751</v>
      </c>
      <c r="E103" s="24">
        <f t="shared" si="5"/>
        <v>8.1321428571428562</v>
      </c>
      <c r="F103" t="str">
        <f t="shared" si="6"/>
        <v>Tablet</v>
      </c>
      <c r="G103" t="s">
        <v>1313</v>
      </c>
    </row>
    <row r="104" spans="4:10">
      <c r="D104" t="s">
        <v>761</v>
      </c>
      <c r="E104" s="24">
        <f t="shared" si="5"/>
        <v>4.0660714285714281</v>
      </c>
      <c r="F104" t="str">
        <f t="shared" si="6"/>
        <v>Tablet</v>
      </c>
      <c r="G104" t="s">
        <v>1314</v>
      </c>
    </row>
    <row r="105" spans="4:10">
      <c r="D105" t="s">
        <v>765</v>
      </c>
      <c r="E105" s="24">
        <f t="shared" si="5"/>
        <v>9.5975000000000001</v>
      </c>
      <c r="F105" t="str">
        <f t="shared" si="6"/>
        <v>Tablet</v>
      </c>
      <c r="G105" t="s">
        <v>1315</v>
      </c>
    </row>
    <row r="106" spans="4:10">
      <c r="D106" t="s">
        <v>769</v>
      </c>
      <c r="E106" s="24">
        <f t="shared" si="5"/>
        <v>1.8919999999999999</v>
      </c>
      <c r="F106" t="str">
        <f t="shared" si="6"/>
        <v>Suspension</v>
      </c>
      <c r="G106" t="s">
        <v>1331</v>
      </c>
    </row>
    <row r="107" spans="4:10">
      <c r="D107" t="s">
        <v>776</v>
      </c>
      <c r="E107" s="24">
        <f t="shared" si="5"/>
        <v>1.6760714285714287</v>
      </c>
      <c r="F107" t="str">
        <f t="shared" si="6"/>
        <v>Tablet</v>
      </c>
      <c r="G107" t="s">
        <v>1299</v>
      </c>
    </row>
    <row r="108" spans="4:10">
      <c r="D108" t="s">
        <v>780</v>
      </c>
      <c r="E108" s="24">
        <f t="shared" si="5"/>
        <v>3.4208508217728544</v>
      </c>
      <c r="F108" t="str">
        <f t="shared" si="6"/>
        <v>Tablet</v>
      </c>
      <c r="G108" t="s">
        <v>1368</v>
      </c>
    </row>
    <row r="109" spans="4:10">
      <c r="D109" t="s">
        <v>790</v>
      </c>
      <c r="E109" s="24">
        <f t="shared" si="5"/>
        <v>3.4208508217728544</v>
      </c>
      <c r="F109" t="str">
        <f t="shared" si="6"/>
        <v>Tablet</v>
      </c>
      <c r="G109" s="5" t="s">
        <v>1319</v>
      </c>
    </row>
    <row r="110" spans="4:10">
      <c r="D110" t="s">
        <v>795</v>
      </c>
      <c r="E110" s="24">
        <f t="shared" si="5"/>
        <v>2.3174285804893584</v>
      </c>
      <c r="F110" t="str">
        <f t="shared" si="6"/>
        <v>Tablet</v>
      </c>
      <c r="G110" t="s">
        <v>1318</v>
      </c>
      <c r="J110" s="24"/>
    </row>
    <row r="111" spans="4:10">
      <c r="D111" t="s">
        <v>804</v>
      </c>
      <c r="E111" s="24">
        <f t="shared" si="5"/>
        <v>2.952048897020477</v>
      </c>
      <c r="F111" t="str">
        <f t="shared" si="6"/>
        <v>Tablet</v>
      </c>
      <c r="G111" s="5" t="s">
        <v>1367</v>
      </c>
    </row>
    <row r="112" spans="4:10">
      <c r="D112" t="s">
        <v>816</v>
      </c>
      <c r="E112" s="24">
        <f t="shared" si="5"/>
        <v>2.952048897020477</v>
      </c>
      <c r="F112" t="str">
        <f t="shared" si="6"/>
        <v>Tablet</v>
      </c>
      <c r="G112" s="5" t="s">
        <v>1319</v>
      </c>
    </row>
    <row r="113" spans="4:7">
      <c r="D113" t="s">
        <v>820</v>
      </c>
      <c r="E113" s="24">
        <f t="shared" si="5"/>
        <v>1.4646428571428571</v>
      </c>
      <c r="F113" t="str">
        <f t="shared" si="6"/>
        <v>Tablet</v>
      </c>
      <c r="G113" s="5" t="s">
        <v>1324</v>
      </c>
    </row>
    <row r="114" spans="4:7">
      <c r="D114" t="s">
        <v>828</v>
      </c>
      <c r="E114" s="24">
        <f t="shared" si="5"/>
        <v>1.7550000000000001</v>
      </c>
      <c r="F114" t="str">
        <f t="shared" si="6"/>
        <v>Tablet</v>
      </c>
      <c r="G114" s="5" t="s">
        <v>1320</v>
      </c>
    </row>
    <row r="115" spans="4:7">
      <c r="D115" t="s">
        <v>835</v>
      </c>
      <c r="E115" s="24">
        <f t="shared" si="5"/>
        <v>0.61680000000000001</v>
      </c>
      <c r="F115" t="str">
        <f t="shared" si="6"/>
        <v>Capsule</v>
      </c>
      <c r="G115" s="5" t="s">
        <v>1321</v>
      </c>
    </row>
    <row r="116" spans="4:7">
      <c r="D116" t="s">
        <v>841</v>
      </c>
      <c r="E116" s="24">
        <f t="shared" si="5"/>
        <v>1.57</v>
      </c>
      <c r="F116" t="str">
        <f t="shared" si="6"/>
        <v>Capsule</v>
      </c>
      <c r="G116" s="5" t="s">
        <v>1322</v>
      </c>
    </row>
    <row r="117" spans="4:7">
      <c r="D117" t="s">
        <v>847</v>
      </c>
      <c r="E117" s="24">
        <f>INDEX($AR$2:$AR$71,MATCH(D117,$D$2:$D$71,0))</f>
        <v>33.46</v>
      </c>
      <c r="F117" t="str">
        <f t="shared" si="6"/>
        <v>Syrup</v>
      </c>
      <c r="G117" s="5" t="s">
        <v>1323</v>
      </c>
    </row>
  </sheetData>
  <hyperlinks>
    <hyperlink ref="A70" r:id="rId1" xr:uid="{3ACB9378-E5DE-43BE-9C51-8BDC6269445A}"/>
    <hyperlink ref="A71" r:id="rId2" xr:uid="{5F55E1FF-8D25-46BB-B43C-BF8771BEF251}"/>
  </hyperlinks>
  <pageMargins left="0.7" right="0.7" top="0.75" bottom="0.75" header="0.3" footer="0.3"/>
  <pageSetup paperSize="9" orientation="portrait"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A97D0-DD0C-4E3D-8932-DA495F5585E7}">
  <dimension ref="A1:D10"/>
  <sheetViews>
    <sheetView showGridLines="0" workbookViewId="0">
      <selection activeCell="C3" sqref="C3"/>
    </sheetView>
  </sheetViews>
  <sheetFormatPr baseColWidth="10" defaultColWidth="8.83203125" defaultRowHeight="15"/>
  <cols>
    <col min="1" max="1" width="38.83203125" bestFit="1" customWidth="1"/>
    <col min="2" max="2" width="16.33203125" style="178" customWidth="1"/>
    <col min="3" max="3" width="10.33203125" customWidth="1"/>
    <col min="4" max="4" width="12.1640625" customWidth="1"/>
  </cols>
  <sheetData>
    <row r="1" spans="1:4" ht="48">
      <c r="A1" s="329" t="s">
        <v>1438</v>
      </c>
      <c r="B1" s="330" t="s">
        <v>1441</v>
      </c>
      <c r="C1" s="331" t="s">
        <v>1439</v>
      </c>
      <c r="D1" s="332" t="s">
        <v>1440</v>
      </c>
    </row>
    <row r="2" spans="1:4">
      <c r="A2" s="333" t="s">
        <v>1134</v>
      </c>
      <c r="B2" s="334">
        <v>10.4</v>
      </c>
      <c r="C2" s="335">
        <f>B2*Ingredients!$I$207</f>
        <v>42057.880799999999</v>
      </c>
      <c r="D2" s="336">
        <f t="shared" ref="D2:D9" si="0">C2/exrate</f>
        <v>2253.8262560428625</v>
      </c>
    </row>
    <row r="3" spans="1:4">
      <c r="A3" s="75" t="s">
        <v>1135</v>
      </c>
      <c r="B3" s="178">
        <v>8.6</v>
      </c>
      <c r="C3" s="324">
        <f>B3*Ingredients!$I$207</f>
        <v>34778.632199999993</v>
      </c>
      <c r="D3" s="325">
        <f t="shared" si="0"/>
        <v>1863.7409424969819</v>
      </c>
    </row>
    <row r="4" spans="1:4">
      <c r="A4" s="75" t="s">
        <v>6</v>
      </c>
      <c r="B4" s="178">
        <v>8.6999999999999993</v>
      </c>
      <c r="C4" s="324">
        <f>B4*Ingredients!$I$207</f>
        <v>35183.034899999991</v>
      </c>
      <c r="D4" s="325">
        <f t="shared" si="0"/>
        <v>1885.4123488050864</v>
      </c>
    </row>
    <row r="5" spans="1:4">
      <c r="A5" s="223" t="s">
        <v>1136</v>
      </c>
      <c r="B5" s="326">
        <v>7.8</v>
      </c>
      <c r="C5" s="327">
        <f>B5*Ingredients!$I$207</f>
        <v>31543.410599999996</v>
      </c>
      <c r="D5" s="328">
        <f t="shared" si="0"/>
        <v>1690.3696920321465</v>
      </c>
    </row>
    <row r="6" spans="1:4">
      <c r="A6" s="75" t="s">
        <v>1140</v>
      </c>
      <c r="B6" s="178">
        <v>12.1</v>
      </c>
      <c r="C6" s="324">
        <f>B6*Ingredients!$I$207</f>
        <v>48932.726699999992</v>
      </c>
      <c r="D6" s="325">
        <f t="shared" si="0"/>
        <v>2622.2401632806373</v>
      </c>
    </row>
    <row r="7" spans="1:4">
      <c r="A7" s="75" t="s">
        <v>1141</v>
      </c>
      <c r="B7" s="178">
        <v>13.4</v>
      </c>
      <c r="C7" s="324">
        <f>B7*Ingredients!$I$207</f>
        <v>54189.961799999997</v>
      </c>
      <c r="D7" s="325">
        <f t="shared" si="0"/>
        <v>2903.9684452859956</v>
      </c>
    </row>
    <row r="8" spans="1:4">
      <c r="A8" s="75" t="s">
        <v>10</v>
      </c>
      <c r="B8" s="178">
        <v>9.3000000000000007</v>
      </c>
      <c r="C8" s="324">
        <f>B8*Ingredients!$I$207</f>
        <v>37609.451099999998</v>
      </c>
      <c r="D8" s="325">
        <f t="shared" si="0"/>
        <v>2015.4407866537133</v>
      </c>
    </row>
    <row r="9" spans="1:4">
      <c r="A9" s="223" t="s">
        <v>1142</v>
      </c>
      <c r="B9" s="326">
        <v>6.9</v>
      </c>
      <c r="C9" s="327">
        <f>B9*Ingredients!$I$207</f>
        <v>27903.7863</v>
      </c>
      <c r="D9" s="328">
        <f t="shared" si="0"/>
        <v>1495.3270352592067</v>
      </c>
    </row>
    <row r="10" spans="1:4">
      <c r="A10" s="3" t="s">
        <v>1442</v>
      </c>
    </row>
  </sheetData>
  <dataValidations count="1">
    <dataValidation type="list" allowBlank="1" showInputMessage="1" showErrorMessage="1" sqref="B2" xr:uid="{DB2E0501-124D-4BF3-8FDE-B4A3EB3F73C3}">
      <formula1>ING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25</vt:i4>
      </vt:variant>
    </vt:vector>
  </HeadingPairs>
  <TitlesOfParts>
    <vt:vector size="41" baseType="lpstr">
      <vt:lpstr>Title</vt:lpstr>
      <vt:lpstr>Summary of unit costs</vt:lpstr>
      <vt:lpstr>Ingredients</vt:lpstr>
      <vt:lpstr>InterventionCosts</vt:lpstr>
      <vt:lpstr>Inflation</vt:lpstr>
      <vt:lpstr>ZARtoUSD</vt:lpstr>
      <vt:lpstr>LiteratureCost</vt:lpstr>
      <vt:lpstr>NonART drug data and costs</vt:lpstr>
      <vt:lpstr>NonART prices by med</vt:lpstr>
      <vt:lpstr>May 2023 MPC</vt:lpstr>
      <vt:lpstr>Staff_costs</vt:lpstr>
      <vt:lpstr>MMC</vt:lpstr>
      <vt:lpstr>ART PPP</vt:lpstr>
      <vt:lpstr>ART kids distribution</vt:lpstr>
      <vt:lpstr>ARVs</vt:lpstr>
      <vt:lpstr>Inpatient cost per admission</vt:lpstr>
      <vt:lpstr>CostYear</vt:lpstr>
      <vt:lpstr>CostYrr</vt:lpstr>
      <vt:lpstr>date</vt:lpstr>
      <vt:lpstr>DHIS_HCavg</vt:lpstr>
      <vt:lpstr>exrate</vt:lpstr>
      <vt:lpstr>Ingredients!ING</vt:lpstr>
      <vt:lpstr>ING</vt:lpstr>
      <vt:lpstr>PPPassets</vt:lpstr>
      <vt:lpstr>PPPothermeds</vt:lpstr>
      <vt:lpstr>PPPoverheads</vt:lpstr>
      <vt:lpstr>PPPstaff</vt:lpstr>
      <vt:lpstr>PPPsupplies</vt:lpstr>
      <vt:lpstr>PPPvisitperpt</vt:lpstr>
      <vt:lpstr>procdayspermonth</vt:lpstr>
      <vt:lpstr>procdaysperweek</vt:lpstr>
      <vt:lpstr>procdaysperyear</vt:lpstr>
      <vt:lpstr>StaffCategories</vt:lpstr>
      <vt:lpstr>VisitsFUyear</vt:lpstr>
      <vt:lpstr>weekspermonth</vt:lpstr>
      <vt:lpstr>Staff_costs!workdayspermonth</vt:lpstr>
      <vt:lpstr>workdayspermonth</vt:lpstr>
      <vt:lpstr>workdaysperweek</vt:lpstr>
      <vt:lpstr>workdaysperyear</vt:lpstr>
      <vt:lpstr>workhoursperday</vt:lpstr>
      <vt:lpstr>workminutespa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Lise Jamieson</dc:creator>
  <cp:lastModifiedBy>Alex de Nooy</cp:lastModifiedBy>
  <dcterms:created xsi:type="dcterms:W3CDTF">2015-12-21T09:42:50Z</dcterms:created>
  <dcterms:modified xsi:type="dcterms:W3CDTF">2026-05-28T12:52:29Z</dcterms:modified>
</cp:coreProperties>
</file>